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80" windowWidth="15255" windowHeight="7830" firstSheet="73" activeTab="79"/>
  </bookViews>
  <sheets>
    <sheet name="APRIL" sheetId="1" r:id="rId1"/>
    <sheet name="MAY" sheetId="2" r:id="rId2"/>
    <sheet name="JUNE" sheetId="3" r:id="rId3"/>
    <sheet name="JULY 2015" sheetId="4" r:id="rId4"/>
    <sheet name="AUGUST 2015" sheetId="5" r:id="rId5"/>
    <sheet name="SEPTEMBER" sheetId="6" r:id="rId6"/>
    <sheet name="OCT 2015" sheetId="7" r:id="rId7"/>
    <sheet name="NOV" sheetId="8" r:id="rId8"/>
    <sheet name="Sheet1" sheetId="9" r:id="rId9"/>
    <sheet name="Sheet2" sheetId="10" r:id="rId10"/>
    <sheet name="JAJ" sheetId="11" r:id="rId11"/>
    <sheet name="FEB 2016" sheetId="12" r:id="rId12"/>
    <sheet name="MAY 2016" sheetId="13" r:id="rId13"/>
    <sheet name="Sheet4" sheetId="14" r:id="rId14"/>
    <sheet name="Sheet3" sheetId="15" r:id="rId15"/>
    <sheet name="Sheet5" sheetId="16" r:id="rId16"/>
    <sheet name="Sheet6" sheetId="17" r:id="rId17"/>
    <sheet name="NOV 2016" sheetId="18" r:id="rId18"/>
    <sheet name="Sheet7" sheetId="19" r:id="rId19"/>
    <sheet name="JAN 2007" sheetId="20" r:id="rId20"/>
    <sheet name="Sheet8" sheetId="21" r:id="rId21"/>
    <sheet name="Sheet9" sheetId="22" r:id="rId22"/>
    <sheet name="Sheet10" sheetId="23" r:id="rId23"/>
    <sheet name="MAY 2017" sheetId="24" r:id="rId24"/>
    <sheet name="JUNE 2017" sheetId="25" r:id="rId25"/>
    <sheet name="JULY 2017" sheetId="26" r:id="rId26"/>
    <sheet name="Sheet11" sheetId="27" r:id="rId27"/>
    <sheet name="AUGUST" sheetId="28" r:id="rId28"/>
    <sheet name="SEPTEMBER 2016" sheetId="29" r:id="rId29"/>
    <sheet name="octomber" sheetId="30" r:id="rId30"/>
    <sheet name="november" sheetId="31" r:id="rId31"/>
    <sheet name="DEC" sheetId="32" r:id="rId32"/>
    <sheet name="JAN" sheetId="33" r:id="rId33"/>
    <sheet name="FEB18" sheetId="34" r:id="rId34"/>
    <sheet name="MARCH" sheetId="35" r:id="rId35"/>
    <sheet name="APRL" sheetId="36" r:id="rId36"/>
    <sheet name="MAY18" sheetId="37" r:id="rId37"/>
    <sheet name="JUNE " sheetId="38" r:id="rId38"/>
    <sheet name="JULY" sheetId="39" r:id="rId39"/>
    <sheet name="AUG" sheetId="40" r:id="rId40"/>
    <sheet name="SEP" sheetId="41" r:id="rId41"/>
    <sheet name="OCTOBER" sheetId="42" r:id="rId42"/>
    <sheet name="NOVE" sheetId="43" r:id="rId43"/>
    <sheet name="DECEMBER" sheetId="44" r:id="rId44"/>
    <sheet name="JANUARY" sheetId="45" r:id="rId45"/>
    <sheet name="FEBRUARY" sheetId="46" r:id="rId46"/>
    <sheet name="MARCH " sheetId="47" r:id="rId47"/>
    <sheet name="APR" sheetId="48" r:id="rId48"/>
    <sheet name="MAY " sheetId="49" r:id="rId49"/>
    <sheet name="JUNEE" sheetId="50" r:id="rId50"/>
    <sheet name="JULY  " sheetId="51" r:id="rId51"/>
    <sheet name="AUGUST 19" sheetId="52" r:id="rId52"/>
    <sheet name="SEPTEMBER 19" sheetId="53" r:id="rId53"/>
    <sheet name="OCTOBER 19" sheetId="54" r:id="rId54"/>
    <sheet name="NOVEMBER 19" sheetId="55" r:id="rId55"/>
    <sheet name="DECEMBER 19" sheetId="56" r:id="rId56"/>
    <sheet name="JANUARY 20" sheetId="57" r:id="rId57"/>
    <sheet name="FEBRUARY 20" sheetId="58" r:id="rId58"/>
    <sheet name="MARCH 20" sheetId="59" r:id="rId59"/>
    <sheet name="APRIL 20" sheetId="60" r:id="rId60"/>
    <sheet name="MAY 20" sheetId="61" r:id="rId61"/>
    <sheet name="JUNE 20" sheetId="62" r:id="rId62"/>
    <sheet name="JULY 20" sheetId="63" r:id="rId63"/>
    <sheet name="AUGUST 20" sheetId="64" r:id="rId64"/>
    <sheet name="SEPTEMBER20" sheetId="65" r:id="rId65"/>
    <sheet name="OCTOBER20" sheetId="66" r:id="rId66"/>
    <sheet name="NOVEMBER20" sheetId="67" r:id="rId67"/>
    <sheet name="DECEMBER 20" sheetId="68" r:id="rId68"/>
    <sheet name="JANUARY 21" sheetId="69" r:id="rId69"/>
    <sheet name="FEBRUAY21" sheetId="70" r:id="rId70"/>
    <sheet name="MARCH 21" sheetId="71" r:id="rId71"/>
    <sheet name="APRIL 21" sheetId="72" r:id="rId72"/>
    <sheet name="MAY 21" sheetId="73" r:id="rId73"/>
    <sheet name="JUNE 21" sheetId="74" r:id="rId74"/>
    <sheet name="JULY 21" sheetId="75" r:id="rId75"/>
    <sheet name="AUGUST 21" sheetId="76" r:id="rId76"/>
    <sheet name="SEPT 21" sheetId="77" r:id="rId77"/>
    <sheet name="OCT 21" sheetId="78" r:id="rId78"/>
    <sheet name="NOVEMBER 21" sheetId="79" r:id="rId79"/>
    <sheet name="DECEMBER 21" sheetId="80" r:id="rId80"/>
    <sheet name="Sheet12" sheetId="81" r:id="rId81"/>
  </sheets>
  <calcPr calcId="144525"/>
</workbook>
</file>

<file path=xl/calcChain.xml><?xml version="1.0" encoding="utf-8"?>
<calcChain xmlns="http://schemas.openxmlformats.org/spreadsheetml/2006/main">
  <c r="M31" i="80" l="1"/>
  <c r="M30" i="80"/>
  <c r="K29" i="80"/>
  <c r="M32" i="79" l="1"/>
  <c r="D6" i="80" l="1"/>
  <c r="D7" i="80"/>
  <c r="D10" i="80"/>
  <c r="D11" i="80"/>
  <c r="D12" i="80"/>
  <c r="D16" i="80"/>
  <c r="D39" i="80"/>
  <c r="H17" i="80"/>
  <c r="G21" i="80" s="1"/>
  <c r="F17" i="80"/>
  <c r="H28" i="80" s="1"/>
  <c r="H39" i="80" s="1"/>
  <c r="E17" i="80"/>
  <c r="C21" i="80" s="1"/>
  <c r="C17" i="80"/>
  <c r="G16" i="80"/>
  <c r="I16" i="80" s="1"/>
  <c r="G14" i="80"/>
  <c r="I14" i="80" s="1"/>
  <c r="G12" i="80"/>
  <c r="I12" i="80" s="1"/>
  <c r="G11" i="80"/>
  <c r="I11" i="80" s="1"/>
  <c r="G10" i="80"/>
  <c r="I10" i="80" s="1"/>
  <c r="G9" i="80"/>
  <c r="I9" i="80" s="1"/>
  <c r="I8" i="80"/>
  <c r="G8" i="80"/>
  <c r="G7" i="80"/>
  <c r="I7" i="80" s="1"/>
  <c r="G6" i="80"/>
  <c r="I6" i="80" s="1"/>
  <c r="D24" i="80" l="1"/>
  <c r="H24" i="80" s="1"/>
  <c r="D39" i="79"/>
  <c r="F17" i="79"/>
  <c r="H39" i="79" s="1"/>
  <c r="E17" i="79"/>
  <c r="C21" i="79" s="1"/>
  <c r="D24" i="79" s="1"/>
  <c r="H24" i="79" s="1"/>
  <c r="C17" i="79"/>
  <c r="H17" i="79"/>
  <c r="G21" i="79" s="1"/>
  <c r="H13" i="78" l="1"/>
  <c r="H15" i="77" l="1"/>
  <c r="D39" i="78" l="1"/>
  <c r="F17" i="78"/>
  <c r="H28" i="78" s="1"/>
  <c r="H39" i="78" s="1"/>
  <c r="E17" i="78"/>
  <c r="C21" i="78" s="1"/>
  <c r="C17" i="78"/>
  <c r="H17" i="78"/>
  <c r="G21" i="78" s="1"/>
  <c r="D24" i="78" l="1"/>
  <c r="H24" i="78" s="1"/>
  <c r="H13" i="77"/>
  <c r="H8" i="77" l="1"/>
  <c r="H14" i="77" l="1"/>
  <c r="H5" i="77" l="1"/>
  <c r="D39" i="77" l="1"/>
  <c r="H17" i="77"/>
  <c r="G21" i="77" s="1"/>
  <c r="F17" i="77"/>
  <c r="H28" i="77" s="1"/>
  <c r="H39" i="77" s="1"/>
  <c r="E17" i="77"/>
  <c r="C21" i="77" s="1"/>
  <c r="D24" i="77" s="1"/>
  <c r="H24" i="77" s="1"/>
  <c r="C17" i="77"/>
  <c r="G6" i="77"/>
  <c r="I6" i="77" s="1"/>
  <c r="D6" i="78" s="1"/>
  <c r="G6" i="78" s="1"/>
  <c r="I6" i="78" s="1"/>
  <c r="D6" i="79" s="1"/>
  <c r="G6" i="79" s="1"/>
  <c r="I6" i="79" s="1"/>
  <c r="H15" i="76" l="1"/>
  <c r="D32" i="76"/>
  <c r="H11" i="76" l="1"/>
  <c r="H6" i="76" l="1"/>
  <c r="K34" i="76" s="1"/>
  <c r="H5" i="76" l="1"/>
  <c r="D39" i="76" l="1"/>
  <c r="F17" i="76"/>
  <c r="H28" i="76" s="1"/>
  <c r="E17" i="76"/>
  <c r="C21" i="76" s="1"/>
  <c r="C17" i="76"/>
  <c r="H17" i="76"/>
  <c r="G21" i="76" s="1"/>
  <c r="D24" i="76" l="1"/>
  <c r="H24" i="76" s="1"/>
  <c r="H39" i="76"/>
  <c r="H15" i="72"/>
  <c r="L34" i="73" l="1"/>
  <c r="L31" i="73"/>
  <c r="L30" i="73"/>
  <c r="M34" i="68"/>
  <c r="H26" i="75"/>
  <c r="D26" i="75"/>
  <c r="H15" i="75"/>
  <c r="H6" i="75" l="1"/>
  <c r="H5" i="72" l="1"/>
  <c r="H6" i="72"/>
  <c r="H8" i="72"/>
  <c r="H10" i="74" l="1"/>
  <c r="D39" i="75"/>
  <c r="F17" i="75"/>
  <c r="H28" i="75" s="1"/>
  <c r="H39" i="75" s="1"/>
  <c r="E17" i="75"/>
  <c r="C17" i="75"/>
  <c r="C23" i="75" s="1"/>
  <c r="G11" i="75"/>
  <c r="I11" i="75" s="1"/>
  <c r="D11" i="76" s="1"/>
  <c r="G11" i="76" s="1"/>
  <c r="I11" i="76" s="1"/>
  <c r="D11" i="77" s="1"/>
  <c r="G11" i="77" s="1"/>
  <c r="I11" i="77" s="1"/>
  <c r="D11" i="78" s="1"/>
  <c r="G11" i="78" s="1"/>
  <c r="I11" i="78" s="1"/>
  <c r="D11" i="79" s="1"/>
  <c r="G11" i="79" s="1"/>
  <c r="I11" i="79" s="1"/>
  <c r="H17" i="75"/>
  <c r="G21" i="75" l="1"/>
  <c r="C21" i="75"/>
  <c r="D24" i="75" s="1"/>
  <c r="H24" i="75" s="1"/>
  <c r="D34" i="73" l="1"/>
  <c r="H6" i="74" l="1"/>
  <c r="H14" i="74" l="1"/>
  <c r="H11" i="74" l="1"/>
  <c r="H5" i="74" l="1"/>
  <c r="H9" i="74" l="1"/>
  <c r="H15" i="74" l="1"/>
  <c r="D39" i="74" l="1"/>
  <c r="F17" i="74"/>
  <c r="H28" i="74" s="1"/>
  <c r="H39" i="74" s="1"/>
  <c r="E17" i="74"/>
  <c r="C21" i="74" s="1"/>
  <c r="C17" i="74"/>
  <c r="H17" i="74"/>
  <c r="G21" i="74" s="1"/>
  <c r="G8" i="74"/>
  <c r="I8" i="74" s="1"/>
  <c r="D8" i="75" s="1"/>
  <c r="G8" i="75" s="1"/>
  <c r="I8" i="75" s="1"/>
  <c r="D8" i="76" s="1"/>
  <c r="G8" i="76" s="1"/>
  <c r="I8" i="76" s="1"/>
  <c r="D8" i="77" s="1"/>
  <c r="G8" i="77" s="1"/>
  <c r="I8" i="77" s="1"/>
  <c r="D8" i="78" s="1"/>
  <c r="G8" i="78" s="1"/>
  <c r="G8" i="79" s="1"/>
  <c r="I8" i="79" s="1"/>
  <c r="D24" i="74" l="1"/>
  <c r="H24" i="74" s="1"/>
  <c r="H15" i="73" l="1"/>
  <c r="H11" i="73" l="1"/>
  <c r="H10" i="73" l="1"/>
  <c r="H14" i="73" l="1"/>
  <c r="D39" i="73" l="1"/>
  <c r="F17" i="73"/>
  <c r="H28" i="73" s="1"/>
  <c r="H39" i="73" s="1"/>
  <c r="E17" i="73"/>
  <c r="C21" i="73" s="1"/>
  <c r="C17" i="73"/>
  <c r="G13" i="73"/>
  <c r="I13" i="73" s="1"/>
  <c r="D13" i="74" s="1"/>
  <c r="G13" i="74" s="1"/>
  <c r="I13" i="74" s="1"/>
  <c r="D13" i="75" s="1"/>
  <c r="G13" i="75" s="1"/>
  <c r="I13" i="75" s="1"/>
  <c r="D13" i="76" s="1"/>
  <c r="G13" i="76" s="1"/>
  <c r="I13" i="76" s="1"/>
  <c r="D13" i="77" s="1"/>
  <c r="G13" i="77" s="1"/>
  <c r="I13" i="77" s="1"/>
  <c r="D13" i="78" s="1"/>
  <c r="G13" i="78" s="1"/>
  <c r="I13" i="78" s="1"/>
  <c r="D13" i="79" s="1"/>
  <c r="G13" i="79" s="1"/>
  <c r="I13" i="79" s="1"/>
  <c r="D13" i="80" s="1"/>
  <c r="H17" i="73"/>
  <c r="G21" i="73" s="1"/>
  <c r="G13" i="80" l="1"/>
  <c r="D24" i="73"/>
  <c r="H24" i="73" s="1"/>
  <c r="H10" i="72"/>
  <c r="I13" i="80" l="1"/>
  <c r="H14" i="72"/>
  <c r="H7" i="72" l="1"/>
  <c r="H9" i="72" l="1"/>
  <c r="N24" i="70" l="1"/>
  <c r="N25" i="70" s="1"/>
  <c r="H8" i="70"/>
  <c r="H5" i="70"/>
  <c r="H26" i="71" l="1"/>
  <c r="D26" i="71"/>
  <c r="D39" i="72"/>
  <c r="F17" i="72"/>
  <c r="H28" i="72" s="1"/>
  <c r="E17" i="72"/>
  <c r="C21" i="72" s="1"/>
  <c r="C17" i="72"/>
  <c r="H17" i="72"/>
  <c r="G21" i="72" s="1"/>
  <c r="C23" i="71"/>
  <c r="D32" i="71"/>
  <c r="H32" i="71"/>
  <c r="D24" i="72" l="1"/>
  <c r="H24" i="72" s="1"/>
  <c r="H39" i="72"/>
  <c r="H10" i="71"/>
  <c r="H15" i="71" l="1"/>
  <c r="H11" i="71" l="1"/>
  <c r="H6" i="71"/>
  <c r="H14" i="71" l="1"/>
  <c r="H5" i="71" l="1"/>
  <c r="H8" i="71" l="1"/>
  <c r="H9" i="71" l="1"/>
  <c r="H7" i="71" l="1"/>
  <c r="H13" i="71" l="1"/>
  <c r="D31" i="71" l="1"/>
  <c r="D37" i="71" l="1"/>
  <c r="F17" i="71"/>
  <c r="H28" i="71" s="1"/>
  <c r="H37" i="71" s="1"/>
  <c r="E17" i="71"/>
  <c r="C21" i="71" s="1"/>
  <c r="D24" i="71" s="1"/>
  <c r="H24" i="71" s="1"/>
  <c r="C17" i="71"/>
  <c r="G8" i="71"/>
  <c r="I8" i="71" s="1"/>
  <c r="D8" i="72" s="1"/>
  <c r="G8" i="72" s="1"/>
  <c r="I8" i="72" s="1"/>
  <c r="D8" i="73" s="1"/>
  <c r="G8" i="73" s="1"/>
  <c r="H17" i="71"/>
  <c r="G21" i="71" s="1"/>
  <c r="H10" i="70" l="1"/>
  <c r="H15" i="69"/>
  <c r="D29" i="69" l="1"/>
  <c r="E36" i="68"/>
  <c r="H15" i="70" l="1"/>
  <c r="H14" i="70" l="1"/>
  <c r="H7" i="70" l="1"/>
  <c r="H13" i="70" l="1"/>
  <c r="H32" i="69" l="1"/>
  <c r="D37" i="70" l="1"/>
  <c r="F17" i="70"/>
  <c r="E17" i="70"/>
  <c r="C21" i="70" s="1"/>
  <c r="C17" i="70"/>
  <c r="G8" i="70"/>
  <c r="I8" i="70" s="1"/>
  <c r="H17" i="70"/>
  <c r="G21" i="70" s="1"/>
  <c r="H28" i="70" l="1"/>
  <c r="H37" i="70" s="1"/>
  <c r="D24" i="70"/>
  <c r="H24" i="70" s="1"/>
  <c r="H10" i="69" l="1"/>
  <c r="E27" i="68" l="1"/>
  <c r="I27" i="68"/>
  <c r="H29" i="69"/>
  <c r="D32" i="69"/>
  <c r="H8" i="69"/>
  <c r="H9" i="69"/>
  <c r="H7" i="69" l="1"/>
  <c r="H6" i="69" l="1"/>
  <c r="Q17" i="69" l="1"/>
  <c r="P16" i="69"/>
  <c r="C17" i="69" l="1"/>
  <c r="E17" i="69"/>
  <c r="C21" i="69" s="1"/>
  <c r="D24" i="69" s="1"/>
  <c r="H24" i="69" s="1"/>
  <c r="F17" i="69"/>
  <c r="H28" i="69" s="1"/>
  <c r="H37" i="69" s="1"/>
  <c r="H17" i="69"/>
  <c r="G21" i="69" s="1"/>
  <c r="G8" i="69"/>
  <c r="I8" i="69" s="1"/>
  <c r="G16" i="69"/>
  <c r="D37" i="69"/>
  <c r="I16" i="69" l="1"/>
  <c r="D16" i="70" s="1"/>
  <c r="G16" i="70" s="1"/>
  <c r="I16" i="70" s="1"/>
  <c r="D16" i="71" s="1"/>
  <c r="G16" i="71" s="1"/>
  <c r="I16" i="71" s="1"/>
  <c r="D16" i="72" s="1"/>
  <c r="G16" i="72" s="1"/>
  <c r="I16" i="72" s="1"/>
  <c r="D16" i="73" s="1"/>
  <c r="G16" i="73" s="1"/>
  <c r="I16" i="73" s="1"/>
  <c r="D16" i="74" s="1"/>
  <c r="G16" i="74" s="1"/>
  <c r="I16" i="74" s="1"/>
  <c r="D16" i="75" s="1"/>
  <c r="G16" i="75" s="1"/>
  <c r="I16" i="75" s="1"/>
  <c r="D16" i="76" s="1"/>
  <c r="G16" i="76" s="1"/>
  <c r="I16" i="76" s="1"/>
  <c r="D16" i="77" s="1"/>
  <c r="G16" i="77" s="1"/>
  <c r="I16" i="77" s="1"/>
  <c r="D16" i="78" s="1"/>
  <c r="G16" i="78" s="1"/>
  <c r="I16" i="78" s="1"/>
  <c r="D16" i="79" s="1"/>
  <c r="G16" i="79" s="1"/>
  <c r="I16" i="79" s="1"/>
  <c r="H10" i="68" l="1"/>
  <c r="H15" i="68" l="1"/>
  <c r="H13" i="68" l="1"/>
  <c r="H27" i="67" l="1"/>
  <c r="D27" i="67"/>
  <c r="D17" i="41" l="1"/>
  <c r="C22" i="41" s="1"/>
  <c r="G10" i="67"/>
  <c r="D38" i="67"/>
  <c r="D17" i="67" l="1"/>
  <c r="D27" i="66"/>
  <c r="C22" i="67" l="1"/>
  <c r="D5" i="68"/>
  <c r="G5" i="68" s="1"/>
  <c r="I5" i="68" s="1"/>
  <c r="D5" i="69" s="1"/>
  <c r="E38" i="68"/>
  <c r="F17" i="68"/>
  <c r="I29" i="68" s="1"/>
  <c r="I38" i="68" s="1"/>
  <c r="E17" i="68"/>
  <c r="D22" i="68" s="1"/>
  <c r="C17" i="68"/>
  <c r="H17" i="68"/>
  <c r="H22" i="68" s="1"/>
  <c r="G5" i="69" l="1"/>
  <c r="E25" i="68"/>
  <c r="I25" i="68" s="1"/>
  <c r="G14" i="67"/>
  <c r="G15" i="67"/>
  <c r="I5" i="69" l="1"/>
  <c r="D5" i="70" s="1"/>
  <c r="G5" i="70" s="1"/>
  <c r="I5" i="70" s="1"/>
  <c r="G13" i="67"/>
  <c r="G17" i="67" s="1"/>
  <c r="G22" i="67" s="1"/>
  <c r="D5" i="71" l="1"/>
  <c r="G5" i="71" s="1"/>
  <c r="I5" i="71" s="1"/>
  <c r="D5" i="72" s="1"/>
  <c r="G5" i="72" s="1"/>
  <c r="I5" i="72" s="1"/>
  <c r="D5" i="73" s="1"/>
  <c r="G5" i="73" s="1"/>
  <c r="D30" i="66"/>
  <c r="I5" i="73" l="1"/>
  <c r="G15" i="66"/>
  <c r="D5" i="74" l="1"/>
  <c r="G5" i="74" s="1"/>
  <c r="G7" i="66"/>
  <c r="I5" i="74" l="1"/>
  <c r="C5" i="67"/>
  <c r="E17" i="67"/>
  <c r="B17" i="67"/>
  <c r="F11" i="67"/>
  <c r="F9" i="67"/>
  <c r="H9" i="67" s="1"/>
  <c r="D5" i="75" l="1"/>
  <c r="H11" i="67"/>
  <c r="D11" i="68" s="1"/>
  <c r="G11" i="68" s="1"/>
  <c r="I11" i="68" s="1"/>
  <c r="D11" i="69" s="1"/>
  <c r="G11" i="69" s="1"/>
  <c r="I11" i="69" s="1"/>
  <c r="D11" i="70" s="1"/>
  <c r="D9" i="68"/>
  <c r="G9" i="68" s="1"/>
  <c r="I9" i="68" s="1"/>
  <c r="D9" i="69" s="1"/>
  <c r="G9" i="69" s="1"/>
  <c r="I9" i="69" s="1"/>
  <c r="D9" i="70" s="1"/>
  <c r="G9" i="70" s="1"/>
  <c r="I9" i="70" s="1"/>
  <c r="D9" i="71" s="1"/>
  <c r="G9" i="71" s="1"/>
  <c r="I9" i="71" s="1"/>
  <c r="D9" i="72" s="1"/>
  <c r="G9" i="72" s="1"/>
  <c r="I9" i="72" s="1"/>
  <c r="D9" i="73" s="1"/>
  <c r="G9" i="73" s="1"/>
  <c r="I9" i="73" s="1"/>
  <c r="D9" i="74" s="1"/>
  <c r="G9" i="74" s="1"/>
  <c r="I9" i="74" s="1"/>
  <c r="D9" i="75" s="1"/>
  <c r="G9" i="75" s="1"/>
  <c r="I9" i="75" s="1"/>
  <c r="D9" i="76" s="1"/>
  <c r="G9" i="76" s="1"/>
  <c r="I9" i="76" s="1"/>
  <c r="D9" i="77" s="1"/>
  <c r="G9" i="77" s="1"/>
  <c r="I9" i="77" s="1"/>
  <c r="D9" i="78" s="1"/>
  <c r="G9" i="78" s="1"/>
  <c r="I9" i="78" s="1"/>
  <c r="D9" i="79" s="1"/>
  <c r="G9" i="79" s="1"/>
  <c r="I9" i="79" s="1"/>
  <c r="H29" i="67"/>
  <c r="H38" i="67" s="1"/>
  <c r="D25" i="67"/>
  <c r="G5" i="75" l="1"/>
  <c r="G11" i="70"/>
  <c r="I11" i="70" s="1"/>
  <c r="D11" i="71" s="1"/>
  <c r="H25" i="67"/>
  <c r="B17" i="66"/>
  <c r="I5" i="75" l="1"/>
  <c r="G11" i="71"/>
  <c r="G10" i="66"/>
  <c r="D5" i="76" l="1"/>
  <c r="G5" i="76" s="1"/>
  <c r="I11" i="71"/>
  <c r="G14" i="66"/>
  <c r="I5" i="76" l="1"/>
  <c r="D11" i="72"/>
  <c r="G13" i="66"/>
  <c r="D5" i="77" l="1"/>
  <c r="G5" i="77" s="1"/>
  <c r="G11" i="72"/>
  <c r="H30" i="66"/>
  <c r="I5" i="77" l="1"/>
  <c r="D5" i="78" s="1"/>
  <c r="I11" i="72"/>
  <c r="D11" i="73" s="1"/>
  <c r="G11" i="73" s="1"/>
  <c r="I11" i="73" s="1"/>
  <c r="D11" i="74" s="1"/>
  <c r="G11" i="74" s="1"/>
  <c r="I11" i="74" s="1"/>
  <c r="G17" i="66"/>
  <c r="G22" i="66" s="1"/>
  <c r="G15" i="65"/>
  <c r="G5" i="78" l="1"/>
  <c r="I5" i="78"/>
  <c r="D5" i="79" s="1"/>
  <c r="G5" i="79" s="1"/>
  <c r="G6" i="65"/>
  <c r="G8" i="65"/>
  <c r="G10" i="65"/>
  <c r="G13" i="65"/>
  <c r="H34" i="64"/>
  <c r="G7" i="64"/>
  <c r="G11" i="64"/>
  <c r="G14" i="64"/>
  <c r="I5" i="79" l="1"/>
  <c r="D5" i="80" s="1"/>
  <c r="C5" i="66"/>
  <c r="G5" i="80" l="1"/>
  <c r="D38" i="66"/>
  <c r="E17" i="66"/>
  <c r="H29" i="66" s="1"/>
  <c r="H38" i="66" s="1"/>
  <c r="D17" i="66"/>
  <c r="C22" i="66" s="1"/>
  <c r="I5" i="80" l="1"/>
  <c r="D25" i="66"/>
  <c r="H25" i="66" s="1"/>
  <c r="B17" i="65"/>
  <c r="G14" i="65" l="1"/>
  <c r="G10" i="64" l="1"/>
  <c r="C5" i="64" l="1"/>
  <c r="G15" i="64"/>
  <c r="C5" i="65" l="1"/>
  <c r="H27" i="65"/>
  <c r="D27" i="65"/>
  <c r="D38" i="65" s="1"/>
  <c r="E17" i="65"/>
  <c r="H29" i="65" s="1"/>
  <c r="D17" i="65"/>
  <c r="C22" i="65" s="1"/>
  <c r="C24" i="65"/>
  <c r="F16" i="65"/>
  <c r="H16" i="65" s="1"/>
  <c r="C16" i="66" s="1"/>
  <c r="F16" i="66" s="1"/>
  <c r="H16" i="66" s="1"/>
  <c r="C16" i="67" s="1"/>
  <c r="F16" i="67" s="1"/>
  <c r="H16" i="67" s="1"/>
  <c r="D16" i="68" s="1"/>
  <c r="G16" i="68" s="1"/>
  <c r="I16" i="68" s="1"/>
  <c r="G17" i="65"/>
  <c r="H38" i="65" l="1"/>
  <c r="G22" i="65"/>
  <c r="D25" i="65"/>
  <c r="H25" i="65" s="1"/>
  <c r="D17" i="63" l="1"/>
  <c r="G8" i="63"/>
  <c r="G10" i="63"/>
  <c r="G11" i="63"/>
  <c r="G15" i="63"/>
  <c r="D32" i="63"/>
  <c r="H32" i="63"/>
  <c r="D33" i="63"/>
  <c r="H33" i="63"/>
  <c r="H27" i="64" l="1"/>
  <c r="H38" i="64" s="1"/>
  <c r="D27" i="64"/>
  <c r="D38" i="64" s="1"/>
  <c r="E17" i="64"/>
  <c r="D17" i="64"/>
  <c r="C22" i="64" s="1"/>
  <c r="B17" i="64"/>
  <c r="C24" i="64" s="1"/>
  <c r="F16" i="64"/>
  <c r="H16" i="64" s="1"/>
  <c r="G17" i="64"/>
  <c r="G19" i="64" s="1"/>
  <c r="G22" i="64" s="1"/>
  <c r="D25" i="64" l="1"/>
  <c r="H25" i="64" s="1"/>
  <c r="C9" i="63" l="1"/>
  <c r="D41" i="43" l="1"/>
  <c r="E17" i="63"/>
  <c r="C5" i="63"/>
  <c r="H27" i="63"/>
  <c r="H38" i="63" s="1"/>
  <c r="D27" i="63"/>
  <c r="C22" i="63"/>
  <c r="B17" i="63"/>
  <c r="C24" i="63" s="1"/>
  <c r="F16" i="63"/>
  <c r="H16" i="63" s="1"/>
  <c r="G17" i="63"/>
  <c r="G19" i="63" l="1"/>
  <c r="G22" i="63" s="1"/>
  <c r="D25" i="63"/>
  <c r="H25" i="63" s="1"/>
  <c r="D38" i="63"/>
  <c r="G10" i="62"/>
  <c r="H29" i="62" l="1"/>
  <c r="D29" i="62"/>
  <c r="H27" i="62" l="1"/>
  <c r="D27" i="62"/>
  <c r="B17" i="62" l="1"/>
  <c r="C24" i="62" s="1"/>
  <c r="F7" i="62" l="1"/>
  <c r="G15" i="62" l="1"/>
  <c r="G8" i="62" l="1"/>
  <c r="G14" i="62" l="1"/>
  <c r="G9" i="62"/>
  <c r="G12" i="62" l="1"/>
  <c r="G13" i="62" l="1"/>
  <c r="G6" i="62"/>
  <c r="H10" i="61" l="1"/>
  <c r="H8" i="61"/>
  <c r="H12" i="61"/>
  <c r="H14" i="61"/>
  <c r="H15" i="61"/>
  <c r="H17" i="61"/>
  <c r="E29" i="61"/>
  <c r="I29" i="61"/>
  <c r="C5" i="62" l="1"/>
  <c r="E17" i="62" l="1"/>
  <c r="D17" i="62"/>
  <c r="C22" i="62" s="1"/>
  <c r="D25" i="62" s="1"/>
  <c r="H25" i="62" s="1"/>
  <c r="G17" i="62"/>
  <c r="G19" i="62" s="1"/>
  <c r="G22" i="62" l="1"/>
  <c r="E29" i="60" l="1"/>
  <c r="E31" i="60"/>
  <c r="D5" i="61" l="1"/>
  <c r="I35" i="61"/>
  <c r="E35" i="61"/>
  <c r="F17" i="61"/>
  <c r="E17" i="61"/>
  <c r="D22" i="61" s="1"/>
  <c r="H19" i="61" l="1"/>
  <c r="H22" i="61" s="1"/>
  <c r="E25" i="61"/>
  <c r="I25" i="61" s="1"/>
  <c r="H17" i="60"/>
  <c r="F9" i="63" l="1"/>
  <c r="H9" i="63" s="1"/>
  <c r="C9" i="64" s="1"/>
  <c r="F9" i="64" s="1"/>
  <c r="H9" i="64" s="1"/>
  <c r="C9" i="65" s="1"/>
  <c r="F9" i="65" s="1"/>
  <c r="H9" i="65" s="1"/>
  <c r="C9" i="66" s="1"/>
  <c r="F9" i="66" s="1"/>
  <c r="H9" i="66" s="1"/>
  <c r="H15" i="59" l="1"/>
  <c r="D5" i="60"/>
  <c r="I34" i="60"/>
  <c r="E34" i="60"/>
  <c r="F17" i="60"/>
  <c r="H19" i="60" s="1"/>
  <c r="E17" i="60"/>
  <c r="D22" i="60" s="1"/>
  <c r="E25" i="60" s="1"/>
  <c r="I25" i="60" s="1"/>
  <c r="H22" i="60" l="1"/>
  <c r="E32" i="58" l="1"/>
  <c r="I32" i="58"/>
  <c r="E27" i="58"/>
  <c r="D24" i="58"/>
  <c r="H24" i="58"/>
  <c r="I27" i="58"/>
  <c r="H15" i="58"/>
  <c r="E17" i="59"/>
  <c r="D5" i="59" l="1"/>
  <c r="I34" i="59"/>
  <c r="E34" i="59"/>
  <c r="F17" i="59"/>
  <c r="D22" i="59"/>
  <c r="H17" i="59"/>
  <c r="H19" i="59" s="1"/>
  <c r="H34" i="62" l="1"/>
  <c r="H38" i="62" s="1"/>
  <c r="E25" i="59"/>
  <c r="I25" i="59" s="1"/>
  <c r="E17" i="58" l="1"/>
  <c r="H10" i="57" l="1"/>
  <c r="D5" i="58" l="1"/>
  <c r="I38" i="58"/>
  <c r="E38" i="58"/>
  <c r="F17" i="58"/>
  <c r="D22" i="58"/>
  <c r="H17" i="58"/>
  <c r="H19" i="58" l="1"/>
  <c r="H22" i="58" s="1"/>
  <c r="E25" i="58"/>
  <c r="I25" i="58" s="1"/>
  <c r="E17" i="56"/>
  <c r="E17" i="57"/>
  <c r="D5" i="57" l="1"/>
  <c r="I39" i="57" l="1"/>
  <c r="E39" i="57"/>
  <c r="F17" i="57"/>
  <c r="D22" i="57"/>
  <c r="H17" i="57"/>
  <c r="H19" i="57" s="1"/>
  <c r="H22" i="57" l="1"/>
  <c r="E25" i="57"/>
  <c r="I25" i="57" s="1"/>
  <c r="H15" i="56"/>
  <c r="H10" i="56" l="1"/>
  <c r="I39" i="56" l="1"/>
  <c r="E39" i="56"/>
  <c r="H17" i="56"/>
  <c r="F17" i="56"/>
  <c r="D22" i="56"/>
  <c r="G11" i="56"/>
  <c r="I11" i="56" s="1"/>
  <c r="D11" i="57" s="1"/>
  <c r="G11" i="57" s="1"/>
  <c r="I11" i="57" s="1"/>
  <c r="D11" i="58" s="1"/>
  <c r="H19" i="56" l="1"/>
  <c r="G11" i="58"/>
  <c r="I11" i="58" s="1"/>
  <c r="H22" i="56"/>
  <c r="E25" i="56"/>
  <c r="I25" i="56" s="1"/>
  <c r="H16" i="55"/>
  <c r="D11" i="59" l="1"/>
  <c r="I31" i="55"/>
  <c r="E31" i="55"/>
  <c r="G11" i="59" l="1"/>
  <c r="I11" i="59" s="1"/>
  <c r="D11" i="60" l="1"/>
  <c r="G11" i="60" s="1"/>
  <c r="I11" i="60" s="1"/>
  <c r="D11" i="61" s="1"/>
  <c r="G11" i="61" s="1"/>
  <c r="I11" i="61" s="1"/>
  <c r="C11" i="62" s="1"/>
  <c r="F11" i="62" s="1"/>
  <c r="H11" i="62" s="1"/>
  <c r="C11" i="63" s="1"/>
  <c r="F11" i="63" s="1"/>
  <c r="H11" i="63" s="1"/>
  <c r="C11" i="64" s="1"/>
  <c r="F11" i="64" s="1"/>
  <c r="H11" i="64" s="1"/>
  <c r="C11" i="65" s="1"/>
  <c r="F11" i="65" s="1"/>
  <c r="H11" i="65" s="1"/>
  <c r="C11" i="66" s="1"/>
  <c r="F11" i="66" s="1"/>
  <c r="I40" i="55"/>
  <c r="E40" i="55"/>
  <c r="H18" i="55"/>
  <c r="F18" i="55"/>
  <c r="E18" i="55"/>
  <c r="D23" i="55" s="1"/>
  <c r="H20" i="55" l="1"/>
  <c r="H23" i="55" s="1"/>
  <c r="E26" i="55"/>
  <c r="I26" i="55" s="1"/>
  <c r="H18" i="54"/>
  <c r="E18" i="54"/>
  <c r="I31" i="54" l="1"/>
  <c r="I30" i="54"/>
  <c r="E30" i="54"/>
  <c r="E38" i="54" l="1"/>
  <c r="I38" i="54"/>
  <c r="F18" i="54"/>
  <c r="D23" i="54"/>
  <c r="G17" i="54"/>
  <c r="I17" i="54" s="1"/>
  <c r="D17" i="55" s="1"/>
  <c r="G17" i="55" s="1"/>
  <c r="I17" i="55" s="1"/>
  <c r="D16" i="56" s="1"/>
  <c r="G16" i="56" s="1"/>
  <c r="I16" i="56" s="1"/>
  <c r="D16" i="57" s="1"/>
  <c r="G16" i="57" s="1"/>
  <c r="I16" i="57" s="1"/>
  <c r="D16" i="58" s="1"/>
  <c r="G16" i="58" s="1"/>
  <c r="I16" i="58" s="1"/>
  <c r="D16" i="59" s="1"/>
  <c r="G16" i="59" s="1"/>
  <c r="I16" i="59" s="1"/>
  <c r="D16" i="60" s="1"/>
  <c r="G16" i="60" s="1"/>
  <c r="I16" i="60" s="1"/>
  <c r="D16" i="61" s="1"/>
  <c r="G16" i="61" s="1"/>
  <c r="I16" i="61" s="1"/>
  <c r="C16" i="62" s="1"/>
  <c r="F16" i="62" s="1"/>
  <c r="G16" i="54"/>
  <c r="I16" i="54" s="1"/>
  <c r="D16" i="55" s="1"/>
  <c r="G16" i="55" s="1"/>
  <c r="I16" i="55" s="1"/>
  <c r="D15" i="56" s="1"/>
  <c r="G15" i="56" s="1"/>
  <c r="I15" i="56" s="1"/>
  <c r="D15" i="57" s="1"/>
  <c r="G15" i="57" s="1"/>
  <c r="I15" i="57" s="1"/>
  <c r="D15" i="58" s="1"/>
  <c r="G15" i="58" s="1"/>
  <c r="I15" i="58" s="1"/>
  <c r="D15" i="59" s="1"/>
  <c r="G15" i="59" s="1"/>
  <c r="I15" i="59" s="1"/>
  <c r="D15" i="60" s="1"/>
  <c r="G15" i="60" s="1"/>
  <c r="I15" i="60" s="1"/>
  <c r="D15" i="61" s="1"/>
  <c r="G15" i="61" s="1"/>
  <c r="I15" i="61" s="1"/>
  <c r="C15" i="62" s="1"/>
  <c r="F15" i="62" s="1"/>
  <c r="G15" i="54"/>
  <c r="I15" i="54" s="1"/>
  <c r="D15" i="55" s="1"/>
  <c r="G15" i="55" s="1"/>
  <c r="I15" i="55" s="1"/>
  <c r="G12" i="54"/>
  <c r="I12" i="54" s="1"/>
  <c r="D12" i="55" s="1"/>
  <c r="G12" i="55" s="1"/>
  <c r="I12" i="55" s="1"/>
  <c r="G11" i="54"/>
  <c r="I11" i="54" s="1"/>
  <c r="D11" i="55" s="1"/>
  <c r="G11" i="55" s="1"/>
  <c r="I11" i="55" s="1"/>
  <c r="D10" i="56" s="1"/>
  <c r="G10" i="56" s="1"/>
  <c r="I10" i="56" s="1"/>
  <c r="D10" i="57" s="1"/>
  <c r="G10" i="57" s="1"/>
  <c r="I10" i="57" s="1"/>
  <c r="D10" i="58" s="1"/>
  <c r="G10" i="58" s="1"/>
  <c r="I10" i="58" s="1"/>
  <c r="D10" i="59" s="1"/>
  <c r="G10" i="59" s="1"/>
  <c r="I10" i="59" s="1"/>
  <c r="D10" i="60" s="1"/>
  <c r="G10" i="60" s="1"/>
  <c r="I10" i="60" s="1"/>
  <c r="D10" i="61" s="1"/>
  <c r="G10" i="61" s="1"/>
  <c r="I10" i="61" s="1"/>
  <c r="C10" i="62" s="1"/>
  <c r="F10" i="62" s="1"/>
  <c r="H10" i="62" s="1"/>
  <c r="C10" i="63" s="1"/>
  <c r="F10" i="63" s="1"/>
  <c r="H10" i="63" s="1"/>
  <c r="C10" i="64" s="1"/>
  <c r="F10" i="64" s="1"/>
  <c r="H10" i="64" s="1"/>
  <c r="G10" i="54"/>
  <c r="I10" i="54" s="1"/>
  <c r="D10" i="55" s="1"/>
  <c r="G10" i="55" s="1"/>
  <c r="I10" i="55" s="1"/>
  <c r="D9" i="56" s="1"/>
  <c r="G9" i="56" s="1"/>
  <c r="I9" i="56" s="1"/>
  <c r="D9" i="57" s="1"/>
  <c r="G9" i="57" s="1"/>
  <c r="I9" i="57" s="1"/>
  <c r="D9" i="58" s="1"/>
  <c r="G9" i="58" s="1"/>
  <c r="I9" i="58" s="1"/>
  <c r="D9" i="59" s="1"/>
  <c r="G9" i="59" s="1"/>
  <c r="I9" i="59" s="1"/>
  <c r="D9" i="60" s="1"/>
  <c r="G9" i="60" s="1"/>
  <c r="I9" i="60" s="1"/>
  <c r="D9" i="61" s="1"/>
  <c r="G9" i="61" s="1"/>
  <c r="I9" i="61" s="1"/>
  <c r="C9" i="62" s="1"/>
  <c r="F9" i="62" s="1"/>
  <c r="G9" i="54"/>
  <c r="I9" i="54" s="1"/>
  <c r="D9" i="55" s="1"/>
  <c r="G9" i="55" s="1"/>
  <c r="I9" i="55" s="1"/>
  <c r="D8" i="56" s="1"/>
  <c r="G8" i="56" s="1"/>
  <c r="I8" i="56" s="1"/>
  <c r="D8" i="57" s="1"/>
  <c r="G8" i="57" s="1"/>
  <c r="I8" i="57" s="1"/>
  <c r="D8" i="58" s="1"/>
  <c r="G8" i="58" s="1"/>
  <c r="I8" i="58" s="1"/>
  <c r="D8" i="59" s="1"/>
  <c r="G8" i="59" s="1"/>
  <c r="I8" i="59" s="1"/>
  <c r="D8" i="60" s="1"/>
  <c r="G8" i="60" s="1"/>
  <c r="I8" i="60" s="1"/>
  <c r="D8" i="61" s="1"/>
  <c r="G8" i="61" s="1"/>
  <c r="I8" i="61" s="1"/>
  <c r="C8" i="62" s="1"/>
  <c r="F8" i="62" s="1"/>
  <c r="H8" i="62" s="1"/>
  <c r="C8" i="63" s="1"/>
  <c r="F8" i="63" s="1"/>
  <c r="H8" i="63" s="1"/>
  <c r="C8" i="64" s="1"/>
  <c r="F8" i="64" s="1"/>
  <c r="H8" i="64" s="1"/>
  <c r="G8" i="54"/>
  <c r="I8" i="54" s="1"/>
  <c r="D8" i="55" s="1"/>
  <c r="G8" i="55" s="1"/>
  <c r="I8" i="55" s="1"/>
  <c r="D7" i="56" s="1"/>
  <c r="G7" i="56" s="1"/>
  <c r="I7" i="56" s="1"/>
  <c r="D7" i="57" s="1"/>
  <c r="G7" i="57" s="1"/>
  <c r="I7" i="57" s="1"/>
  <c r="D7" i="58" s="1"/>
  <c r="G7" i="58" s="1"/>
  <c r="I7" i="58" s="1"/>
  <c r="D7" i="59" s="1"/>
  <c r="G7" i="59" s="1"/>
  <c r="I7" i="59" s="1"/>
  <c r="D7" i="60" s="1"/>
  <c r="G7" i="60" s="1"/>
  <c r="I7" i="60" s="1"/>
  <c r="D7" i="61" l="1"/>
  <c r="G7" i="61" s="1"/>
  <c r="I7" i="61" s="1"/>
  <c r="H7" i="62" s="1"/>
  <c r="C7" i="63" s="1"/>
  <c r="F7" i="63" s="1"/>
  <c r="H7" i="63" s="1"/>
  <c r="C7" i="64" s="1"/>
  <c r="F7" i="64" s="1"/>
  <c r="H7" i="64" s="1"/>
  <c r="H15" i="62"/>
  <c r="C8" i="65"/>
  <c r="F8" i="65" s="1"/>
  <c r="H8" i="65" s="1"/>
  <c r="F8" i="66" s="1"/>
  <c r="H8" i="66" s="1"/>
  <c r="C8" i="67" s="1"/>
  <c r="F8" i="67" s="1"/>
  <c r="H8" i="67" s="1"/>
  <c r="D8" i="68" s="1"/>
  <c r="C10" i="65"/>
  <c r="F10" i="65" s="1"/>
  <c r="H10" i="65" s="1"/>
  <c r="C10" i="66" s="1"/>
  <c r="F10" i="66" s="1"/>
  <c r="H10" i="66" s="1"/>
  <c r="C10" i="67" s="1"/>
  <c r="F10" i="67" s="1"/>
  <c r="H10" i="67" s="1"/>
  <c r="D10" i="68" s="1"/>
  <c r="G10" i="68" s="1"/>
  <c r="I10" i="68" s="1"/>
  <c r="D10" i="69" s="1"/>
  <c r="G10" i="69" s="1"/>
  <c r="I10" i="69" s="1"/>
  <c r="D10" i="70" s="1"/>
  <c r="G10" i="70" s="1"/>
  <c r="I10" i="70" s="1"/>
  <c r="D10" i="71" s="1"/>
  <c r="G10" i="71" s="1"/>
  <c r="I10" i="71" s="1"/>
  <c r="D10" i="72" s="1"/>
  <c r="G10" i="72" s="1"/>
  <c r="I10" i="72" s="1"/>
  <c r="D10" i="73" s="1"/>
  <c r="G10" i="73" s="1"/>
  <c r="I10" i="73" s="1"/>
  <c r="D10" i="74" s="1"/>
  <c r="G10" i="74" s="1"/>
  <c r="I10" i="74" s="1"/>
  <c r="G10" i="75" s="1"/>
  <c r="I10" i="75" s="1"/>
  <c r="D10" i="76" s="1"/>
  <c r="G10" i="76" s="1"/>
  <c r="I10" i="76" s="1"/>
  <c r="D10" i="77" s="1"/>
  <c r="G10" i="77" s="1"/>
  <c r="I10" i="77" s="1"/>
  <c r="D10" i="78" s="1"/>
  <c r="G10" i="78" s="1"/>
  <c r="I10" i="78" s="1"/>
  <c r="D10" i="79" s="1"/>
  <c r="G10" i="79" s="1"/>
  <c r="I10" i="79" s="1"/>
  <c r="H16" i="62"/>
  <c r="D36" i="62" s="1"/>
  <c r="D38" i="62" s="1"/>
  <c r="E26" i="54"/>
  <c r="I26" i="54" s="1"/>
  <c r="H15" i="53"/>
  <c r="G8" i="68" l="1"/>
  <c r="I8" i="68" s="1"/>
  <c r="C7" i="65"/>
  <c r="F7" i="65" s="1"/>
  <c r="H7" i="65" s="1"/>
  <c r="C7" i="66" s="1"/>
  <c r="F7" i="66" s="1"/>
  <c r="H7" i="66" s="1"/>
  <c r="C7" i="67" s="1"/>
  <c r="F7" i="67" s="1"/>
  <c r="H7" i="67" s="1"/>
  <c r="D7" i="68" s="1"/>
  <c r="G7" i="68" s="1"/>
  <c r="I7" i="68" s="1"/>
  <c r="D7" i="69" s="1"/>
  <c r="G7" i="69" s="1"/>
  <c r="I7" i="69" s="1"/>
  <c r="D7" i="70" s="1"/>
  <c r="G7" i="70" s="1"/>
  <c r="I7" i="70" s="1"/>
  <c r="D7" i="71" s="1"/>
  <c r="G7" i="71" s="1"/>
  <c r="I7" i="71" s="1"/>
  <c r="D7" i="72" s="1"/>
  <c r="G7" i="72" s="1"/>
  <c r="I7" i="72" s="1"/>
  <c r="D7" i="73" s="1"/>
  <c r="G7" i="73" s="1"/>
  <c r="I7" i="73" s="1"/>
  <c r="D7" i="74" s="1"/>
  <c r="G7" i="74" s="1"/>
  <c r="I7" i="74" s="1"/>
  <c r="D7" i="75" s="1"/>
  <c r="G7" i="75" s="1"/>
  <c r="I7" i="75" s="1"/>
  <c r="D7" i="76" s="1"/>
  <c r="G7" i="76" s="1"/>
  <c r="I7" i="76" s="1"/>
  <c r="D7" i="77" s="1"/>
  <c r="G7" i="77" s="1"/>
  <c r="C15" i="63"/>
  <c r="F15" i="63" s="1"/>
  <c r="H15" i="63" s="1"/>
  <c r="C15" i="64" s="1"/>
  <c r="F15" i="64" s="1"/>
  <c r="H15" i="64" s="1"/>
  <c r="I31" i="53"/>
  <c r="I7" i="77" l="1"/>
  <c r="D7" i="78" s="1"/>
  <c r="C15" i="65"/>
  <c r="F15" i="65" s="1"/>
  <c r="H15" i="65" s="1"/>
  <c r="C15" i="66" s="1"/>
  <c r="F15" i="66" s="1"/>
  <c r="H15" i="66" s="1"/>
  <c r="I30" i="53"/>
  <c r="G7" i="78" l="1"/>
  <c r="I7" i="78"/>
  <c r="D7" i="79" s="1"/>
  <c r="G7" i="79" s="1"/>
  <c r="I14" i="66"/>
  <c r="C15" i="67"/>
  <c r="F15" i="67" s="1"/>
  <c r="H15" i="67" s="1"/>
  <c r="D15" i="68" s="1"/>
  <c r="G15" i="68" s="1"/>
  <c r="I15" i="68" s="1"/>
  <c r="D15" i="69" s="1"/>
  <c r="G15" i="69" s="1"/>
  <c r="I15" i="69" s="1"/>
  <c r="I29" i="53"/>
  <c r="I7" i="79" l="1"/>
  <c r="D15" i="70"/>
  <c r="G15" i="70" s="1"/>
  <c r="I15" i="70" s="1"/>
  <c r="D15" i="71" s="1"/>
  <c r="I36" i="52"/>
  <c r="E17" i="53"/>
  <c r="G9" i="53"/>
  <c r="G15" i="71" l="1"/>
  <c r="I28" i="53"/>
  <c r="I37" i="53" s="1"/>
  <c r="I15" i="71" l="1"/>
  <c r="H10" i="52"/>
  <c r="D15" i="72" l="1"/>
  <c r="E37" i="53"/>
  <c r="H17" i="53"/>
  <c r="H22" i="53" s="1"/>
  <c r="F17" i="53"/>
  <c r="D22" i="53"/>
  <c r="I9" i="53"/>
  <c r="G15" i="72" l="1"/>
  <c r="E25" i="53"/>
  <c r="I25" i="53" s="1"/>
  <c r="I15" i="72" l="1"/>
  <c r="H24" i="52"/>
  <c r="D15" i="73" l="1"/>
  <c r="G15" i="73" s="1"/>
  <c r="I15" i="73" s="1"/>
  <c r="D15" i="74" s="1"/>
  <c r="G15" i="74" s="1"/>
  <c r="I15" i="74" s="1"/>
  <c r="D15" i="75" s="1"/>
  <c r="G15" i="75" s="1"/>
  <c r="I15" i="75" s="1"/>
  <c r="D15" i="76" s="1"/>
  <c r="G15" i="76" s="1"/>
  <c r="I15" i="76" s="1"/>
  <c r="D15" i="77" s="1"/>
  <c r="G15" i="77" s="1"/>
  <c r="I15" i="77" s="1"/>
  <c r="D15" i="78" s="1"/>
  <c r="G15" i="78" s="1"/>
  <c r="I15" i="78" s="1"/>
  <c r="D15" i="79" s="1"/>
  <c r="G15" i="79" s="1"/>
  <c r="I15" i="79" s="1"/>
  <c r="D15" i="80" s="1"/>
  <c r="E38" i="52"/>
  <c r="G15" i="80" l="1"/>
  <c r="D17" i="80"/>
  <c r="I9" i="52"/>
  <c r="H17" i="52"/>
  <c r="F17" i="52"/>
  <c r="I38" i="52" s="1"/>
  <c r="E17" i="52"/>
  <c r="D22" i="52" s="1"/>
  <c r="I15" i="80" l="1"/>
  <c r="I17" i="80" s="1"/>
  <c r="G17" i="80"/>
  <c r="H19" i="52"/>
  <c r="H22" i="52" s="1"/>
  <c r="G11" i="53"/>
  <c r="I11" i="53" s="1"/>
  <c r="E25" i="52"/>
  <c r="I25" i="52" s="1"/>
  <c r="F15" i="51"/>
  <c r="F10" i="51"/>
  <c r="H10" i="51" s="1"/>
  <c r="D10" i="52" s="1"/>
  <c r="G10" i="52" s="1"/>
  <c r="I10" i="52" s="1"/>
  <c r="D10" i="53" s="1"/>
  <c r="G10" i="53" s="1"/>
  <c r="I10" i="53" s="1"/>
  <c r="F5" i="51" l="1"/>
  <c r="D36" i="51" l="1"/>
  <c r="D17" i="51" l="1"/>
  <c r="C22" i="51" s="1"/>
  <c r="G17" i="51"/>
  <c r="G22" i="51" s="1"/>
  <c r="E17" i="51"/>
  <c r="H27" i="51" s="1"/>
  <c r="H36" i="51" s="1"/>
  <c r="C17" i="51"/>
  <c r="F16" i="51"/>
  <c r="H16" i="51" s="1"/>
  <c r="D16" i="52" s="1"/>
  <c r="H15" i="51"/>
  <c r="D15" i="52" s="1"/>
  <c r="F14" i="51"/>
  <c r="H14" i="51" s="1"/>
  <c r="D14" i="52" s="1"/>
  <c r="G14" i="52" s="1"/>
  <c r="I14" i="52" s="1"/>
  <c r="D14" i="53" s="1"/>
  <c r="G14" i="53" s="1"/>
  <c r="I14" i="53" s="1"/>
  <c r="D14" i="54" s="1"/>
  <c r="G14" i="54" s="1"/>
  <c r="I14" i="54" s="1"/>
  <c r="D14" i="55" s="1"/>
  <c r="G14" i="55" s="1"/>
  <c r="I14" i="55" s="1"/>
  <c r="D14" i="56" s="1"/>
  <c r="F13" i="51"/>
  <c r="H13" i="51" s="1"/>
  <c r="D13" i="52" s="1"/>
  <c r="G13" i="52" s="1"/>
  <c r="I13" i="52" s="1"/>
  <c r="D13" i="53" s="1"/>
  <c r="G13" i="53" s="1"/>
  <c r="I13" i="53" s="1"/>
  <c r="D13" i="54" s="1"/>
  <c r="G13" i="54" s="1"/>
  <c r="I13" i="54" s="1"/>
  <c r="D13" i="55" s="1"/>
  <c r="G13" i="55" s="1"/>
  <c r="I13" i="55" s="1"/>
  <c r="F12" i="51"/>
  <c r="H12" i="51" s="1"/>
  <c r="D12" i="52" s="1"/>
  <c r="G12" i="52" s="1"/>
  <c r="I12" i="52" s="1"/>
  <c r="D12" i="53" s="1"/>
  <c r="G12" i="53" s="1"/>
  <c r="I12" i="53" s="1"/>
  <c r="F11" i="51"/>
  <c r="H11" i="51" s="1"/>
  <c r="D11" i="52" s="1"/>
  <c r="G11" i="52" s="1"/>
  <c r="I11" i="52" s="1"/>
  <c r="F9" i="51"/>
  <c r="H9" i="51" s="1"/>
  <c r="F8" i="51"/>
  <c r="H8" i="51" s="1"/>
  <c r="D8" i="52" s="1"/>
  <c r="G8" i="52" s="1"/>
  <c r="I8" i="52" s="1"/>
  <c r="D8" i="53" s="1"/>
  <c r="G8" i="53" s="1"/>
  <c r="I8" i="53" s="1"/>
  <c r="F7" i="51"/>
  <c r="H7" i="51" s="1"/>
  <c r="D7" i="52" s="1"/>
  <c r="G7" i="52" s="1"/>
  <c r="I7" i="52" s="1"/>
  <c r="D7" i="53" s="1"/>
  <c r="G7" i="53" s="1"/>
  <c r="I7" i="53" s="1"/>
  <c r="D7" i="54" s="1"/>
  <c r="F6" i="51"/>
  <c r="H6" i="51" s="1"/>
  <c r="D6" i="52" s="1"/>
  <c r="G6" i="52" s="1"/>
  <c r="I6" i="52" s="1"/>
  <c r="D6" i="53" s="1"/>
  <c r="G6" i="53" s="1"/>
  <c r="I6" i="53" s="1"/>
  <c r="D12" i="56" l="1"/>
  <c r="G12" i="56" s="1"/>
  <c r="I12" i="56" s="1"/>
  <c r="D12" i="57" s="1"/>
  <c r="G12" i="57" s="1"/>
  <c r="I12" i="57" s="1"/>
  <c r="D12" i="58" s="1"/>
  <c r="G12" i="58" s="1"/>
  <c r="I12" i="58" s="1"/>
  <c r="D12" i="59" s="1"/>
  <c r="G12" i="59" s="1"/>
  <c r="I12" i="59" s="1"/>
  <c r="D12" i="60" s="1"/>
  <c r="G12" i="60" s="1"/>
  <c r="I12" i="60" s="1"/>
  <c r="D13" i="56"/>
  <c r="G13" i="56" s="1"/>
  <c r="I13" i="56" s="1"/>
  <c r="D13" i="57" s="1"/>
  <c r="G13" i="57" s="1"/>
  <c r="I13" i="57" s="1"/>
  <c r="D13" i="58" s="1"/>
  <c r="G13" i="58" s="1"/>
  <c r="I13" i="58" s="1"/>
  <c r="D13" i="59" s="1"/>
  <c r="G13" i="59" s="1"/>
  <c r="I13" i="59" s="1"/>
  <c r="D13" i="60" s="1"/>
  <c r="G13" i="60" s="1"/>
  <c r="I13" i="60" s="1"/>
  <c r="F17" i="51"/>
  <c r="G7" i="54"/>
  <c r="I7" i="54" s="1"/>
  <c r="D18" i="54"/>
  <c r="G18" i="54" s="1"/>
  <c r="G14" i="56"/>
  <c r="I14" i="56" s="1"/>
  <c r="D14" i="57" s="1"/>
  <c r="G14" i="57" s="1"/>
  <c r="I14" i="57" s="1"/>
  <c r="D14" i="58" s="1"/>
  <c r="G14" i="58" s="1"/>
  <c r="I14" i="58" s="1"/>
  <c r="D14" i="59" s="1"/>
  <c r="G14" i="59" s="1"/>
  <c r="I14" i="59" s="1"/>
  <c r="D14" i="60" s="1"/>
  <c r="G14" i="60" s="1"/>
  <c r="I14" i="60" s="1"/>
  <c r="D14" i="61" s="1"/>
  <c r="G14" i="61" s="1"/>
  <c r="I14" i="61" s="1"/>
  <c r="C14" i="62" s="1"/>
  <c r="F14" i="62" s="1"/>
  <c r="H14" i="62" s="1"/>
  <c r="C14" i="63" s="1"/>
  <c r="F14" i="63" s="1"/>
  <c r="H14" i="63" s="1"/>
  <c r="C14" i="64" s="1"/>
  <c r="F14" i="64" s="1"/>
  <c r="H14" i="64" s="1"/>
  <c r="G16" i="52"/>
  <c r="I16" i="52" s="1"/>
  <c r="D16" i="53" s="1"/>
  <c r="G15" i="52"/>
  <c r="I15" i="52" s="1"/>
  <c r="D15" i="53" s="1"/>
  <c r="G15" i="53" s="1"/>
  <c r="D24" i="51"/>
  <c r="H24" i="51" s="1"/>
  <c r="H5" i="51"/>
  <c r="H17" i="51" s="1"/>
  <c r="D17" i="52" s="1"/>
  <c r="D17" i="50"/>
  <c r="D36" i="50"/>
  <c r="I18" i="54" l="1"/>
  <c r="H19" i="54" s="1"/>
  <c r="D7" i="55"/>
  <c r="D13" i="61"/>
  <c r="G13" i="61" s="1"/>
  <c r="I13" i="61" s="1"/>
  <c r="C13" i="62" s="1"/>
  <c r="F13" i="62" s="1"/>
  <c r="H13" i="62" s="1"/>
  <c r="C13" i="63" s="1"/>
  <c r="F13" i="63" s="1"/>
  <c r="H13" i="63" s="1"/>
  <c r="C13" i="64" s="1"/>
  <c r="F13" i="64" s="1"/>
  <c r="H13" i="64" s="1"/>
  <c r="C14" i="65"/>
  <c r="F14" i="65" s="1"/>
  <c r="H14" i="65" s="1"/>
  <c r="C14" i="66" s="1"/>
  <c r="F14" i="66" s="1"/>
  <c r="H14" i="66" s="1"/>
  <c r="C14" i="67" s="1"/>
  <c r="F14" i="67" s="1"/>
  <c r="H14" i="67" s="1"/>
  <c r="D14" i="68" s="1"/>
  <c r="G14" i="68" s="1"/>
  <c r="I14" i="68" s="1"/>
  <c r="D14" i="69" s="1"/>
  <c r="G14" i="69" s="1"/>
  <c r="I14" i="69" s="1"/>
  <c r="D14" i="70" s="1"/>
  <c r="G14" i="70" s="1"/>
  <c r="I14" i="70" s="1"/>
  <c r="D14" i="71" s="1"/>
  <c r="G14" i="71" s="1"/>
  <c r="I14" i="71" s="1"/>
  <c r="D14" i="72" s="1"/>
  <c r="G14" i="72" s="1"/>
  <c r="I14" i="72" s="1"/>
  <c r="D14" i="73" s="1"/>
  <c r="G14" i="73" s="1"/>
  <c r="I14" i="73" s="1"/>
  <c r="D14" i="74" s="1"/>
  <c r="G14" i="74" s="1"/>
  <c r="I14" i="74" s="1"/>
  <c r="D14" i="75" s="1"/>
  <c r="G14" i="75" s="1"/>
  <c r="I14" i="75" s="1"/>
  <c r="D14" i="76" s="1"/>
  <c r="G14" i="76" s="1"/>
  <c r="I14" i="76" s="1"/>
  <c r="D14" i="77" s="1"/>
  <c r="G14" i="77" s="1"/>
  <c r="I14" i="77" s="1"/>
  <c r="D14" i="78" s="1"/>
  <c r="G14" i="78" s="1"/>
  <c r="I14" i="78" s="1"/>
  <c r="D14" i="79" s="1"/>
  <c r="G14" i="79" s="1"/>
  <c r="I14" i="79" s="1"/>
  <c r="D12" i="61"/>
  <c r="G12" i="61" s="1"/>
  <c r="I12" i="61" s="1"/>
  <c r="C12" i="62" s="1"/>
  <c r="F12" i="62" s="1"/>
  <c r="H12" i="62" s="1"/>
  <c r="C12" i="63" s="1"/>
  <c r="F12" i="63" s="1"/>
  <c r="H12" i="63" s="1"/>
  <c r="C12" i="64" s="1"/>
  <c r="F12" i="64" s="1"/>
  <c r="H12" i="64" s="1"/>
  <c r="G16" i="53"/>
  <c r="I16" i="53" s="1"/>
  <c r="I15" i="53"/>
  <c r="F5" i="50"/>
  <c r="H20" i="54" l="1"/>
  <c r="H23" i="54" s="1"/>
  <c r="C12" i="65"/>
  <c r="F12" i="65" s="1"/>
  <c r="H12" i="65" s="1"/>
  <c r="C12" i="66" s="1"/>
  <c r="F12" i="66" s="1"/>
  <c r="H12" i="66" s="1"/>
  <c r="C12" i="67" s="1"/>
  <c r="F12" i="67" s="1"/>
  <c r="H12" i="67" s="1"/>
  <c r="D12" i="68" s="1"/>
  <c r="G12" i="68" s="1"/>
  <c r="I12" i="68" s="1"/>
  <c r="D12" i="69" s="1"/>
  <c r="G12" i="69" s="1"/>
  <c r="I12" i="69" s="1"/>
  <c r="D12" i="70" s="1"/>
  <c r="J16" i="64"/>
  <c r="C13" i="65"/>
  <c r="F13" i="65" s="1"/>
  <c r="H13" i="65" s="1"/>
  <c r="C13" i="66" s="1"/>
  <c r="F13" i="66" s="1"/>
  <c r="H13" i="66" s="1"/>
  <c r="C13" i="67" s="1"/>
  <c r="F13" i="67" s="1"/>
  <c r="H13" i="67" s="1"/>
  <c r="D13" i="68" s="1"/>
  <c r="G13" i="68" s="1"/>
  <c r="I13" i="68" s="1"/>
  <c r="D13" i="69" s="1"/>
  <c r="G13" i="69" s="1"/>
  <c r="I13" i="69" s="1"/>
  <c r="D13" i="70" s="1"/>
  <c r="G13" i="70" s="1"/>
  <c r="I13" i="70" s="1"/>
  <c r="D13" i="71" s="1"/>
  <c r="G13" i="71" s="1"/>
  <c r="I13" i="71" s="1"/>
  <c r="D13" i="72" s="1"/>
  <c r="G13" i="72" s="1"/>
  <c r="I13" i="72" s="1"/>
  <c r="D18" i="55"/>
  <c r="G18" i="55" s="1"/>
  <c r="G7" i="55"/>
  <c r="I7" i="55" s="1"/>
  <c r="I17" i="53"/>
  <c r="G17" i="49"/>
  <c r="G22" i="49" s="1"/>
  <c r="E17" i="49"/>
  <c r="D17" i="49"/>
  <c r="D35" i="48"/>
  <c r="C17" i="48"/>
  <c r="D17" i="48"/>
  <c r="E17" i="48"/>
  <c r="G17" i="48"/>
  <c r="G22" i="48" s="1"/>
  <c r="G17" i="50"/>
  <c r="G22" i="50" s="1"/>
  <c r="E17" i="50"/>
  <c r="H27" i="50" s="1"/>
  <c r="H36" i="50" s="1"/>
  <c r="C22" i="50"/>
  <c r="C17" i="50"/>
  <c r="F16" i="50"/>
  <c r="H16" i="50" s="1"/>
  <c r="F15" i="50"/>
  <c r="H15" i="50" s="1"/>
  <c r="F14" i="50"/>
  <c r="H14" i="50" s="1"/>
  <c r="F13" i="50"/>
  <c r="H13" i="50" s="1"/>
  <c r="F12" i="50"/>
  <c r="H12" i="50" s="1"/>
  <c r="F11" i="50"/>
  <c r="H11" i="50" s="1"/>
  <c r="F10" i="50"/>
  <c r="H10" i="50" s="1"/>
  <c r="F9" i="50"/>
  <c r="H9" i="50" s="1"/>
  <c r="F8" i="50"/>
  <c r="F7" i="50"/>
  <c r="H7" i="50" s="1"/>
  <c r="F6" i="50"/>
  <c r="H6" i="50" s="1"/>
  <c r="H5" i="50"/>
  <c r="G12" i="70" l="1"/>
  <c r="I12" i="70" s="1"/>
  <c r="D12" i="71" s="1"/>
  <c r="G12" i="71" s="1"/>
  <c r="I12" i="71" s="1"/>
  <c r="D12" i="72" s="1"/>
  <c r="G12" i="72" s="1"/>
  <c r="I12" i="72" s="1"/>
  <c r="D12" i="73" s="1"/>
  <c r="G12" i="73" s="1"/>
  <c r="I12" i="73" s="1"/>
  <c r="D12" i="74" s="1"/>
  <c r="G12" i="74" s="1"/>
  <c r="I12" i="74" s="1"/>
  <c r="D12" i="75" s="1"/>
  <c r="G12" i="75" s="1"/>
  <c r="I12" i="75" s="1"/>
  <c r="D12" i="76" s="1"/>
  <c r="G12" i="76" s="1"/>
  <c r="I12" i="76" s="1"/>
  <c r="D12" i="77" s="1"/>
  <c r="G12" i="77" s="1"/>
  <c r="I18" i="55"/>
  <c r="D6" i="56"/>
  <c r="F17" i="50"/>
  <c r="H8" i="50"/>
  <c r="H17" i="50" s="1"/>
  <c r="D24" i="50"/>
  <c r="H24" i="50" s="1"/>
  <c r="I12" i="77" l="1"/>
  <c r="G17" i="77"/>
  <c r="G6" i="56"/>
  <c r="I6" i="56" s="1"/>
  <c r="D17" i="56"/>
  <c r="G17" i="56" s="1"/>
  <c r="D35" i="49"/>
  <c r="I17" i="77" l="1"/>
  <c r="D17" i="79" s="1"/>
  <c r="D12" i="78"/>
  <c r="D6" i="57"/>
  <c r="I17" i="56"/>
  <c r="H27" i="49"/>
  <c r="H35" i="49" s="1"/>
  <c r="C22" i="49"/>
  <c r="C17" i="49"/>
  <c r="F16" i="49"/>
  <c r="H16" i="49" s="1"/>
  <c r="F15" i="49"/>
  <c r="H15" i="49" s="1"/>
  <c r="F14" i="49"/>
  <c r="H14" i="49" s="1"/>
  <c r="F13" i="49"/>
  <c r="H13" i="49" s="1"/>
  <c r="F12" i="49"/>
  <c r="H12" i="49" s="1"/>
  <c r="F11" i="49"/>
  <c r="H11" i="49" s="1"/>
  <c r="F10" i="49"/>
  <c r="H10" i="49" s="1"/>
  <c r="F9" i="49"/>
  <c r="H9" i="49" s="1"/>
  <c r="F8" i="49"/>
  <c r="H8" i="49" s="1"/>
  <c r="F7" i="49"/>
  <c r="H7" i="49" s="1"/>
  <c r="F6" i="49"/>
  <c r="H6" i="49" s="1"/>
  <c r="F5" i="49"/>
  <c r="G12" i="78" l="1"/>
  <c r="D17" i="78"/>
  <c r="I12" i="78"/>
  <c r="G17" i="78"/>
  <c r="F17" i="49"/>
  <c r="G6" i="57"/>
  <c r="D17" i="57"/>
  <c r="G17" i="57" s="1"/>
  <c r="D24" i="49"/>
  <c r="H24" i="49" s="1"/>
  <c r="H5" i="49"/>
  <c r="H17" i="49" s="1"/>
  <c r="I17" i="78" l="1"/>
  <c r="D12" i="79"/>
  <c r="G12" i="79" s="1"/>
  <c r="I6" i="57"/>
  <c r="D6" i="58" s="1"/>
  <c r="H27" i="48"/>
  <c r="H35" i="48" s="1"/>
  <c r="C22" i="48"/>
  <c r="F16" i="48"/>
  <c r="H16" i="48" s="1"/>
  <c r="F15" i="48"/>
  <c r="H15" i="48" s="1"/>
  <c r="F14" i="48"/>
  <c r="H14" i="48" s="1"/>
  <c r="F13" i="48"/>
  <c r="H13" i="48" s="1"/>
  <c r="F12" i="48"/>
  <c r="H12" i="48" s="1"/>
  <c r="F11" i="48"/>
  <c r="H11" i="48" s="1"/>
  <c r="F10" i="48"/>
  <c r="H10" i="48" s="1"/>
  <c r="F9" i="48"/>
  <c r="H9" i="48" s="1"/>
  <c r="F8" i="48"/>
  <c r="H8" i="48" s="1"/>
  <c r="F7" i="48"/>
  <c r="H7" i="48" s="1"/>
  <c r="F6" i="48"/>
  <c r="H6" i="48" s="1"/>
  <c r="F5" i="48"/>
  <c r="I12" i="79" l="1"/>
  <c r="I17" i="79" s="1"/>
  <c r="G17" i="79"/>
  <c r="F17" i="48"/>
  <c r="G6" i="58"/>
  <c r="I6" i="58" s="1"/>
  <c r="D17" i="58"/>
  <c r="G17" i="58" s="1"/>
  <c r="I17" i="57"/>
  <c r="D24" i="48"/>
  <c r="H24" i="48" s="1"/>
  <c r="H5" i="48"/>
  <c r="H17" i="48" s="1"/>
  <c r="D17" i="47"/>
  <c r="D35" i="47"/>
  <c r="D35" i="46"/>
  <c r="D6" i="59" l="1"/>
  <c r="I17" i="58"/>
  <c r="E17" i="47"/>
  <c r="G17" i="47"/>
  <c r="G22" i="47" l="1"/>
  <c r="G18" i="47"/>
  <c r="G6" i="59"/>
  <c r="I6" i="59" s="1"/>
  <c r="D17" i="59"/>
  <c r="G17" i="59" s="1"/>
  <c r="C22" i="47"/>
  <c r="D24" i="47" s="1"/>
  <c r="H24" i="47" s="1"/>
  <c r="H27" i="47"/>
  <c r="H35" i="47" s="1"/>
  <c r="C17" i="47"/>
  <c r="F16" i="47"/>
  <c r="H16" i="47" s="1"/>
  <c r="F15" i="47"/>
  <c r="H15" i="47" s="1"/>
  <c r="F14" i="47"/>
  <c r="H14" i="47" s="1"/>
  <c r="F13" i="47"/>
  <c r="H13" i="47" s="1"/>
  <c r="F12" i="47"/>
  <c r="H12" i="47" s="1"/>
  <c r="F11" i="47"/>
  <c r="H11" i="47" s="1"/>
  <c r="F10" i="47"/>
  <c r="H10" i="47" s="1"/>
  <c r="F9" i="47"/>
  <c r="H9" i="47" s="1"/>
  <c r="F8" i="47"/>
  <c r="H8" i="47" s="1"/>
  <c r="F7" i="47"/>
  <c r="H7" i="47" s="1"/>
  <c r="F6" i="47"/>
  <c r="H6" i="47" s="1"/>
  <c r="F5" i="47"/>
  <c r="F17" i="47" l="1"/>
  <c r="D6" i="60"/>
  <c r="I17" i="59"/>
  <c r="I18" i="59" s="1"/>
  <c r="H22" i="59" s="1"/>
  <c r="H5" i="47"/>
  <c r="H17" i="47" s="1"/>
  <c r="G6" i="60" l="1"/>
  <c r="I6" i="60" s="1"/>
  <c r="D17" i="60"/>
  <c r="G17" i="60" s="1"/>
  <c r="G17" i="46"/>
  <c r="E17" i="46"/>
  <c r="H27" i="46" s="1"/>
  <c r="H35" i="46" s="1"/>
  <c r="D17" i="46"/>
  <c r="C22" i="46" s="1"/>
  <c r="D24" i="46" s="1"/>
  <c r="H24" i="46" s="1"/>
  <c r="C17" i="46"/>
  <c r="F16" i="46"/>
  <c r="H16" i="46" s="1"/>
  <c r="F15" i="46"/>
  <c r="H15" i="46" s="1"/>
  <c r="F14" i="46"/>
  <c r="H14" i="46" s="1"/>
  <c r="F13" i="46"/>
  <c r="H13" i="46" s="1"/>
  <c r="F12" i="46"/>
  <c r="H12" i="46" s="1"/>
  <c r="F11" i="46"/>
  <c r="H11" i="46" s="1"/>
  <c r="F10" i="46"/>
  <c r="H10" i="46" s="1"/>
  <c r="F9" i="46"/>
  <c r="H9" i="46" s="1"/>
  <c r="F8" i="46"/>
  <c r="H8" i="46" s="1"/>
  <c r="F7" i="46"/>
  <c r="H7" i="46" s="1"/>
  <c r="F6" i="46"/>
  <c r="H6" i="46" s="1"/>
  <c r="F5" i="46"/>
  <c r="G22" i="46" l="1"/>
  <c r="G19" i="46"/>
  <c r="D6" i="61"/>
  <c r="D17" i="61" s="1"/>
  <c r="G17" i="61" s="1"/>
  <c r="I17" i="60"/>
  <c r="F17" i="46"/>
  <c r="H5" i="46"/>
  <c r="H17" i="46" s="1"/>
  <c r="D40" i="45"/>
  <c r="G6" i="61" l="1"/>
  <c r="I6" i="61" s="1"/>
  <c r="D40" i="44"/>
  <c r="G17" i="45"/>
  <c r="E17" i="45"/>
  <c r="H27" i="45" s="1"/>
  <c r="H40" i="45" s="1"/>
  <c r="D17" i="45"/>
  <c r="C22" i="45" s="1"/>
  <c r="C17" i="45"/>
  <c r="F16" i="45"/>
  <c r="H16" i="45" s="1"/>
  <c r="F15" i="45"/>
  <c r="H15" i="45" s="1"/>
  <c r="F14" i="45"/>
  <c r="H14" i="45" s="1"/>
  <c r="F13" i="45"/>
  <c r="H13" i="45" s="1"/>
  <c r="F12" i="45"/>
  <c r="H12" i="45" s="1"/>
  <c r="F11" i="45"/>
  <c r="H11" i="45" s="1"/>
  <c r="F10" i="45"/>
  <c r="H10" i="45" s="1"/>
  <c r="F9" i="45"/>
  <c r="H9" i="45" s="1"/>
  <c r="F8" i="45"/>
  <c r="H8" i="45" s="1"/>
  <c r="F7" i="45"/>
  <c r="H7" i="45" s="1"/>
  <c r="F6" i="45"/>
  <c r="H6" i="45" s="1"/>
  <c r="F5" i="45"/>
  <c r="G22" i="45" l="1"/>
  <c r="G18" i="45"/>
  <c r="C6" i="62"/>
  <c r="I17" i="61"/>
  <c r="F17" i="45"/>
  <c r="D24" i="45"/>
  <c r="H24" i="45" s="1"/>
  <c r="H5" i="45"/>
  <c r="H17" i="45" s="1"/>
  <c r="D17" i="44"/>
  <c r="F6" i="62" l="1"/>
  <c r="C17" i="62"/>
  <c r="G17" i="44"/>
  <c r="G22" i="44" s="1"/>
  <c r="E17" i="44"/>
  <c r="H27" i="44" s="1"/>
  <c r="H40" i="44" s="1"/>
  <c r="C22" i="44"/>
  <c r="C17" i="44"/>
  <c r="F16" i="44"/>
  <c r="H16" i="44" s="1"/>
  <c r="F15" i="44"/>
  <c r="H15" i="44" s="1"/>
  <c r="F14" i="44"/>
  <c r="H14" i="44" s="1"/>
  <c r="F13" i="44"/>
  <c r="H13" i="44" s="1"/>
  <c r="F12" i="44"/>
  <c r="H12" i="44" s="1"/>
  <c r="F11" i="44"/>
  <c r="H11" i="44" s="1"/>
  <c r="F10" i="44"/>
  <c r="H10" i="44" s="1"/>
  <c r="F9" i="44"/>
  <c r="H9" i="44" s="1"/>
  <c r="F8" i="44"/>
  <c r="H8" i="44" s="1"/>
  <c r="F7" i="44"/>
  <c r="H7" i="44" s="1"/>
  <c r="F6" i="44"/>
  <c r="H6" i="44" s="1"/>
  <c r="F5" i="44"/>
  <c r="H6" i="62" l="1"/>
  <c r="F17" i="62"/>
  <c r="F17" i="44"/>
  <c r="D24" i="44"/>
  <c r="H5" i="44"/>
  <c r="H17" i="44" s="1"/>
  <c r="C6" i="63" l="1"/>
  <c r="H17" i="62"/>
  <c r="H24" i="44"/>
  <c r="F11" i="43"/>
  <c r="F6" i="63" l="1"/>
  <c r="C17" i="63"/>
  <c r="H11" i="43"/>
  <c r="H6" i="63" l="1"/>
  <c r="F17" i="63"/>
  <c r="G17" i="42"/>
  <c r="D17" i="42"/>
  <c r="E17" i="42"/>
  <c r="C6" i="64" l="1"/>
  <c r="F6" i="64" s="1"/>
  <c r="H17" i="63"/>
  <c r="G17" i="43"/>
  <c r="G22" i="43" s="1"/>
  <c r="E17" i="43"/>
  <c r="H28" i="43" s="1"/>
  <c r="H41" i="43" s="1"/>
  <c r="D17" i="43"/>
  <c r="C22" i="43" s="1"/>
  <c r="C17" i="43"/>
  <c r="F16" i="43"/>
  <c r="H16" i="43" s="1"/>
  <c r="F15" i="43"/>
  <c r="H15" i="43" s="1"/>
  <c r="F14" i="43"/>
  <c r="H14" i="43" s="1"/>
  <c r="F13" i="43"/>
  <c r="H13" i="43" s="1"/>
  <c r="F12" i="43"/>
  <c r="H12" i="43" s="1"/>
  <c r="F7" i="43"/>
  <c r="H7" i="43" s="1"/>
  <c r="F10" i="43"/>
  <c r="H10" i="43" s="1"/>
  <c r="F9" i="43"/>
  <c r="H9" i="43" s="1"/>
  <c r="F8" i="43"/>
  <c r="H8" i="43" s="1"/>
  <c r="F6" i="43"/>
  <c r="H6" i="43" s="1"/>
  <c r="F5" i="43"/>
  <c r="H6" i="64" l="1"/>
  <c r="F17" i="64"/>
  <c r="F17" i="43"/>
  <c r="D24" i="43"/>
  <c r="H5" i="43"/>
  <c r="H17" i="43" s="1"/>
  <c r="H17" i="64" l="1"/>
  <c r="C6" i="65"/>
  <c r="F6" i="65" s="1"/>
  <c r="H24" i="43"/>
  <c r="G16" i="37"/>
  <c r="D16" i="37"/>
  <c r="F17" i="65" l="1"/>
  <c r="H6" i="65"/>
  <c r="C17" i="42"/>
  <c r="C6" i="66" l="1"/>
  <c r="F6" i="66" s="1"/>
  <c r="H6" i="66" s="1"/>
  <c r="H17" i="65"/>
  <c r="G17" i="35"/>
  <c r="C17" i="66" l="1"/>
  <c r="F17" i="66" s="1"/>
  <c r="C6" i="67"/>
  <c r="H17" i="66"/>
  <c r="F10" i="42"/>
  <c r="H10" i="42" s="1"/>
  <c r="F6" i="67" l="1"/>
  <c r="H6" i="67" s="1"/>
  <c r="C17" i="67"/>
  <c r="M38" i="41"/>
  <c r="D6" i="68" l="1"/>
  <c r="H17" i="67"/>
  <c r="C22" i="42"/>
  <c r="F5" i="42"/>
  <c r="G22" i="42"/>
  <c r="F16" i="42"/>
  <c r="H16" i="42" s="1"/>
  <c r="F15" i="42"/>
  <c r="H15" i="42" s="1"/>
  <c r="F14" i="42"/>
  <c r="H14" i="42" s="1"/>
  <c r="F13" i="42"/>
  <c r="H13" i="42" s="1"/>
  <c r="F12" i="42"/>
  <c r="H12" i="42" s="1"/>
  <c r="F11" i="42"/>
  <c r="H11" i="42" s="1"/>
  <c r="F9" i="42"/>
  <c r="H9" i="42" s="1"/>
  <c r="F8" i="42"/>
  <c r="H8" i="42" s="1"/>
  <c r="F7" i="42"/>
  <c r="H7" i="42" s="1"/>
  <c r="F6" i="42"/>
  <c r="H6" i="42" s="1"/>
  <c r="H5" i="42" l="1"/>
  <c r="H17" i="42" s="1"/>
  <c r="F17" i="42"/>
  <c r="D17" i="68"/>
  <c r="G6" i="68"/>
  <c r="I6" i="68" s="1"/>
  <c r="D24" i="42"/>
  <c r="D37" i="42" s="1"/>
  <c r="G17" i="36"/>
  <c r="M32" i="39"/>
  <c r="I17" i="68" l="1"/>
  <c r="I18" i="68" s="1"/>
  <c r="D6" i="69"/>
  <c r="H24" i="42"/>
  <c r="H37" i="42" s="1"/>
  <c r="F6" i="41"/>
  <c r="F7" i="41"/>
  <c r="F8" i="41"/>
  <c r="F9" i="41"/>
  <c r="F10" i="41"/>
  <c r="F11" i="41"/>
  <c r="F12" i="41"/>
  <c r="F13" i="41"/>
  <c r="F14" i="41"/>
  <c r="F15" i="41"/>
  <c r="F16" i="41"/>
  <c r="G6" i="69" l="1"/>
  <c r="D17" i="69"/>
  <c r="H7" i="41"/>
  <c r="H12" i="41"/>
  <c r="I6" i="69" l="1"/>
  <c r="G17" i="69"/>
  <c r="H11" i="41"/>
  <c r="H15" i="41"/>
  <c r="I17" i="69" l="1"/>
  <c r="I18" i="69" s="1"/>
  <c r="D6" i="70"/>
  <c r="H8" i="41"/>
  <c r="H9" i="41"/>
  <c r="H10" i="41"/>
  <c r="H13" i="41"/>
  <c r="H14" i="41"/>
  <c r="G17" i="41"/>
  <c r="G22" i="41" s="1"/>
  <c r="E17" i="41"/>
  <c r="H16" i="41"/>
  <c r="H6" i="41"/>
  <c r="G6" i="70" l="1"/>
  <c r="D17" i="70"/>
  <c r="F17" i="41"/>
  <c r="H17" i="41"/>
  <c r="D24" i="41"/>
  <c r="D40" i="41" s="1"/>
  <c r="I6" i="70" l="1"/>
  <c r="G17" i="70"/>
  <c r="H24" i="41"/>
  <c r="H40" i="41" s="1"/>
  <c r="F4" i="39"/>
  <c r="G16" i="40"/>
  <c r="G21" i="40" s="1"/>
  <c r="E16" i="40"/>
  <c r="H29" i="40" s="1"/>
  <c r="D16" i="40"/>
  <c r="C21" i="40" s="1"/>
  <c r="F15" i="40"/>
  <c r="H15" i="40" s="1"/>
  <c r="F14" i="40"/>
  <c r="H14" i="40" s="1"/>
  <c r="H13" i="40"/>
  <c r="F12" i="40"/>
  <c r="H12" i="40" s="1"/>
  <c r="F11" i="40"/>
  <c r="H11" i="40" s="1"/>
  <c r="F9" i="40"/>
  <c r="H9" i="40" s="1"/>
  <c r="F8" i="40"/>
  <c r="H8" i="40" s="1"/>
  <c r="F7" i="40"/>
  <c r="H7" i="40" s="1"/>
  <c r="F6" i="40"/>
  <c r="H6" i="40" s="1"/>
  <c r="F5" i="40"/>
  <c r="H5" i="40" s="1"/>
  <c r="D6" i="71" l="1"/>
  <c r="I17" i="70"/>
  <c r="I18" i="70" s="1"/>
  <c r="F16" i="40"/>
  <c r="D23" i="40"/>
  <c r="D37" i="40" s="1"/>
  <c r="H4" i="40"/>
  <c r="H16" i="40" s="1"/>
  <c r="G6" i="71" l="1"/>
  <c r="D17" i="71"/>
  <c r="H23" i="40"/>
  <c r="H37" i="40" s="1"/>
  <c r="G16" i="39"/>
  <c r="G21" i="39" s="1"/>
  <c r="E16" i="39"/>
  <c r="D16" i="39"/>
  <c r="C21" i="39" s="1"/>
  <c r="F15" i="39"/>
  <c r="H15" i="39" s="1"/>
  <c r="F14" i="39"/>
  <c r="H14" i="39" s="1"/>
  <c r="F13" i="39"/>
  <c r="H13" i="39" s="1"/>
  <c r="F12" i="39"/>
  <c r="H12" i="39" s="1"/>
  <c r="F11" i="39"/>
  <c r="H11" i="39" s="1"/>
  <c r="F9" i="39"/>
  <c r="H9" i="39" s="1"/>
  <c r="F8" i="39"/>
  <c r="H8" i="39" s="1"/>
  <c r="F7" i="39"/>
  <c r="H7" i="39" s="1"/>
  <c r="F6" i="39"/>
  <c r="H6" i="39" s="1"/>
  <c r="F5" i="39"/>
  <c r="H5" i="39" s="1"/>
  <c r="I6" i="71" l="1"/>
  <c r="G17" i="71"/>
  <c r="F16" i="39"/>
  <c r="D23" i="39"/>
  <c r="D37" i="39" s="1"/>
  <c r="H4" i="39"/>
  <c r="H16" i="39" s="1"/>
  <c r="G16" i="38"/>
  <c r="G21" i="38" s="1"/>
  <c r="E16" i="38"/>
  <c r="D16" i="38"/>
  <c r="C21" i="38" s="1"/>
  <c r="F15" i="38"/>
  <c r="H15" i="38" s="1"/>
  <c r="F14" i="38"/>
  <c r="H14" i="38" s="1"/>
  <c r="F13" i="38"/>
  <c r="H13" i="38" s="1"/>
  <c r="F12" i="38"/>
  <c r="H12" i="38" s="1"/>
  <c r="F11" i="38"/>
  <c r="H11" i="38" s="1"/>
  <c r="F9" i="38"/>
  <c r="H9" i="38" s="1"/>
  <c r="F8" i="38"/>
  <c r="H8" i="38" s="1"/>
  <c r="F7" i="38"/>
  <c r="H7" i="38" s="1"/>
  <c r="F6" i="38"/>
  <c r="H6" i="38" s="1"/>
  <c r="F5" i="38"/>
  <c r="H5" i="38" s="1"/>
  <c r="F4" i="38"/>
  <c r="H4" i="38" s="1"/>
  <c r="D6" i="72" l="1"/>
  <c r="D17" i="72" s="1"/>
  <c r="I17" i="71"/>
  <c r="H23" i="39"/>
  <c r="H37" i="39" s="1"/>
  <c r="F16" i="38"/>
  <c r="H16" i="38"/>
  <c r="D23" i="38"/>
  <c r="D37" i="38" s="1"/>
  <c r="C21" i="37"/>
  <c r="G21" i="37"/>
  <c r="D36" i="33"/>
  <c r="H36" i="33"/>
  <c r="H36" i="32"/>
  <c r="D36" i="32"/>
  <c r="G6" i="72" l="1"/>
  <c r="D23" i="37"/>
  <c r="D36" i="37" s="1"/>
  <c r="H23" i="38"/>
  <c r="H37" i="38" s="1"/>
  <c r="I6" i="72" l="1"/>
  <c r="G17" i="72"/>
  <c r="E16" i="37"/>
  <c r="F15" i="37"/>
  <c r="H15" i="37" s="1"/>
  <c r="E17" i="36"/>
  <c r="F16" i="36"/>
  <c r="H16" i="36" s="1"/>
  <c r="E17" i="35"/>
  <c r="F16" i="35"/>
  <c r="H16" i="35" s="1"/>
  <c r="H17" i="34"/>
  <c r="F17" i="34"/>
  <c r="G14" i="34"/>
  <c r="G13" i="34"/>
  <c r="G15" i="34"/>
  <c r="G16" i="34"/>
  <c r="I16" i="34" s="1"/>
  <c r="G12" i="34"/>
  <c r="D6" i="73" l="1"/>
  <c r="G6" i="73" s="1"/>
  <c r="I17" i="72"/>
  <c r="D17" i="73" s="1"/>
  <c r="F14" i="37"/>
  <c r="H14" i="37" s="1"/>
  <c r="F13" i="37"/>
  <c r="H13" i="37" s="1"/>
  <c r="F12" i="37"/>
  <c r="H12" i="37" s="1"/>
  <c r="F11" i="37"/>
  <c r="H11" i="37" s="1"/>
  <c r="F9" i="37"/>
  <c r="H9" i="37" s="1"/>
  <c r="F8" i="37"/>
  <c r="H8" i="37" s="1"/>
  <c r="F7" i="37"/>
  <c r="H7" i="37" s="1"/>
  <c r="F6" i="37"/>
  <c r="H6" i="37" s="1"/>
  <c r="F5" i="37"/>
  <c r="H5" i="37" s="1"/>
  <c r="F4" i="37"/>
  <c r="I6" i="73" l="1"/>
  <c r="G17" i="73"/>
  <c r="F16" i="37"/>
  <c r="H4" i="37"/>
  <c r="H16" i="37" s="1"/>
  <c r="H23" i="37"/>
  <c r="H36" i="37" s="1"/>
  <c r="D34" i="34"/>
  <c r="E17" i="34"/>
  <c r="D6" i="74" l="1"/>
  <c r="G6" i="74" s="1"/>
  <c r="I17" i="73"/>
  <c r="D17" i="74" s="1"/>
  <c r="F13" i="35"/>
  <c r="I6" i="74" l="1"/>
  <c r="G17" i="74"/>
  <c r="G21" i="36"/>
  <c r="D17" i="36"/>
  <c r="C21" i="36" s="1"/>
  <c r="F14" i="36"/>
  <c r="H14" i="36" s="1"/>
  <c r="F13" i="36"/>
  <c r="H13" i="36" s="1"/>
  <c r="F12" i="36"/>
  <c r="H12" i="36" s="1"/>
  <c r="F11" i="36"/>
  <c r="H11" i="36" s="1"/>
  <c r="F10" i="36"/>
  <c r="H10" i="36" s="1"/>
  <c r="F9" i="36"/>
  <c r="H9" i="36" s="1"/>
  <c r="F8" i="36"/>
  <c r="H8" i="36" s="1"/>
  <c r="F7" i="36"/>
  <c r="H7" i="36" s="1"/>
  <c r="F6" i="36"/>
  <c r="H6" i="36" s="1"/>
  <c r="F5" i="36"/>
  <c r="H5" i="36" s="1"/>
  <c r="F4" i="36"/>
  <c r="H4" i="36" s="1"/>
  <c r="D6" i="75" l="1"/>
  <c r="I17" i="74"/>
  <c r="H17" i="36"/>
  <c r="F17" i="36"/>
  <c r="D23" i="36"/>
  <c r="D37" i="36" s="1"/>
  <c r="G6" i="75" l="1"/>
  <c r="D17" i="75"/>
  <c r="H23" i="36"/>
  <c r="H37" i="36" s="1"/>
  <c r="H34" i="34"/>
  <c r="D17" i="35"/>
  <c r="I6" i="75" l="1"/>
  <c r="G17" i="75"/>
  <c r="H35" i="31"/>
  <c r="D6" i="76" l="1"/>
  <c r="G6" i="76" s="1"/>
  <c r="I17" i="75"/>
  <c r="G21" i="35"/>
  <c r="C21" i="35"/>
  <c r="F15" i="35"/>
  <c r="H15" i="35" s="1"/>
  <c r="F14" i="35"/>
  <c r="H14" i="35" s="1"/>
  <c r="H13" i="35"/>
  <c r="F12" i="35"/>
  <c r="H12" i="35" s="1"/>
  <c r="F11" i="35"/>
  <c r="H11" i="35" s="1"/>
  <c r="F10" i="35"/>
  <c r="H10" i="35" s="1"/>
  <c r="F9" i="35"/>
  <c r="H9" i="35" s="1"/>
  <c r="F8" i="35"/>
  <c r="H8" i="35" s="1"/>
  <c r="F7" i="35"/>
  <c r="H7" i="35" s="1"/>
  <c r="F6" i="35"/>
  <c r="H6" i="35" s="1"/>
  <c r="F5" i="35"/>
  <c r="H5" i="35" s="1"/>
  <c r="F4" i="35"/>
  <c r="F17" i="35" s="1"/>
  <c r="D17" i="77" l="1"/>
  <c r="D17" i="76"/>
  <c r="I6" i="76"/>
  <c r="I17" i="76" s="1"/>
  <c r="G17" i="76"/>
  <c r="H4" i="35"/>
  <c r="H17" i="35" s="1"/>
  <c r="D23" i="35"/>
  <c r="D36" i="35" s="1"/>
  <c r="H23" i="35" l="1"/>
  <c r="H36" i="35" s="1"/>
  <c r="C21" i="34"/>
  <c r="G21" i="34"/>
  <c r="I15" i="34"/>
  <c r="I14" i="34"/>
  <c r="I13" i="34"/>
  <c r="I12" i="34"/>
  <c r="G11" i="34"/>
  <c r="I11" i="34" s="1"/>
  <c r="G10" i="34"/>
  <c r="I10" i="34" s="1"/>
  <c r="G9" i="34"/>
  <c r="I9" i="34" s="1"/>
  <c r="G8" i="34"/>
  <c r="I8" i="34" s="1"/>
  <c r="G7" i="34"/>
  <c r="I7" i="34" s="1"/>
  <c r="G6" i="34"/>
  <c r="I6" i="34" s="1"/>
  <c r="G5" i="34"/>
  <c r="I5" i="34" s="1"/>
  <c r="G4" i="34"/>
  <c r="G17" i="34" l="1"/>
  <c r="D23" i="34"/>
  <c r="H23" i="34" s="1"/>
  <c r="I4" i="34"/>
  <c r="I17" i="34" s="1"/>
  <c r="E17" i="32"/>
  <c r="H17" i="33" l="1"/>
  <c r="G21" i="33" s="1"/>
  <c r="H23" i="33" s="1"/>
  <c r="F17" i="33"/>
  <c r="E17" i="33"/>
  <c r="C21" i="33" s="1"/>
  <c r="G16" i="33"/>
  <c r="I16" i="33" s="1"/>
  <c r="G15" i="33"/>
  <c r="I15" i="33" s="1"/>
  <c r="G14" i="33"/>
  <c r="I14" i="33" s="1"/>
  <c r="G13" i="33"/>
  <c r="I13" i="33" s="1"/>
  <c r="G12" i="33"/>
  <c r="I12" i="33" s="1"/>
  <c r="G11" i="33"/>
  <c r="I11" i="33" s="1"/>
  <c r="G10" i="33"/>
  <c r="I10" i="33" s="1"/>
  <c r="G9" i="33"/>
  <c r="I9" i="33" s="1"/>
  <c r="G8" i="33"/>
  <c r="I8" i="33" s="1"/>
  <c r="G7" i="33"/>
  <c r="I7" i="33" s="1"/>
  <c r="G6" i="33"/>
  <c r="I6" i="33" s="1"/>
  <c r="G5" i="33"/>
  <c r="I5" i="33" s="1"/>
  <c r="G4" i="33"/>
  <c r="G17" i="33" l="1"/>
  <c r="D23" i="33"/>
  <c r="I4" i="33"/>
  <c r="I17" i="33" s="1"/>
  <c r="C21" i="32"/>
  <c r="H17" i="32"/>
  <c r="G21" i="32" s="1"/>
  <c r="F17" i="32"/>
  <c r="G16" i="32"/>
  <c r="I16" i="32" s="1"/>
  <c r="G15" i="32"/>
  <c r="I15" i="32" s="1"/>
  <c r="G14" i="32"/>
  <c r="I14" i="32" s="1"/>
  <c r="G13" i="32"/>
  <c r="I13" i="32" s="1"/>
  <c r="G12" i="32"/>
  <c r="I12" i="32" s="1"/>
  <c r="G11" i="32"/>
  <c r="I11" i="32" s="1"/>
  <c r="G10" i="32"/>
  <c r="I10" i="32" s="1"/>
  <c r="G9" i="32"/>
  <c r="I9" i="32" s="1"/>
  <c r="G8" i="32"/>
  <c r="I8" i="32" s="1"/>
  <c r="G7" i="32"/>
  <c r="I7" i="32" s="1"/>
  <c r="G6" i="32"/>
  <c r="I6" i="32" s="1"/>
  <c r="G5" i="32"/>
  <c r="I5" i="32" s="1"/>
  <c r="G4" i="32"/>
  <c r="G17" i="32" l="1"/>
  <c r="H23" i="32"/>
  <c r="I4" i="32"/>
  <c r="I17" i="32" s="1"/>
  <c r="D23" i="32"/>
  <c r="D35" i="31" l="1"/>
  <c r="H17" i="31"/>
  <c r="G21" i="31" s="1"/>
  <c r="H23" i="31" s="1"/>
  <c r="F17" i="31"/>
  <c r="G4" i="31"/>
  <c r="I4" i="31" s="1"/>
  <c r="E17" i="31"/>
  <c r="C21" i="31" s="1"/>
  <c r="G16" i="31"/>
  <c r="I16" i="31" s="1"/>
  <c r="G15" i="31"/>
  <c r="I15" i="31" s="1"/>
  <c r="G14" i="31"/>
  <c r="I14" i="31" s="1"/>
  <c r="G13" i="31"/>
  <c r="I13" i="31" s="1"/>
  <c r="G12" i="31"/>
  <c r="I12" i="31" s="1"/>
  <c r="G11" i="31"/>
  <c r="I11" i="31" s="1"/>
  <c r="G10" i="31"/>
  <c r="I10" i="31" s="1"/>
  <c r="G9" i="31"/>
  <c r="I9" i="31" s="1"/>
  <c r="G8" i="31"/>
  <c r="I8" i="31" s="1"/>
  <c r="G7" i="31"/>
  <c r="I7" i="31" s="1"/>
  <c r="G6" i="31"/>
  <c r="I6" i="31" s="1"/>
  <c r="G5" i="31"/>
  <c r="I5" i="31" s="1"/>
  <c r="G17" i="31" l="1"/>
  <c r="D23" i="31"/>
  <c r="I17" i="31"/>
  <c r="K22" i="30"/>
  <c r="C24" i="31" l="1"/>
  <c r="C35" i="31" s="1"/>
  <c r="E35" i="31" s="1"/>
  <c r="C22" i="32" s="1"/>
  <c r="C24" i="32" l="1"/>
  <c r="C36" i="32" s="1"/>
  <c r="E36" i="32" s="1"/>
  <c r="C22" i="33" s="1"/>
  <c r="N37" i="30"/>
  <c r="G9" i="30"/>
  <c r="I9" i="30" s="1"/>
  <c r="C24" i="33" l="1"/>
  <c r="C36" i="33" s="1"/>
  <c r="E36" i="33" s="1"/>
  <c r="C22" i="34" s="1"/>
  <c r="C24" i="34" s="1"/>
  <c r="H17" i="30"/>
  <c r="G20" i="30" s="1"/>
  <c r="E17" i="30"/>
  <c r="C20" i="30" s="1"/>
  <c r="G16" i="30"/>
  <c r="I16" i="30" s="1"/>
  <c r="G15" i="30"/>
  <c r="G14" i="30"/>
  <c r="I14" i="30" s="1"/>
  <c r="G13" i="30"/>
  <c r="I13" i="30" s="1"/>
  <c r="G12" i="30"/>
  <c r="I12" i="30" s="1"/>
  <c r="G11" i="30"/>
  <c r="I11" i="30" s="1"/>
  <c r="G10" i="30"/>
  <c r="I10" i="30" s="1"/>
  <c r="G8" i="30"/>
  <c r="I8" i="30" s="1"/>
  <c r="G7" i="30"/>
  <c r="I7" i="30" s="1"/>
  <c r="G6" i="30"/>
  <c r="I6" i="30" s="1"/>
  <c r="G5" i="30"/>
  <c r="I5" i="30" s="1"/>
  <c r="G4" i="30"/>
  <c r="I4" i="30" s="1"/>
  <c r="I15" i="30" l="1"/>
  <c r="D29" i="30"/>
  <c r="C34" i="34"/>
  <c r="E34" i="34" s="1"/>
  <c r="C22" i="35" s="1"/>
  <c r="I17" i="30"/>
  <c r="D22" i="30"/>
  <c r="C23" i="30" s="1"/>
  <c r="H22" i="30"/>
  <c r="G23" i="30" s="1"/>
  <c r="G31" i="30" s="1"/>
  <c r="G17" i="30"/>
  <c r="E17" i="29"/>
  <c r="H29" i="30" l="1"/>
  <c r="H31" i="30" s="1"/>
  <c r="I31" i="30" s="1"/>
  <c r="D31" i="30"/>
  <c r="C24" i="35"/>
  <c r="C36" i="35" s="1"/>
  <c r="E36" i="35" s="1"/>
  <c r="C22" i="36" s="1"/>
  <c r="G24" i="31"/>
  <c r="G35" i="31" s="1"/>
  <c r="I35" i="31" s="1"/>
  <c r="G22" i="32" s="1"/>
  <c r="C31" i="30"/>
  <c r="H31" i="29"/>
  <c r="E31" i="30" l="1"/>
  <c r="C24" i="36"/>
  <c r="C37" i="36"/>
  <c r="E37" i="36" s="1"/>
  <c r="C22" i="37" s="1"/>
  <c r="G24" i="32"/>
  <c r="G36" i="32" s="1"/>
  <c r="I36" i="32" s="1"/>
  <c r="G22" i="33" s="1"/>
  <c r="G24" i="33" s="1"/>
  <c r="G36" i="33" s="1"/>
  <c r="I36" i="33" s="1"/>
  <c r="G22" i="34" s="1"/>
  <c r="G24" i="34" s="1"/>
  <c r="G34" i="34" s="1"/>
  <c r="I34" i="34" s="1"/>
  <c r="G22" i="35" s="1"/>
  <c r="D31" i="29"/>
  <c r="G15" i="29"/>
  <c r="I15" i="29" s="1"/>
  <c r="H17" i="29"/>
  <c r="G20" i="29" s="1"/>
  <c r="F17" i="29"/>
  <c r="C20" i="29"/>
  <c r="D22" i="29" s="1"/>
  <c r="G16" i="29"/>
  <c r="I16" i="29" s="1"/>
  <c r="G14" i="29"/>
  <c r="I14" i="29" s="1"/>
  <c r="G13" i="29"/>
  <c r="I13" i="29" s="1"/>
  <c r="G12" i="29"/>
  <c r="I12" i="29" s="1"/>
  <c r="G11" i="29"/>
  <c r="I11" i="29" s="1"/>
  <c r="G10" i="29"/>
  <c r="I10" i="29" s="1"/>
  <c r="G8" i="29"/>
  <c r="I8" i="29" s="1"/>
  <c r="G5" i="29"/>
  <c r="I5" i="29" s="1"/>
  <c r="G9" i="29"/>
  <c r="I9" i="29" s="1"/>
  <c r="G6" i="29"/>
  <c r="I6" i="29" s="1"/>
  <c r="G7" i="29"/>
  <c r="I7" i="29" s="1"/>
  <c r="G4" i="29"/>
  <c r="I4" i="29" s="1"/>
  <c r="C36" i="37" l="1"/>
  <c r="E36" i="37" s="1"/>
  <c r="C22" i="38" s="1"/>
  <c r="C24" i="37"/>
  <c r="G24" i="35"/>
  <c r="G36" i="35" s="1"/>
  <c r="I36" i="35" s="1"/>
  <c r="G22" i="36" s="1"/>
  <c r="G24" i="36" s="1"/>
  <c r="G37" i="36" s="1"/>
  <c r="I37" i="36" s="1"/>
  <c r="G22" i="37" s="1"/>
  <c r="G24" i="37" s="1"/>
  <c r="G17" i="29"/>
  <c r="I17" i="29"/>
  <c r="H22" i="29"/>
  <c r="G5" i="28"/>
  <c r="G6" i="28"/>
  <c r="G7" i="28"/>
  <c r="I7" i="28" s="1"/>
  <c r="G8" i="28"/>
  <c r="G9" i="28"/>
  <c r="G10" i="28"/>
  <c r="G11" i="28"/>
  <c r="G12" i="28"/>
  <c r="G13" i="28"/>
  <c r="G14" i="28"/>
  <c r="G15" i="28"/>
  <c r="G16" i="28"/>
  <c r="G4" i="28"/>
  <c r="C37" i="38" l="1"/>
  <c r="E37" i="38" s="1"/>
  <c r="C22" i="39" s="1"/>
  <c r="C24" i="38"/>
  <c r="G36" i="37"/>
  <c r="I36" i="37" s="1"/>
  <c r="G22" i="38" s="1"/>
  <c r="G24" i="38" s="1"/>
  <c r="G37" i="38" s="1"/>
  <c r="D31" i="28"/>
  <c r="K24" i="28"/>
  <c r="M24" i="28" s="1"/>
  <c r="H31" i="28"/>
  <c r="H17" i="28"/>
  <c r="G20" i="28" s="1"/>
  <c r="F17" i="28"/>
  <c r="E17" i="28"/>
  <c r="C20" i="28" s="1"/>
  <c r="I16" i="28"/>
  <c r="I15" i="28"/>
  <c r="I14" i="28"/>
  <c r="I13" i="28"/>
  <c r="I12" i="28"/>
  <c r="I11" i="28"/>
  <c r="I10" i="28"/>
  <c r="I9" i="28"/>
  <c r="I8" i="28"/>
  <c r="I6" i="28"/>
  <c r="I5" i="28"/>
  <c r="I4" i="28"/>
  <c r="G17" i="28"/>
  <c r="C24" i="39" l="1"/>
  <c r="C37" i="39"/>
  <c r="E37" i="39" s="1"/>
  <c r="C22" i="40" s="1"/>
  <c r="I37" i="38"/>
  <c r="I17" i="28"/>
  <c r="D22" i="28"/>
  <c r="H22" i="28"/>
  <c r="G23" i="28" s="1"/>
  <c r="G31" i="28" s="1"/>
  <c r="H35" i="26"/>
  <c r="G22" i="39" l="1"/>
  <c r="G24" i="39" s="1"/>
  <c r="G37" i="39" s="1"/>
  <c r="I37" i="39" s="1"/>
  <c r="G22" i="40" s="1"/>
  <c r="G24" i="40" s="1"/>
  <c r="G37" i="40" s="1"/>
  <c r="I37" i="40" s="1"/>
  <c r="G23" i="41" s="1"/>
  <c r="G25" i="41" s="1"/>
  <c r="G40" i="41" s="1"/>
  <c r="I40" i="41" s="1"/>
  <c r="C24" i="40"/>
  <c r="C37" i="40"/>
  <c r="E37" i="40" s="1"/>
  <c r="C23" i="41" s="1"/>
  <c r="C23" i="28"/>
  <c r="C31" i="28" s="1"/>
  <c r="E31" i="28" s="1"/>
  <c r="C21" i="29" s="1"/>
  <c r="C23" i="29" s="1"/>
  <c r="C31" i="29" s="1"/>
  <c r="E31" i="29" s="1"/>
  <c r="G15" i="26"/>
  <c r="I15" i="26" s="1"/>
  <c r="C40" i="41" l="1"/>
  <c r="C25" i="41"/>
  <c r="G23" i="42"/>
  <c r="D35" i="26"/>
  <c r="H17" i="26"/>
  <c r="G20" i="26" s="1"/>
  <c r="F17" i="26"/>
  <c r="E17" i="26"/>
  <c r="C20" i="26" s="1"/>
  <c r="D22" i="26" s="1"/>
  <c r="G16" i="26"/>
  <c r="I16" i="26" s="1"/>
  <c r="G14" i="26"/>
  <c r="I14" i="26" s="1"/>
  <c r="G13" i="26"/>
  <c r="I13" i="26" s="1"/>
  <c r="G12" i="26"/>
  <c r="I12" i="26" s="1"/>
  <c r="G11" i="26"/>
  <c r="I11" i="26" s="1"/>
  <c r="G10" i="26"/>
  <c r="I10" i="26" s="1"/>
  <c r="G9" i="26"/>
  <c r="I9" i="26" s="1"/>
  <c r="G8" i="26"/>
  <c r="G7" i="26"/>
  <c r="I7" i="26" s="1"/>
  <c r="G6" i="26"/>
  <c r="I6" i="26" s="1"/>
  <c r="G5" i="26"/>
  <c r="I5" i="26" s="1"/>
  <c r="G4" i="26"/>
  <c r="I4" i="26" s="1"/>
  <c r="E40" i="41" l="1"/>
  <c r="C23" i="42" s="1"/>
  <c r="G25" i="42"/>
  <c r="G37" i="42" s="1"/>
  <c r="I37" i="42" s="1"/>
  <c r="G17" i="26"/>
  <c r="I8" i="26"/>
  <c r="I17" i="26" s="1"/>
  <c r="C23" i="26"/>
  <c r="C35" i="26" s="1"/>
  <c r="E35" i="26" s="1"/>
  <c r="H22" i="26"/>
  <c r="G23" i="26" s="1"/>
  <c r="G35" i="26" s="1"/>
  <c r="I35" i="26" s="1"/>
  <c r="D35" i="25"/>
  <c r="E17" i="25"/>
  <c r="C20" i="25" s="1"/>
  <c r="C37" i="42" l="1"/>
  <c r="E37" i="42" s="1"/>
  <c r="C23" i="43" s="1"/>
  <c r="C41" i="43" s="1"/>
  <c r="C25" i="42"/>
  <c r="G23" i="43"/>
  <c r="G41" i="43" s="1"/>
  <c r="H35" i="25"/>
  <c r="G6" i="25"/>
  <c r="G5" i="25"/>
  <c r="K42" i="42" l="1"/>
  <c r="G25" i="43"/>
  <c r="E41" i="43"/>
  <c r="C23" i="44" s="1"/>
  <c r="C40" i="44" s="1"/>
  <c r="E40" i="44" s="1"/>
  <c r="C23" i="45" s="1"/>
  <c r="C40" i="45" s="1"/>
  <c r="E40" i="45" s="1"/>
  <c r="C23" i="46" s="1"/>
  <c r="C35" i="46" s="1"/>
  <c r="E35" i="46" s="1"/>
  <c r="C23" i="47" s="1"/>
  <c r="C35" i="47" s="1"/>
  <c r="E35" i="47" s="1"/>
  <c r="C23" i="48" s="1"/>
  <c r="C35" i="48" s="1"/>
  <c r="E35" i="48" s="1"/>
  <c r="C23" i="49" s="1"/>
  <c r="C35" i="49" s="1"/>
  <c r="E35" i="49" s="1"/>
  <c r="C23" i="50" s="1"/>
  <c r="C36" i="50" s="1"/>
  <c r="E36" i="50" s="1"/>
  <c r="C23" i="51" s="1"/>
  <c r="C36" i="51" s="1"/>
  <c r="E36" i="51" s="1"/>
  <c r="D23" i="52" s="1"/>
  <c r="D38" i="52" s="1"/>
  <c r="F38" i="52" s="1"/>
  <c r="D23" i="53" s="1"/>
  <c r="D37" i="53" s="1"/>
  <c r="C25" i="43"/>
  <c r="G20" i="25"/>
  <c r="F17" i="25"/>
  <c r="I41" i="43" l="1"/>
  <c r="G23" i="44" s="1"/>
  <c r="G40" i="44" s="1"/>
  <c r="I40" i="44" s="1"/>
  <c r="G23" i="45" s="1"/>
  <c r="G40" i="45" s="1"/>
  <c r="I40" i="45" s="1"/>
  <c r="G23" i="46" s="1"/>
  <c r="G35" i="46" s="1"/>
  <c r="I35" i="46" s="1"/>
  <c r="G23" i="47" s="1"/>
  <c r="G35" i="47" s="1"/>
  <c r="I35" i="47" s="1"/>
  <c r="G23" i="48" s="1"/>
  <c r="G35" i="48" s="1"/>
  <c r="I35" i="48" s="1"/>
  <c r="G23" i="49" s="1"/>
  <c r="G35" i="49" s="1"/>
  <c r="I35" i="49" s="1"/>
  <c r="G23" i="50" s="1"/>
  <c r="G36" i="50" s="1"/>
  <c r="I36" i="50" s="1"/>
  <c r="G23" i="51" s="1"/>
  <c r="G36" i="51" s="1"/>
  <c r="I36" i="51" s="1"/>
  <c r="H23" i="52" s="1"/>
  <c r="H38" i="52" s="1"/>
  <c r="F37" i="53"/>
  <c r="D24" i="54" s="1"/>
  <c r="D38" i="54" s="1"/>
  <c r="F38" i="54" s="1"/>
  <c r="D24" i="55" s="1"/>
  <c r="H22" i="25"/>
  <c r="I6" i="25"/>
  <c r="G7" i="25"/>
  <c r="G8" i="25"/>
  <c r="G9" i="25"/>
  <c r="I9" i="25" s="1"/>
  <c r="G10" i="25"/>
  <c r="G11" i="25"/>
  <c r="G12" i="25"/>
  <c r="G13" i="25"/>
  <c r="I13" i="25" s="1"/>
  <c r="G14" i="25"/>
  <c r="I14" i="25" s="1"/>
  <c r="G15" i="25"/>
  <c r="I15" i="25" s="1"/>
  <c r="G16" i="25"/>
  <c r="I16" i="25" s="1"/>
  <c r="G4" i="25"/>
  <c r="I4" i="25" s="1"/>
  <c r="H17" i="25"/>
  <c r="I5" i="25"/>
  <c r="D40" i="55" l="1"/>
  <c r="F40" i="55" s="1"/>
  <c r="D23" i="56" s="1"/>
  <c r="D39" i="56" s="1"/>
  <c r="F39" i="56" s="1"/>
  <c r="D23" i="57" s="1"/>
  <c r="D39" i="57" s="1"/>
  <c r="F39" i="57" s="1"/>
  <c r="D23" i="58" s="1"/>
  <c r="D38" i="58" s="1"/>
  <c r="F38" i="58" s="1"/>
  <c r="J38" i="52"/>
  <c r="G23" i="25"/>
  <c r="G35" i="25" s="1"/>
  <c r="I35" i="25" s="1"/>
  <c r="G17" i="25"/>
  <c r="I17" i="25"/>
  <c r="D22" i="25"/>
  <c r="E17" i="24"/>
  <c r="D34" i="24"/>
  <c r="D23" i="59" l="1"/>
  <c r="D34" i="59" s="1"/>
  <c r="F34" i="59" s="1"/>
  <c r="D23" i="60" s="1"/>
  <c r="D34" i="60" s="1"/>
  <c r="F34" i="60" s="1"/>
  <c r="D23" i="61" s="1"/>
  <c r="D35" i="61" s="1"/>
  <c r="F35" i="61" s="1"/>
  <c r="C23" i="62" s="1"/>
  <c r="C38" i="62" s="1"/>
  <c r="E38" i="62" s="1"/>
  <c r="H23" i="53"/>
  <c r="C23" i="25"/>
  <c r="C35" i="25" s="1"/>
  <c r="E35" i="25" s="1"/>
  <c r="H17" i="24"/>
  <c r="C20" i="24"/>
  <c r="G16" i="24"/>
  <c r="I16" i="24" s="1"/>
  <c r="G15" i="24"/>
  <c r="I15" i="24" s="1"/>
  <c r="G14" i="24"/>
  <c r="I14" i="24" s="1"/>
  <c r="G13" i="24"/>
  <c r="I13" i="24" s="1"/>
  <c r="G12" i="24"/>
  <c r="G11" i="24"/>
  <c r="G10" i="24"/>
  <c r="G9" i="24"/>
  <c r="I9" i="24" s="1"/>
  <c r="G8" i="24"/>
  <c r="G7" i="24"/>
  <c r="G6" i="24"/>
  <c r="I6" i="24" s="1"/>
  <c r="G5" i="24"/>
  <c r="I5" i="24" s="1"/>
  <c r="G4" i="24"/>
  <c r="I4" i="24" s="1"/>
  <c r="C23" i="63" l="1"/>
  <c r="C38" i="63" s="1"/>
  <c r="E38" i="63" s="1"/>
  <c r="H37" i="53"/>
  <c r="J37" i="53" s="1"/>
  <c r="H24" i="54" s="1"/>
  <c r="H38" i="54" s="1"/>
  <c r="J38" i="54" s="1"/>
  <c r="H24" i="55" s="1"/>
  <c r="H40" i="55" s="1"/>
  <c r="J40" i="55" s="1"/>
  <c r="H23" i="56" s="1"/>
  <c r="H39" i="56" s="1"/>
  <c r="J39" i="56" s="1"/>
  <c r="H23" i="57" s="1"/>
  <c r="H39" i="57" s="1"/>
  <c r="J39" i="57" s="1"/>
  <c r="H23" i="58" s="1"/>
  <c r="H38" i="58" s="1"/>
  <c r="J38" i="58" s="1"/>
  <c r="I17" i="24"/>
  <c r="G17" i="24"/>
  <c r="D22" i="24"/>
  <c r="D30" i="23"/>
  <c r="D30" i="22"/>
  <c r="C23" i="64" l="1"/>
  <c r="C38" i="64" s="1"/>
  <c r="E38" i="64" s="1"/>
  <c r="C23" i="65" s="1"/>
  <c r="C38" i="65" s="1"/>
  <c r="E38" i="65" s="1"/>
  <c r="C23" i="66" s="1"/>
  <c r="C38" i="66" s="1"/>
  <c r="E38" i="66" s="1"/>
  <c r="C23" i="67" s="1"/>
  <c r="C38" i="67" s="1"/>
  <c r="E38" i="67" s="1"/>
  <c r="H23" i="59"/>
  <c r="H34" i="59" s="1"/>
  <c r="J34" i="59" s="1"/>
  <c r="C23" i="24"/>
  <c r="C34" i="24" s="1"/>
  <c r="E34" i="24" s="1"/>
  <c r="H17" i="23"/>
  <c r="E17" i="23"/>
  <c r="C20" i="23" s="1"/>
  <c r="G16" i="23"/>
  <c r="I16" i="23" s="1"/>
  <c r="G15" i="23"/>
  <c r="I15" i="23" s="1"/>
  <c r="G14" i="23"/>
  <c r="I14" i="23" s="1"/>
  <c r="G13" i="23"/>
  <c r="I13" i="23" s="1"/>
  <c r="G12" i="23"/>
  <c r="G11" i="23"/>
  <c r="G10" i="23"/>
  <c r="G9" i="23"/>
  <c r="G8" i="23"/>
  <c r="G7" i="23"/>
  <c r="G6" i="23"/>
  <c r="I6" i="23" s="1"/>
  <c r="G5" i="23"/>
  <c r="I5" i="23" s="1"/>
  <c r="G4" i="23"/>
  <c r="H17" i="22"/>
  <c r="E17" i="22"/>
  <c r="C20" i="22" s="1"/>
  <c r="G16" i="22"/>
  <c r="I16" i="22" s="1"/>
  <c r="G15" i="22"/>
  <c r="I15" i="22" s="1"/>
  <c r="G14" i="22"/>
  <c r="I14" i="22" s="1"/>
  <c r="G13" i="22"/>
  <c r="I13" i="22" s="1"/>
  <c r="G12" i="22"/>
  <c r="G11" i="22"/>
  <c r="G10" i="22"/>
  <c r="G9" i="22"/>
  <c r="G8" i="22"/>
  <c r="G7" i="22"/>
  <c r="G6" i="22"/>
  <c r="I6" i="22" s="1"/>
  <c r="G5" i="22"/>
  <c r="I5" i="22" s="1"/>
  <c r="G4" i="22"/>
  <c r="D23" i="68" l="1"/>
  <c r="D38" i="68" s="1"/>
  <c r="F38" i="68" s="1"/>
  <c r="C22" i="69" s="1"/>
  <c r="C37" i="69" s="1"/>
  <c r="E37" i="69" s="1"/>
  <c r="H23" i="60"/>
  <c r="H34" i="60" s="1"/>
  <c r="J34" i="60" s="1"/>
  <c r="H23" i="61" s="1"/>
  <c r="H35" i="61" s="1"/>
  <c r="J35" i="61" s="1"/>
  <c r="G23" i="62" s="1"/>
  <c r="G17" i="22"/>
  <c r="D22" i="22"/>
  <c r="C23" i="22" s="1"/>
  <c r="G17" i="23"/>
  <c r="D22" i="23"/>
  <c r="C23" i="23" s="1"/>
  <c r="C30" i="23" s="1"/>
  <c r="E30" i="23" s="1"/>
  <c r="I4" i="23"/>
  <c r="I17" i="23" s="1"/>
  <c r="I4" i="22"/>
  <c r="I17" i="22" s="1"/>
  <c r="N16" i="21"/>
  <c r="C22" i="70" l="1"/>
  <c r="C37" i="70" s="1"/>
  <c r="E37" i="70" s="1"/>
  <c r="C22" i="71" s="1"/>
  <c r="C37" i="71" s="1"/>
  <c r="E37" i="71" s="1"/>
  <c r="C22" i="72" s="1"/>
  <c r="C39" i="72" s="1"/>
  <c r="E39" i="72" s="1"/>
  <c r="C22" i="73" s="1"/>
  <c r="C39" i="73" s="1"/>
  <c r="E39" i="73" s="1"/>
  <c r="C22" i="74" s="1"/>
  <c r="C39" i="74" s="1"/>
  <c r="E39" i="74" s="1"/>
  <c r="C22" i="75" s="1"/>
  <c r="C39" i="75" s="1"/>
  <c r="E39" i="75" s="1"/>
  <c r="G38" i="62"/>
  <c r="I38" i="62" s="1"/>
  <c r="G23" i="63" s="1"/>
  <c r="C30" i="22"/>
  <c r="E30" i="22" s="1"/>
  <c r="E17" i="21"/>
  <c r="C20" i="21" s="1"/>
  <c r="D30" i="21"/>
  <c r="H17" i="21"/>
  <c r="G16" i="21"/>
  <c r="I16" i="21" s="1"/>
  <c r="G15" i="21"/>
  <c r="I15" i="21" s="1"/>
  <c r="G14" i="21"/>
  <c r="I14" i="21" s="1"/>
  <c r="G13" i="21"/>
  <c r="I13" i="21" s="1"/>
  <c r="G12" i="21"/>
  <c r="G11" i="21"/>
  <c r="G10" i="21"/>
  <c r="G9" i="21"/>
  <c r="G8" i="21"/>
  <c r="G7" i="21"/>
  <c r="G6" i="21"/>
  <c r="I6" i="21" s="1"/>
  <c r="G5" i="21"/>
  <c r="I5" i="21" s="1"/>
  <c r="G4" i="21"/>
  <c r="C22" i="76" l="1"/>
  <c r="C39" i="76" s="1"/>
  <c r="E39" i="76" s="1"/>
  <c r="C22" i="77" s="1"/>
  <c r="C39" i="77" s="1"/>
  <c r="E39" i="77" s="1"/>
  <c r="C22" i="78" s="1"/>
  <c r="C39" i="78" s="1"/>
  <c r="E39" i="78" s="1"/>
  <c r="C22" i="79" s="1"/>
  <c r="C39" i="79" s="1"/>
  <c r="E39" i="79" s="1"/>
  <c r="K39" i="62"/>
  <c r="G38" i="63"/>
  <c r="I38" i="63" s="1"/>
  <c r="G23" i="64" s="1"/>
  <c r="G17" i="21"/>
  <c r="D22" i="21"/>
  <c r="C23" i="21" s="1"/>
  <c r="I4" i="21"/>
  <c r="I17" i="21" s="1"/>
  <c r="H17" i="20"/>
  <c r="G5" i="20"/>
  <c r="I5" i="20" s="1"/>
  <c r="G6" i="20"/>
  <c r="I6" i="20" s="1"/>
  <c r="G7" i="20"/>
  <c r="G8" i="20"/>
  <c r="G9" i="20"/>
  <c r="G10" i="20"/>
  <c r="G11" i="20"/>
  <c r="G12" i="20"/>
  <c r="G13" i="20"/>
  <c r="I13" i="20" s="1"/>
  <c r="G14" i="20"/>
  <c r="I14" i="20" s="1"/>
  <c r="G15" i="20"/>
  <c r="I15" i="20" s="1"/>
  <c r="G16" i="20"/>
  <c r="I16" i="20" s="1"/>
  <c r="G4" i="20"/>
  <c r="I4" i="20" s="1"/>
  <c r="G38" i="64" l="1"/>
  <c r="I38" i="64" s="1"/>
  <c r="G17" i="20"/>
  <c r="I17" i="20"/>
  <c r="D29" i="20"/>
  <c r="D35" i="19"/>
  <c r="G23" i="65" l="1"/>
  <c r="G38" i="65" s="1"/>
  <c r="I38" i="65" s="1"/>
  <c r="G23" i="66" s="1"/>
  <c r="G38" i="66" s="1"/>
  <c r="I38" i="66" s="1"/>
  <c r="G23" i="67" s="1"/>
  <c r="E17" i="20"/>
  <c r="C20" i="20" s="1"/>
  <c r="G38" i="67" l="1"/>
  <c r="D21" i="20"/>
  <c r="C22" i="20" s="1"/>
  <c r="I38" i="67" l="1"/>
  <c r="C29" i="20"/>
  <c r="E29" i="20" s="1"/>
  <c r="E18" i="19"/>
  <c r="C22" i="19" s="1"/>
  <c r="G17" i="19"/>
  <c r="I17" i="19" s="1"/>
  <c r="G15" i="19"/>
  <c r="I15" i="19" s="1"/>
  <c r="G14" i="19"/>
  <c r="I14" i="19" s="1"/>
  <c r="G13" i="19"/>
  <c r="G12" i="19"/>
  <c r="G11" i="19"/>
  <c r="G10" i="19"/>
  <c r="H10" i="19" s="1"/>
  <c r="G8" i="19"/>
  <c r="G7" i="19"/>
  <c r="G6" i="19"/>
  <c r="I6" i="19" s="1"/>
  <c r="G5" i="19"/>
  <c r="I5" i="19" s="1"/>
  <c r="H23" i="68" l="1"/>
  <c r="J36" i="67"/>
  <c r="J37" i="67" s="1"/>
  <c r="H38" i="68"/>
  <c r="J38" i="68" s="1"/>
  <c r="G22" i="69" s="1"/>
  <c r="C35" i="19"/>
  <c r="D23" i="19"/>
  <c r="E18" i="18"/>
  <c r="C22" i="18" s="1"/>
  <c r="D18" i="18"/>
  <c r="G17" i="18"/>
  <c r="I17" i="18" s="1"/>
  <c r="G15" i="18"/>
  <c r="I15" i="18" s="1"/>
  <c r="G14" i="18"/>
  <c r="I14" i="18" s="1"/>
  <c r="G13" i="18"/>
  <c r="G12" i="18"/>
  <c r="G11" i="18"/>
  <c r="G10" i="18"/>
  <c r="H10" i="18" s="1"/>
  <c r="H18" i="18" s="1"/>
  <c r="G8" i="18"/>
  <c r="G7" i="18"/>
  <c r="G6" i="18"/>
  <c r="I6" i="18" s="1"/>
  <c r="G5" i="18"/>
  <c r="G37" i="69" l="1"/>
  <c r="I37" i="69" s="1"/>
  <c r="I44" i="68"/>
  <c r="G18" i="18"/>
  <c r="E35" i="19"/>
  <c r="C31" i="18"/>
  <c r="D23" i="18"/>
  <c r="D31" i="18" s="1"/>
  <c r="I5" i="18"/>
  <c r="I18" i="18" s="1"/>
  <c r="I24" i="17"/>
  <c r="G22" i="70" l="1"/>
  <c r="G37" i="70" s="1"/>
  <c r="I37" i="70" s="1"/>
  <c r="E31" i="18"/>
  <c r="E18" i="17"/>
  <c r="C22" i="17" s="1"/>
  <c r="D18" i="17"/>
  <c r="G17" i="17"/>
  <c r="I17" i="17" s="1"/>
  <c r="G15" i="17"/>
  <c r="I15" i="17" s="1"/>
  <c r="G14" i="17"/>
  <c r="I14" i="17" s="1"/>
  <c r="G13" i="17"/>
  <c r="G12" i="17"/>
  <c r="G11" i="17"/>
  <c r="G10" i="17"/>
  <c r="H10" i="17" s="1"/>
  <c r="H18" i="17" s="1"/>
  <c r="G9" i="17"/>
  <c r="I9" i="17" s="1"/>
  <c r="G8" i="17"/>
  <c r="G7" i="17"/>
  <c r="G6" i="17"/>
  <c r="I6" i="17" s="1"/>
  <c r="G5" i="17"/>
  <c r="I5" i="17" s="1"/>
  <c r="G22" i="71" l="1"/>
  <c r="G37" i="71" s="1"/>
  <c r="I37" i="71" s="1"/>
  <c r="G22" i="72" s="1"/>
  <c r="G39" i="72" s="1"/>
  <c r="I39" i="72" s="1"/>
  <c r="J33" i="70"/>
  <c r="I18" i="17"/>
  <c r="G18" i="17"/>
  <c r="C31" i="17"/>
  <c r="D23" i="17"/>
  <c r="D31" i="17" s="1"/>
  <c r="E18" i="16"/>
  <c r="C22" i="16" s="1"/>
  <c r="D18" i="16"/>
  <c r="G17" i="16"/>
  <c r="I17" i="16" s="1"/>
  <c r="G15" i="16"/>
  <c r="I15" i="16" s="1"/>
  <c r="G14" i="16"/>
  <c r="I14" i="16" s="1"/>
  <c r="G13" i="16"/>
  <c r="G12" i="16"/>
  <c r="G11" i="16"/>
  <c r="G10" i="16"/>
  <c r="H10" i="16" s="1"/>
  <c r="H18" i="16" s="1"/>
  <c r="G9" i="16"/>
  <c r="I9" i="16" s="1"/>
  <c r="G8" i="16"/>
  <c r="G7" i="16"/>
  <c r="G6" i="16"/>
  <c r="I6" i="16" s="1"/>
  <c r="G5" i="16"/>
  <c r="I41" i="72" l="1"/>
  <c r="H42" i="72" s="1"/>
  <c r="G22" i="73"/>
  <c r="G39" i="73" s="1"/>
  <c r="I39" i="73" s="1"/>
  <c r="G22" i="74" s="1"/>
  <c r="G39" i="74" s="1"/>
  <c r="I39" i="74" s="1"/>
  <c r="G22" i="75" s="1"/>
  <c r="G39" i="75" s="1"/>
  <c r="I39" i="75" s="1"/>
  <c r="E31" i="17"/>
  <c r="G18" i="16"/>
  <c r="C31" i="16"/>
  <c r="D23" i="16"/>
  <c r="D31" i="16" s="1"/>
  <c r="I5" i="16"/>
  <c r="I18" i="16" s="1"/>
  <c r="G12" i="15"/>
  <c r="G13" i="15"/>
  <c r="G22" i="76" l="1"/>
  <c r="G39" i="76" s="1"/>
  <c r="I39" i="76" s="1"/>
  <c r="G22" i="77" s="1"/>
  <c r="G39" i="77" s="1"/>
  <c r="I39" i="77" s="1"/>
  <c r="G22" i="78" s="1"/>
  <c r="G39" i="78" s="1"/>
  <c r="I39" i="78" s="1"/>
  <c r="G22" i="79" s="1"/>
  <c r="G39" i="79" s="1"/>
  <c r="I39" i="79" s="1"/>
  <c r="G22" i="80" s="1"/>
  <c r="I42" i="75"/>
  <c r="I44" i="75" s="1"/>
  <c r="E31" i="16"/>
  <c r="E18" i="15"/>
  <c r="C22" i="15" s="1"/>
  <c r="D23" i="15" s="1"/>
  <c r="D31" i="15" s="1"/>
  <c r="D18" i="15"/>
  <c r="G17" i="15"/>
  <c r="I17" i="15" s="1"/>
  <c r="G15" i="15"/>
  <c r="I15" i="15" s="1"/>
  <c r="G14" i="15"/>
  <c r="I14" i="15" s="1"/>
  <c r="G11" i="15"/>
  <c r="G10" i="15"/>
  <c r="H10" i="15" s="1"/>
  <c r="H18" i="15" s="1"/>
  <c r="G9" i="15"/>
  <c r="I9" i="15" s="1"/>
  <c r="G8" i="15"/>
  <c r="G7" i="15"/>
  <c r="G6" i="15"/>
  <c r="I6" i="15" s="1"/>
  <c r="G5" i="15"/>
  <c r="I5" i="15" s="1"/>
  <c r="G39" i="80" l="1"/>
  <c r="I39" i="80" s="1"/>
  <c r="C22" i="80"/>
  <c r="C39" i="80" s="1"/>
  <c r="E39" i="80" s="1"/>
  <c r="I18" i="15"/>
  <c r="G18" i="15"/>
  <c r="C31" i="15"/>
  <c r="E31" i="15" s="1"/>
  <c r="E17" i="14"/>
  <c r="C21" i="14" s="1"/>
  <c r="C30" i="14" s="1"/>
  <c r="D17" i="14"/>
  <c r="G16" i="14"/>
  <c r="I16" i="14" s="1"/>
  <c r="G14" i="14"/>
  <c r="I14" i="14" s="1"/>
  <c r="G13" i="14"/>
  <c r="I13" i="14" s="1"/>
  <c r="G10" i="14"/>
  <c r="G9" i="14"/>
  <c r="H9" i="14" s="1"/>
  <c r="H17" i="14" s="1"/>
  <c r="G8" i="14"/>
  <c r="I8" i="14" s="1"/>
  <c r="G7" i="14"/>
  <c r="G6" i="14"/>
  <c r="G5" i="14"/>
  <c r="I5" i="14" s="1"/>
  <c r="G4" i="14"/>
  <c r="I4" i="14" s="1"/>
  <c r="I17" i="14" l="1"/>
  <c r="D22" i="14"/>
  <c r="D30" i="14" s="1"/>
  <c r="G17" i="14"/>
  <c r="E19" i="13"/>
  <c r="C23" i="13" s="1"/>
  <c r="C31" i="13" s="1"/>
  <c r="E30" i="14" l="1"/>
  <c r="D24" i="13"/>
  <c r="D31" i="13" s="1"/>
  <c r="E31" i="13" s="1"/>
  <c r="D19" i="13" l="1"/>
  <c r="G18" i="13"/>
  <c r="I18" i="13" s="1"/>
  <c r="G16" i="13"/>
  <c r="I16" i="13" s="1"/>
  <c r="G15" i="13"/>
  <c r="I15" i="13" s="1"/>
  <c r="G13" i="13"/>
  <c r="G12" i="13"/>
  <c r="G11" i="13"/>
  <c r="H11" i="13" s="1"/>
  <c r="H19" i="13" s="1"/>
  <c r="G10" i="13"/>
  <c r="I10" i="13" s="1"/>
  <c r="G9" i="13"/>
  <c r="G8" i="13"/>
  <c r="G7" i="13"/>
  <c r="I7" i="13" s="1"/>
  <c r="G6" i="13"/>
  <c r="G19" i="13" l="1"/>
  <c r="I6" i="13"/>
  <c r="I19" i="13" s="1"/>
  <c r="E18" i="11"/>
  <c r="E18" i="12"/>
  <c r="G21" i="12" s="1"/>
  <c r="G10" i="12"/>
  <c r="H10" i="12" s="1"/>
  <c r="H18" i="12" s="1"/>
  <c r="F19" i="12"/>
  <c r="D18" i="12"/>
  <c r="G17" i="12"/>
  <c r="I17" i="12" s="1"/>
  <c r="G16" i="12"/>
  <c r="I16" i="12" s="1"/>
  <c r="G15" i="12"/>
  <c r="I15" i="12" s="1"/>
  <c r="G14" i="12"/>
  <c r="I14" i="12" s="1"/>
  <c r="G13" i="12"/>
  <c r="G12" i="12"/>
  <c r="G11" i="12"/>
  <c r="G9" i="12"/>
  <c r="I9" i="12" s="1"/>
  <c r="G8" i="12"/>
  <c r="G7" i="12"/>
  <c r="G6" i="12"/>
  <c r="I6" i="12" s="1"/>
  <c r="G5" i="12"/>
  <c r="I5" i="12" s="1"/>
  <c r="G18" i="12" l="1"/>
  <c r="I18" i="12"/>
  <c r="G25" i="12"/>
  <c r="G28" i="12" s="1"/>
  <c r="G29" i="12" s="1"/>
  <c r="L19" i="11" l="1"/>
  <c r="F19" i="11"/>
  <c r="H18" i="11"/>
  <c r="G21" i="11"/>
  <c r="D18" i="11"/>
  <c r="G17" i="11"/>
  <c r="I17" i="11" s="1"/>
  <c r="G16" i="11"/>
  <c r="I16" i="11" s="1"/>
  <c r="G15" i="11"/>
  <c r="I15" i="11" s="1"/>
  <c r="G14" i="11"/>
  <c r="I14" i="11" s="1"/>
  <c r="G13" i="11"/>
  <c r="G12" i="11"/>
  <c r="I12" i="11" s="1"/>
  <c r="G11" i="11"/>
  <c r="I11" i="11" s="1"/>
  <c r="I10" i="11"/>
  <c r="G9" i="11"/>
  <c r="I9" i="11" s="1"/>
  <c r="G8" i="11"/>
  <c r="I8" i="11" s="1"/>
  <c r="G7" i="11"/>
  <c r="G6" i="11"/>
  <c r="I6" i="11" s="1"/>
  <c r="G5" i="11"/>
  <c r="H18" i="10"/>
  <c r="E18" i="10"/>
  <c r="G18" i="10" s="1"/>
  <c r="D18" i="10"/>
  <c r="G17" i="10"/>
  <c r="I17" i="10" s="1"/>
  <c r="G16" i="10"/>
  <c r="I16" i="10" s="1"/>
  <c r="G15" i="10"/>
  <c r="I15" i="10" s="1"/>
  <c r="G14" i="10"/>
  <c r="I14" i="10" s="1"/>
  <c r="G13" i="10"/>
  <c r="G12" i="10"/>
  <c r="I12" i="10" s="1"/>
  <c r="G11" i="10"/>
  <c r="I11" i="10" s="1"/>
  <c r="I10" i="10"/>
  <c r="G9" i="10"/>
  <c r="I9" i="10" s="1"/>
  <c r="G8" i="10"/>
  <c r="I8" i="10" s="1"/>
  <c r="G7" i="10"/>
  <c r="G6" i="10"/>
  <c r="I6" i="10" s="1"/>
  <c r="G5" i="10"/>
  <c r="I5" i="10" s="1"/>
  <c r="L18" i="8"/>
  <c r="K18" i="8"/>
  <c r="J18" i="9"/>
  <c r="J20" i="9"/>
  <c r="J17" i="9"/>
  <c r="J15" i="9"/>
  <c r="J11" i="9"/>
  <c r="J8" i="9"/>
  <c r="G9" i="9"/>
  <c r="I9" i="9" s="1"/>
  <c r="G10" i="9"/>
  <c r="I10" i="9" s="1"/>
  <c r="G11" i="9"/>
  <c r="I11" i="9" s="1"/>
  <c r="G12" i="9"/>
  <c r="I12" i="9" s="1"/>
  <c r="G13" i="9"/>
  <c r="I13" i="9" s="1"/>
  <c r="G14" i="9"/>
  <c r="I14" i="9" s="1"/>
  <c r="G15" i="9"/>
  <c r="I15" i="9" s="1"/>
  <c r="G16" i="9"/>
  <c r="I16" i="9" s="1"/>
  <c r="G17" i="9"/>
  <c r="I17" i="9" s="1"/>
  <c r="G18" i="9"/>
  <c r="I18" i="9" s="1"/>
  <c r="G19" i="9"/>
  <c r="I19" i="9" s="1"/>
  <c r="G20" i="9"/>
  <c r="I20" i="9" s="1"/>
  <c r="G8" i="9"/>
  <c r="I8" i="9" s="1"/>
  <c r="F22" i="9"/>
  <c r="H21" i="9"/>
  <c r="E21" i="9"/>
  <c r="G21" i="9" s="1"/>
  <c r="D21" i="9"/>
  <c r="E21" i="8"/>
  <c r="F25" i="8" s="1"/>
  <c r="I21" i="8"/>
  <c r="G21" i="8"/>
  <c r="F21" i="8"/>
  <c r="D21" i="8"/>
  <c r="H20" i="8"/>
  <c r="H19" i="8"/>
  <c r="H18" i="8"/>
  <c r="H17" i="8"/>
  <c r="H16" i="8"/>
  <c r="H15" i="8"/>
  <c r="H14" i="8"/>
  <c r="H12" i="8"/>
  <c r="H11" i="8"/>
  <c r="H10" i="8"/>
  <c r="I22" i="7"/>
  <c r="K28" i="6"/>
  <c r="F29" i="7"/>
  <c r="F34" i="7" s="1"/>
  <c r="G22" i="7"/>
  <c r="F22" i="7"/>
  <c r="E22" i="7"/>
  <c r="H22" i="7" s="1"/>
  <c r="D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G10" i="6"/>
  <c r="G11" i="6"/>
  <c r="G12" i="6"/>
  <c r="G13" i="6"/>
  <c r="G14" i="6"/>
  <c r="G15" i="6"/>
  <c r="G16" i="6"/>
  <c r="G17" i="6"/>
  <c r="G18" i="6"/>
  <c r="G19" i="6"/>
  <c r="G20" i="6"/>
  <c r="G21" i="6"/>
  <c r="G9" i="6"/>
  <c r="F22" i="6"/>
  <c r="G29" i="6"/>
  <c r="G31" i="6" s="1"/>
  <c r="G32" i="6" s="1"/>
  <c r="D22" i="6"/>
  <c r="E22" i="6"/>
  <c r="C22" i="6"/>
  <c r="D23" i="5"/>
  <c r="J29" i="5"/>
  <c r="F23" i="5"/>
  <c r="E23" i="5"/>
  <c r="E32" i="5"/>
  <c r="C23" i="5"/>
  <c r="G22" i="5"/>
  <c r="G21" i="5"/>
  <c r="G20" i="5"/>
  <c r="G17" i="5"/>
  <c r="G16" i="5"/>
  <c r="G15" i="5"/>
  <c r="G13" i="5"/>
  <c r="G12" i="5"/>
  <c r="G11" i="5"/>
  <c r="G10" i="5"/>
  <c r="D23" i="4"/>
  <c r="G11" i="4"/>
  <c r="G12" i="4"/>
  <c r="G13" i="4"/>
  <c r="G15" i="4"/>
  <c r="G16" i="4"/>
  <c r="G17" i="4"/>
  <c r="G20" i="4"/>
  <c r="G21" i="4"/>
  <c r="G22" i="4"/>
  <c r="G10" i="4"/>
  <c r="E23" i="4"/>
  <c r="E27" i="4" s="1"/>
  <c r="F23" i="4"/>
  <c r="C23" i="4"/>
  <c r="K15" i="3"/>
  <c r="J17" i="3"/>
  <c r="I14" i="3"/>
  <c r="I16" i="3" s="1"/>
  <c r="G20" i="3"/>
  <c r="E24" i="3"/>
  <c r="E28" i="3" s="1"/>
  <c r="L28" i="3"/>
  <c r="G56" i="3"/>
  <c r="H56" i="3" s="1"/>
  <c r="G12" i="3"/>
  <c r="G13" i="3"/>
  <c r="G14" i="3"/>
  <c r="G15" i="3"/>
  <c r="G16" i="3"/>
  <c r="G17" i="3"/>
  <c r="G18" i="3"/>
  <c r="G19" i="3"/>
  <c r="G21" i="3"/>
  <c r="G22" i="3"/>
  <c r="G23" i="3"/>
  <c r="G11" i="3"/>
  <c r="D24" i="3"/>
  <c r="C24" i="3"/>
  <c r="I24" i="2"/>
  <c r="F21" i="2"/>
  <c r="F27" i="2" s="1"/>
  <c r="E24" i="1"/>
  <c r="E28" i="1" s="1"/>
  <c r="D24" i="1"/>
  <c r="C24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G22" i="6" l="1"/>
  <c r="M18" i="8"/>
  <c r="H26" i="2"/>
  <c r="J18" i="3"/>
  <c r="G23" i="5"/>
  <c r="H21" i="8"/>
  <c r="J21" i="9"/>
  <c r="G25" i="9" s="1"/>
  <c r="G27" i="9" s="1"/>
  <c r="G18" i="11"/>
  <c r="F27" i="8"/>
  <c r="F29" i="8"/>
  <c r="F32" i="8" s="1"/>
  <c r="F33" i="8" s="1"/>
  <c r="F35" i="8" s="1"/>
  <c r="E28" i="4"/>
  <c r="E31" i="4" s="1"/>
  <c r="E34" i="4" s="1"/>
  <c r="E36" i="4" s="1"/>
  <c r="I21" i="9"/>
  <c r="G23" i="4"/>
  <c r="G21" i="10"/>
  <c r="G25" i="10" s="1"/>
  <c r="G30" i="10" s="1"/>
  <c r="I5" i="11"/>
  <c r="I18" i="11" s="1"/>
  <c r="G25" i="11"/>
  <c r="G30" i="11" s="1"/>
  <c r="G31" i="11" s="1"/>
  <c r="I18" i="10"/>
  <c r="E33" i="5"/>
  <c r="G24" i="3"/>
  <c r="E29" i="3"/>
  <c r="E35" i="3" s="1"/>
  <c r="F22" i="2"/>
  <c r="F24" i="1"/>
  <c r="G24" i="1" s="1"/>
  <c r="E29" i="1"/>
  <c r="E33" i="1"/>
  <c r="E34" i="1" s="1"/>
  <c r="G29" i="9" l="1"/>
  <c r="G32" i="9" s="1"/>
  <c r="G33" i="9" s="1"/>
  <c r="G35" i="9" s="1"/>
  <c r="G31" i="10"/>
  <c r="G34" i="10"/>
  <c r="I35" i="10" s="1"/>
  <c r="E34" i="3"/>
  <c r="G34" i="11"/>
  <c r="I35" i="11" s="1"/>
  <c r="E35" i="5"/>
  <c r="E36" i="5" s="1"/>
  <c r="F39" i="5" s="1"/>
  <c r="C30" i="21" l="1"/>
  <c r="E30" i="21" s="1"/>
  <c r="I31" i="28"/>
  <c r="G21" i="29" s="1"/>
  <c r="G23" i="29" s="1"/>
  <c r="G31" i="29" s="1"/>
  <c r="I31" i="29" s="1"/>
  <c r="G17" i="52"/>
  <c r="I5" i="52" l="1"/>
  <c r="I17" i="52" l="1"/>
  <c r="D5" i="53"/>
  <c r="D17" i="53" s="1"/>
  <c r="G17" i="53" s="1"/>
</calcChain>
</file>

<file path=xl/sharedStrings.xml><?xml version="1.0" encoding="utf-8"?>
<sst xmlns="http://schemas.openxmlformats.org/spreadsheetml/2006/main" count="4866" uniqueCount="678">
  <si>
    <t>Name</t>
  </si>
  <si>
    <t>BF</t>
  </si>
  <si>
    <t>RENT</t>
  </si>
  <si>
    <t xml:space="preserve">PAID </t>
  </si>
  <si>
    <t>TOTAL DUE</t>
  </si>
  <si>
    <t>BALANCE</t>
  </si>
  <si>
    <t>ABDALLA NGETHE  9</t>
  </si>
  <si>
    <t>1500</t>
  </si>
  <si>
    <t>JOHN MUNYOKI</t>
  </si>
  <si>
    <t>CHARLES MUTINDA 4</t>
  </si>
  <si>
    <t>BEATRICE MBOOKE</t>
  </si>
  <si>
    <t>DIANA JANES MWENDE 2</t>
  </si>
  <si>
    <t>LUCY KAMAU</t>
  </si>
  <si>
    <t>JOYCE OTIENO</t>
  </si>
  <si>
    <t>LEONARD  MAUNDA</t>
  </si>
  <si>
    <t>CHRIS INGOSI</t>
  </si>
  <si>
    <t>JAMES MBURU</t>
  </si>
  <si>
    <t>PAUL KAHURA</t>
  </si>
  <si>
    <t>NICHOLAS  OMINDO</t>
  </si>
  <si>
    <t>ASSET FLOW LTD</t>
  </si>
  <si>
    <r>
      <t xml:space="preserve">                              </t>
    </r>
    <r>
      <rPr>
        <sz val="11"/>
        <color rgb="FF984806"/>
        <rFont val="Franklin Gothic Demi Cond"/>
        <family val="2"/>
      </rPr>
      <t>P.O BOX 276-00511 TEL 0707 759 987, 0738 620 900</t>
    </r>
  </si>
  <si>
    <r>
      <t xml:space="preserve">                                         PELIZA FORTRESS BUSINESS CENTRE, 1</t>
    </r>
    <r>
      <rPr>
        <b/>
        <vertAlign val="superscript"/>
        <sz val="8"/>
        <color rgb="FF0070C0"/>
        <rFont val="Times New Roman"/>
        <family val="1"/>
      </rPr>
      <t>ST</t>
    </r>
    <r>
      <rPr>
        <b/>
        <sz val="8"/>
        <color rgb="FF0070C0"/>
        <rFont val="Times New Roman"/>
        <family val="1"/>
      </rPr>
      <t xml:space="preserve"> FLR ROOM B9</t>
    </r>
  </si>
  <si>
    <t xml:space="preserve">                                             Your Ultimate Land And Property Consultant</t>
  </si>
  <si>
    <t xml:space="preserve"> CASH STATEMENT FOR THE MONTH OF APRIL</t>
  </si>
  <si>
    <t>REMITTANCE ADVICE</t>
  </si>
  <si>
    <t>TOTAL RENT PAYABLE</t>
  </si>
  <si>
    <t>PAYMENT</t>
  </si>
  <si>
    <t>RENT DISBURSABLE</t>
  </si>
  <si>
    <t>DEPOSIT</t>
  </si>
  <si>
    <t>DISBURSABLE DUE</t>
  </si>
  <si>
    <t>Prepared BY</t>
  </si>
  <si>
    <t>Approved By</t>
  </si>
  <si>
    <t>George Mukiri</t>
  </si>
  <si>
    <t>L. Mwangi</t>
  </si>
  <si>
    <t>…………………………</t>
  </si>
  <si>
    <t xml:space="preserve">                 </t>
  </si>
  <si>
    <t xml:space="preserve">COMISION </t>
  </si>
  <si>
    <t xml:space="preserve">                                                                                                                    </t>
  </si>
  <si>
    <t>Debit</t>
  </si>
  <si>
    <t>NICHOLAS  OMINDO 8</t>
  </si>
  <si>
    <t>MOSES KARANJA 3</t>
  </si>
  <si>
    <t>LINET AUMA</t>
  </si>
  <si>
    <t>EXPENCE</t>
  </si>
  <si>
    <t>ADVANCE</t>
  </si>
  <si>
    <t>RENT ACCOUNT FOR GRACE WAMBAIRE 0713329261</t>
  </si>
  <si>
    <t xml:space="preserve"> CASH STATEMENT FOR THE MONTH OF JUNE</t>
  </si>
  <si>
    <t>GRACE NJERI</t>
  </si>
  <si>
    <t xml:space="preserve">RENT ACCOUNT FOR GRACE WAMBAIRE </t>
  </si>
  <si>
    <t>OCCUPIED</t>
  </si>
  <si>
    <t>PAYMENT  14/6/2015</t>
  </si>
  <si>
    <t>PAYMENT  20/6/2015</t>
  </si>
  <si>
    <t>TOTAL RENT PAID</t>
  </si>
  <si>
    <t>EUNICE NDANI</t>
  </si>
  <si>
    <t>DEP</t>
  </si>
  <si>
    <t xml:space="preserve">VACANT </t>
  </si>
  <si>
    <t>ADVANCE ON 7/7/2015</t>
  </si>
  <si>
    <t>DEDUCTIONS</t>
  </si>
  <si>
    <t>PAYMENT ON 14/7/2015</t>
  </si>
  <si>
    <t xml:space="preserve"> CASH STATEMENT FOR THE MONTH OF JULY 2015</t>
  </si>
  <si>
    <r>
      <t xml:space="preserve">                              </t>
    </r>
    <r>
      <rPr>
        <sz val="10"/>
        <rFont val="Franklin Gothic Demi Cond"/>
        <family val="2"/>
      </rPr>
      <t>P.O BOX 276-00511 TEL 0707 759 987, 0738 620 900</t>
    </r>
  </si>
  <si>
    <r>
      <t xml:space="preserve">                                         PELIZA FORTRESS BUSINESS CENTRE, 1</t>
    </r>
    <r>
      <rPr>
        <b/>
        <vertAlign val="superscript"/>
        <sz val="10"/>
        <rFont val="Times New Roman"/>
        <family val="1"/>
      </rPr>
      <t>ST</t>
    </r>
    <r>
      <rPr>
        <b/>
        <sz val="10"/>
        <rFont val="Times New Roman"/>
        <family val="1"/>
      </rPr>
      <t xml:space="preserve"> FLR ROOM B9</t>
    </r>
  </si>
  <si>
    <t>KARANJA</t>
  </si>
  <si>
    <t>PAID ON 18/7/2-15</t>
  </si>
  <si>
    <t>TOTAL PAYMENT</t>
  </si>
  <si>
    <t xml:space="preserve">ADVANCE ON </t>
  </si>
  <si>
    <t>PAYMENT ON 14/8/2015</t>
  </si>
  <si>
    <t>TOTALDEDUCTION</t>
  </si>
  <si>
    <t>MOSES KARANJA</t>
  </si>
  <si>
    <t>STEPHEN MWANGI</t>
  </si>
  <si>
    <t>OCUPIED</t>
  </si>
  <si>
    <t xml:space="preserve"> CASH STATEMENT FOR THE MONTH OF AUGUST 2015</t>
  </si>
  <si>
    <t>1230</t>
  </si>
  <si>
    <t>37000</t>
  </si>
  <si>
    <t>TOTAL ROYALTY</t>
  </si>
  <si>
    <t>38000</t>
  </si>
  <si>
    <t>PAID RENT</t>
  </si>
  <si>
    <t>30500</t>
  </si>
  <si>
    <t>GABBAGE</t>
  </si>
  <si>
    <t>GRADE TOTAL</t>
  </si>
  <si>
    <t xml:space="preserve"> CASH STATEMENT FOR THE MONTH OF SEPTEMBER 2015</t>
  </si>
  <si>
    <t>LL</t>
  </si>
  <si>
    <t>DEPOSITE</t>
  </si>
  <si>
    <t>VALENTINE SAKWA4</t>
  </si>
  <si>
    <t>2500</t>
  </si>
  <si>
    <t>31750</t>
  </si>
  <si>
    <t>39800</t>
  </si>
  <si>
    <t xml:space="preserve">VALENTINE NO 4 </t>
  </si>
  <si>
    <t>DIRECT TO LANDLORD</t>
  </si>
  <si>
    <t>18825</t>
  </si>
  <si>
    <t>PAID  0N 15/10/2015</t>
  </si>
  <si>
    <t>BALANCE OF UN PAID  (LUCY KAMAU)</t>
  </si>
  <si>
    <t>TO BE PAID WHEN LUCY PAY</t>
  </si>
  <si>
    <t>LANDLORD</t>
  </si>
  <si>
    <t>……………………………………</t>
  </si>
  <si>
    <t xml:space="preserve"> CASH STATEMENT FOR THE MONTH OF  OCT 2015</t>
  </si>
  <si>
    <t xml:space="preserve"> CASH STATEMENT FOR THE MONTH OF NOV 2015</t>
  </si>
  <si>
    <t>PAID ON 16/11/2015</t>
  </si>
  <si>
    <t>LINDA ONYANGO</t>
  </si>
  <si>
    <t>DEPOSIT  OF LINDA ONYANGO</t>
  </si>
  <si>
    <t xml:space="preserve">NET </t>
  </si>
  <si>
    <t>WAMBAIRE</t>
  </si>
  <si>
    <t>S</t>
  </si>
  <si>
    <t>PAID</t>
  </si>
  <si>
    <t>PAID ON 15/12/2015</t>
  </si>
  <si>
    <t xml:space="preserve">JACKSON </t>
  </si>
  <si>
    <t>VACANT</t>
  </si>
  <si>
    <t>PAYMENT  ON 24TH /12/12015</t>
  </si>
  <si>
    <t>PAYMENT  ON 15/12/2015</t>
  </si>
  <si>
    <t>ADVANCE ON  22/12/2015</t>
  </si>
  <si>
    <t>LESS  UNPAID  RENT</t>
  </si>
  <si>
    <t>TOTAL RENT</t>
  </si>
  <si>
    <t>LESS  MPESA TRANSACTION FEE</t>
  </si>
  <si>
    <t>PAID  ON 5/1/2016</t>
  </si>
  <si>
    <t>HELLEN MALRNDE</t>
  </si>
  <si>
    <t>VALENTINE SAKWA</t>
  </si>
  <si>
    <t>LL  MWANGI + HELLEN</t>
  </si>
  <si>
    <t xml:space="preserve"> CASH STATEMENT FOR THE MONTH OF JAN 2016</t>
  </si>
  <si>
    <t>PAID  ON 15/2/2016</t>
  </si>
  <si>
    <t xml:space="preserve">                    </t>
  </si>
  <si>
    <t xml:space="preserve"> CASH STATEMENT FOR THE MONTH OF MAY 2016</t>
  </si>
  <si>
    <t>JACINTA</t>
  </si>
  <si>
    <t>SUMMARY</t>
  </si>
  <si>
    <t xml:space="preserve">DETAILS </t>
  </si>
  <si>
    <t xml:space="preserve">CR </t>
  </si>
  <si>
    <t>DR</t>
  </si>
  <si>
    <t>BL</t>
  </si>
  <si>
    <t>MAY  REMITANCE</t>
  </si>
  <si>
    <t xml:space="preserve">COMMISION  </t>
  </si>
  <si>
    <t>PAYMENTS</t>
  </si>
  <si>
    <t>TOTAL</t>
  </si>
  <si>
    <t>…………………….</t>
  </si>
  <si>
    <t>direc  to landlord</t>
  </si>
  <si>
    <t>14/5/16</t>
  </si>
  <si>
    <t>exhauster</t>
  </si>
  <si>
    <t>advance</t>
  </si>
  <si>
    <t>final payment</t>
  </si>
  <si>
    <t xml:space="preserve">NEW  </t>
  </si>
  <si>
    <t>JOYCE  OTIENO</t>
  </si>
  <si>
    <t>NEW T HELLEN</t>
  </si>
  <si>
    <t>LAST  MOTH OVERPAYMENT</t>
  </si>
  <si>
    <t xml:space="preserve"> CASH STATEMENT FOR THE MONTH OF JUNE 2016</t>
  </si>
  <si>
    <t>ADVANCE   14/6/2016</t>
  </si>
  <si>
    <t>LANDLOARD</t>
  </si>
  <si>
    <t>…………………………..</t>
  </si>
  <si>
    <t xml:space="preserve"> CASH STATEMENT FOR THE MONTH OF AUGUST 2016</t>
  </si>
  <si>
    <t xml:space="preserve">SALIM </t>
  </si>
  <si>
    <t>MOSES  KARANJA</t>
  </si>
  <si>
    <t>JACKSON JASO</t>
  </si>
  <si>
    <t>EUNICE NDANU</t>
  </si>
  <si>
    <t>EUNICE  MUTHEU</t>
  </si>
  <si>
    <t>SALIM HERO</t>
  </si>
  <si>
    <t>VINCENT OTIENO</t>
  </si>
  <si>
    <t>LEONARD MAUNDA</t>
  </si>
  <si>
    <t>JACINTA  WANJA</t>
  </si>
  <si>
    <t xml:space="preserve">DAVID  KAMAU </t>
  </si>
  <si>
    <t xml:space="preserve">CHIEF COST </t>
  </si>
  <si>
    <t>advance 5/8/2016</t>
  </si>
  <si>
    <t>ADVANCE 15/8/2016</t>
  </si>
  <si>
    <t>STEPHEN</t>
  </si>
  <si>
    <t>ADVANE</t>
  </si>
  <si>
    <t>Date</t>
  </si>
  <si>
    <t>……………….</t>
  </si>
  <si>
    <t>………………………………</t>
  </si>
  <si>
    <t>STIVE  MWANGI</t>
  </si>
  <si>
    <t>ADVANC</t>
  </si>
  <si>
    <t xml:space="preserve"> CASH STATEMENT FOR THE MONTH OF SEPTEMBER 2016</t>
  </si>
  <si>
    <t>salim electricity</t>
  </si>
  <si>
    <t xml:space="preserve"> CASH STATEMENT FOR THE MONTH OF octomber 2016</t>
  </si>
  <si>
    <t>advance 5/10/2016</t>
  </si>
  <si>
    <t xml:space="preserve">JACSONKSON </t>
  </si>
  <si>
    <t xml:space="preserve"> CASH STATEMENT FOR THE MONTH OF NOV 2016</t>
  </si>
  <si>
    <t>MWANGI DEPOSIT</t>
  </si>
  <si>
    <t>Paid on 15/11/2016</t>
  </si>
  <si>
    <t>.</t>
  </si>
  <si>
    <t>SHOLA</t>
  </si>
  <si>
    <t>ELECTRICIT</t>
  </si>
  <si>
    <t>LEONARD</t>
  </si>
  <si>
    <t>LINET</t>
  </si>
  <si>
    <t>ADVANCE 1/12/2016</t>
  </si>
  <si>
    <t>advance 5/10/2017</t>
  </si>
  <si>
    <t xml:space="preserve"> CASH STATEMENT FOR THE MONTH OF DEC 2016</t>
  </si>
  <si>
    <t>PAID ON 14/12/2016</t>
  </si>
  <si>
    <t>via mpesa</t>
  </si>
  <si>
    <t>esther  mutheu</t>
  </si>
  <si>
    <t>PAID ON 17/12/2016</t>
  </si>
  <si>
    <t>ADVANCE 1/10/2016</t>
  </si>
  <si>
    <t>NOV ADVA</t>
  </si>
  <si>
    <t>DEC COMMISION</t>
  </si>
  <si>
    <t>NET</t>
  </si>
  <si>
    <t>PAID  ON 15/1/2017</t>
  </si>
  <si>
    <t xml:space="preserve"> CASH STATEMENT FOR THE MONTH OF  JAN 2017</t>
  </si>
  <si>
    <t>VACATED</t>
  </si>
  <si>
    <t>ZIPORAH</t>
  </si>
  <si>
    <t>JAN BF</t>
  </si>
  <si>
    <t xml:space="preserve"> CASH STATEMENT FOR THE MONTH OF  FEB 2017</t>
  </si>
  <si>
    <t xml:space="preserve">CAROLINE </t>
  </si>
  <si>
    <t>paid on 14/2/2014</t>
  </si>
  <si>
    <t>advance /linet dec</t>
  </si>
  <si>
    <t>NEW</t>
  </si>
  <si>
    <t>CLEANING  SERVICES</t>
  </si>
  <si>
    <t xml:space="preserve"> CASH STATEMENT FOR THE MONTH OF  MARCH 2017</t>
  </si>
  <si>
    <t>PAID  ON 14/3/2017</t>
  </si>
  <si>
    <t>15/4/2016</t>
  </si>
  <si>
    <t xml:space="preserve"> CASH STATEMENT FOR THE MONTH OF  april 2017</t>
  </si>
  <si>
    <t xml:space="preserve"> CASH STATEMENT FOR THE MONTH OF MAY 2017</t>
  </si>
  <si>
    <t>JACKSON CYUDAHIRO</t>
  </si>
  <si>
    <t xml:space="preserve"> </t>
  </si>
  <si>
    <t>PAYEMENT</t>
  </si>
  <si>
    <t>ADVANCE 5/6/2017</t>
  </si>
  <si>
    <t>ADVANCE 12/5/2017</t>
  </si>
  <si>
    <t>ADVANCE 15/5/2017</t>
  </si>
  <si>
    <t>PAYMENT ON 17/5/17</t>
  </si>
  <si>
    <t>15/5/2017</t>
  </si>
  <si>
    <t>APR BF</t>
  </si>
  <si>
    <t>GRAND TOTAL</t>
  </si>
  <si>
    <t>ASSET FLOW</t>
  </si>
  <si>
    <t>ASSET FLOW LTD BRANCH</t>
  </si>
  <si>
    <t>Peliza FortressBusiness centre, Tuskeys supermarket Ongata Rongai</t>
  </si>
  <si>
    <t>P.O Box 276-00511,  , Tel: 0707759897 , 0738620900</t>
  </si>
  <si>
    <t xml:space="preserve">Mail: assetflowltd@gmail.com </t>
  </si>
  <si>
    <t>PROPERTY ACCOUNTS STATEMENT</t>
  </si>
  <si>
    <t>LANDLORD / LANDLADY:</t>
  </si>
  <si>
    <t>GRACE WAMBAIRE</t>
  </si>
  <si>
    <t>PROPERTY:</t>
  </si>
  <si>
    <t>PERIOD:</t>
  </si>
  <si>
    <t>EXPECTED COLLECTIONS:</t>
  </si>
  <si>
    <t>ACTUAL COLLECTIONS:</t>
  </si>
  <si>
    <t>UNIT NO</t>
  </si>
  <si>
    <t>NAME:</t>
  </si>
  <si>
    <t>TEL NO:</t>
  </si>
  <si>
    <t>BAL B/F</t>
  </si>
  <si>
    <t>OTHERS</t>
  </si>
  <si>
    <t>RECEIPT NO:</t>
  </si>
  <si>
    <t>DATE:</t>
  </si>
  <si>
    <t>BAL C/D:</t>
  </si>
  <si>
    <t>G W-1</t>
  </si>
  <si>
    <t>G W-2</t>
  </si>
  <si>
    <t>0710610988</t>
  </si>
  <si>
    <t>G W-3</t>
  </si>
  <si>
    <t>HELLEN MARENDE</t>
  </si>
  <si>
    <t>G W-4</t>
  </si>
  <si>
    <t>CAROLINE  WAMBUI</t>
  </si>
  <si>
    <t>G W-5</t>
  </si>
  <si>
    <t>ANTONEY  KOIGI</t>
  </si>
  <si>
    <t>G W-6</t>
  </si>
  <si>
    <t>JACINTA WANJA</t>
  </si>
  <si>
    <t>G W-7</t>
  </si>
  <si>
    <t>LEORNAD MAUNDU</t>
  </si>
  <si>
    <t>G W-8</t>
  </si>
  <si>
    <t>ESTHER  MUTHEU</t>
  </si>
  <si>
    <t>G W-9</t>
  </si>
  <si>
    <t>SALIM  HERO</t>
  </si>
  <si>
    <t>G W-10</t>
  </si>
  <si>
    <t>SIMON MWANGI</t>
  </si>
  <si>
    <t>G W-11</t>
  </si>
  <si>
    <t>G W-12</t>
  </si>
  <si>
    <t>0714070233</t>
  </si>
  <si>
    <t>G W-13</t>
  </si>
  <si>
    <t>TOTALS</t>
  </si>
  <si>
    <t>TOTAL EXPECTED:</t>
  </si>
  <si>
    <t>Ksh.</t>
  </si>
  <si>
    <t>[LESS]</t>
  </si>
  <si>
    <t>MANAGEMENT FEES</t>
  </si>
  <si>
    <t>(</t>
  </si>
  <si>
    <t>% of</t>
  </si>
  <si>
    <t>)</t>
  </si>
  <si>
    <t>TOTAL DEDUCTIONS</t>
  </si>
  <si>
    <t>UNPAID RENT</t>
  </si>
  <si>
    <t>Prepared by…………………………Sign....................…… Date:…......…………Approved by:…………………............…………Sign..............................…</t>
  </si>
  <si>
    <t>Name…………………………Sign....................…… Date:…......…</t>
  </si>
  <si>
    <t>NB: THIS IS THE FINAL STATEMENT OF ACCOUNT FOR THE PROPERTY  FOR THE MONTH OF</t>
  </si>
  <si>
    <t>Developed by Laxem Kenya  Tel:0723145737,  mail:vkeysh@gmail.com , dexsol@ymail.com</t>
  </si>
  <si>
    <t>ANTONEY KOIGI</t>
  </si>
  <si>
    <t>3000</t>
  </si>
  <si>
    <t>JUNE REMITANCE</t>
  </si>
  <si>
    <t>MAY BF</t>
  </si>
  <si>
    <t>MAY BAL 5/6/2017</t>
  </si>
  <si>
    <t>ADVANCE 12/6/2017</t>
  </si>
  <si>
    <t>ADVANCE 10/6/2017</t>
  </si>
  <si>
    <t>PAYMENT ON 20/6/17</t>
  </si>
  <si>
    <t>PAID ON 29/5/2017</t>
  </si>
  <si>
    <t>PAID ON 21/6/17</t>
  </si>
  <si>
    <t>JUNE  BF</t>
  </si>
  <si>
    <t>PAID ON 29/6/2017</t>
  </si>
  <si>
    <t>LORD</t>
  </si>
  <si>
    <t>cleaning</t>
  </si>
  <si>
    <t xml:space="preserve"> CASH STATEMENT FOR THE MONTH OF JULY 2017</t>
  </si>
  <si>
    <t>JULY, 2017</t>
  </si>
  <si>
    <t>MUTHONI</t>
  </si>
  <si>
    <t>56751</t>
  </si>
  <si>
    <t>56752</t>
  </si>
  <si>
    <t>56666</t>
  </si>
  <si>
    <t>56775</t>
  </si>
  <si>
    <t>56776</t>
  </si>
  <si>
    <t>56873</t>
  </si>
  <si>
    <t>56697</t>
  </si>
  <si>
    <t>JUNE BF</t>
  </si>
  <si>
    <t>ADVANCE 12/7/2017</t>
  </si>
  <si>
    <t>ADVANCE 16/7/2017</t>
  </si>
  <si>
    <t>PAYMENT ON 19/7/17</t>
  </si>
  <si>
    <t>GABBAGE ON 12TH</t>
  </si>
  <si>
    <t>ADVANCE 7/7/2017</t>
  </si>
  <si>
    <t>paid</t>
  </si>
  <si>
    <t>on deposit</t>
  </si>
  <si>
    <t>exhoster</t>
  </si>
  <si>
    <t xml:space="preserve">cleaning </t>
  </si>
  <si>
    <t>electricity</t>
  </si>
  <si>
    <t>jacinta direct</t>
  </si>
  <si>
    <t>loan</t>
  </si>
  <si>
    <t>new</t>
  </si>
  <si>
    <t>direct  to landlord</t>
  </si>
  <si>
    <t>ll</t>
  </si>
  <si>
    <t xml:space="preserve"> CASH STATEMENT FOR THE MONTH OF august 2017</t>
  </si>
  <si>
    <t xml:space="preserve"> CASH STATEMENT FOR THE MONTH OF SEPT  2017</t>
  </si>
  <si>
    <t>13/9/2017</t>
  </si>
  <si>
    <t>16/10/2017</t>
  </si>
  <si>
    <t xml:space="preserve"> CASH STATEMENT FOR THE MONTH OF OCT  2017</t>
  </si>
  <si>
    <t>OCT REM</t>
  </si>
  <si>
    <t>23/10/2017</t>
  </si>
  <si>
    <t>direct t</t>
  </si>
  <si>
    <t>NOV REM</t>
  </si>
  <si>
    <t>PAID ON 7/11/17</t>
  </si>
  <si>
    <t xml:space="preserve"> CASH STATEMENT FOR THE MONTH OF DEC 2017</t>
  </si>
  <si>
    <t>DEC REM</t>
  </si>
  <si>
    <t>NAME</t>
  </si>
  <si>
    <t>COMM</t>
  </si>
  <si>
    <t>PAID ON 11/12/17</t>
  </si>
  <si>
    <t>DIRECT TO LL</t>
  </si>
  <si>
    <t>EXHAUSTER</t>
  </si>
  <si>
    <t>LOAN</t>
  </si>
  <si>
    <t>CLEANING</t>
  </si>
  <si>
    <t>RUTH NYAKERO</t>
  </si>
  <si>
    <t>JOSPHAT</t>
  </si>
  <si>
    <t>ESTHER MUTHEU</t>
  </si>
  <si>
    <t xml:space="preserve"> CASH STATEMENT FOR THE MONTH OF NOV  2017</t>
  </si>
  <si>
    <t>CLEANING SALIM</t>
  </si>
  <si>
    <t>JAN REM</t>
  </si>
  <si>
    <t>LEONARD MAUNDU</t>
  </si>
  <si>
    <t>ELECTRICITY</t>
  </si>
  <si>
    <t>COMM(JACINTA)</t>
  </si>
  <si>
    <t>NOV,DEC,JAN</t>
  </si>
  <si>
    <t xml:space="preserve"> RENT STATEMENT FOR THE MONTH OF JAN 2018</t>
  </si>
  <si>
    <t>FEB REM</t>
  </si>
  <si>
    <t>MAUNDU TO LL</t>
  </si>
  <si>
    <t>MARTHA WANJIKU</t>
  </si>
  <si>
    <t>BEATRICE MUTHONI</t>
  </si>
  <si>
    <t>ZIPPORAH WANGECI</t>
  </si>
  <si>
    <t>ANTHONY KOIGI</t>
  </si>
  <si>
    <t>BEATRICE</t>
  </si>
  <si>
    <t xml:space="preserve"> RENT STATEMENT FOR THE MONTH OF FEB 2018</t>
  </si>
  <si>
    <t xml:space="preserve">CLEANING </t>
  </si>
  <si>
    <t>MARTIN</t>
  </si>
  <si>
    <t xml:space="preserve">LOAN </t>
  </si>
  <si>
    <t>MARCH</t>
  </si>
  <si>
    <t>LL-2</t>
  </si>
  <si>
    <t xml:space="preserve"> RENT STATEMENT FOR THE MONTH OF MARCH 2018</t>
  </si>
  <si>
    <t xml:space="preserve">ADVANCE </t>
  </si>
  <si>
    <t>PREPARED BY</t>
  </si>
  <si>
    <t>RUTH</t>
  </si>
  <si>
    <t>APPROVED BY</t>
  </si>
  <si>
    <t>GRACE</t>
  </si>
  <si>
    <t>RECEIVED BY</t>
  </si>
  <si>
    <t>EXPECTED</t>
  </si>
  <si>
    <t xml:space="preserve"> RENT STATEMENT FOR THE MONTH OF APRIL  2018</t>
  </si>
  <si>
    <t>BAL.</t>
  </si>
  <si>
    <t>APRIL</t>
  </si>
  <si>
    <t>ON DEPOSIT</t>
  </si>
  <si>
    <t xml:space="preserve"> RENT STATEMENT FOR THE MONTH OF MAY 2018</t>
  </si>
  <si>
    <t>MAY</t>
  </si>
  <si>
    <t>JOSPHAT MULI</t>
  </si>
  <si>
    <t>VACCANT</t>
  </si>
  <si>
    <t>JUNE</t>
  </si>
  <si>
    <t xml:space="preserve"> RENT STATEMENT FOR THE MONTH OF JUNE 2018</t>
  </si>
  <si>
    <t xml:space="preserve">    </t>
  </si>
  <si>
    <t>JACKSON(ELECT.)</t>
  </si>
  <si>
    <t>SALIM DEP REFUND</t>
  </si>
  <si>
    <t>ESTHER-8</t>
  </si>
  <si>
    <t>GARBAGE</t>
  </si>
  <si>
    <t xml:space="preserve"> RENT STATEMENT FOR THE MONTH OF JULY 2018</t>
  </si>
  <si>
    <t>JULY</t>
  </si>
  <si>
    <t>JACKSON</t>
  </si>
  <si>
    <t>CHIEF- ZIPPORAH</t>
  </si>
  <si>
    <t xml:space="preserve">RUTH </t>
  </si>
  <si>
    <t xml:space="preserve"> RENT STATEMENT FOR THE MONTH OF AUGUST 2018</t>
  </si>
  <si>
    <t>AUG</t>
  </si>
  <si>
    <t>JACKLINE ATIENO</t>
  </si>
  <si>
    <t xml:space="preserve">SEP </t>
  </si>
  <si>
    <t>SEP</t>
  </si>
  <si>
    <t>RENT STATEMENT</t>
  </si>
  <si>
    <t>FOR THE MONTH OF SEPTEMBER 2018</t>
  </si>
  <si>
    <t>PETER KADIGI</t>
  </si>
  <si>
    <t>ELECTRICIAN</t>
  </si>
  <si>
    <t>KOIGI</t>
  </si>
  <si>
    <t>LETTING FEE</t>
  </si>
  <si>
    <t>LUCY OLEWE</t>
  </si>
  <si>
    <t>FOR THE MONTH OF OCTOBER 2018</t>
  </si>
  <si>
    <t>PAINTING -1</t>
  </si>
  <si>
    <t>OCT</t>
  </si>
  <si>
    <t>ELIZABETH WAIRIMU</t>
  </si>
  <si>
    <t>PAINTING &amp; REPAIR -7</t>
  </si>
  <si>
    <t>STEPHEN MUMA</t>
  </si>
  <si>
    <t>RENOVATING-10</t>
  </si>
  <si>
    <t>TIMOTHY MUNENE</t>
  </si>
  <si>
    <t>PETER KADIGI-DEPOSIT</t>
  </si>
  <si>
    <t>KOIGI-DEPOSIT</t>
  </si>
  <si>
    <t>NOV</t>
  </si>
  <si>
    <t>FOR THE MONTH OF NOVEMBER 2018</t>
  </si>
  <si>
    <t>MAUNDU DEPOSIT REFUND</t>
  </si>
  <si>
    <t>LUCY WANGARI</t>
  </si>
  <si>
    <t>FOR THE MONTH OF DECEMBER 2018</t>
  </si>
  <si>
    <t>DEC</t>
  </si>
  <si>
    <t>WINDOW REPAIR</t>
  </si>
  <si>
    <t>PAID  ON 05-12-2018</t>
  </si>
  <si>
    <t>PAID ON14-12-2018</t>
  </si>
  <si>
    <t>PAID ON15-12-2018</t>
  </si>
  <si>
    <t>PAID ON 05-11-2018</t>
  </si>
  <si>
    <t>PAID ON 10-11-2018</t>
  </si>
  <si>
    <t>PAID ON 3/12/18</t>
  </si>
  <si>
    <t>FOR THE MONTH OF JANUARY 2019</t>
  </si>
  <si>
    <t>JAN</t>
  </si>
  <si>
    <t>PAID ON 4/1/19</t>
  </si>
  <si>
    <t>PAID ON 7/1/19</t>
  </si>
  <si>
    <t>EXHAUSTER ON 5/1/19</t>
  </si>
  <si>
    <t>FRANCIS OYANGI</t>
  </si>
  <si>
    <t>FRANCIS</t>
  </si>
  <si>
    <t>PAID ON 14/1/19</t>
  </si>
  <si>
    <t>PAID ON 26/1/19</t>
  </si>
  <si>
    <t>FOR THE MONTH OF FEBRUARY 2019</t>
  </si>
  <si>
    <t>FEB</t>
  </si>
  <si>
    <t>PAID ON 6/2/19</t>
  </si>
  <si>
    <t>PAID ON 11/2/19</t>
  </si>
  <si>
    <t>PAID ON 15/2/19</t>
  </si>
  <si>
    <t>FOR THE MONTH OF MARCH 2019</t>
  </si>
  <si>
    <t>PAID ON 27/2/19</t>
  </si>
  <si>
    <t>PAID ON 5/3/19</t>
  </si>
  <si>
    <t>PAID ON 9/3/19</t>
  </si>
  <si>
    <t>PAID ON 14/3/19</t>
  </si>
  <si>
    <t>PAID ON 30/3/19</t>
  </si>
  <si>
    <t>FOR THE MONTH OF APRIL 2019</t>
  </si>
  <si>
    <t>PAID ON 5/4/19</t>
  </si>
  <si>
    <t>PAID ON 15/4/19</t>
  </si>
  <si>
    <t>PAID ON 26/4/19</t>
  </si>
  <si>
    <t>FOR THE MONTH OF MAY  2019</t>
  </si>
  <si>
    <t xml:space="preserve">MAY </t>
  </si>
  <si>
    <t>PAID ON 7/5/19</t>
  </si>
  <si>
    <t xml:space="preserve">ELECTRICIAN </t>
  </si>
  <si>
    <t>PAID ON 15/05/19</t>
  </si>
  <si>
    <t>FOR THE MONTH OF JUNE 2019</t>
  </si>
  <si>
    <t xml:space="preserve">JUNE </t>
  </si>
  <si>
    <t>PAID ON 1/6/19</t>
  </si>
  <si>
    <t>PAID ON 5/6/19</t>
  </si>
  <si>
    <t>PAID ON 7/6/19</t>
  </si>
  <si>
    <t>PAID ON 14/6/18</t>
  </si>
  <si>
    <t>EXHAUSTER 18/6/19</t>
  </si>
  <si>
    <t>PAID ON 19/6/19</t>
  </si>
  <si>
    <t>PAID ON 24/6/19</t>
  </si>
  <si>
    <t>FOR THE MONTH OF JULY 2019</t>
  </si>
  <si>
    <t>PAID ON 6/7/19</t>
  </si>
  <si>
    <t xml:space="preserve">LUCY </t>
  </si>
  <si>
    <t>PAID ON 12/7/19</t>
  </si>
  <si>
    <t>LL 3000</t>
  </si>
  <si>
    <t>PAID ON 17/7/19</t>
  </si>
  <si>
    <t>ADVANCE(TAX) 24/7/2019</t>
  </si>
  <si>
    <t>FOR THE MONTH OF AUGUST 2019</t>
  </si>
  <si>
    <t>AUGUST</t>
  </si>
  <si>
    <t>PAID ON 2/7/19</t>
  </si>
  <si>
    <t>CHIEF CHARGES+TRASPORT</t>
  </si>
  <si>
    <t>EXAUSTER</t>
  </si>
  <si>
    <t>LUCY DEPOSIT</t>
  </si>
  <si>
    <t>SERAH WANJIKU</t>
  </si>
  <si>
    <t>BROOM</t>
  </si>
  <si>
    <t>letting fee</t>
  </si>
  <si>
    <t>levi</t>
  </si>
  <si>
    <t>PAID ON 2/8/19</t>
  </si>
  <si>
    <t>PAID ON 14/8/19</t>
  </si>
  <si>
    <t>JACKSON(TOKEN)</t>
  </si>
  <si>
    <t>02/09/19 (advance)</t>
  </si>
  <si>
    <t>SEPT</t>
  </si>
  <si>
    <t>FOR THE MONTH OF SEPT 2019</t>
  </si>
  <si>
    <t>RISPER  TERESINA</t>
  </si>
  <si>
    <t>ELECTRICITYREPAIRLABOUR17/8</t>
  </si>
  <si>
    <t>LEVY DENCE</t>
  </si>
  <si>
    <t>paid on 14/9</t>
  </si>
  <si>
    <t>FLORENCE</t>
  </si>
  <si>
    <t>19/9 MULI(DEPOSIT REFUND</t>
  </si>
  <si>
    <t>FOR THE MONTH OF OCTOBER  2019</t>
  </si>
  <si>
    <t>OCTOBER</t>
  </si>
  <si>
    <t>LABOR (UNBROKE SEWAGE</t>
  </si>
  <si>
    <t>EXHAUSTER 4/10</t>
  </si>
  <si>
    <t>STIMA</t>
  </si>
  <si>
    <t>PAID ON 17/10/19</t>
  </si>
  <si>
    <t>NOVEMBER</t>
  </si>
  <si>
    <t>FOR THE MONTH OF NOVEMBER   2019</t>
  </si>
  <si>
    <t xml:space="preserve">EXHAUSTER </t>
  </si>
  <si>
    <t>PAID ON 4/11</t>
  </si>
  <si>
    <t>EDWIN SIKWE</t>
  </si>
  <si>
    <t>PAINTS</t>
  </si>
  <si>
    <t>PAINTING LABOUR</t>
  </si>
  <si>
    <t>IRONSHEETS+HOUSE REPAIR LABOUR</t>
  </si>
  <si>
    <t>ELECTRICITY REPAIR</t>
  </si>
  <si>
    <t>PAID ON 16/11</t>
  </si>
  <si>
    <t>IRON SHEETS,BODEX</t>
  </si>
  <si>
    <t>HOUSE REPAIR LABOUR</t>
  </si>
  <si>
    <t>IRON SHEETS,BODEX27/11</t>
  </si>
  <si>
    <t>DECEMBER</t>
  </si>
  <si>
    <t>FOR THE MONTH OF DECEMBER   2019</t>
  </si>
  <si>
    <t xml:space="preserve">CEMENT </t>
  </si>
  <si>
    <t>PAID ON 17/12</t>
  </si>
  <si>
    <t>PAID ON 6/12</t>
  </si>
  <si>
    <t>PAID ON6/12</t>
  </si>
  <si>
    <t>FOR THE MONTH OF JANUARY 2020</t>
  </si>
  <si>
    <t>JANUARY</t>
  </si>
  <si>
    <t>FAITH SYOMBUA</t>
  </si>
  <si>
    <t>MABATI REPAIR</t>
  </si>
  <si>
    <t>PAID ON 20/1/</t>
  </si>
  <si>
    <t>ELIZABETH</t>
  </si>
  <si>
    <t>FEBRUARY</t>
  </si>
  <si>
    <t>FOR THE MONTH OF FEBRUARY 2020</t>
  </si>
  <si>
    <t>ANNETTE</t>
  </si>
  <si>
    <t>PAID ON 14/2</t>
  </si>
  <si>
    <t>LETING FEE</t>
  </si>
  <si>
    <t>THOMAS KIOKO</t>
  </si>
  <si>
    <t>PAID ON 22/2</t>
  </si>
  <si>
    <t>FOR THE MONTH OF MARCH 2020</t>
  </si>
  <si>
    <t>DOOR LOCK+NAILS</t>
  </si>
  <si>
    <t>LABOUR</t>
  </si>
  <si>
    <t>ELECTRICITY REPAIR 1/2&amp;17/2</t>
  </si>
  <si>
    <t xml:space="preserve"> HSE LABOUR</t>
  </si>
  <si>
    <t>PAID ON 16/3</t>
  </si>
  <si>
    <t>FOR THE MONTH OF APRIL 2020</t>
  </si>
  <si>
    <t>PAID ON 22/4</t>
  </si>
  <si>
    <t>PAID ON 24/4</t>
  </si>
  <si>
    <t>FOR THE MONTH OF MAY 2020</t>
  </si>
  <si>
    <t>PAID ON O2/5</t>
  </si>
  <si>
    <t>PAID ON 14/5</t>
  </si>
  <si>
    <t>PAID ON 16/5</t>
  </si>
  <si>
    <t>PAID ON 26/5</t>
  </si>
  <si>
    <t>FOR THE MONTH OF JUNE 2020</t>
  </si>
  <si>
    <t>PAID ON 3/6</t>
  </si>
  <si>
    <t>PAID ON 5/6</t>
  </si>
  <si>
    <t>PAID ON 12/6</t>
  </si>
  <si>
    <t>PAID ON 16/6</t>
  </si>
  <si>
    <t>NORAH ODUNDO</t>
  </si>
  <si>
    <t>CONELIUS DIRECT TO LL</t>
  </si>
  <si>
    <t>CONELIUS</t>
  </si>
  <si>
    <t>DEPOSIT REFUND KIOKO</t>
  </si>
  <si>
    <t>PAID ON 5/7</t>
  </si>
  <si>
    <t>PAID ON 8/7</t>
  </si>
  <si>
    <t>PAID ON 15/7</t>
  </si>
  <si>
    <t>PAID ON 23/7</t>
  </si>
  <si>
    <t>FOR THE MONTH OF JULY 2020</t>
  </si>
  <si>
    <t>FOR THE MONTH OF AUGUST 2020</t>
  </si>
  <si>
    <t>PAID ON 4/8</t>
  </si>
  <si>
    <t>CORNELIUS PAID LL</t>
  </si>
  <si>
    <t>PAID ON 7/8</t>
  </si>
  <si>
    <t xml:space="preserve">PAID ON 12/8 </t>
  </si>
  <si>
    <t>DEPOSIT REFUND</t>
  </si>
  <si>
    <t>D</t>
  </si>
  <si>
    <t xml:space="preserve">SEPTEMBER </t>
  </si>
  <si>
    <t>SEPTEMBER</t>
  </si>
  <si>
    <t>=SUM(C5:C16)</t>
  </si>
  <si>
    <t>paid on27/8</t>
  </si>
  <si>
    <t>bucket</t>
  </si>
  <si>
    <t>BUCKET</t>
  </si>
  <si>
    <t>PAID ON 1/9</t>
  </si>
  <si>
    <t>FOR THE MONTH OF SEPTEMBER 2020</t>
  </si>
  <si>
    <t>PAID ON 5/9</t>
  </si>
  <si>
    <t>PAID ON 10/9</t>
  </si>
  <si>
    <t>PAID ON 12/9</t>
  </si>
  <si>
    <t>PAID ON 18/9</t>
  </si>
  <si>
    <t>OCTOMBER</t>
  </si>
  <si>
    <t>=SUM(P22:Q22:C16)</t>
  </si>
  <si>
    <t>PAID ON 21/9</t>
  </si>
  <si>
    <t>EVANSON MWAURA</t>
  </si>
  <si>
    <t>SUSAN MUTHONI</t>
  </si>
  <si>
    <t>TIMOTHY PAID LL</t>
  </si>
  <si>
    <t>FOR THE MONTH OF OCTOBER  2020</t>
  </si>
  <si>
    <t>SUSAN PAID LL</t>
  </si>
  <si>
    <t>PAID ON 15/10</t>
  </si>
  <si>
    <t>FOR THE MONTH OF NOVEMBER  2020</t>
  </si>
  <si>
    <t>=SUM(F5:F16)</t>
  </si>
  <si>
    <t>PAID ON 17/10</t>
  </si>
  <si>
    <t>VACCATED</t>
  </si>
  <si>
    <t>EVANSON VACCATED</t>
  </si>
  <si>
    <t>PAID ON 6/11</t>
  </si>
  <si>
    <t>PAID ON 14/11</t>
  </si>
  <si>
    <t>=C22+C23+C24-D25</t>
  </si>
  <si>
    <t>=C38-D38</t>
  </si>
  <si>
    <t>JANE NGUYO</t>
  </si>
  <si>
    <t>FOR THE MONTH OF DECEMBER  2020</t>
  </si>
  <si>
    <t>KEVIN LIKOI</t>
  </si>
  <si>
    <t>PAID ON 3/12</t>
  </si>
  <si>
    <t>=H17-H11</t>
  </si>
  <si>
    <t>DEPOSIT REFUND SELAH</t>
  </si>
  <si>
    <t>PAID ON 4/12</t>
  </si>
  <si>
    <t>PAID ON 8/12</t>
  </si>
  <si>
    <t>PAID ON 9/12</t>
  </si>
  <si>
    <t>PAID ON 15/12</t>
  </si>
  <si>
    <t>DANIEL</t>
  </si>
  <si>
    <t>DANIEL PAID LL</t>
  </si>
  <si>
    <t>FOR THE MONTH OF JANUARY  2021</t>
  </si>
  <si>
    <t xml:space="preserve">DEPOSIT </t>
  </si>
  <si>
    <t>PAID ON 13/1</t>
  </si>
  <si>
    <t>PAID ON 16/1</t>
  </si>
  <si>
    <t>PAID ON 21/1</t>
  </si>
  <si>
    <t>FOR THE MONTH OF FEBRUARY  2021</t>
  </si>
  <si>
    <t>EVANSON PAID LL</t>
  </si>
  <si>
    <t>PAID ON 23/1</t>
  </si>
  <si>
    <t>PAID ON 5/2</t>
  </si>
  <si>
    <t>PAID ON 12/2</t>
  </si>
  <si>
    <t>PAID ON 10/2</t>
  </si>
  <si>
    <t>PAID ON 15/2</t>
  </si>
  <si>
    <t>FOR THE MONTH OF MARCH  2021</t>
  </si>
  <si>
    <t>KENNEDY NDUNGU</t>
  </si>
  <si>
    <t>PAINTS+PAINTING LBOUR &amp;HSE REPAIR</t>
  </si>
  <si>
    <t>PAID ON 1/3</t>
  </si>
  <si>
    <t>PAID ON4/3</t>
  </si>
  <si>
    <t>PAID ON 5/3</t>
  </si>
  <si>
    <t>EUNICE</t>
  </si>
  <si>
    <t>EVANS PAID LL</t>
  </si>
  <si>
    <t>FOR THE MONTH OF APRIL  2021</t>
  </si>
  <si>
    <t>PAID ON 2/4</t>
  </si>
  <si>
    <t>PAID ON 6/4</t>
  </si>
  <si>
    <t>PAID ON 14/4</t>
  </si>
  <si>
    <t xml:space="preserve">EVANSON </t>
  </si>
  <si>
    <t>PAID ON 16/4</t>
  </si>
  <si>
    <t>ELECTRICAL REPAIR</t>
  </si>
  <si>
    <t>PAID ON 23/4</t>
  </si>
  <si>
    <t>PAID ON 26/4</t>
  </si>
  <si>
    <t>FOR THE MONTH OF MAY  2021</t>
  </si>
  <si>
    <t>PAID ON 3/5</t>
  </si>
  <si>
    <t>PRISCILLAH WEMALI</t>
  </si>
  <si>
    <t>PAID ON 5/5</t>
  </si>
  <si>
    <t>PAID ON 22/5</t>
  </si>
  <si>
    <t>FOR THE MONTH OF JUNE  2021</t>
  </si>
  <si>
    <t>kelvin vaccated</t>
  </si>
  <si>
    <t>vaccant</t>
  </si>
  <si>
    <t>evanson ll</t>
  </si>
  <si>
    <t>deposit refund</t>
  </si>
  <si>
    <t>PAID ON 7/6</t>
  </si>
  <si>
    <t>PAID ON 14/6</t>
  </si>
  <si>
    <t>PAID 14/6</t>
  </si>
  <si>
    <t>PAID ON 22/6</t>
  </si>
  <si>
    <t>FOR THE MONTH OF JULY  2021</t>
  </si>
  <si>
    <t>TIMOTHY VACCATED</t>
  </si>
  <si>
    <t>DEUDIOTA CHEPTOO</t>
  </si>
  <si>
    <t>PAID ON 3/7</t>
  </si>
  <si>
    <t>PAID ON 7/7</t>
  </si>
  <si>
    <t>PAID ON 17/7</t>
  </si>
  <si>
    <t>PAID ON 19/7</t>
  </si>
  <si>
    <t>ALEX MOSETI</t>
  </si>
  <si>
    <t>PRISCILLAH VACCATED</t>
  </si>
  <si>
    <t>DEPOSIT NO.4</t>
  </si>
  <si>
    <t>FOR THE MONTH OF AUGUST  2021</t>
  </si>
  <si>
    <t>PAID ON 24/7</t>
  </si>
  <si>
    <t>PAID ON 26/7</t>
  </si>
  <si>
    <t>JULIUS MUNYAO</t>
  </si>
  <si>
    <t>SARAH MORAA</t>
  </si>
  <si>
    <t>JOSEPH MWANGANGI</t>
  </si>
  <si>
    <t>PAID ON 14/8</t>
  </si>
  <si>
    <t>SARAH ON DEPOSIT</t>
  </si>
  <si>
    <t>KENNEDY VACCATED</t>
  </si>
  <si>
    <t>FOR THE MONTH OF SEPTEMBER  2021</t>
  </si>
  <si>
    <t>PAID ON 4/9</t>
  </si>
  <si>
    <t>PAID ON 27/8</t>
  </si>
  <si>
    <t>PAID ON 18/8</t>
  </si>
  <si>
    <t>PAID ON 14/9</t>
  </si>
  <si>
    <t>FOR THE MONTH OF OCTOBER  2021</t>
  </si>
  <si>
    <t>PAID ON 1/10</t>
  </si>
  <si>
    <t>ON DEP</t>
  </si>
  <si>
    <t>FOR THE MONTH OF NOVEMBER 2021</t>
  </si>
  <si>
    <t>PAID ON 8/10</t>
  </si>
  <si>
    <t>PAID ON 28/10</t>
  </si>
  <si>
    <t>LYDIA WANJIRU GLADYS</t>
  </si>
  <si>
    <t>LYDIA WANJIRU</t>
  </si>
  <si>
    <t>DEUDIOTA ON DEP</t>
  </si>
  <si>
    <t>FOR THE MONTH OF DECEMBER 21 2021</t>
  </si>
  <si>
    <t>PAID ON 27/11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</si>
</sst>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;\-#,##0.00"/>
    <numFmt numFmtId="165" formatCode="0_);\(0\)"/>
    <numFmt numFmtId="166" formatCode="h\:mm\:ss\ AM/PM"/>
    <numFmt numFmtId="167" formatCode="#,##0;\-#,##0"/>
  </numFmts>
  <fonts count="8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70C0"/>
      <name val="Times New Roman"/>
      <family val="1"/>
    </font>
    <font>
      <b/>
      <vertAlign val="superscript"/>
      <sz val="8"/>
      <color rgb="FF0070C0"/>
      <name val="Times New Roman"/>
      <family val="1"/>
    </font>
    <font>
      <b/>
      <i/>
      <sz val="8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24"/>
      <color rgb="FF1A8600"/>
      <name val="Times New Roman"/>
      <family val="1"/>
    </font>
    <font>
      <b/>
      <sz val="11"/>
      <color rgb="FF0000FF"/>
      <name val="Times New Roman"/>
      <family val="1"/>
    </font>
    <font>
      <sz val="11"/>
      <color rgb="FF984806"/>
      <name val="Franklin Gothic Demi Cond"/>
      <family val="2"/>
    </font>
    <font>
      <b/>
      <u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7"/>
      <color rgb="FFC00000"/>
      <name val="Calibri"/>
      <family val="2"/>
      <scheme val="minor"/>
    </font>
    <font>
      <b/>
      <u val="singleAccounting"/>
      <sz val="8"/>
      <name val="Calibri"/>
      <family val="2"/>
      <scheme val="minor"/>
    </font>
    <font>
      <b/>
      <u val="singleAccounting"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Times New Roman"/>
      <family val="1"/>
    </font>
    <font>
      <sz val="10"/>
      <name val="Franklin Gothic Demi Cond"/>
      <family val="2"/>
    </font>
    <font>
      <b/>
      <vertAlign val="superscript"/>
      <sz val="10"/>
      <name val="Times New Roman"/>
      <family val="1"/>
    </font>
    <font>
      <b/>
      <i/>
      <sz val="10"/>
      <name val="Times New Roman"/>
      <family val="1"/>
    </font>
    <font>
      <sz val="8"/>
      <name val="Arial"/>
      <family val="2"/>
    </font>
    <font>
      <sz val="10"/>
      <color rgb="FFFF0000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Arial"/>
      <family val="2"/>
    </font>
    <font>
      <sz val="1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sz val="10"/>
      <color indexed="8"/>
      <name val="Arial"/>
      <family val="2"/>
    </font>
    <font>
      <b/>
      <sz val="16"/>
      <color indexed="16"/>
      <name val="Palatino Linotype"/>
      <family val="1"/>
    </font>
    <font>
      <b/>
      <sz val="14"/>
      <color indexed="16"/>
      <name val="Palatino Linotype"/>
      <family val="1"/>
    </font>
    <font>
      <b/>
      <sz val="12"/>
      <color indexed="16"/>
      <name val="Palatino Linotype"/>
      <family val="1"/>
    </font>
    <font>
      <b/>
      <u/>
      <sz val="10"/>
      <color indexed="16"/>
      <name val="Georgia"/>
      <family val="1"/>
    </font>
    <font>
      <b/>
      <sz val="11"/>
      <color indexed="8"/>
      <name val="Palatino Linotype"/>
      <family val="1"/>
    </font>
    <font>
      <b/>
      <u/>
      <sz val="11"/>
      <color indexed="8"/>
      <name val="Palatino Linotype"/>
      <family val="1"/>
    </font>
    <font>
      <b/>
      <sz val="10"/>
      <color indexed="8"/>
      <name val="Palatino Linotype"/>
      <family val="1"/>
    </font>
    <font>
      <b/>
      <sz val="9"/>
      <color indexed="8"/>
      <name val="Palatino Linotype"/>
      <family val="1"/>
    </font>
    <font>
      <sz val="9"/>
      <color indexed="8"/>
      <name val="Palatino Linotype"/>
      <family val="1"/>
    </font>
    <font>
      <sz val="8"/>
      <color indexed="8"/>
      <name val="Palatino Linotype"/>
      <family val="1"/>
    </font>
    <font>
      <b/>
      <sz val="9"/>
      <color indexed="16"/>
      <name val="Palatino Linotype"/>
      <family val="1"/>
    </font>
    <font>
      <sz val="10"/>
      <color indexed="8"/>
      <name val="Palatino Linotype"/>
      <family val="1"/>
    </font>
    <font>
      <b/>
      <u/>
      <sz val="10"/>
      <color indexed="8"/>
      <name val="Palatino Linotype"/>
      <family val="1"/>
    </font>
    <font>
      <sz val="10"/>
      <color rgb="FF00000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i/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b/>
      <i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2" xfId="0" applyBorder="1"/>
    <xf numFmtId="0" fontId="0" fillId="0" borderId="0" xfId="0"/>
    <xf numFmtId="49" fontId="3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Border="1"/>
    <xf numFmtId="164" fontId="3" fillId="0" borderId="1" xfId="0" applyNumberFormat="1" applyFont="1" applyBorder="1"/>
    <xf numFmtId="49" fontId="3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3" fillId="0" borderId="2" xfId="0" applyNumberFormat="1" applyFont="1" applyBorder="1"/>
    <xf numFmtId="164" fontId="3" fillId="0" borderId="2" xfId="0" applyNumberFormat="1" applyFont="1" applyBorder="1"/>
    <xf numFmtId="49" fontId="4" fillId="0" borderId="2" xfId="0" applyNumberFormat="1" applyFont="1" applyBorder="1"/>
    <xf numFmtId="0" fontId="0" fillId="0" borderId="2" xfId="0" applyNumberFormat="1" applyBorder="1"/>
    <xf numFmtId="164" fontId="4" fillId="0" borderId="2" xfId="0" applyNumberFormat="1" applyFont="1" applyBorder="1"/>
    <xf numFmtId="4" fontId="0" fillId="0" borderId="2" xfId="0" applyNumberFormat="1" applyBorder="1"/>
    <xf numFmtId="49" fontId="5" fillId="0" borderId="2" xfId="0" applyNumberFormat="1" applyFont="1" applyBorder="1"/>
    <xf numFmtId="49" fontId="4" fillId="0" borderId="2" xfId="1" applyNumberFormat="1" applyFont="1" applyBorder="1" applyAlignment="1">
      <alignment horizontal="right"/>
    </xf>
    <xf numFmtId="0" fontId="21" fillId="0" borderId="0" xfId="0" applyFont="1" applyBorder="1" applyAlignment="1">
      <alignment horizontal="center"/>
    </xf>
    <xf numFmtId="0" fontId="0" fillId="0" borderId="0" xfId="0"/>
    <xf numFmtId="0" fontId="6" fillId="0" borderId="0" xfId="0" applyFont="1"/>
    <xf numFmtId="43" fontId="6" fillId="0" borderId="0" xfId="1" applyFont="1"/>
    <xf numFmtId="0" fontId="0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6" fillId="0" borderId="0" xfId="0" applyFont="1"/>
    <xf numFmtId="0" fontId="2" fillId="0" borderId="0" xfId="0" applyFont="1"/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/>
    <xf numFmtId="0" fontId="18" fillId="0" borderId="0" xfId="0" applyFont="1"/>
    <xf numFmtId="0" fontId="22" fillId="0" borderId="0" xfId="0" applyFont="1" applyBorder="1" applyAlignment="1">
      <alignment horizontal="center"/>
    </xf>
    <xf numFmtId="43" fontId="22" fillId="0" borderId="0" xfId="1" applyFont="1" applyBorder="1" applyAlignment="1">
      <alignment horizontal="center"/>
    </xf>
    <xf numFmtId="0" fontId="23" fillId="0" borderId="0" xfId="0" applyFont="1"/>
    <xf numFmtId="0" fontId="24" fillId="0" borderId="0" xfId="0" applyFont="1" applyBorder="1"/>
    <xf numFmtId="43" fontId="25" fillId="0" borderId="0" xfId="1" applyFont="1"/>
    <xf numFmtId="0" fontId="6" fillId="0" borderId="0" xfId="0" applyFont="1" applyBorder="1"/>
    <xf numFmtId="43" fontId="26" fillId="0" borderId="0" xfId="1" applyFont="1"/>
    <xf numFmtId="43" fontId="0" fillId="0" borderId="0" xfId="0" applyNumberFormat="1"/>
    <xf numFmtId="0" fontId="27" fillId="0" borderId="0" xfId="0" applyFont="1" applyBorder="1"/>
    <xf numFmtId="0" fontId="6" fillId="0" borderId="0" xfId="0" applyFont="1" applyFill="1" applyBorder="1"/>
    <xf numFmtId="0" fontId="24" fillId="0" borderId="0" xfId="0" applyFont="1"/>
    <xf numFmtId="43" fontId="19" fillId="0" borderId="0" xfId="1" applyFont="1"/>
    <xf numFmtId="43" fontId="20" fillId="0" borderId="0" xfId="1" applyFont="1"/>
    <xf numFmtId="43" fontId="28" fillId="0" borderId="0" xfId="1" applyFont="1"/>
    <xf numFmtId="43" fontId="2" fillId="0" borderId="0" xfId="0" applyNumberFormat="1" applyFont="1"/>
    <xf numFmtId="0" fontId="7" fillId="0" borderId="0" xfId="0" applyFont="1" applyFill="1" applyBorder="1"/>
    <xf numFmtId="43" fontId="29" fillId="0" borderId="0" xfId="0" applyNumberFormat="1" applyFont="1"/>
    <xf numFmtId="0" fontId="30" fillId="0" borderId="0" xfId="0" applyFont="1" applyFill="1" applyBorder="1"/>
    <xf numFmtId="0" fontId="30" fillId="0" borderId="0" xfId="0" applyFont="1"/>
    <xf numFmtId="9" fontId="24" fillId="0" borderId="0" xfId="0" applyNumberFormat="1" applyFont="1" applyBorder="1"/>
    <xf numFmtId="0" fontId="0" fillId="0" borderId="0" xfId="0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Border="1"/>
    <xf numFmtId="164" fontId="4" fillId="0" borderId="4" xfId="0" applyNumberFormat="1" applyFont="1" applyBorder="1"/>
    <xf numFmtId="164" fontId="3" fillId="0" borderId="1" xfId="0" applyNumberFormat="1" applyFont="1" applyBorder="1"/>
    <xf numFmtId="49" fontId="3" fillId="0" borderId="3" xfId="0" applyNumberFormat="1" applyFont="1" applyBorder="1" applyAlignment="1">
      <alignment horizontal="center"/>
    </xf>
    <xf numFmtId="49" fontId="5" fillId="0" borderId="2" xfId="1" applyNumberFormat="1" applyFont="1" applyBorder="1" applyAlignment="1">
      <alignment horizontal="right"/>
    </xf>
    <xf numFmtId="164" fontId="5" fillId="0" borderId="2" xfId="0" applyNumberFormat="1" applyFont="1" applyBorder="1"/>
    <xf numFmtId="0" fontId="31" fillId="0" borderId="2" xfId="0" applyFont="1" applyBorder="1"/>
    <xf numFmtId="4" fontId="31" fillId="0" borderId="2" xfId="0" applyNumberFormat="1" applyFont="1" applyBorder="1"/>
    <xf numFmtId="9" fontId="0" fillId="0" borderId="0" xfId="0" applyNumberFormat="1"/>
    <xf numFmtId="43" fontId="6" fillId="0" borderId="0" xfId="0" applyNumberFormat="1" applyFont="1"/>
    <xf numFmtId="3" fontId="0" fillId="0" borderId="0" xfId="0" applyNumberFormat="1"/>
    <xf numFmtId="0" fontId="19" fillId="0" borderId="0" xfId="0" applyFont="1" applyFill="1" applyBorder="1"/>
    <xf numFmtId="0" fontId="32" fillId="0" borderId="0" xfId="0" applyFont="1"/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49" fontId="37" fillId="0" borderId="2" xfId="0" applyNumberFormat="1" applyFont="1" applyBorder="1"/>
    <xf numFmtId="164" fontId="37" fillId="0" borderId="2" xfId="0" applyNumberFormat="1" applyFont="1" applyBorder="1"/>
    <xf numFmtId="0" fontId="38" fillId="0" borderId="0" xfId="0" applyFont="1" applyFill="1" applyBorder="1"/>
    <xf numFmtId="0" fontId="19" fillId="0" borderId="0" xfId="0" applyFont="1"/>
    <xf numFmtId="0" fontId="31" fillId="0" borderId="0" xfId="0" applyFont="1"/>
    <xf numFmtId="0" fontId="39" fillId="0" borderId="0" xfId="0" applyFont="1" applyFill="1" applyBorder="1"/>
    <xf numFmtId="49" fontId="0" fillId="0" borderId="0" xfId="0" applyNumberFormat="1"/>
    <xf numFmtId="43" fontId="25" fillId="0" borderId="0" xfId="1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3" fontId="7" fillId="0" borderId="0" xfId="1" applyFont="1" applyAlignment="1">
      <alignment horizontal="right"/>
    </xf>
    <xf numFmtId="43" fontId="40" fillId="0" borderId="0" xfId="1" applyFont="1" applyAlignment="1">
      <alignment horizontal="right"/>
    </xf>
    <xf numFmtId="43" fontId="31" fillId="0" borderId="0" xfId="0" applyNumberFormat="1" applyFont="1" applyAlignment="1">
      <alignment horizontal="right"/>
    </xf>
    <xf numFmtId="49" fontId="26" fillId="0" borderId="0" xfId="1" applyNumberFormat="1" applyFont="1" applyAlignment="1">
      <alignment horizontal="right"/>
    </xf>
    <xf numFmtId="49" fontId="30" fillId="0" borderId="0" xfId="0" applyNumberFormat="1" applyFont="1"/>
    <xf numFmtId="49" fontId="5" fillId="0" borderId="2" xfId="0" applyNumberFormat="1" applyFont="1" applyBorder="1" applyAlignment="1">
      <alignment horizontal="right"/>
    </xf>
    <xf numFmtId="164" fontId="41" fillId="0" borderId="2" xfId="0" applyNumberFormat="1" applyFont="1" applyBorder="1"/>
    <xf numFmtId="49" fontId="7" fillId="0" borderId="0" xfId="1" applyNumberFormat="1" applyFont="1" applyAlignment="1">
      <alignment horizontal="right"/>
    </xf>
    <xf numFmtId="164" fontId="3" fillId="0" borderId="0" xfId="0" applyNumberFormat="1" applyFont="1" applyBorder="1"/>
    <xf numFmtId="0" fontId="32" fillId="0" borderId="0" xfId="0" applyFont="1" applyAlignment="1"/>
    <xf numFmtId="0" fontId="33" fillId="0" borderId="0" xfId="0" applyFont="1" applyAlignment="1"/>
    <xf numFmtId="4" fontId="0" fillId="0" borderId="0" xfId="0" applyNumberFormat="1"/>
    <xf numFmtId="0" fontId="0" fillId="0" borderId="0" xfId="0" applyBorder="1"/>
    <xf numFmtId="49" fontId="3" fillId="0" borderId="0" xfId="0" applyNumberFormat="1" applyFont="1" applyBorder="1"/>
    <xf numFmtId="49" fontId="3" fillId="0" borderId="2" xfId="0" applyNumberFormat="1" applyFont="1" applyFill="1" applyBorder="1" applyAlignment="1">
      <alignment horizontal="center"/>
    </xf>
    <xf numFmtId="43" fontId="31" fillId="0" borderId="0" xfId="1" applyFont="1"/>
    <xf numFmtId="0" fontId="42" fillId="0" borderId="0" xfId="0" applyFont="1"/>
    <xf numFmtId="0" fontId="18" fillId="0" borderId="2" xfId="0" applyFont="1" applyBorder="1"/>
    <xf numFmtId="9" fontId="0" fillId="0" borderId="2" xfId="0" applyNumberFormat="1" applyBorder="1"/>
    <xf numFmtId="0" fontId="43" fillId="0" borderId="0" xfId="0" applyFont="1" applyAlignment="1">
      <alignment horizontal="left"/>
    </xf>
    <xf numFmtId="14" fontId="0" fillId="0" borderId="2" xfId="0" applyNumberFormat="1" applyBorder="1"/>
    <xf numFmtId="0" fontId="0" fillId="0" borderId="5" xfId="0" applyFill="1" applyBorder="1"/>
    <xf numFmtId="0" fontId="0" fillId="0" borderId="0" xfId="0" applyFill="1" applyBorder="1"/>
    <xf numFmtId="49" fontId="4" fillId="0" borderId="5" xfId="0" applyNumberFormat="1" applyFont="1" applyFill="1" applyBorder="1"/>
    <xf numFmtId="0" fontId="0" fillId="0" borderId="2" xfId="0" applyFill="1" applyBorder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4" fontId="0" fillId="0" borderId="0" xfId="0" applyNumberFormat="1" applyBorder="1"/>
    <xf numFmtId="49" fontId="4" fillId="0" borderId="2" xfId="0" applyNumberFormat="1" applyFont="1" applyFill="1" applyBorder="1"/>
    <xf numFmtId="43" fontId="0" fillId="0" borderId="0" xfId="1" applyFont="1"/>
    <xf numFmtId="0" fontId="0" fillId="0" borderId="0" xfId="0" applyAlignment="1">
      <alignment vertical="top"/>
    </xf>
    <xf numFmtId="0" fontId="46" fillId="2" borderId="0" xfId="0" applyFont="1" applyFill="1" applyAlignment="1">
      <alignment vertical="top"/>
    </xf>
    <xf numFmtId="0" fontId="54" fillId="2" borderId="0" xfId="0" applyFont="1" applyFill="1" applyAlignment="1">
      <alignment horizontal="left" vertical="top" wrapText="1" readingOrder="1"/>
    </xf>
    <xf numFmtId="165" fontId="58" fillId="0" borderId="0" xfId="0" applyNumberFormat="1" applyFont="1" applyAlignment="1">
      <alignment horizontal="left" vertical="top" wrapText="1"/>
    </xf>
    <xf numFmtId="0" fontId="55" fillId="0" borderId="0" xfId="0" applyFont="1" applyAlignment="1">
      <alignment horizontal="left" vertical="top" wrapText="1" readingOrder="1"/>
    </xf>
    <xf numFmtId="49" fontId="60" fillId="0" borderId="2" xfId="0" applyNumberFormat="1" applyFont="1" applyBorder="1"/>
    <xf numFmtId="0" fontId="30" fillId="0" borderId="2" xfId="0" applyFont="1" applyBorder="1"/>
    <xf numFmtId="49" fontId="60" fillId="0" borderId="2" xfId="0" applyNumberFormat="1" applyFont="1" applyFill="1" applyBorder="1"/>
    <xf numFmtId="49" fontId="32" fillId="0" borderId="2" xfId="0" applyNumberFormat="1" applyFont="1" applyBorder="1"/>
    <xf numFmtId="49" fontId="38" fillId="0" borderId="2" xfId="0" applyNumberFormat="1" applyFont="1" applyBorder="1"/>
    <xf numFmtId="0" fontId="38" fillId="0" borderId="2" xfId="0" applyFont="1" applyBorder="1"/>
    <xf numFmtId="0" fontId="0" fillId="0" borderId="6" xfId="0" applyBorder="1"/>
    <xf numFmtId="0" fontId="0" fillId="0" borderId="7" xfId="0" applyFill="1" applyBorder="1"/>
    <xf numFmtId="4" fontId="31" fillId="0" borderId="6" xfId="0" applyNumberFormat="1" applyFont="1" applyBorder="1"/>
    <xf numFmtId="14" fontId="31" fillId="0" borderId="2" xfId="0" applyNumberFormat="1" applyFont="1" applyBorder="1"/>
    <xf numFmtId="0" fontId="32" fillId="0" borderId="2" xfId="0" applyFont="1" applyBorder="1"/>
    <xf numFmtId="49" fontId="61" fillId="0" borderId="2" xfId="1" applyNumberFormat="1" applyFont="1" applyBorder="1" applyAlignment="1">
      <alignment horizontal="right"/>
    </xf>
    <xf numFmtId="49" fontId="62" fillId="0" borderId="2" xfId="0" applyNumberFormat="1" applyFont="1" applyBorder="1" applyAlignment="1">
      <alignment horizontal="right"/>
    </xf>
    <xf numFmtId="0" fontId="2" fillId="0" borderId="2" xfId="0" applyFont="1" applyBorder="1"/>
    <xf numFmtId="4" fontId="2" fillId="0" borderId="2" xfId="0" applyNumberFormat="1" applyFont="1" applyBorder="1"/>
    <xf numFmtId="164" fontId="62" fillId="0" borderId="2" xfId="0" applyNumberFormat="1" applyFont="1" applyBorder="1"/>
    <xf numFmtId="14" fontId="63" fillId="0" borderId="2" xfId="0" applyNumberFormat="1" applyFont="1" applyBorder="1"/>
    <xf numFmtId="49" fontId="4" fillId="0" borderId="0" xfId="0" applyNumberFormat="1" applyFont="1" applyBorder="1"/>
    <xf numFmtId="49" fontId="61" fillId="0" borderId="0" xfId="1" applyNumberFormat="1" applyFont="1" applyBorder="1" applyAlignment="1">
      <alignment horizontal="right"/>
    </xf>
    <xf numFmtId="49" fontId="62" fillId="0" borderId="0" xfId="0" applyNumberFormat="1" applyFont="1" applyBorder="1" applyAlignment="1">
      <alignment horizontal="right"/>
    </xf>
    <xf numFmtId="0" fontId="2" fillId="0" borderId="0" xfId="0" applyFont="1" applyBorder="1"/>
    <xf numFmtId="4" fontId="2" fillId="0" borderId="0" xfId="0" applyNumberFormat="1" applyFont="1" applyBorder="1"/>
    <xf numFmtId="164" fontId="62" fillId="0" borderId="0" xfId="0" applyNumberFormat="1" applyFont="1" applyBorder="1"/>
    <xf numFmtId="49" fontId="4" fillId="0" borderId="2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/>
    <xf numFmtId="49" fontId="4" fillId="0" borderId="2" xfId="0" applyNumberFormat="1" applyFont="1" applyFill="1" applyBorder="1" applyAlignment="1">
      <alignment horizontal="center"/>
    </xf>
    <xf numFmtId="14" fontId="0" fillId="0" borderId="2" xfId="0" applyNumberFormat="1" applyFill="1" applyBorder="1"/>
    <xf numFmtId="49" fontId="64" fillId="0" borderId="2" xfId="0" applyNumberFormat="1" applyFont="1" applyBorder="1" applyAlignment="1">
      <alignment horizontal="center"/>
    </xf>
    <xf numFmtId="49" fontId="65" fillId="0" borderId="2" xfId="0" applyNumberFormat="1" applyFont="1" applyBorder="1" applyAlignment="1">
      <alignment horizontal="center"/>
    </xf>
    <xf numFmtId="0" fontId="65" fillId="0" borderId="2" xfId="0" applyFont="1" applyBorder="1"/>
    <xf numFmtId="49" fontId="64" fillId="0" borderId="2" xfId="0" applyNumberFormat="1" applyFont="1" applyFill="1" applyBorder="1" applyAlignment="1">
      <alignment horizontal="center"/>
    </xf>
    <xf numFmtId="0" fontId="66" fillId="0" borderId="2" xfId="0" applyFont="1" applyBorder="1"/>
    <xf numFmtId="49" fontId="32" fillId="0" borderId="5" xfId="0" applyNumberFormat="1" applyFont="1" applyFill="1" applyBorder="1"/>
    <xf numFmtId="3" fontId="31" fillId="0" borderId="2" xfId="0" applyNumberFormat="1" applyFont="1" applyBorder="1"/>
    <xf numFmtId="49" fontId="67" fillId="0" borderId="2" xfId="0" applyNumberFormat="1" applyFont="1" applyBorder="1" applyAlignment="1">
      <alignment horizontal="right"/>
    </xf>
    <xf numFmtId="49" fontId="68" fillId="0" borderId="2" xfId="0" applyNumberFormat="1" applyFont="1" applyBorder="1" applyAlignment="1">
      <alignment horizontal="center"/>
    </xf>
    <xf numFmtId="49" fontId="68" fillId="0" borderId="2" xfId="0" applyNumberFormat="1" applyFont="1" applyFill="1" applyBorder="1" applyAlignment="1">
      <alignment horizontal="center"/>
    </xf>
    <xf numFmtId="49" fontId="69" fillId="0" borderId="2" xfId="0" applyNumberFormat="1" applyFont="1" applyBorder="1"/>
    <xf numFmtId="0" fontId="0" fillId="0" borderId="2" xfId="0" applyNumberFormat="1" applyFont="1" applyBorder="1"/>
    <xf numFmtId="3" fontId="0" fillId="0" borderId="2" xfId="0" applyNumberFormat="1" applyFont="1" applyBorder="1"/>
    <xf numFmtId="49" fontId="69" fillId="0" borderId="2" xfId="0" applyNumberFormat="1" applyFont="1" applyFill="1" applyBorder="1"/>
    <xf numFmtId="0" fontId="63" fillId="0" borderId="2" xfId="0" applyFont="1" applyBorder="1"/>
    <xf numFmtId="49" fontId="63" fillId="0" borderId="2" xfId="0" applyNumberFormat="1" applyFont="1" applyBorder="1"/>
    <xf numFmtId="49" fontId="63" fillId="0" borderId="5" xfId="0" applyNumberFormat="1" applyFont="1" applyFill="1" applyBorder="1"/>
    <xf numFmtId="49" fontId="70" fillId="0" borderId="2" xfId="0" applyNumberFormat="1" applyFont="1" applyBorder="1"/>
    <xf numFmtId="49" fontId="71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9" fontId="0" fillId="0" borderId="2" xfId="0" applyNumberFormat="1" applyFont="1" applyBorder="1"/>
    <xf numFmtId="0" fontId="0" fillId="0" borderId="2" xfId="0" applyFont="1" applyFill="1" applyBorder="1"/>
    <xf numFmtId="0" fontId="0" fillId="0" borderId="6" xfId="0" applyFont="1" applyBorder="1"/>
    <xf numFmtId="14" fontId="0" fillId="0" borderId="2" xfId="0" applyNumberFormat="1" applyFont="1" applyBorder="1"/>
    <xf numFmtId="14" fontId="0" fillId="0" borderId="2" xfId="0" applyNumberFormat="1" applyFont="1" applyFill="1" applyBorder="1"/>
    <xf numFmtId="49" fontId="72" fillId="0" borderId="2" xfId="0" applyNumberFormat="1" applyFont="1" applyBorder="1" applyAlignment="1">
      <alignment horizontal="center"/>
    </xf>
    <xf numFmtId="3" fontId="73" fillId="0" borderId="2" xfId="0" applyNumberFormat="1" applyFont="1" applyBorder="1"/>
    <xf numFmtId="0" fontId="43" fillId="0" borderId="2" xfId="0" applyFont="1" applyBorder="1"/>
    <xf numFmtId="14" fontId="0" fillId="0" borderId="2" xfId="0" applyNumberFormat="1" applyFont="1" applyBorder="1" applyAlignment="1">
      <alignment horizontal="center"/>
    </xf>
    <xf numFmtId="167" fontId="37" fillId="0" borderId="2" xfId="0" applyNumberFormat="1" applyFont="1" applyBorder="1"/>
    <xf numFmtId="167" fontId="62" fillId="0" borderId="2" xfId="0" applyNumberFormat="1" applyFont="1" applyBorder="1"/>
    <xf numFmtId="3" fontId="0" fillId="0" borderId="2" xfId="0" applyNumberFormat="1" applyBorder="1"/>
    <xf numFmtId="3" fontId="2" fillId="0" borderId="2" xfId="0" applyNumberFormat="1" applyFont="1" applyBorder="1"/>
    <xf numFmtId="0" fontId="75" fillId="0" borderId="0" xfId="0" applyFont="1" applyAlignment="1">
      <alignment horizontal="center" vertical="center"/>
    </xf>
    <xf numFmtId="0" fontId="77" fillId="0" borderId="0" xfId="0" applyFont="1" applyAlignment="1">
      <alignment horizontal="center"/>
    </xf>
    <xf numFmtId="0" fontId="76" fillId="0" borderId="0" xfId="0" applyFont="1" applyAlignment="1">
      <alignment horizontal="center" vertical="center"/>
    </xf>
    <xf numFmtId="0" fontId="43" fillId="0" borderId="0" xfId="0" applyFont="1"/>
    <xf numFmtId="0" fontId="78" fillId="0" borderId="0" xfId="0" applyFont="1" applyAlignment="1">
      <alignment horizontal="center" vertical="center"/>
    </xf>
    <xf numFmtId="0" fontId="0" fillId="0" borderId="8" xfId="0" applyFont="1" applyBorder="1"/>
    <xf numFmtId="14" fontId="0" fillId="0" borderId="0" xfId="0" applyNumberFormat="1"/>
    <xf numFmtId="0" fontId="0" fillId="0" borderId="5" xfId="0" applyFont="1" applyFill="1" applyBorder="1"/>
    <xf numFmtId="3" fontId="74" fillId="0" borderId="2" xfId="0" applyNumberFormat="1" applyFont="1" applyBorder="1"/>
    <xf numFmtId="4" fontId="0" fillId="0" borderId="7" xfId="0" applyNumberFormat="1" applyFill="1" applyBorder="1"/>
    <xf numFmtId="49" fontId="63" fillId="0" borderId="2" xfId="0" applyNumberFormat="1" applyFont="1" applyFill="1" applyBorder="1"/>
    <xf numFmtId="0" fontId="2" fillId="0" borderId="8" xfId="0" applyFont="1" applyBorder="1"/>
    <xf numFmtId="0" fontId="79" fillId="0" borderId="0" xfId="0" applyFont="1"/>
    <xf numFmtId="49" fontId="2" fillId="0" borderId="2" xfId="0" applyNumberFormat="1" applyFont="1" applyBorder="1" applyAlignment="1">
      <alignment horizontal="center"/>
    </xf>
    <xf numFmtId="49" fontId="80" fillId="0" borderId="2" xfId="0" applyNumberFormat="1" applyFont="1" applyBorder="1" applyAlignment="1">
      <alignment horizontal="center"/>
    </xf>
    <xf numFmtId="49" fontId="81" fillId="0" borderId="2" xfId="0" applyNumberFormat="1" applyFont="1" applyBorder="1" applyAlignment="1">
      <alignment horizontal="center"/>
    </xf>
    <xf numFmtId="49" fontId="80" fillId="0" borderId="2" xfId="0" applyNumberFormat="1" applyFont="1" applyFill="1" applyBorder="1" applyAlignment="1">
      <alignment horizontal="center"/>
    </xf>
    <xf numFmtId="0" fontId="0" fillId="0" borderId="0" xfId="0" applyFont="1" applyBorder="1"/>
    <xf numFmtId="14" fontId="0" fillId="0" borderId="0" xfId="0" applyNumberFormat="1" applyFont="1" applyBorder="1"/>
    <xf numFmtId="3" fontId="63" fillId="0" borderId="2" xfId="0" applyNumberFormat="1" applyFont="1" applyBorder="1"/>
    <xf numFmtId="3" fontId="83" fillId="0" borderId="2" xfId="0" applyNumberFormat="1" applyFont="1" applyBorder="1"/>
    <xf numFmtId="49" fontId="82" fillId="0" borderId="0" xfId="1" applyNumberFormat="1" applyFont="1" applyBorder="1" applyAlignment="1">
      <alignment horizontal="right"/>
    </xf>
    <xf numFmtId="49" fontId="83" fillId="0" borderId="0" xfId="0" applyNumberFormat="1" applyFont="1" applyBorder="1" applyAlignment="1">
      <alignment horizontal="right"/>
    </xf>
    <xf numFmtId="164" fontId="83" fillId="0" borderId="0" xfId="0" applyNumberFormat="1" applyFont="1" applyBorder="1"/>
    <xf numFmtId="49" fontId="83" fillId="0" borderId="2" xfId="1" applyNumberFormat="1" applyFont="1" applyBorder="1" applyAlignment="1">
      <alignment horizontal="right"/>
    </xf>
    <xf numFmtId="0" fontId="83" fillId="0" borderId="2" xfId="0" applyFont="1" applyBorder="1"/>
    <xf numFmtId="49" fontId="83" fillId="0" borderId="2" xfId="0" applyNumberFormat="1" applyFont="1" applyBorder="1"/>
    <xf numFmtId="3" fontId="0" fillId="0" borderId="0" xfId="0" applyNumberFormat="1" applyFont="1"/>
    <xf numFmtId="0" fontId="63" fillId="0" borderId="2" xfId="0" applyNumberFormat="1" applyFont="1" applyBorder="1"/>
    <xf numFmtId="0" fontId="83" fillId="0" borderId="2" xfId="1" applyNumberFormat="1" applyFont="1" applyBorder="1" applyAlignment="1">
      <alignment horizontal="right"/>
    </xf>
    <xf numFmtId="0" fontId="83" fillId="0" borderId="2" xfId="0" applyNumberFormat="1" applyFont="1" applyBorder="1"/>
    <xf numFmtId="0" fontId="2" fillId="0" borderId="0" xfId="0" applyNumberFormat="1" applyFont="1"/>
    <xf numFmtId="0" fontId="2" fillId="0" borderId="8" xfId="0" applyNumberFormat="1" applyFont="1" applyBorder="1"/>
    <xf numFmtId="0" fontId="0" fillId="0" borderId="0" xfId="0" applyNumberFormat="1" applyFont="1"/>
    <xf numFmtId="0" fontId="2" fillId="0" borderId="2" xfId="0" applyNumberFormat="1" applyFont="1" applyBorder="1"/>
    <xf numFmtId="0" fontId="0" fillId="0" borderId="2" xfId="0" applyNumberFormat="1" applyFont="1" applyFill="1" applyBorder="1"/>
    <xf numFmtId="0" fontId="31" fillId="0" borderId="2" xfId="0" applyNumberFormat="1" applyFont="1" applyBorder="1"/>
    <xf numFmtId="0" fontId="0" fillId="0" borderId="9" xfId="0" applyNumberFormat="1" applyFont="1" applyBorder="1"/>
    <xf numFmtId="0" fontId="0" fillId="0" borderId="5" xfId="0" applyNumberFormat="1" applyFont="1" applyFill="1" applyBorder="1"/>
    <xf numFmtId="9" fontId="0" fillId="0" borderId="2" xfId="2" applyFont="1" applyBorder="1"/>
    <xf numFmtId="0" fontId="83" fillId="0" borderId="0" xfId="0" applyFont="1"/>
    <xf numFmtId="49" fontId="80" fillId="0" borderId="2" xfId="0" applyNumberFormat="1" applyFont="1" applyBorder="1"/>
    <xf numFmtId="9" fontId="0" fillId="0" borderId="0" xfId="0" applyNumberFormat="1" applyFont="1"/>
    <xf numFmtId="49" fontId="0" fillId="0" borderId="2" xfId="0" applyNumberFormat="1" applyFont="1" applyBorder="1"/>
    <xf numFmtId="49" fontId="84" fillId="0" borderId="2" xfId="0" applyNumberFormat="1" applyFont="1" applyBorder="1"/>
    <xf numFmtId="164" fontId="0" fillId="0" borderId="2" xfId="0" applyNumberFormat="1" applyFont="1" applyBorder="1"/>
    <xf numFmtId="0" fontId="63" fillId="0" borderId="5" xfId="0" applyNumberFormat="1" applyFont="1" applyFill="1" applyBorder="1"/>
    <xf numFmtId="9" fontId="0" fillId="0" borderId="2" xfId="0" applyNumberFormat="1" applyFont="1" applyFill="1" applyBorder="1"/>
    <xf numFmtId="0" fontId="80" fillId="0" borderId="2" xfId="0" applyNumberFormat="1" applyFont="1" applyBorder="1"/>
    <xf numFmtId="4" fontId="83" fillId="0" borderId="2" xfId="0" applyNumberFormat="1" applyFont="1" applyBorder="1"/>
    <xf numFmtId="49" fontId="0" fillId="0" borderId="0" xfId="0" applyNumberFormat="1" applyFont="1"/>
    <xf numFmtId="0" fontId="0" fillId="0" borderId="0" xfId="0" applyNumberFormat="1"/>
    <xf numFmtId="49" fontId="0" fillId="0" borderId="2" xfId="0" applyNumberFormat="1" applyBorder="1"/>
    <xf numFmtId="4" fontId="0" fillId="0" borderId="0" xfId="0" applyNumberFormat="1" applyFont="1"/>
    <xf numFmtId="0" fontId="0" fillId="0" borderId="10" xfId="0" applyNumberFormat="1" applyFont="1" applyFill="1" applyBorder="1"/>
    <xf numFmtId="0" fontId="0" fillId="0" borderId="10" xfId="0" applyFont="1" applyBorder="1"/>
    <xf numFmtId="0" fontId="85" fillId="0" borderId="2" xfId="0" applyNumberFormat="1" applyFont="1" applyBorder="1" applyAlignment="1">
      <alignment horizontal="center" vertical="center"/>
    </xf>
    <xf numFmtId="0" fontId="85" fillId="0" borderId="2" xfId="0" applyFont="1" applyBorder="1" applyAlignment="1">
      <alignment horizontal="center" vertical="center"/>
    </xf>
    <xf numFmtId="4" fontId="85" fillId="0" borderId="2" xfId="0" applyNumberFormat="1" applyFont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49" fontId="69" fillId="0" borderId="2" xfId="0" applyNumberFormat="1" applyFont="1" applyBorder="1" applyAlignment="1">
      <alignment wrapText="1"/>
    </xf>
    <xf numFmtId="0" fontId="0" fillId="0" borderId="2" xfId="0" applyFont="1" applyBorder="1" applyAlignment="1">
      <alignment wrapText="1"/>
    </xf>
    <xf numFmtId="49" fontId="69" fillId="0" borderId="2" xfId="0" applyNumberFormat="1" applyFont="1" applyFill="1" applyBorder="1" applyAlignment="1">
      <alignment wrapText="1"/>
    </xf>
    <xf numFmtId="0" fontId="63" fillId="0" borderId="2" xfId="0" applyFont="1" applyBorder="1" applyAlignment="1">
      <alignment wrapText="1"/>
    </xf>
    <xf numFmtId="49" fontId="63" fillId="0" borderId="2" xfId="0" applyNumberFormat="1" applyFont="1" applyBorder="1" applyAlignment="1">
      <alignment wrapText="1"/>
    </xf>
    <xf numFmtId="49" fontId="63" fillId="0" borderId="2" xfId="0" applyNumberFormat="1" applyFont="1" applyFill="1" applyBorder="1" applyAlignment="1">
      <alignment wrapText="1"/>
    </xf>
    <xf numFmtId="0" fontId="50" fillId="0" borderId="0" xfId="0" applyFont="1" applyAlignment="1">
      <alignment horizontal="left" vertical="top" wrapText="1" readingOrder="1"/>
    </xf>
    <xf numFmtId="0" fontId="51" fillId="0" borderId="0" xfId="0" applyFont="1" applyAlignment="1">
      <alignment horizontal="left" vertical="top" wrapText="1" readingOrder="1"/>
    </xf>
    <xf numFmtId="0" fontId="52" fillId="0" borderId="0" xfId="0" applyFont="1" applyAlignment="1">
      <alignment horizontal="left" vertical="top" wrapText="1"/>
    </xf>
    <xf numFmtId="0" fontId="46" fillId="0" borderId="0" xfId="0" applyFont="1" applyAlignment="1">
      <alignment horizontal="left" vertical="top" wrapText="1" readingOrder="1"/>
    </xf>
    <xf numFmtId="0" fontId="47" fillId="0" borderId="0" xfId="0" applyFont="1" applyAlignment="1">
      <alignment horizontal="center" vertical="top" wrapText="1" readingOrder="1"/>
    </xf>
    <xf numFmtId="0" fontId="48" fillId="0" borderId="0" xfId="0" applyFont="1" applyAlignment="1">
      <alignment horizontal="center" vertical="top" wrapText="1" readingOrder="1"/>
    </xf>
    <xf numFmtId="0" fontId="49" fillId="0" borderId="0" xfId="0" applyFont="1" applyAlignment="1">
      <alignment horizontal="left" vertical="top" wrapText="1" readingOrder="1"/>
    </xf>
    <xf numFmtId="3" fontId="57" fillId="0" borderId="0" xfId="0" applyNumberFormat="1" applyFont="1" applyAlignment="1">
      <alignment horizontal="left" vertical="top" wrapText="1"/>
    </xf>
    <xf numFmtId="0" fontId="55" fillId="0" borderId="0" xfId="0" applyFont="1" applyAlignment="1">
      <alignment horizontal="left" vertical="top" wrapText="1"/>
    </xf>
    <xf numFmtId="15" fontId="58" fillId="0" borderId="0" xfId="0" applyNumberFormat="1" applyFont="1" applyAlignment="1">
      <alignment horizontal="left" vertical="top" wrapText="1"/>
    </xf>
    <xf numFmtId="3" fontId="55" fillId="0" borderId="0" xfId="0" applyNumberFormat="1" applyFont="1" applyAlignment="1">
      <alignment horizontal="left" vertical="top" wrapText="1"/>
    </xf>
    <xf numFmtId="0" fontId="52" fillId="0" borderId="0" xfId="0" applyFont="1" applyAlignment="1">
      <alignment horizontal="left" vertical="top" wrapText="1" readingOrder="1"/>
    </xf>
    <xf numFmtId="0" fontId="53" fillId="2" borderId="0" xfId="0" applyFont="1" applyFill="1" applyAlignment="1">
      <alignment horizontal="left" vertical="top" wrapText="1" readingOrder="1"/>
    </xf>
    <xf numFmtId="0" fontId="54" fillId="2" borderId="0" xfId="0" applyFont="1" applyFill="1" applyAlignment="1">
      <alignment horizontal="left" vertical="top" wrapText="1" readingOrder="1"/>
    </xf>
    <xf numFmtId="0" fontId="56" fillId="0" borderId="0" xfId="0" applyFont="1" applyAlignment="1">
      <alignment horizontal="left" vertical="top" wrapText="1"/>
    </xf>
    <xf numFmtId="37" fontId="55" fillId="0" borderId="0" xfId="0" applyNumberFormat="1" applyFont="1" applyAlignment="1">
      <alignment horizontal="left" vertical="top" wrapText="1"/>
    </xf>
    <xf numFmtId="0" fontId="53" fillId="0" borderId="0" xfId="0" applyFont="1" applyAlignment="1">
      <alignment horizontal="left" vertical="top" wrapText="1" readingOrder="1"/>
    </xf>
    <xf numFmtId="3" fontId="54" fillId="0" borderId="0" xfId="0" applyNumberFormat="1" applyFont="1" applyAlignment="1">
      <alignment horizontal="left" vertical="top" wrapText="1"/>
    </xf>
    <xf numFmtId="4" fontId="53" fillId="0" borderId="0" xfId="0" applyNumberFormat="1" applyFont="1" applyAlignment="1">
      <alignment horizontal="left" vertical="top" wrapText="1"/>
    </xf>
    <xf numFmtId="3" fontId="53" fillId="0" borderId="0" xfId="0" applyNumberFormat="1" applyFont="1" applyAlignment="1">
      <alignment horizontal="left" vertical="top" wrapText="1"/>
    </xf>
    <xf numFmtId="0" fontId="59" fillId="0" borderId="0" xfId="0" applyFont="1" applyAlignment="1">
      <alignment horizontal="left" vertical="top" wrapText="1" readingOrder="1"/>
    </xf>
    <xf numFmtId="0" fontId="55" fillId="0" borderId="0" xfId="0" applyFont="1" applyAlignment="1">
      <alignment horizontal="left" vertical="top" wrapText="1" readingOrder="1"/>
    </xf>
    <xf numFmtId="39" fontId="58" fillId="0" borderId="0" xfId="0" applyNumberFormat="1" applyFont="1" applyAlignment="1">
      <alignment horizontal="left" vertical="top" wrapText="1"/>
    </xf>
    <xf numFmtId="14" fontId="55" fillId="0" borderId="0" xfId="0" applyNumberFormat="1" applyFont="1" applyAlignment="1">
      <alignment horizontal="left" vertical="top" wrapText="1"/>
    </xf>
    <xf numFmtId="166" fontId="55" fillId="0" borderId="0" xfId="0" applyNumberFormat="1" applyFont="1" applyAlignment="1">
      <alignment horizontal="left" vertical="top" wrapText="1"/>
    </xf>
    <xf numFmtId="165" fontId="58" fillId="0" borderId="0" xfId="0" applyNumberFormat="1" applyFont="1" applyAlignment="1">
      <alignment horizontal="right" vertical="top" wrapText="1"/>
    </xf>
    <xf numFmtId="4" fontId="58" fillId="0" borderId="0" xfId="0" applyNumberFormat="1" applyFont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0</xdr:rowOff>
    </xdr:from>
    <xdr:to>
      <xdr:col>1</xdr:col>
      <xdr:colOff>1171575</xdr:colOff>
      <xdr:row>5</xdr:row>
      <xdr:rowOff>85724</xdr:rowOff>
    </xdr:to>
    <xdr:pic>
      <xdr:nvPicPr>
        <xdr:cNvPr id="2" name="Picture 1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0"/>
          <a:ext cx="1714500" cy="876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1</xdr:row>
      <xdr:rowOff>257175</xdr:rowOff>
    </xdr:from>
    <xdr:to>
      <xdr:col>10</xdr:col>
      <xdr:colOff>342900</xdr:colOff>
      <xdr:row>4</xdr:row>
      <xdr:rowOff>123824</xdr:rowOff>
    </xdr:to>
    <xdr:pic>
      <xdr:nvPicPr>
        <xdr:cNvPr id="2" name="Picture 1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05625" y="447675"/>
          <a:ext cx="1152525" cy="657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20</xdr:col>
      <xdr:colOff>152400</xdr:colOff>
      <xdr:row>0</xdr:row>
      <xdr:rowOff>190500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342900"/>
          <a:ext cx="9144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26</xdr:col>
      <xdr:colOff>381000</xdr:colOff>
      <xdr:row>2</xdr:row>
      <xdr:rowOff>190500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342900"/>
          <a:ext cx="9144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28" workbookViewId="0">
      <selection activeCell="A38" sqref="A38:F42"/>
    </sheetView>
  </sheetViews>
  <sheetFormatPr defaultRowHeight="15" x14ac:dyDescent="0.25"/>
  <cols>
    <col min="2" max="2" width="19.7109375" customWidth="1"/>
    <col min="4" max="4" width="11.7109375" customWidth="1"/>
    <col min="5" max="5" width="10.7109375" customWidth="1"/>
    <col min="6" max="6" width="10.85546875" customWidth="1"/>
    <col min="7" max="7" width="13.42578125" customWidth="1"/>
  </cols>
  <sheetData>
    <row r="1" spans="1:15" s="20" customFormat="1" x14ac:dyDescent="0.25"/>
    <row r="2" spans="1:15" s="20" customFormat="1" x14ac:dyDescent="0.25"/>
    <row r="3" spans="1:15" ht="31.5" x14ac:dyDescent="0.5">
      <c r="A3" s="21"/>
      <c r="B3" s="21"/>
      <c r="C3" s="21"/>
      <c r="D3" s="27"/>
      <c r="E3" s="28" t="s">
        <v>19</v>
      </c>
      <c r="F3" s="28"/>
      <c r="G3" s="21"/>
      <c r="H3" s="21"/>
    </row>
    <row r="4" spans="1:15" ht="15.75" x14ac:dyDescent="0.3">
      <c r="A4" s="21"/>
      <c r="B4" s="21"/>
      <c r="C4" s="23"/>
      <c r="D4" s="29" t="s">
        <v>20</v>
      </c>
      <c r="E4" s="29"/>
      <c r="F4" s="30"/>
      <c r="G4" s="21"/>
      <c r="H4" s="21"/>
    </row>
    <row r="5" spans="1:15" x14ac:dyDescent="0.25">
      <c r="A5" s="21"/>
      <c r="B5" s="21"/>
      <c r="C5" s="21"/>
      <c r="D5" s="25" t="s">
        <v>21</v>
      </c>
      <c r="E5" s="24"/>
      <c r="F5" s="24"/>
      <c r="G5" s="21"/>
      <c r="H5" s="21"/>
    </row>
    <row r="6" spans="1:15" x14ac:dyDescent="0.25">
      <c r="A6" s="21"/>
      <c r="B6" s="21"/>
      <c r="C6" s="24"/>
      <c r="D6" s="26" t="s">
        <v>22</v>
      </c>
      <c r="E6" s="26"/>
      <c r="F6" s="24"/>
      <c r="G6" s="21"/>
      <c r="H6" s="21"/>
    </row>
    <row r="7" spans="1:15" x14ac:dyDescent="0.25">
      <c r="A7" s="31" t="s">
        <v>44</v>
      </c>
      <c r="B7" s="20"/>
      <c r="C7" s="31"/>
      <c r="D7" s="20"/>
      <c r="E7" s="31"/>
      <c r="F7" s="32"/>
      <c r="G7" s="31"/>
      <c r="H7" s="32"/>
      <c r="K7" s="4" t="s">
        <v>7</v>
      </c>
    </row>
    <row r="8" spans="1:15" ht="23.25" x14ac:dyDescent="0.35">
      <c r="A8" s="33" t="s">
        <v>23</v>
      </c>
      <c r="B8" s="35"/>
      <c r="C8" s="34"/>
      <c r="D8" s="34"/>
      <c r="E8" s="37"/>
      <c r="F8" s="35"/>
      <c r="H8" s="34"/>
      <c r="K8" s="4"/>
    </row>
    <row r="9" spans="1:15" x14ac:dyDescent="0.25">
      <c r="H9" s="2"/>
      <c r="K9" s="4"/>
      <c r="L9" s="4"/>
      <c r="M9" s="5"/>
      <c r="N9" s="4"/>
      <c r="O9" s="5"/>
    </row>
    <row r="10" spans="1:15" x14ac:dyDescent="0.25">
      <c r="A10" s="1"/>
      <c r="B10" s="8" t="s">
        <v>0</v>
      </c>
      <c r="C10" s="9" t="s">
        <v>1</v>
      </c>
      <c r="D10" s="8" t="s">
        <v>2</v>
      </c>
      <c r="E10" s="8" t="s">
        <v>3</v>
      </c>
      <c r="F10" s="10" t="s">
        <v>4</v>
      </c>
      <c r="G10" s="8" t="s">
        <v>5</v>
      </c>
      <c r="H10" s="2"/>
      <c r="K10" s="4"/>
      <c r="L10" s="4"/>
      <c r="M10" s="5"/>
      <c r="N10" s="4"/>
      <c r="O10" s="5"/>
    </row>
    <row r="11" spans="1:15" x14ac:dyDescent="0.25">
      <c r="A11" s="1"/>
      <c r="B11" s="11"/>
      <c r="C11" s="11"/>
      <c r="D11" s="11"/>
      <c r="E11" s="12"/>
      <c r="F11" s="11"/>
      <c r="G11" s="12"/>
      <c r="H11" s="2"/>
      <c r="K11" s="4"/>
      <c r="L11" s="4"/>
      <c r="M11" s="5"/>
      <c r="N11" s="4"/>
      <c r="O11" s="5"/>
    </row>
    <row r="12" spans="1:15" x14ac:dyDescent="0.25">
      <c r="A12" s="1"/>
      <c r="B12" s="13" t="s">
        <v>6</v>
      </c>
      <c r="C12" s="14">
        <v>0</v>
      </c>
      <c r="D12" s="1">
        <v>1500</v>
      </c>
      <c r="E12" s="15">
        <v>1500</v>
      </c>
      <c r="F12" s="1">
        <f>C12+D12</f>
        <v>1500</v>
      </c>
      <c r="G12" s="16">
        <f>F12-E12</f>
        <v>0</v>
      </c>
      <c r="H12" s="2"/>
      <c r="K12" s="4"/>
      <c r="L12" s="4"/>
      <c r="M12" s="5"/>
      <c r="N12" s="4"/>
      <c r="O12" s="5"/>
    </row>
    <row r="13" spans="1:15" x14ac:dyDescent="0.25">
      <c r="A13" s="1"/>
      <c r="B13" s="13" t="s">
        <v>8</v>
      </c>
      <c r="C13" s="14">
        <v>0</v>
      </c>
      <c r="D13" s="1">
        <v>1500</v>
      </c>
      <c r="E13" s="15">
        <v>1500</v>
      </c>
      <c r="F13" s="1">
        <f t="shared" ref="F13:F24" si="0">C13+D13</f>
        <v>1500</v>
      </c>
      <c r="G13" s="16">
        <f t="shared" ref="G13:G24" si="1">F13-E13</f>
        <v>0</v>
      </c>
      <c r="H13" s="2"/>
      <c r="K13" s="4"/>
      <c r="L13" s="4"/>
      <c r="M13" s="5"/>
      <c r="N13" s="4"/>
      <c r="O13" s="5"/>
    </row>
    <row r="14" spans="1:15" x14ac:dyDescent="0.25">
      <c r="A14" s="1"/>
      <c r="B14" s="13" t="s">
        <v>9</v>
      </c>
      <c r="C14" s="14">
        <v>500</v>
      </c>
      <c r="D14" s="1">
        <v>1500</v>
      </c>
      <c r="E14" s="15">
        <v>500</v>
      </c>
      <c r="F14" s="1">
        <f t="shared" si="0"/>
        <v>2000</v>
      </c>
      <c r="G14" s="16">
        <f t="shared" si="1"/>
        <v>1500</v>
      </c>
      <c r="H14" s="2"/>
      <c r="K14" s="4"/>
      <c r="L14" s="4"/>
      <c r="M14" s="5"/>
      <c r="N14" s="4"/>
      <c r="O14" s="5"/>
    </row>
    <row r="15" spans="1:15" x14ac:dyDescent="0.25">
      <c r="A15" s="1"/>
      <c r="B15" s="13" t="s">
        <v>10</v>
      </c>
      <c r="C15" s="14">
        <v>0</v>
      </c>
      <c r="D15" s="1">
        <v>1500</v>
      </c>
      <c r="E15" s="15">
        <v>1500</v>
      </c>
      <c r="F15" s="1">
        <f t="shared" si="0"/>
        <v>1500</v>
      </c>
      <c r="G15" s="16">
        <f t="shared" si="1"/>
        <v>0</v>
      </c>
      <c r="H15" s="2"/>
      <c r="K15" s="4"/>
      <c r="L15" s="4"/>
      <c r="M15" s="5"/>
      <c r="N15" s="4"/>
      <c r="O15" s="5"/>
    </row>
    <row r="16" spans="1:15" x14ac:dyDescent="0.25">
      <c r="A16" s="1"/>
      <c r="B16" s="13" t="s">
        <v>11</v>
      </c>
      <c r="C16" s="14">
        <v>1500</v>
      </c>
      <c r="D16" s="1">
        <v>1500</v>
      </c>
      <c r="E16" s="15">
        <v>2000</v>
      </c>
      <c r="F16" s="1">
        <f t="shared" si="0"/>
        <v>3000</v>
      </c>
      <c r="G16" s="16">
        <f t="shared" si="1"/>
        <v>1000</v>
      </c>
      <c r="H16" s="2"/>
      <c r="K16" s="4"/>
      <c r="L16" s="4"/>
      <c r="M16" s="5"/>
      <c r="N16" s="4"/>
      <c r="O16" s="5"/>
    </row>
    <row r="17" spans="1:15" x14ac:dyDescent="0.25">
      <c r="A17" s="1"/>
      <c r="B17" s="13" t="s">
        <v>12</v>
      </c>
      <c r="C17" s="14">
        <v>8000</v>
      </c>
      <c r="D17" s="1">
        <v>4000</v>
      </c>
      <c r="E17" s="15">
        <v>12000</v>
      </c>
      <c r="F17" s="1">
        <f t="shared" si="0"/>
        <v>12000</v>
      </c>
      <c r="G17" s="16">
        <f t="shared" si="1"/>
        <v>0</v>
      </c>
      <c r="H17" s="2"/>
      <c r="K17" s="4"/>
      <c r="L17" s="4"/>
      <c r="M17" s="5"/>
      <c r="N17" s="4"/>
      <c r="O17" s="5"/>
    </row>
    <row r="18" spans="1:15" x14ac:dyDescent="0.25">
      <c r="A18" s="1"/>
      <c r="B18" s="13" t="s">
        <v>14</v>
      </c>
      <c r="C18" s="14">
        <v>1000</v>
      </c>
      <c r="D18" s="1">
        <v>1500</v>
      </c>
      <c r="E18" s="15">
        <v>2500</v>
      </c>
      <c r="F18" s="1">
        <f t="shared" si="0"/>
        <v>2500</v>
      </c>
      <c r="G18" s="16">
        <f t="shared" si="1"/>
        <v>0</v>
      </c>
      <c r="H18" s="2"/>
      <c r="K18" s="4"/>
      <c r="L18" s="4"/>
      <c r="M18" s="5"/>
      <c r="N18" s="4"/>
      <c r="O18" s="5"/>
    </row>
    <row r="19" spans="1:15" x14ac:dyDescent="0.25">
      <c r="A19" s="1"/>
      <c r="B19" s="13" t="s">
        <v>13</v>
      </c>
      <c r="C19" s="14">
        <v>1000</v>
      </c>
      <c r="D19" s="1">
        <v>1000</v>
      </c>
      <c r="E19" s="15">
        <v>500</v>
      </c>
      <c r="F19" s="1">
        <f t="shared" si="0"/>
        <v>2000</v>
      </c>
      <c r="G19" s="16">
        <f t="shared" si="1"/>
        <v>1500</v>
      </c>
      <c r="K19" s="4"/>
      <c r="L19" s="4"/>
      <c r="M19" s="6"/>
      <c r="N19" s="4"/>
      <c r="O19" s="6"/>
    </row>
    <row r="20" spans="1:15" x14ac:dyDescent="0.25">
      <c r="A20" s="1"/>
      <c r="B20" s="17" t="s">
        <v>15</v>
      </c>
      <c r="C20" s="14">
        <v>0</v>
      </c>
      <c r="D20" s="1">
        <v>1500</v>
      </c>
      <c r="E20" s="15">
        <v>1500</v>
      </c>
      <c r="F20" s="1">
        <f t="shared" si="0"/>
        <v>1500</v>
      </c>
      <c r="G20" s="16">
        <f t="shared" si="1"/>
        <v>0</v>
      </c>
      <c r="L20" s="4"/>
      <c r="M20" s="6"/>
      <c r="N20" s="4"/>
      <c r="O20" s="6"/>
    </row>
    <row r="21" spans="1:15" ht="15.75" thickBot="1" x14ac:dyDescent="0.3">
      <c r="A21" s="1"/>
      <c r="B21" s="17" t="s">
        <v>16</v>
      </c>
      <c r="C21" s="14">
        <v>0</v>
      </c>
      <c r="D21" s="1">
        <v>1500</v>
      </c>
      <c r="E21" s="15">
        <v>1000</v>
      </c>
      <c r="F21" s="1">
        <f t="shared" si="0"/>
        <v>1500</v>
      </c>
      <c r="G21" s="16">
        <f t="shared" si="1"/>
        <v>500</v>
      </c>
      <c r="L21" s="4"/>
      <c r="M21" s="6"/>
      <c r="N21" s="4"/>
      <c r="O21" s="6"/>
    </row>
    <row r="22" spans="1:15" ht="15.75" thickBot="1" x14ac:dyDescent="0.3">
      <c r="A22" s="1"/>
      <c r="B22" s="13" t="s">
        <v>17</v>
      </c>
      <c r="C22" s="14">
        <v>3500</v>
      </c>
      <c r="D22" s="1">
        <v>3500</v>
      </c>
      <c r="E22" s="15">
        <v>3500</v>
      </c>
      <c r="F22" s="1">
        <f t="shared" si="0"/>
        <v>7000</v>
      </c>
      <c r="G22" s="16">
        <f t="shared" si="1"/>
        <v>3500</v>
      </c>
      <c r="L22" s="3"/>
      <c r="M22" s="7"/>
      <c r="N22" s="3"/>
      <c r="O22" s="7"/>
    </row>
    <row r="23" spans="1:15" ht="15.75" thickTop="1" x14ac:dyDescent="0.25">
      <c r="A23" s="1"/>
      <c r="B23" s="13" t="s">
        <v>18</v>
      </c>
      <c r="C23" s="14">
        <v>500</v>
      </c>
      <c r="D23" s="1">
        <v>1500</v>
      </c>
      <c r="E23" s="15">
        <v>1500</v>
      </c>
      <c r="F23" s="1">
        <f t="shared" si="0"/>
        <v>2000</v>
      </c>
      <c r="G23" s="16">
        <f t="shared" si="1"/>
        <v>500</v>
      </c>
    </row>
    <row r="24" spans="1:15" x14ac:dyDescent="0.25">
      <c r="A24" s="1"/>
      <c r="B24" s="13"/>
      <c r="C24" s="18">
        <f>SUM(C11:C23)</f>
        <v>16000</v>
      </c>
      <c r="D24" s="13">
        <f>SUM(D11:D23)</f>
        <v>22000</v>
      </c>
      <c r="E24" s="15">
        <f>SUM(E13:E23)</f>
        <v>28000</v>
      </c>
      <c r="F24" s="1">
        <f t="shared" si="0"/>
        <v>38000</v>
      </c>
      <c r="G24" s="16">
        <f t="shared" si="1"/>
        <v>10000</v>
      </c>
    </row>
    <row r="25" spans="1:15" x14ac:dyDescent="0.25">
      <c r="A25" s="1"/>
      <c r="B25" s="11"/>
      <c r="C25" s="11"/>
      <c r="D25" s="11"/>
      <c r="E25" s="12"/>
      <c r="F25" s="1"/>
      <c r="G25" s="16"/>
    </row>
    <row r="27" spans="1:15" ht="15.75" x14ac:dyDescent="0.25">
      <c r="A27" s="20"/>
      <c r="B27" s="20"/>
      <c r="C27" s="19" t="s">
        <v>24</v>
      </c>
      <c r="D27" s="38"/>
      <c r="E27" s="39"/>
      <c r="F27" s="39"/>
      <c r="G27" s="40"/>
      <c r="H27" s="41"/>
      <c r="I27" s="20"/>
      <c r="J27" s="42"/>
    </row>
    <row r="28" spans="1:15" x14ac:dyDescent="0.25">
      <c r="A28" s="43"/>
      <c r="B28" s="21" t="s">
        <v>25</v>
      </c>
      <c r="C28" s="41"/>
      <c r="D28" s="20"/>
      <c r="E28" s="44">
        <f>E24</f>
        <v>28000</v>
      </c>
      <c r="F28" s="45"/>
      <c r="G28" s="21">
        <v>4500</v>
      </c>
      <c r="H28" s="46"/>
      <c r="I28" s="20"/>
      <c r="J28" s="22"/>
    </row>
    <row r="29" spans="1:15" x14ac:dyDescent="0.25">
      <c r="A29" s="43"/>
      <c r="B29" s="21" t="s">
        <v>36</v>
      </c>
      <c r="C29" s="57">
        <v>0.1</v>
      </c>
      <c r="D29" s="20"/>
      <c r="E29" s="44">
        <f>E28*C29</f>
        <v>2800</v>
      </c>
      <c r="F29" s="45"/>
      <c r="G29" s="47">
        <v>1500</v>
      </c>
      <c r="H29" s="48"/>
      <c r="I29" s="20"/>
      <c r="J29" s="22"/>
    </row>
    <row r="30" spans="1:15" x14ac:dyDescent="0.25">
      <c r="A30" s="43"/>
      <c r="B30" s="21" t="s">
        <v>27</v>
      </c>
      <c r="C30" s="41"/>
      <c r="D30" s="20"/>
      <c r="E30" s="42">
        <v>32100</v>
      </c>
      <c r="F30" s="45"/>
      <c r="G30" s="47" t="s">
        <v>37</v>
      </c>
      <c r="H30" s="48"/>
      <c r="I30" s="20"/>
      <c r="J30" s="49"/>
    </row>
    <row r="31" spans="1:15" x14ac:dyDescent="0.25">
      <c r="A31" s="43"/>
      <c r="B31" s="47" t="s">
        <v>28</v>
      </c>
      <c r="C31" s="20"/>
      <c r="D31" s="20"/>
      <c r="E31" s="20"/>
      <c r="F31" s="20"/>
      <c r="G31" s="47"/>
      <c r="H31" s="20"/>
      <c r="I31" s="20"/>
      <c r="J31" s="50"/>
    </row>
    <row r="32" spans="1:15" x14ac:dyDescent="0.25">
      <c r="A32" s="43"/>
      <c r="B32" s="21" t="s">
        <v>29</v>
      </c>
      <c r="C32" s="41"/>
      <c r="D32" s="20"/>
      <c r="F32" s="20"/>
      <c r="G32" s="47"/>
      <c r="H32" s="20"/>
      <c r="I32" s="20"/>
      <c r="J32" s="22"/>
    </row>
    <row r="33" spans="1:10" s="20" customFormat="1" ht="16.5" x14ac:dyDescent="0.35">
      <c r="A33" s="43"/>
      <c r="B33" s="21" t="s">
        <v>26</v>
      </c>
      <c r="C33" s="41"/>
      <c r="E33" s="51">
        <f>SUM(E30:E31)</f>
        <v>32100</v>
      </c>
      <c r="G33" s="47"/>
      <c r="J33" s="22"/>
    </row>
    <row r="34" spans="1:10" x14ac:dyDescent="0.25">
      <c r="A34" s="43"/>
      <c r="B34" s="21" t="s">
        <v>5</v>
      </c>
      <c r="C34" s="20"/>
      <c r="D34" s="20"/>
      <c r="E34" s="45">
        <f>E28-E33</f>
        <v>-4100</v>
      </c>
      <c r="F34" s="20"/>
      <c r="G34" s="20"/>
      <c r="H34" s="20"/>
      <c r="I34" s="20"/>
      <c r="J34" s="22"/>
    </row>
    <row r="35" spans="1:10" x14ac:dyDescent="0.25">
      <c r="A35" s="43"/>
      <c r="B35" s="20"/>
      <c r="C35" s="20"/>
      <c r="D35" s="20"/>
      <c r="E35" s="20"/>
      <c r="F35" s="20"/>
      <c r="G35" s="36"/>
      <c r="H35" s="32"/>
      <c r="I35" s="32"/>
      <c r="J35" s="52"/>
    </row>
    <row r="36" spans="1:10" ht="18" x14ac:dyDescent="0.4">
      <c r="A36" s="43"/>
      <c r="B36" s="20"/>
      <c r="C36" s="20"/>
      <c r="D36" s="20"/>
      <c r="E36" s="20"/>
      <c r="F36" s="20"/>
      <c r="G36" s="53"/>
      <c r="H36" s="20"/>
      <c r="I36" s="20"/>
      <c r="J36" s="54"/>
    </row>
    <row r="37" spans="1:10" x14ac:dyDescent="0.25">
      <c r="A37" s="21"/>
      <c r="B37" s="20"/>
      <c r="C37" s="20"/>
      <c r="D37" s="20"/>
      <c r="E37" s="20"/>
      <c r="F37" s="20"/>
      <c r="G37" s="20"/>
      <c r="H37" s="20"/>
      <c r="I37" s="20"/>
      <c r="J37" s="20"/>
    </row>
    <row r="38" spans="1:10" x14ac:dyDescent="0.25">
      <c r="A38" s="55" t="s">
        <v>30</v>
      </c>
      <c r="B38" s="20"/>
      <c r="C38" s="20"/>
      <c r="D38" s="20"/>
      <c r="E38" s="56" t="s">
        <v>31</v>
      </c>
      <c r="F38" s="56"/>
      <c r="G38" s="56"/>
      <c r="H38" s="56"/>
      <c r="I38" s="56"/>
      <c r="J38" s="45"/>
    </row>
    <row r="39" spans="1:10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32"/>
    </row>
    <row r="40" spans="1:10" x14ac:dyDescent="0.25">
      <c r="A40" s="56" t="s">
        <v>32</v>
      </c>
      <c r="B40" s="20"/>
      <c r="C40" s="20"/>
      <c r="D40" s="20"/>
      <c r="E40" s="56" t="s">
        <v>33</v>
      </c>
      <c r="F40" s="56"/>
      <c r="G40" s="56"/>
      <c r="H40" s="56"/>
      <c r="I40" s="56"/>
      <c r="J40" s="20"/>
    </row>
    <row r="41" spans="1:10" x14ac:dyDescent="0.25">
      <c r="A41" s="56" t="s">
        <v>34</v>
      </c>
      <c r="B41" s="20"/>
      <c r="C41" s="20"/>
      <c r="D41" s="20"/>
      <c r="E41" s="56" t="s">
        <v>34</v>
      </c>
      <c r="F41" s="56"/>
      <c r="G41" s="56"/>
      <c r="H41" s="56"/>
      <c r="I41" s="56"/>
      <c r="J41" s="20"/>
    </row>
    <row r="42" spans="1:10" x14ac:dyDescent="0.25">
      <c r="A42" s="20" t="s">
        <v>35</v>
      </c>
      <c r="B42" s="20"/>
      <c r="C42" s="20"/>
      <c r="D42" s="20"/>
      <c r="E42" s="20"/>
      <c r="F42" s="20"/>
      <c r="G42" s="20"/>
      <c r="H42" s="20"/>
      <c r="I42" s="20"/>
      <c r="J42" s="2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38" sqref="D38"/>
    </sheetView>
  </sheetViews>
  <sheetFormatPr defaultRowHeight="15" x14ac:dyDescent="0.25"/>
  <cols>
    <col min="1" max="1" width="4.5703125" customWidth="1"/>
    <col min="2" max="2" width="17.5703125" customWidth="1"/>
    <col min="7" max="7" width="11.5703125" customWidth="1"/>
    <col min="9" max="9" width="10.5703125" bestFit="1" customWidth="1"/>
  </cols>
  <sheetData>
    <row r="1" spans="1:9" x14ac:dyDescent="0.25">
      <c r="A1" s="31" t="s">
        <v>47</v>
      </c>
      <c r="B1" s="58"/>
      <c r="C1" s="58"/>
      <c r="D1" s="31"/>
      <c r="E1" s="58"/>
      <c r="F1" s="58"/>
      <c r="G1" s="58"/>
      <c r="H1" s="58"/>
    </row>
    <row r="2" spans="1:9" ht="18.75" x14ac:dyDescent="0.25">
      <c r="A2" s="33" t="s">
        <v>95</v>
      </c>
      <c r="B2" s="35"/>
      <c r="C2" s="35"/>
      <c r="D2" s="34"/>
      <c r="E2" s="34"/>
      <c r="F2" s="34"/>
      <c r="G2" s="34"/>
      <c r="H2" s="34"/>
    </row>
    <row r="3" spans="1:9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</row>
    <row r="4" spans="1:9" x14ac:dyDescent="0.25">
      <c r="A4" s="1"/>
      <c r="B4" s="11"/>
      <c r="C4" s="11"/>
      <c r="D4" s="11"/>
      <c r="E4" s="11"/>
      <c r="F4" s="58"/>
      <c r="G4" s="1"/>
      <c r="H4" s="12"/>
      <c r="I4" s="1"/>
    </row>
    <row r="5" spans="1:9" x14ac:dyDescent="0.25">
      <c r="A5" s="1">
        <v>1</v>
      </c>
      <c r="B5" s="13" t="s">
        <v>68</v>
      </c>
      <c r="C5" s="13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</row>
    <row r="6" spans="1:9" x14ac:dyDescent="0.25">
      <c r="A6" s="1">
        <v>2</v>
      </c>
      <c r="B6" s="13" t="s">
        <v>52</v>
      </c>
      <c r="C6" s="13"/>
      <c r="D6" s="14">
        <v>0</v>
      </c>
      <c r="E6" s="1">
        <v>2500</v>
      </c>
      <c r="F6" s="1">
        <v>150</v>
      </c>
      <c r="G6" s="16">
        <f t="shared" ref="G6:G18" si="0">E6+F6</f>
        <v>2650</v>
      </c>
      <c r="H6" s="68">
        <v>2650</v>
      </c>
      <c r="I6" s="16">
        <f>G6-H6</f>
        <v>0</v>
      </c>
    </row>
    <row r="7" spans="1:9" x14ac:dyDescent="0.25">
      <c r="A7" s="1">
        <v>3</v>
      </c>
      <c r="B7" s="13" t="s">
        <v>82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</row>
    <row r="8" spans="1:9" x14ac:dyDescent="0.25">
      <c r="A8" s="1">
        <v>4</v>
      </c>
      <c r="B8" s="13" t="s">
        <v>10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f>G8-H8</f>
        <v>150</v>
      </c>
    </row>
    <row r="9" spans="1:9" x14ac:dyDescent="0.25">
      <c r="A9" s="1">
        <v>5</v>
      </c>
      <c r="B9" s="13" t="s">
        <v>104</v>
      </c>
      <c r="C9" s="13"/>
      <c r="D9" s="14">
        <v>0</v>
      </c>
      <c r="E9" s="1">
        <v>2500</v>
      </c>
      <c r="F9" s="1">
        <v>150</v>
      </c>
      <c r="G9" s="16">
        <f t="shared" si="0"/>
        <v>2650</v>
      </c>
      <c r="H9" s="68">
        <v>2650</v>
      </c>
      <c r="I9" s="16">
        <f>G9-H9</f>
        <v>0</v>
      </c>
    </row>
    <row r="10" spans="1:9" x14ac:dyDescent="0.25">
      <c r="A10" s="1">
        <v>6</v>
      </c>
      <c r="B10" s="13" t="s">
        <v>105</v>
      </c>
      <c r="C10" s="13"/>
      <c r="D10" s="14"/>
      <c r="E10" s="1"/>
      <c r="F10" s="1"/>
      <c r="G10" s="16"/>
      <c r="H10" s="68"/>
      <c r="I10" s="16">
        <f>G10-H10</f>
        <v>0</v>
      </c>
    </row>
    <row r="11" spans="1:9" x14ac:dyDescent="0.25">
      <c r="A11" s="1">
        <v>7</v>
      </c>
      <c r="B11" s="13" t="s">
        <v>14</v>
      </c>
      <c r="C11" s="13"/>
      <c r="D11" s="14">
        <v>0</v>
      </c>
      <c r="E11" s="1">
        <v>3500</v>
      </c>
      <c r="F11" s="1"/>
      <c r="G11" s="16">
        <f t="shared" si="0"/>
        <v>3500</v>
      </c>
      <c r="H11" s="68">
        <v>2500</v>
      </c>
      <c r="I11" s="16">
        <f>G11-H11</f>
        <v>1000</v>
      </c>
    </row>
    <row r="12" spans="1:9" x14ac:dyDescent="0.25">
      <c r="A12" s="1">
        <v>8</v>
      </c>
      <c r="B12" s="13" t="s">
        <v>13</v>
      </c>
      <c r="C12" s="13"/>
      <c r="D12" s="14">
        <v>0</v>
      </c>
      <c r="E12" s="1">
        <v>3500</v>
      </c>
      <c r="F12" s="1">
        <v>150</v>
      </c>
      <c r="G12" s="16">
        <f t="shared" si="0"/>
        <v>3650</v>
      </c>
      <c r="H12" s="68">
        <v>3650</v>
      </c>
      <c r="I12" s="16">
        <f>G12-H12</f>
        <v>0</v>
      </c>
    </row>
    <row r="13" spans="1:9" x14ac:dyDescent="0.25">
      <c r="A13" s="1">
        <v>9</v>
      </c>
      <c r="B13" s="79" t="s">
        <v>15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>
        <v>2650</v>
      </c>
      <c r="I13" s="16">
        <v>150</v>
      </c>
    </row>
    <row r="14" spans="1:9" x14ac:dyDescent="0.25">
      <c r="A14" s="1">
        <v>10</v>
      </c>
      <c r="B14" s="79" t="s">
        <v>67</v>
      </c>
      <c r="C14" s="79"/>
      <c r="D14" s="14"/>
      <c r="E14" s="1">
        <v>2500</v>
      </c>
      <c r="F14" s="1">
        <v>150</v>
      </c>
      <c r="G14" s="16">
        <f t="shared" si="0"/>
        <v>2650</v>
      </c>
      <c r="H14" s="68">
        <v>2650</v>
      </c>
      <c r="I14" s="16">
        <f>G14-H14</f>
        <v>0</v>
      </c>
    </row>
    <row r="15" spans="1:9" x14ac:dyDescent="0.25">
      <c r="A15" s="1">
        <v>11</v>
      </c>
      <c r="B15" s="13" t="s">
        <v>17</v>
      </c>
      <c r="C15" s="13"/>
      <c r="D15" s="14">
        <v>0</v>
      </c>
      <c r="E15" s="1">
        <v>3500</v>
      </c>
      <c r="F15" s="1"/>
      <c r="G15" s="16">
        <f t="shared" si="0"/>
        <v>3500</v>
      </c>
      <c r="H15" s="68">
        <v>3500</v>
      </c>
      <c r="I15" s="16">
        <f>G15-H15</f>
        <v>0</v>
      </c>
    </row>
    <row r="16" spans="1:9" x14ac:dyDescent="0.25">
      <c r="A16" s="1">
        <v>12</v>
      </c>
      <c r="B16" s="13" t="s">
        <v>18</v>
      </c>
      <c r="C16" s="13"/>
      <c r="D16" s="14">
        <v>0</v>
      </c>
      <c r="E16" s="1">
        <v>2500</v>
      </c>
      <c r="F16" s="1">
        <v>150</v>
      </c>
      <c r="G16" s="16">
        <f t="shared" si="0"/>
        <v>2650</v>
      </c>
      <c r="H16" s="68">
        <v>2650</v>
      </c>
      <c r="I16" s="16">
        <f>G16-H16</f>
        <v>0</v>
      </c>
    </row>
    <row r="17" spans="1:9" x14ac:dyDescent="0.25">
      <c r="A17" s="1">
        <v>13</v>
      </c>
      <c r="B17" s="13" t="s">
        <v>97</v>
      </c>
      <c r="C17" s="13" t="s">
        <v>83</v>
      </c>
      <c r="D17" s="14"/>
      <c r="E17" s="1">
        <v>2500</v>
      </c>
      <c r="F17" s="1">
        <v>150</v>
      </c>
      <c r="G17" s="16">
        <f t="shared" si="0"/>
        <v>2650</v>
      </c>
      <c r="H17" s="68">
        <v>2650</v>
      </c>
      <c r="I17" s="16">
        <f>G17-H17</f>
        <v>0</v>
      </c>
    </row>
    <row r="18" spans="1:9" x14ac:dyDescent="0.25">
      <c r="A18" s="1"/>
      <c r="B18" s="13"/>
      <c r="C18" s="13" t="s">
        <v>83</v>
      </c>
      <c r="D18" s="67">
        <f>SUM(D4:D16)</f>
        <v>0</v>
      </c>
      <c r="E18" s="94">
        <f>SUM(E5:E17)</f>
        <v>33000</v>
      </c>
      <c r="F18" s="1">
        <v>150</v>
      </c>
      <c r="G18" s="16">
        <f t="shared" si="0"/>
        <v>33150</v>
      </c>
      <c r="H18" s="68">
        <f>SUM(H5:H17)</f>
        <v>32000</v>
      </c>
      <c r="I18" s="16">
        <f>SUM(I4:I17)</f>
        <v>1300</v>
      </c>
    </row>
    <row r="19" spans="1:9" ht="15.75" x14ac:dyDescent="0.25">
      <c r="A19" s="58"/>
      <c r="B19" s="58"/>
      <c r="C19" s="58"/>
      <c r="D19" s="19" t="s">
        <v>24</v>
      </c>
      <c r="E19" s="38"/>
      <c r="F19" s="38"/>
      <c r="G19" s="38"/>
      <c r="H19" s="58"/>
    </row>
    <row r="20" spans="1:9" x14ac:dyDescent="0.25">
      <c r="A20" s="58"/>
      <c r="B20" s="21" t="s">
        <v>73</v>
      </c>
      <c r="C20" s="21"/>
      <c r="D20" s="41"/>
      <c r="E20" s="58"/>
      <c r="F20" s="58"/>
      <c r="G20" s="58"/>
      <c r="H20" s="38"/>
    </row>
    <row r="21" spans="1:9" x14ac:dyDescent="0.25">
      <c r="A21" s="43"/>
      <c r="B21" s="58" t="s">
        <v>110</v>
      </c>
      <c r="C21" s="58"/>
      <c r="D21" s="58"/>
      <c r="E21" s="58"/>
      <c r="F21" s="58"/>
      <c r="G21" s="100">
        <f>E18</f>
        <v>33000</v>
      </c>
      <c r="H21" s="44"/>
    </row>
    <row r="22" spans="1:9" x14ac:dyDescent="0.25">
      <c r="A22" s="43"/>
      <c r="B22" s="21"/>
      <c r="C22" s="21"/>
      <c r="D22" s="58"/>
      <c r="E22" s="58"/>
      <c r="F22" s="58"/>
      <c r="G22" s="88"/>
      <c r="H22" s="58"/>
    </row>
    <row r="23" spans="1:9" x14ac:dyDescent="0.25">
      <c r="A23" s="43"/>
      <c r="B23" s="21"/>
      <c r="C23" s="21"/>
      <c r="D23" s="58"/>
      <c r="E23" s="58"/>
      <c r="F23" s="58"/>
      <c r="G23" s="88"/>
      <c r="H23" s="58"/>
    </row>
    <row r="24" spans="1:9" ht="16.5" x14ac:dyDescent="0.35">
      <c r="A24" s="43"/>
      <c r="B24" s="84" t="s">
        <v>56</v>
      </c>
      <c r="C24" s="84"/>
      <c r="D24" s="58"/>
      <c r="E24" s="58"/>
      <c r="F24" s="58"/>
      <c r="G24" s="58"/>
      <c r="H24" s="51"/>
    </row>
    <row r="25" spans="1:9" ht="16.5" x14ac:dyDescent="0.35">
      <c r="A25" s="43"/>
      <c r="B25" s="21" t="s">
        <v>36</v>
      </c>
      <c r="C25" s="21"/>
      <c r="D25" s="57">
        <v>0.1</v>
      </c>
      <c r="E25" s="58"/>
      <c r="F25" s="58"/>
      <c r="G25" s="89">
        <f>G21*D25</f>
        <v>3300</v>
      </c>
      <c r="H25" s="51"/>
    </row>
    <row r="26" spans="1:9" x14ac:dyDescent="0.25">
      <c r="A26" s="43"/>
      <c r="B26" s="21" t="s">
        <v>64</v>
      </c>
      <c r="C26" s="21"/>
      <c r="D26" s="41"/>
      <c r="E26" s="58"/>
      <c r="F26" s="58"/>
      <c r="G26" s="90">
        <v>8200</v>
      </c>
      <c r="H26" s="45"/>
    </row>
    <row r="27" spans="1:9" x14ac:dyDescent="0.25">
      <c r="A27" s="58"/>
      <c r="B27" s="21" t="s">
        <v>106</v>
      </c>
      <c r="C27" s="58"/>
      <c r="D27" s="58"/>
      <c r="E27" s="58"/>
      <c r="F27" s="58"/>
      <c r="G27" s="58">
        <v>4000</v>
      </c>
      <c r="H27" s="93"/>
    </row>
    <row r="28" spans="1:9" s="58" customFormat="1" x14ac:dyDescent="0.25">
      <c r="B28" s="21" t="s">
        <v>107</v>
      </c>
      <c r="G28" s="58">
        <v>10500</v>
      </c>
      <c r="H28" s="93"/>
    </row>
    <row r="29" spans="1:9" s="58" customFormat="1" x14ac:dyDescent="0.25">
      <c r="B29" s="21" t="s">
        <v>108</v>
      </c>
      <c r="G29" s="58">
        <v>500</v>
      </c>
      <c r="H29" s="93"/>
    </row>
    <row r="30" spans="1:9" x14ac:dyDescent="0.25">
      <c r="A30" s="58"/>
      <c r="B30" s="82" t="s">
        <v>66</v>
      </c>
      <c r="C30" s="58"/>
      <c r="D30" s="58"/>
      <c r="E30" s="58"/>
      <c r="F30" s="58"/>
      <c r="G30" s="45">
        <f>SUM(G25:G29)</f>
        <v>26500</v>
      </c>
      <c r="H30" s="93"/>
    </row>
    <row r="31" spans="1:9" x14ac:dyDescent="0.25">
      <c r="A31" s="58"/>
      <c r="B31" s="58" t="s">
        <v>99</v>
      </c>
      <c r="C31" s="82"/>
      <c r="D31" s="83"/>
      <c r="E31" s="83"/>
      <c r="F31" s="83"/>
      <c r="G31" s="91">
        <f>G21-G30</f>
        <v>6500</v>
      </c>
      <c r="H31" s="58"/>
    </row>
    <row r="32" spans="1:9" x14ac:dyDescent="0.25">
      <c r="A32" s="58"/>
      <c r="B32" s="21" t="s">
        <v>109</v>
      </c>
      <c r="C32" s="58">
        <v>11</v>
      </c>
      <c r="D32" s="58">
        <v>150</v>
      </c>
      <c r="E32" s="58"/>
      <c r="F32" s="58"/>
      <c r="G32" s="58">
        <v>1000</v>
      </c>
      <c r="H32" s="58"/>
    </row>
    <row r="33" spans="1:9" x14ac:dyDescent="0.25">
      <c r="A33" s="58"/>
      <c r="B33" s="21" t="s">
        <v>111</v>
      </c>
      <c r="C33" s="58"/>
      <c r="D33" s="58"/>
      <c r="E33" s="58"/>
      <c r="F33" s="58"/>
      <c r="G33">
        <v>60</v>
      </c>
      <c r="H33" s="58"/>
    </row>
    <row r="34" spans="1:9" x14ac:dyDescent="0.25">
      <c r="A34" s="58"/>
      <c r="B34" s="56" t="s">
        <v>112</v>
      </c>
      <c r="C34" s="58"/>
      <c r="D34" s="58"/>
      <c r="E34" s="58"/>
      <c r="F34" s="58"/>
      <c r="G34" s="45">
        <f>G21-G30-G32-G33</f>
        <v>5440</v>
      </c>
      <c r="H34" s="58"/>
    </row>
    <row r="35" spans="1:9" x14ac:dyDescent="0.25">
      <c r="A35" s="58"/>
      <c r="B35" s="21" t="s">
        <v>5</v>
      </c>
      <c r="C35" s="21"/>
      <c r="D35" s="58"/>
      <c r="E35" s="58"/>
      <c r="F35" s="58"/>
      <c r="G35" s="58"/>
      <c r="H35" s="58"/>
      <c r="I35" s="45">
        <f>G26+G27+G28+G29+G34</f>
        <v>28640</v>
      </c>
    </row>
    <row r="36" spans="1:9" x14ac:dyDescent="0.25">
      <c r="A36" s="58"/>
      <c r="B36" s="56" t="s">
        <v>100</v>
      </c>
      <c r="C36" s="56" t="s">
        <v>92</v>
      </c>
      <c r="D36" s="58"/>
      <c r="E36" s="58"/>
      <c r="F36" s="58"/>
      <c r="G36" s="56" t="s">
        <v>33</v>
      </c>
      <c r="H36" s="58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7" workbookViewId="0">
      <selection activeCell="B36" sqref="B36:G37"/>
    </sheetView>
  </sheetViews>
  <sheetFormatPr defaultRowHeight="15" x14ac:dyDescent="0.25"/>
  <cols>
    <col min="2" max="2" width="21.140625" bestFit="1" customWidth="1"/>
    <col min="7" max="7" width="11.5703125" customWidth="1"/>
    <col min="9" max="9" width="10.42578125" customWidth="1"/>
  </cols>
  <sheetData>
    <row r="1" spans="1:12" x14ac:dyDescent="0.25">
      <c r="A1" s="31" t="s">
        <v>47</v>
      </c>
      <c r="B1" s="58"/>
      <c r="C1" s="58"/>
      <c r="D1" s="31"/>
      <c r="E1" s="58"/>
      <c r="F1" s="58"/>
      <c r="G1" s="58"/>
      <c r="H1" s="58"/>
      <c r="I1" s="58"/>
    </row>
    <row r="2" spans="1:12" ht="18.75" x14ac:dyDescent="0.25">
      <c r="A2" s="33" t="s">
        <v>95</v>
      </c>
      <c r="B2" s="35"/>
      <c r="C2" s="35"/>
      <c r="D2" s="34"/>
      <c r="E2" s="34"/>
      <c r="F2" s="34"/>
      <c r="G2" s="34"/>
      <c r="H2" s="34"/>
      <c r="I2" s="58"/>
    </row>
    <row r="3" spans="1:12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</row>
    <row r="4" spans="1:12" x14ac:dyDescent="0.25">
      <c r="A4" s="1"/>
      <c r="B4" s="11"/>
      <c r="C4" s="11"/>
      <c r="D4" s="11"/>
      <c r="E4" s="11"/>
      <c r="F4" s="58"/>
      <c r="G4" s="1"/>
      <c r="H4" s="12"/>
      <c r="I4" s="1"/>
    </row>
    <row r="5" spans="1:12" x14ac:dyDescent="0.25">
      <c r="A5" s="1">
        <v>1</v>
      </c>
      <c r="B5" s="13" t="s">
        <v>68</v>
      </c>
      <c r="C5" s="13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</row>
    <row r="6" spans="1:12" x14ac:dyDescent="0.25">
      <c r="A6" s="1">
        <v>2</v>
      </c>
      <c r="B6" s="13" t="s">
        <v>52</v>
      </c>
      <c r="C6" s="13"/>
      <c r="D6" s="14">
        <v>0</v>
      </c>
      <c r="E6" s="1">
        <v>2500</v>
      </c>
      <c r="F6" s="1">
        <v>150</v>
      </c>
      <c r="G6" s="16">
        <f t="shared" ref="G6:G17" si="0">E6+F6</f>
        <v>2650</v>
      </c>
      <c r="H6" s="68">
        <v>2650</v>
      </c>
      <c r="I6" s="16">
        <f>G6-H6</f>
        <v>0</v>
      </c>
    </row>
    <row r="7" spans="1:12" x14ac:dyDescent="0.25">
      <c r="A7" s="1">
        <v>3</v>
      </c>
      <c r="B7" s="13" t="s">
        <v>82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</row>
    <row r="8" spans="1:12" x14ac:dyDescent="0.25">
      <c r="A8" s="1">
        <v>4</v>
      </c>
      <c r="B8" s="13" t="s">
        <v>10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f>G8-H8</f>
        <v>150</v>
      </c>
    </row>
    <row r="9" spans="1:12" x14ac:dyDescent="0.25">
      <c r="A9" s="1">
        <v>5</v>
      </c>
      <c r="B9" s="13" t="s">
        <v>104</v>
      </c>
      <c r="C9" s="13"/>
      <c r="D9" s="14">
        <v>0</v>
      </c>
      <c r="E9" s="1">
        <v>2500</v>
      </c>
      <c r="F9" s="1">
        <v>150</v>
      </c>
      <c r="G9" s="16">
        <f t="shared" si="0"/>
        <v>2650</v>
      </c>
      <c r="H9" s="68">
        <v>2650</v>
      </c>
      <c r="I9" s="16">
        <f>G9-H9</f>
        <v>0</v>
      </c>
    </row>
    <row r="10" spans="1:12" x14ac:dyDescent="0.25">
      <c r="A10" s="1">
        <v>6</v>
      </c>
      <c r="B10" s="13" t="s">
        <v>105</v>
      </c>
      <c r="C10" s="13"/>
      <c r="D10" s="14"/>
      <c r="E10" s="1"/>
      <c r="F10" s="1">
        <v>150</v>
      </c>
      <c r="G10" s="16"/>
      <c r="H10" s="68"/>
      <c r="I10" s="16">
        <f>G10-H10</f>
        <v>0</v>
      </c>
    </row>
    <row r="11" spans="1:12" x14ac:dyDescent="0.25">
      <c r="A11" s="1">
        <v>7</v>
      </c>
      <c r="B11" s="13" t="s">
        <v>14</v>
      </c>
      <c r="C11" s="13"/>
      <c r="D11" s="14">
        <v>0</v>
      </c>
      <c r="E11" s="1">
        <v>3500</v>
      </c>
      <c r="F11" s="1">
        <v>150</v>
      </c>
      <c r="G11" s="16">
        <f t="shared" si="0"/>
        <v>3650</v>
      </c>
      <c r="H11" s="68">
        <v>2500</v>
      </c>
      <c r="I11" s="16">
        <f>G11-H11</f>
        <v>1150</v>
      </c>
    </row>
    <row r="12" spans="1:12" x14ac:dyDescent="0.25">
      <c r="A12" s="1">
        <v>8</v>
      </c>
      <c r="B12" s="13" t="s">
        <v>13</v>
      </c>
      <c r="C12" s="13"/>
      <c r="D12" s="14">
        <v>0</v>
      </c>
      <c r="E12" s="1">
        <v>3500</v>
      </c>
      <c r="F12" s="1">
        <v>150</v>
      </c>
      <c r="G12" s="16">
        <f t="shared" si="0"/>
        <v>3650</v>
      </c>
      <c r="H12" s="68">
        <v>3650</v>
      </c>
      <c r="I12" s="16">
        <f>G12-H12</f>
        <v>0</v>
      </c>
    </row>
    <row r="13" spans="1:12" x14ac:dyDescent="0.25">
      <c r="A13" s="1">
        <v>9</v>
      </c>
      <c r="B13" s="79" t="s">
        <v>15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>
        <v>2650</v>
      </c>
      <c r="I13" s="16">
        <v>150</v>
      </c>
    </row>
    <row r="14" spans="1:12" x14ac:dyDescent="0.25">
      <c r="A14" s="1">
        <v>10</v>
      </c>
      <c r="B14" s="79" t="s">
        <v>67</v>
      </c>
      <c r="C14" s="79"/>
      <c r="D14" s="14"/>
      <c r="E14" s="1">
        <v>2500</v>
      </c>
      <c r="F14" s="1">
        <v>150</v>
      </c>
      <c r="G14" s="16">
        <f t="shared" si="0"/>
        <v>2650</v>
      </c>
      <c r="H14" s="68">
        <v>2650</v>
      </c>
      <c r="I14" s="16">
        <f>G14-H14</f>
        <v>0</v>
      </c>
    </row>
    <row r="15" spans="1:12" x14ac:dyDescent="0.25">
      <c r="A15" s="1">
        <v>11</v>
      </c>
      <c r="B15" s="13" t="s">
        <v>17</v>
      </c>
      <c r="C15" s="13"/>
      <c r="D15" s="14">
        <v>0</v>
      </c>
      <c r="E15" s="1">
        <v>3500</v>
      </c>
      <c r="F15" s="1"/>
      <c r="G15" s="16">
        <f t="shared" si="0"/>
        <v>3500</v>
      </c>
      <c r="H15" s="68">
        <v>3500</v>
      </c>
      <c r="I15" s="16">
        <f>G15-H15</f>
        <v>0</v>
      </c>
      <c r="L15">
        <v>2500</v>
      </c>
    </row>
    <row r="16" spans="1:12" x14ac:dyDescent="0.25">
      <c r="A16" s="1">
        <v>12</v>
      </c>
      <c r="B16" s="13" t="s">
        <v>18</v>
      </c>
      <c r="C16" s="13"/>
      <c r="D16" s="14">
        <v>0</v>
      </c>
      <c r="E16" s="1">
        <v>2500</v>
      </c>
      <c r="F16" s="1">
        <v>150</v>
      </c>
      <c r="G16" s="16">
        <f t="shared" si="0"/>
        <v>2650</v>
      </c>
      <c r="H16" s="68">
        <v>2650</v>
      </c>
      <c r="I16" s="16">
        <f>G16-H16</f>
        <v>0</v>
      </c>
      <c r="L16">
        <v>1300</v>
      </c>
    </row>
    <row r="17" spans="1:12" x14ac:dyDescent="0.25">
      <c r="A17" s="1">
        <v>13</v>
      </c>
      <c r="B17" s="13" t="s">
        <v>97</v>
      </c>
      <c r="C17" s="13" t="s">
        <v>83</v>
      </c>
      <c r="D17" s="14"/>
      <c r="E17" s="1">
        <v>2500</v>
      </c>
      <c r="F17" s="1">
        <v>150</v>
      </c>
      <c r="G17" s="16">
        <f t="shared" si="0"/>
        <v>2650</v>
      </c>
      <c r="H17" s="68">
        <v>2650</v>
      </c>
      <c r="I17" s="16">
        <f>G17-H17</f>
        <v>0</v>
      </c>
      <c r="L17">
        <v>1950</v>
      </c>
    </row>
    <row r="18" spans="1:12" x14ac:dyDescent="0.25">
      <c r="A18" s="1"/>
      <c r="B18" s="13"/>
      <c r="C18" s="13" t="s">
        <v>83</v>
      </c>
      <c r="D18" s="67">
        <f>SUM(D4:D16)</f>
        <v>0</v>
      </c>
      <c r="E18" s="94">
        <f>SUM(E5:E17)</f>
        <v>33000</v>
      </c>
      <c r="F18" s="1">
        <v>150</v>
      </c>
      <c r="G18" s="16">
        <f>SUM(G4:G17)</f>
        <v>34650</v>
      </c>
      <c r="H18" s="68">
        <f>SUM(H5:H17)</f>
        <v>32000</v>
      </c>
      <c r="I18" s="16">
        <f>SUM(I4:I17)</f>
        <v>1450</v>
      </c>
      <c r="L18">
        <v>1600</v>
      </c>
    </row>
    <row r="19" spans="1:12" ht="15.75" x14ac:dyDescent="0.25">
      <c r="A19" s="58"/>
      <c r="B19" s="58"/>
      <c r="C19" s="58"/>
      <c r="D19" s="19" t="s">
        <v>24</v>
      </c>
      <c r="E19" s="38"/>
      <c r="F19" s="38">
        <f>SUM(F4:F18)</f>
        <v>1950</v>
      </c>
      <c r="G19" s="38"/>
      <c r="H19" s="58"/>
      <c r="I19" s="58"/>
      <c r="L19">
        <f>SUM(L15:L18)</f>
        <v>7350</v>
      </c>
    </row>
    <row r="20" spans="1:12" x14ac:dyDescent="0.25">
      <c r="A20" s="58"/>
      <c r="B20" s="21" t="s">
        <v>73</v>
      </c>
      <c r="C20" s="21"/>
      <c r="D20" s="41"/>
      <c r="E20" s="58"/>
      <c r="F20" s="58"/>
      <c r="G20" s="58"/>
      <c r="H20" s="38"/>
      <c r="I20" s="58"/>
    </row>
    <row r="21" spans="1:12" x14ac:dyDescent="0.25">
      <c r="A21" s="43"/>
      <c r="B21" s="58" t="s">
        <v>110</v>
      </c>
      <c r="C21" s="58"/>
      <c r="D21" s="58"/>
      <c r="E21" s="58"/>
      <c r="F21" s="58"/>
      <c r="G21" s="100">
        <f>E18</f>
        <v>33000</v>
      </c>
      <c r="H21" s="44"/>
      <c r="I21" s="58"/>
    </row>
    <row r="22" spans="1:12" x14ac:dyDescent="0.25">
      <c r="A22" s="43"/>
      <c r="B22" s="21"/>
      <c r="C22" s="21"/>
      <c r="D22" s="58"/>
      <c r="E22" s="58"/>
      <c r="F22" s="58"/>
      <c r="G22" s="88"/>
      <c r="H22" s="58"/>
      <c r="I22" s="58"/>
    </row>
    <row r="23" spans="1:12" x14ac:dyDescent="0.25">
      <c r="A23" s="43"/>
      <c r="B23" s="21"/>
      <c r="C23" s="21"/>
      <c r="D23" s="58"/>
      <c r="E23" s="58"/>
      <c r="F23" s="58"/>
      <c r="G23" s="88"/>
      <c r="H23" s="58"/>
      <c r="I23" s="58"/>
    </row>
    <row r="24" spans="1:12" ht="16.5" x14ac:dyDescent="0.35">
      <c r="A24" s="43"/>
      <c r="B24" s="84" t="s">
        <v>56</v>
      </c>
      <c r="C24" s="84"/>
      <c r="D24" s="58"/>
      <c r="E24" s="58"/>
      <c r="F24" s="58"/>
      <c r="G24" s="58"/>
      <c r="H24" s="51"/>
      <c r="I24" s="58"/>
    </row>
    <row r="25" spans="1:12" ht="16.5" x14ac:dyDescent="0.35">
      <c r="A25" s="43"/>
      <c r="B25" s="21" t="s">
        <v>36</v>
      </c>
      <c r="C25" s="21"/>
      <c r="D25" s="57">
        <v>0.1</v>
      </c>
      <c r="E25" s="58"/>
      <c r="F25" s="58"/>
      <c r="G25" s="89">
        <f>G21*D25</f>
        <v>3300</v>
      </c>
      <c r="H25" s="51"/>
      <c r="I25" s="58"/>
    </row>
    <row r="26" spans="1:12" x14ac:dyDescent="0.25">
      <c r="A26" s="43"/>
      <c r="B26" s="21" t="s">
        <v>64</v>
      </c>
      <c r="C26" s="21"/>
      <c r="D26" s="41"/>
      <c r="E26" s="58"/>
      <c r="F26" s="58"/>
      <c r="G26" s="90">
        <v>8200</v>
      </c>
      <c r="H26" s="45"/>
      <c r="I26" s="58"/>
    </row>
    <row r="27" spans="1:12" x14ac:dyDescent="0.25">
      <c r="A27" s="58"/>
      <c r="B27" s="21" t="s">
        <v>106</v>
      </c>
      <c r="C27" s="58"/>
      <c r="D27" s="58"/>
      <c r="E27" s="58"/>
      <c r="F27" s="58"/>
      <c r="G27" s="58">
        <v>4000</v>
      </c>
      <c r="H27" s="93"/>
      <c r="I27" s="58"/>
    </row>
    <row r="28" spans="1:12" x14ac:dyDescent="0.25">
      <c r="A28" s="58"/>
      <c r="B28" s="21" t="s">
        <v>107</v>
      </c>
      <c r="C28" s="58"/>
      <c r="D28" s="58"/>
      <c r="E28" s="58"/>
      <c r="F28" s="58"/>
      <c r="G28" s="58">
        <v>10500</v>
      </c>
      <c r="H28" s="93"/>
      <c r="I28" s="58"/>
    </row>
    <row r="29" spans="1:12" x14ac:dyDescent="0.25">
      <c r="A29" s="58"/>
      <c r="B29" s="21" t="s">
        <v>108</v>
      </c>
      <c r="C29" s="58"/>
      <c r="D29" s="58"/>
      <c r="E29" s="58"/>
      <c r="F29" s="58"/>
      <c r="G29" s="58">
        <v>500</v>
      </c>
      <c r="H29" s="93"/>
      <c r="I29" s="58"/>
    </row>
    <row r="30" spans="1:12" x14ac:dyDescent="0.25">
      <c r="A30" s="58"/>
      <c r="B30" s="82" t="s">
        <v>66</v>
      </c>
      <c r="C30" s="58"/>
      <c r="D30" s="58"/>
      <c r="E30" s="58"/>
      <c r="F30" s="58"/>
      <c r="G30" s="45">
        <f>SUM(G25:G29)</f>
        <v>26500</v>
      </c>
      <c r="H30" s="93"/>
      <c r="I30" s="58"/>
    </row>
    <row r="31" spans="1:12" x14ac:dyDescent="0.25">
      <c r="A31" s="58"/>
      <c r="B31" s="58" t="s">
        <v>99</v>
      </c>
      <c r="C31" s="82"/>
      <c r="D31" s="83"/>
      <c r="E31" s="83"/>
      <c r="F31" s="83"/>
      <c r="G31" s="91">
        <f>G21-G30</f>
        <v>6500</v>
      </c>
      <c r="H31" s="58"/>
      <c r="I31" s="58"/>
    </row>
    <row r="32" spans="1:12" x14ac:dyDescent="0.25">
      <c r="A32" s="58"/>
      <c r="B32" s="21" t="s">
        <v>109</v>
      </c>
      <c r="C32" s="58">
        <v>11</v>
      </c>
      <c r="D32" s="58">
        <v>150</v>
      </c>
      <c r="E32" s="58"/>
      <c r="F32" s="58"/>
      <c r="G32" s="58">
        <v>1000</v>
      </c>
      <c r="H32" s="58"/>
      <c r="I32" s="58"/>
    </row>
    <row r="33" spans="1:9" x14ac:dyDescent="0.25">
      <c r="A33" s="58"/>
      <c r="B33" s="21" t="s">
        <v>111</v>
      </c>
      <c r="C33" s="58"/>
      <c r="D33" s="58"/>
      <c r="E33" s="58"/>
      <c r="F33" s="58"/>
      <c r="G33" s="58">
        <v>60</v>
      </c>
      <c r="H33" s="58"/>
      <c r="I33" s="58"/>
    </row>
    <row r="34" spans="1:9" x14ac:dyDescent="0.25">
      <c r="A34" s="58"/>
      <c r="B34" s="56" t="s">
        <v>112</v>
      </c>
      <c r="C34" s="58"/>
      <c r="D34" s="58"/>
      <c r="E34" s="58"/>
      <c r="F34" s="58"/>
      <c r="G34" s="45">
        <f>G21-G30-G32-G33</f>
        <v>5440</v>
      </c>
      <c r="H34" s="58"/>
      <c r="I34" s="58"/>
    </row>
    <row r="35" spans="1:9" x14ac:dyDescent="0.25">
      <c r="A35" s="58"/>
      <c r="B35" s="21" t="s">
        <v>5</v>
      </c>
      <c r="C35" s="21"/>
      <c r="D35" s="58"/>
      <c r="E35" s="58"/>
      <c r="F35" s="58"/>
      <c r="G35" s="58"/>
      <c r="H35" s="58"/>
      <c r="I35" s="45">
        <f>G26+G27+G28+G29+G34</f>
        <v>28640</v>
      </c>
    </row>
    <row r="36" spans="1:9" x14ac:dyDescent="0.25">
      <c r="A36" s="58"/>
      <c r="B36" s="56" t="s">
        <v>100</v>
      </c>
      <c r="C36" s="56" t="s">
        <v>92</v>
      </c>
      <c r="D36" s="58"/>
      <c r="E36" s="58"/>
      <c r="F36" s="58"/>
      <c r="G36" s="56" t="s">
        <v>33</v>
      </c>
      <c r="H36" s="58"/>
      <c r="I36" s="58"/>
    </row>
    <row r="37" spans="1:9" x14ac:dyDescent="0.25">
      <c r="A37" s="58"/>
      <c r="B37" s="58"/>
      <c r="C37" s="58"/>
      <c r="D37" s="58"/>
      <c r="E37" s="58"/>
      <c r="F37" s="58"/>
      <c r="G37" s="58"/>
      <c r="H37" s="58"/>
      <c r="I37" s="5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G24" sqref="G24"/>
    </sheetView>
  </sheetViews>
  <sheetFormatPr defaultRowHeight="15" x14ac:dyDescent="0.25"/>
  <cols>
    <col min="2" max="2" width="21.140625" bestFit="1" customWidth="1"/>
    <col min="3" max="3" width="5.5703125" customWidth="1"/>
    <col min="4" max="4" width="5.7109375" customWidth="1"/>
    <col min="7" max="7" width="11.140625" customWidth="1"/>
  </cols>
  <sheetData>
    <row r="1" spans="1:9" x14ac:dyDescent="0.25">
      <c r="A1" s="31" t="s">
        <v>118</v>
      </c>
      <c r="B1" s="58"/>
      <c r="C1" s="58"/>
      <c r="D1" s="31"/>
      <c r="E1" s="58"/>
      <c r="F1" s="58"/>
      <c r="G1" s="58"/>
      <c r="H1" s="58"/>
      <c r="I1" s="58"/>
    </row>
    <row r="2" spans="1:9" ht="18.75" x14ac:dyDescent="0.25">
      <c r="A2" s="33" t="s">
        <v>116</v>
      </c>
      <c r="B2" s="35"/>
      <c r="C2" s="35"/>
      <c r="D2" s="34"/>
      <c r="E2" s="34"/>
      <c r="F2" s="34"/>
      <c r="G2" s="34"/>
      <c r="H2" s="34"/>
      <c r="I2" s="58"/>
    </row>
    <row r="3" spans="1:9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</row>
    <row r="4" spans="1:9" x14ac:dyDescent="0.25">
      <c r="A4" s="1"/>
      <c r="B4" s="11"/>
      <c r="C4" s="11"/>
      <c r="D4" s="11"/>
      <c r="E4" s="11"/>
      <c r="F4" s="58"/>
      <c r="G4" s="1"/>
      <c r="H4" s="12"/>
      <c r="I4" s="1"/>
    </row>
    <row r="5" spans="1:9" x14ac:dyDescent="0.25">
      <c r="A5" s="1">
        <v>1</v>
      </c>
      <c r="B5" s="13" t="s">
        <v>68</v>
      </c>
      <c r="C5" s="13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</row>
    <row r="6" spans="1:9" x14ac:dyDescent="0.25">
      <c r="A6" s="1">
        <v>2</v>
      </c>
      <c r="B6" s="13" t="s">
        <v>52</v>
      </c>
      <c r="C6" s="13"/>
      <c r="D6" s="14">
        <v>0</v>
      </c>
      <c r="E6" s="1">
        <v>2500</v>
      </c>
      <c r="F6" s="1">
        <v>150</v>
      </c>
      <c r="G6" s="16">
        <f t="shared" ref="G6:H17" si="0">E6+F6</f>
        <v>2650</v>
      </c>
      <c r="H6" s="68">
        <v>2650</v>
      </c>
      <c r="I6" s="16">
        <f>G6-H6</f>
        <v>0</v>
      </c>
    </row>
    <row r="7" spans="1:9" x14ac:dyDescent="0.25">
      <c r="A7" s="1">
        <v>3</v>
      </c>
      <c r="B7" s="13" t="s">
        <v>113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</row>
    <row r="8" spans="1:9" x14ac:dyDescent="0.25">
      <c r="A8" s="1">
        <v>4</v>
      </c>
      <c r="B8" s="13" t="s">
        <v>10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v>0</v>
      </c>
    </row>
    <row r="9" spans="1:9" x14ac:dyDescent="0.25">
      <c r="A9" s="1">
        <v>5</v>
      </c>
      <c r="B9" s="13" t="s">
        <v>104</v>
      </c>
      <c r="C9" s="13"/>
      <c r="D9" s="14">
        <v>0</v>
      </c>
      <c r="E9" s="1">
        <v>2500</v>
      </c>
      <c r="F9" s="1">
        <v>150</v>
      </c>
      <c r="G9" s="16">
        <f t="shared" si="0"/>
        <v>2650</v>
      </c>
      <c r="H9" s="68"/>
      <c r="I9" s="16">
        <f>G9-H9</f>
        <v>2650</v>
      </c>
    </row>
    <row r="10" spans="1:9" x14ac:dyDescent="0.25">
      <c r="A10" s="1">
        <v>6</v>
      </c>
      <c r="B10" s="13" t="s">
        <v>114</v>
      </c>
      <c r="C10" s="13"/>
      <c r="D10" s="14"/>
      <c r="E10" s="1">
        <v>5000</v>
      </c>
      <c r="F10" s="1">
        <v>150</v>
      </c>
      <c r="G10" s="16">
        <f t="shared" si="0"/>
        <v>5150</v>
      </c>
      <c r="H10" s="16">
        <f t="shared" si="0"/>
        <v>5300</v>
      </c>
      <c r="I10" s="16">
        <v>0</v>
      </c>
    </row>
    <row r="11" spans="1:9" x14ac:dyDescent="0.25">
      <c r="A11" s="1">
        <v>7</v>
      </c>
      <c r="B11" s="13" t="s">
        <v>14</v>
      </c>
      <c r="C11" s="13"/>
      <c r="D11" s="14">
        <v>0</v>
      </c>
      <c r="E11" s="1">
        <v>3500</v>
      </c>
      <c r="F11" s="1">
        <v>150</v>
      </c>
      <c r="G11" s="16">
        <f t="shared" si="0"/>
        <v>3650</v>
      </c>
      <c r="H11" s="68">
        <v>2500</v>
      </c>
      <c r="I11" s="16">
        <v>0</v>
      </c>
    </row>
    <row r="12" spans="1:9" x14ac:dyDescent="0.25">
      <c r="A12" s="1">
        <v>8</v>
      </c>
      <c r="B12" s="13" t="s">
        <v>13</v>
      </c>
      <c r="C12" s="13"/>
      <c r="D12" s="14">
        <v>0</v>
      </c>
      <c r="E12" s="1"/>
      <c r="F12" s="1">
        <v>150</v>
      </c>
      <c r="G12" s="16">
        <f t="shared" si="0"/>
        <v>150</v>
      </c>
      <c r="H12" s="68"/>
      <c r="I12" s="16">
        <v>3850</v>
      </c>
    </row>
    <row r="13" spans="1:9" x14ac:dyDescent="0.25">
      <c r="A13" s="1">
        <v>9</v>
      </c>
      <c r="B13" s="79" t="s">
        <v>15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>
        <v>2650</v>
      </c>
      <c r="I13" s="16">
        <v>0</v>
      </c>
    </row>
    <row r="14" spans="1:9" x14ac:dyDescent="0.25">
      <c r="A14" s="1">
        <v>10</v>
      </c>
      <c r="B14" s="79" t="s">
        <v>67</v>
      </c>
      <c r="C14" s="79"/>
      <c r="D14" s="14"/>
      <c r="E14" s="1">
        <v>2500</v>
      </c>
      <c r="F14" s="1">
        <v>150</v>
      </c>
      <c r="G14" s="16">
        <f t="shared" si="0"/>
        <v>2650</v>
      </c>
      <c r="H14" s="68">
        <v>2650</v>
      </c>
      <c r="I14" s="16">
        <f>G14-H14</f>
        <v>0</v>
      </c>
    </row>
    <row r="15" spans="1:9" x14ac:dyDescent="0.25">
      <c r="A15" s="1">
        <v>11</v>
      </c>
      <c r="B15" s="13" t="s">
        <v>17</v>
      </c>
      <c r="C15" s="13"/>
      <c r="D15" s="14">
        <v>0</v>
      </c>
      <c r="E15" s="1">
        <v>3500</v>
      </c>
      <c r="F15" s="1"/>
      <c r="G15" s="16">
        <f t="shared" si="0"/>
        <v>3500</v>
      </c>
      <c r="H15" s="68">
        <v>3500</v>
      </c>
      <c r="I15" s="16">
        <f>G15-H15</f>
        <v>0</v>
      </c>
    </row>
    <row r="16" spans="1:9" x14ac:dyDescent="0.25">
      <c r="A16" s="1">
        <v>12</v>
      </c>
      <c r="B16" s="13" t="s">
        <v>18</v>
      </c>
      <c r="C16" s="13"/>
      <c r="D16" s="14">
        <v>0</v>
      </c>
      <c r="E16" s="1">
        <v>2500</v>
      </c>
      <c r="F16" s="1">
        <v>150</v>
      </c>
      <c r="G16" s="16">
        <f t="shared" si="0"/>
        <v>2650</v>
      </c>
      <c r="H16" s="68">
        <v>2650</v>
      </c>
      <c r="I16" s="16">
        <f>G16-H16</f>
        <v>0</v>
      </c>
    </row>
    <row r="17" spans="1:9" x14ac:dyDescent="0.25">
      <c r="A17" s="1">
        <v>13</v>
      </c>
      <c r="B17" s="13" t="s">
        <v>97</v>
      </c>
      <c r="C17" s="13"/>
      <c r="D17" s="14"/>
      <c r="E17" s="1">
        <v>2500</v>
      </c>
      <c r="F17" s="1">
        <v>150</v>
      </c>
      <c r="G17" s="16">
        <f t="shared" si="0"/>
        <v>2650</v>
      </c>
      <c r="H17" s="68">
        <v>2650</v>
      </c>
      <c r="I17" s="16">
        <f>G17-H17</f>
        <v>0</v>
      </c>
    </row>
    <row r="18" spans="1:9" x14ac:dyDescent="0.25">
      <c r="A18" s="1"/>
      <c r="B18" s="13"/>
      <c r="C18" s="13"/>
      <c r="D18" s="67">
        <f>SUM(D4:D16)</f>
        <v>0</v>
      </c>
      <c r="E18" s="94">
        <f>SUM(E4:E17)</f>
        <v>34500</v>
      </c>
      <c r="F18" s="1">
        <v>150</v>
      </c>
      <c r="G18" s="16">
        <f>SUM(G5:G17)</f>
        <v>36300</v>
      </c>
      <c r="H18" s="68">
        <f>SUM(H5:H17)</f>
        <v>31000</v>
      </c>
      <c r="I18" s="16">
        <f>SUM(I4:I17)</f>
        <v>6500</v>
      </c>
    </row>
    <row r="19" spans="1:9" ht="15.75" x14ac:dyDescent="0.25">
      <c r="A19" s="58"/>
      <c r="B19" s="58"/>
      <c r="C19" s="58"/>
      <c r="D19" s="19" t="s">
        <v>24</v>
      </c>
      <c r="E19" s="38"/>
      <c r="F19" s="38">
        <f>SUM(F4:F18)</f>
        <v>1950</v>
      </c>
      <c r="G19" s="38"/>
      <c r="H19" s="58"/>
      <c r="I19" s="58"/>
    </row>
    <row r="20" spans="1:9" x14ac:dyDescent="0.25">
      <c r="A20" s="58"/>
      <c r="B20" s="21" t="s">
        <v>73</v>
      </c>
      <c r="C20" s="21"/>
      <c r="D20" s="41"/>
      <c r="E20" s="58"/>
      <c r="F20" s="58"/>
      <c r="G20" s="58"/>
      <c r="H20" s="38"/>
      <c r="I20" s="58"/>
    </row>
    <row r="21" spans="1:9" x14ac:dyDescent="0.25">
      <c r="A21" s="43"/>
      <c r="B21" s="58" t="s">
        <v>110</v>
      </c>
      <c r="C21" s="58"/>
      <c r="D21" s="58"/>
      <c r="E21" s="58"/>
      <c r="F21" s="58"/>
      <c r="G21" s="100">
        <f>E18</f>
        <v>34500</v>
      </c>
      <c r="H21" s="44"/>
      <c r="I21" s="58"/>
    </row>
    <row r="22" spans="1:9" x14ac:dyDescent="0.25">
      <c r="A22" s="43"/>
      <c r="B22" s="21"/>
      <c r="C22" s="21"/>
      <c r="D22" s="58"/>
      <c r="E22" s="58"/>
      <c r="F22" s="58"/>
      <c r="G22" s="88"/>
      <c r="H22" s="58"/>
      <c r="I22" s="58"/>
    </row>
    <row r="23" spans="1:9" x14ac:dyDescent="0.25">
      <c r="A23" s="43"/>
      <c r="B23" s="21"/>
      <c r="C23" s="21"/>
      <c r="D23" s="58"/>
      <c r="E23" s="58"/>
      <c r="F23" s="58"/>
      <c r="G23" s="88"/>
      <c r="H23" s="58"/>
      <c r="I23" s="58"/>
    </row>
    <row r="24" spans="1:9" ht="16.5" x14ac:dyDescent="0.35">
      <c r="A24" s="43"/>
      <c r="B24" s="84" t="s">
        <v>56</v>
      </c>
      <c r="C24" s="84"/>
      <c r="D24" s="58"/>
      <c r="E24" s="58"/>
      <c r="F24" s="58"/>
      <c r="G24" s="58"/>
      <c r="H24" s="51"/>
      <c r="I24" s="58"/>
    </row>
    <row r="25" spans="1:9" ht="16.5" x14ac:dyDescent="0.35">
      <c r="A25" s="43"/>
      <c r="B25" s="21" t="s">
        <v>36</v>
      </c>
      <c r="C25" s="21"/>
      <c r="D25" s="57">
        <v>0.1</v>
      </c>
      <c r="E25" s="58"/>
      <c r="F25" s="58"/>
      <c r="G25" s="89">
        <f>G21*D25</f>
        <v>3450</v>
      </c>
      <c r="H25" s="51"/>
      <c r="I25" s="58"/>
    </row>
    <row r="26" spans="1:9" x14ac:dyDescent="0.25">
      <c r="A26" s="43"/>
      <c r="B26" s="21" t="s">
        <v>64</v>
      </c>
      <c r="C26" s="21"/>
      <c r="D26" s="41"/>
      <c r="E26" s="58"/>
      <c r="F26" s="58"/>
      <c r="G26" s="90">
        <v>7000</v>
      </c>
      <c r="H26" s="45"/>
      <c r="I26" s="58"/>
    </row>
    <row r="27" spans="1:9" x14ac:dyDescent="0.25">
      <c r="A27" s="58"/>
      <c r="B27" s="21" t="s">
        <v>115</v>
      </c>
      <c r="C27" s="58"/>
      <c r="D27" s="58"/>
      <c r="E27" s="58"/>
      <c r="F27" s="58"/>
      <c r="G27" s="58">
        <v>5000</v>
      </c>
      <c r="H27" s="93"/>
      <c r="I27" s="58"/>
    </row>
    <row r="28" spans="1:9" x14ac:dyDescent="0.25">
      <c r="A28" s="58"/>
      <c r="B28" s="82" t="s">
        <v>66</v>
      </c>
      <c r="C28" s="58"/>
      <c r="D28" s="58"/>
      <c r="E28" s="58"/>
      <c r="F28" s="58"/>
      <c r="G28" s="45">
        <f>SUM(G25:G27)</f>
        <v>15450</v>
      </c>
      <c r="H28" s="93"/>
      <c r="I28" s="58"/>
    </row>
    <row r="29" spans="1:9" x14ac:dyDescent="0.25">
      <c r="A29" s="58"/>
      <c r="B29" s="58" t="s">
        <v>99</v>
      </c>
      <c r="C29" s="82"/>
      <c r="D29" s="83"/>
      <c r="E29" s="83"/>
      <c r="F29" s="83"/>
      <c r="G29" s="91">
        <f>G21-G28</f>
        <v>19050</v>
      </c>
      <c r="H29" s="93"/>
      <c r="I29" s="58"/>
    </row>
    <row r="30" spans="1:9" x14ac:dyDescent="0.25">
      <c r="A30" s="58"/>
      <c r="B30" s="82" t="s">
        <v>117</v>
      </c>
      <c r="C30" s="83"/>
      <c r="D30" s="83"/>
      <c r="E30" s="83"/>
      <c r="F30" s="83"/>
      <c r="G30" s="104">
        <v>19050</v>
      </c>
      <c r="H30" s="93"/>
      <c r="I30" s="58"/>
    </row>
    <row r="31" spans="1:9" x14ac:dyDescent="0.25">
      <c r="A31" s="58"/>
      <c r="H31" s="58"/>
      <c r="I31" s="58"/>
    </row>
    <row r="32" spans="1:9" x14ac:dyDescent="0.25">
      <c r="A32" s="58"/>
      <c r="B32" s="21"/>
      <c r="C32" s="58"/>
      <c r="D32" s="58"/>
      <c r="E32" s="58"/>
      <c r="F32" s="58"/>
      <c r="G32" s="58"/>
      <c r="H32" s="58"/>
      <c r="I32" s="58"/>
    </row>
    <row r="33" spans="1:9" x14ac:dyDescent="0.25">
      <c r="A33" s="58"/>
      <c r="B33" s="21"/>
      <c r="C33" s="58"/>
      <c r="D33" s="58"/>
      <c r="E33" s="58"/>
      <c r="F33" s="58"/>
      <c r="G33" s="58"/>
      <c r="H33" s="58"/>
      <c r="I33" s="58"/>
    </row>
    <row r="34" spans="1:9" x14ac:dyDescent="0.25">
      <c r="A34" s="58"/>
      <c r="B34" s="56"/>
      <c r="C34" s="58"/>
      <c r="D34" s="58"/>
      <c r="E34" s="58"/>
      <c r="F34" s="58"/>
      <c r="G34" s="45"/>
      <c r="H34" s="58"/>
      <c r="I34" s="58"/>
    </row>
    <row r="35" spans="1:9" x14ac:dyDescent="0.25">
      <c r="A35" s="58"/>
      <c r="B35" s="21"/>
      <c r="C35" s="21"/>
      <c r="D35" s="58"/>
      <c r="E35" s="58"/>
      <c r="F35" s="58"/>
      <c r="G35" s="58"/>
      <c r="H35" s="58"/>
      <c r="I35" s="45"/>
    </row>
    <row r="36" spans="1:9" x14ac:dyDescent="0.25">
      <c r="A36" s="58"/>
      <c r="B36" s="56"/>
      <c r="C36" s="56"/>
      <c r="D36" s="58"/>
      <c r="E36" s="58"/>
      <c r="F36" s="58"/>
      <c r="G36" s="56"/>
      <c r="H36" s="58"/>
      <c r="I36" s="58"/>
    </row>
    <row r="37" spans="1:9" x14ac:dyDescent="0.25">
      <c r="A37" s="58"/>
      <c r="B37" s="58"/>
      <c r="C37" s="58"/>
      <c r="D37" s="58"/>
      <c r="E37" s="58"/>
      <c r="F37" s="58"/>
      <c r="G37" s="58"/>
      <c r="H37" s="58"/>
      <c r="I37" s="58"/>
    </row>
    <row r="38" spans="1:9" x14ac:dyDescent="0.25">
      <c r="A38" s="58"/>
      <c r="B38" s="58"/>
      <c r="C38" s="58"/>
      <c r="D38" s="58"/>
      <c r="E38" s="58"/>
      <c r="F38" s="58"/>
      <c r="G38" s="58"/>
      <c r="H38" s="58"/>
      <c r="I38" s="58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3" workbookViewId="0">
      <selection activeCell="A2" sqref="A2:I35"/>
    </sheetView>
  </sheetViews>
  <sheetFormatPr defaultRowHeight="15" x14ac:dyDescent="0.25"/>
  <cols>
    <col min="1" max="1" width="10.140625" customWidth="1"/>
    <col min="2" max="2" width="15.5703125" customWidth="1"/>
    <col min="4" max="4" width="9.85546875" customWidth="1"/>
    <col min="6" max="6" width="6" customWidth="1"/>
    <col min="7" max="7" width="11" customWidth="1"/>
    <col min="8" max="8" width="8.140625" customWidth="1"/>
    <col min="14" max="14" width="15.5703125" customWidth="1"/>
  </cols>
  <sheetData>
    <row r="1" spans="1:10" s="58" customFormat="1" x14ac:dyDescent="0.25"/>
    <row r="2" spans="1:10" s="58" customFormat="1" x14ac:dyDescent="0.25"/>
    <row r="3" spans="1:10" ht="18.75" x14ac:dyDescent="0.25">
      <c r="A3" s="33" t="s">
        <v>119</v>
      </c>
      <c r="B3" s="35"/>
      <c r="C3" s="35"/>
      <c r="D3" s="34"/>
      <c r="E3" s="34"/>
      <c r="F3" s="34"/>
      <c r="G3" s="34"/>
      <c r="H3" s="34"/>
      <c r="I3" s="58"/>
      <c r="J3" s="58"/>
    </row>
    <row r="4" spans="1:10" x14ac:dyDescent="0.25">
      <c r="A4" s="1"/>
      <c r="B4" s="8" t="s">
        <v>0</v>
      </c>
      <c r="C4" s="8" t="s">
        <v>81</v>
      </c>
      <c r="D4" s="9" t="s">
        <v>1</v>
      </c>
      <c r="E4" s="8" t="s">
        <v>2</v>
      </c>
      <c r="F4" s="1" t="s">
        <v>77</v>
      </c>
      <c r="G4" s="1" t="s">
        <v>78</v>
      </c>
      <c r="H4" s="8" t="s">
        <v>3</v>
      </c>
      <c r="I4" s="103" t="s">
        <v>5</v>
      </c>
      <c r="J4" s="58"/>
    </row>
    <row r="5" spans="1:10" x14ac:dyDescent="0.25">
      <c r="A5" s="1"/>
      <c r="B5" s="11"/>
      <c r="C5" s="11"/>
      <c r="D5" s="11"/>
      <c r="E5" s="11"/>
      <c r="F5" s="58"/>
      <c r="G5" s="1"/>
      <c r="H5" s="12"/>
      <c r="I5" s="1"/>
      <c r="J5" s="58"/>
    </row>
    <row r="6" spans="1:10" x14ac:dyDescent="0.25">
      <c r="A6" s="1">
        <v>1</v>
      </c>
      <c r="B6" s="13" t="s">
        <v>68</v>
      </c>
      <c r="C6" s="13"/>
      <c r="D6" s="14">
        <v>0</v>
      </c>
      <c r="E6" s="1">
        <v>2500</v>
      </c>
      <c r="F6" s="1">
        <v>150</v>
      </c>
      <c r="G6" s="16">
        <f t="shared" ref="G6:G13" si="0">E6+F6</f>
        <v>2650</v>
      </c>
      <c r="H6" s="68">
        <v>2650</v>
      </c>
      <c r="I6" s="16">
        <f>G6-H6</f>
        <v>0</v>
      </c>
      <c r="J6" s="58"/>
    </row>
    <row r="7" spans="1:10" x14ac:dyDescent="0.25">
      <c r="A7" s="1">
        <v>2</v>
      </c>
      <c r="B7" s="13" t="s">
        <v>52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2650</v>
      </c>
      <c r="I7" s="16">
        <f>G7-H7</f>
        <v>0</v>
      </c>
      <c r="J7" s="58"/>
    </row>
    <row r="8" spans="1:10" x14ac:dyDescent="0.25">
      <c r="A8" s="1">
        <v>3</v>
      </c>
      <c r="B8" s="13" t="s">
        <v>113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1300</v>
      </c>
      <c r="I8" s="16">
        <v>0</v>
      </c>
      <c r="J8" s="58"/>
    </row>
    <row r="9" spans="1:10" x14ac:dyDescent="0.25">
      <c r="A9" s="1">
        <v>4</v>
      </c>
      <c r="B9" s="13" t="s">
        <v>10</v>
      </c>
      <c r="C9" s="13"/>
      <c r="D9" s="14">
        <v>0</v>
      </c>
      <c r="E9" s="1">
        <v>2500</v>
      </c>
      <c r="F9" s="1">
        <v>150</v>
      </c>
      <c r="G9" s="16">
        <f t="shared" si="0"/>
        <v>2650</v>
      </c>
      <c r="H9" s="68">
        <v>2500</v>
      </c>
      <c r="I9" s="16">
        <v>0</v>
      </c>
      <c r="J9" s="58"/>
    </row>
    <row r="10" spans="1:10" x14ac:dyDescent="0.25">
      <c r="A10" s="1">
        <v>5</v>
      </c>
      <c r="B10" s="13" t="s">
        <v>104</v>
      </c>
      <c r="C10" s="13"/>
      <c r="D10" s="14">
        <v>0</v>
      </c>
      <c r="E10" s="1">
        <v>2500</v>
      </c>
      <c r="F10" s="1">
        <v>150</v>
      </c>
      <c r="G10" s="16">
        <f t="shared" si="0"/>
        <v>2650</v>
      </c>
      <c r="H10" s="68"/>
      <c r="I10" s="16">
        <f>G10-H10</f>
        <v>2650</v>
      </c>
      <c r="J10" s="58"/>
    </row>
    <row r="11" spans="1:10" x14ac:dyDescent="0.25">
      <c r="A11" s="1">
        <v>6</v>
      </c>
      <c r="B11" s="13" t="s">
        <v>120</v>
      </c>
      <c r="C11" s="13"/>
      <c r="D11" s="14"/>
      <c r="E11" s="1">
        <v>5000</v>
      </c>
      <c r="F11" s="1">
        <v>150</v>
      </c>
      <c r="G11" s="16">
        <f t="shared" si="0"/>
        <v>5150</v>
      </c>
      <c r="H11" s="16">
        <f>F11+G11</f>
        <v>5300</v>
      </c>
      <c r="I11" s="16">
        <v>0</v>
      </c>
      <c r="J11" s="58"/>
    </row>
    <row r="12" spans="1:10" x14ac:dyDescent="0.25">
      <c r="A12" s="1">
        <v>7</v>
      </c>
      <c r="B12" s="13" t="s">
        <v>14</v>
      </c>
      <c r="C12" s="13"/>
      <c r="D12" s="14">
        <v>0</v>
      </c>
      <c r="E12" s="1">
        <v>3500</v>
      </c>
      <c r="F12" s="1">
        <v>150</v>
      </c>
      <c r="G12" s="16">
        <f t="shared" si="0"/>
        <v>3650</v>
      </c>
      <c r="H12" s="68">
        <v>2500</v>
      </c>
      <c r="I12" s="16">
        <v>0</v>
      </c>
      <c r="J12" s="58"/>
    </row>
    <row r="13" spans="1:10" x14ac:dyDescent="0.25">
      <c r="A13" s="1">
        <v>8</v>
      </c>
      <c r="B13" s="13" t="s">
        <v>13</v>
      </c>
      <c r="C13" s="13"/>
      <c r="D13" s="14">
        <v>0</v>
      </c>
      <c r="E13" s="1">
        <v>3500</v>
      </c>
      <c r="F13" s="1">
        <v>150</v>
      </c>
      <c r="G13" s="16">
        <f t="shared" si="0"/>
        <v>3650</v>
      </c>
      <c r="H13" s="68"/>
      <c r="I13" s="16">
        <v>3850</v>
      </c>
      <c r="J13" s="58"/>
    </row>
    <row r="14" spans="1:10" x14ac:dyDescent="0.25">
      <c r="A14" s="1">
        <v>9</v>
      </c>
      <c r="B14" s="79" t="s">
        <v>105</v>
      </c>
      <c r="C14" s="79"/>
      <c r="D14" s="14">
        <v>0</v>
      </c>
      <c r="E14" s="1"/>
      <c r="F14" s="1"/>
      <c r="G14" s="16"/>
      <c r="H14" s="68"/>
      <c r="I14" s="16"/>
      <c r="J14" s="58"/>
    </row>
    <row r="15" spans="1:10" x14ac:dyDescent="0.25">
      <c r="A15" s="1">
        <v>10</v>
      </c>
      <c r="B15" s="79" t="s">
        <v>67</v>
      </c>
      <c r="C15" s="79"/>
      <c r="D15" s="14"/>
      <c r="E15" s="1">
        <v>2500</v>
      </c>
      <c r="F15" s="1">
        <v>150</v>
      </c>
      <c r="G15" s="16">
        <f>E15+F15</f>
        <v>2650</v>
      </c>
      <c r="H15" s="68">
        <v>2650</v>
      </c>
      <c r="I15" s="16">
        <f>G15-H15</f>
        <v>0</v>
      </c>
      <c r="J15" s="58"/>
    </row>
    <row r="16" spans="1:10" x14ac:dyDescent="0.25">
      <c r="A16" s="1">
        <v>11</v>
      </c>
      <c r="B16" s="13" t="s">
        <v>17</v>
      </c>
      <c r="C16" s="13"/>
      <c r="D16" s="14">
        <v>0</v>
      </c>
      <c r="E16" s="1">
        <v>3500</v>
      </c>
      <c r="F16" s="1"/>
      <c r="G16" s="16">
        <f>E16+F16</f>
        <v>3500</v>
      </c>
      <c r="H16" s="68">
        <v>3500</v>
      </c>
      <c r="I16" s="16">
        <f>G16-H16</f>
        <v>0</v>
      </c>
      <c r="J16" s="58"/>
    </row>
    <row r="17" spans="1:13" x14ac:dyDescent="0.25">
      <c r="A17" s="1">
        <v>12</v>
      </c>
      <c r="B17" s="13" t="s">
        <v>105</v>
      </c>
      <c r="C17" s="13"/>
      <c r="D17" s="14"/>
      <c r="E17" s="1"/>
      <c r="F17" s="1"/>
      <c r="G17" s="16"/>
      <c r="H17" s="68"/>
      <c r="I17" s="16"/>
      <c r="J17" s="58"/>
    </row>
    <row r="18" spans="1:13" x14ac:dyDescent="0.25">
      <c r="A18" s="1">
        <v>13</v>
      </c>
      <c r="B18" s="13" t="s">
        <v>97</v>
      </c>
      <c r="C18" s="13"/>
      <c r="D18" s="14"/>
      <c r="E18" s="1">
        <v>2500</v>
      </c>
      <c r="F18" s="1">
        <v>150</v>
      </c>
      <c r="G18" s="16">
        <f>E18+F18</f>
        <v>2650</v>
      </c>
      <c r="H18" s="68">
        <v>2650</v>
      </c>
      <c r="I18" s="16">
        <f>G18-H18</f>
        <v>0</v>
      </c>
      <c r="J18" s="58"/>
    </row>
    <row r="19" spans="1:13" x14ac:dyDescent="0.25">
      <c r="A19" s="1"/>
      <c r="B19" s="13"/>
      <c r="C19" s="13"/>
      <c r="D19" s="67">
        <f>SUM(D5:D17)</f>
        <v>0</v>
      </c>
      <c r="E19" s="94">
        <f>SUM(E5:E18)</f>
        <v>33000</v>
      </c>
      <c r="F19" s="1">
        <v>150</v>
      </c>
      <c r="G19" s="16">
        <f>SUM(G6:G18)</f>
        <v>34500</v>
      </c>
      <c r="H19" s="68">
        <f>SUM(H6:H18)</f>
        <v>25700</v>
      </c>
      <c r="I19" s="16">
        <f>SUM(I5:I18)</f>
        <v>6500</v>
      </c>
      <c r="J19" s="58"/>
    </row>
    <row r="20" spans="1:13" ht="15.75" x14ac:dyDescent="0.25">
      <c r="A20" s="58"/>
      <c r="B20" s="58"/>
      <c r="C20" s="58"/>
      <c r="D20" s="19"/>
      <c r="E20" s="38"/>
      <c r="F20" s="38"/>
      <c r="G20" s="38"/>
      <c r="H20" s="58"/>
      <c r="I20" s="58"/>
      <c r="J20" s="58"/>
    </row>
    <row r="21" spans="1:13" ht="23.25" x14ac:dyDescent="0.35">
      <c r="A21" s="58"/>
      <c r="B21" s="105" t="s">
        <v>121</v>
      </c>
      <c r="C21" s="58"/>
      <c r="D21" s="58"/>
      <c r="E21" s="58"/>
      <c r="I21" s="58"/>
      <c r="J21" s="58"/>
    </row>
    <row r="22" spans="1:13" ht="23.25" x14ac:dyDescent="0.35">
      <c r="A22" s="43"/>
      <c r="B22" s="106" t="s">
        <v>122</v>
      </c>
      <c r="C22" s="106" t="s">
        <v>123</v>
      </c>
      <c r="D22" s="106" t="s">
        <v>124</v>
      </c>
      <c r="E22" s="106" t="s">
        <v>125</v>
      </c>
      <c r="I22" s="58"/>
      <c r="J22" s="58"/>
      <c r="M22" s="58"/>
    </row>
    <row r="23" spans="1:13" x14ac:dyDescent="0.25">
      <c r="A23" s="43"/>
      <c r="B23" s="1" t="s">
        <v>126</v>
      </c>
      <c r="C23" s="16">
        <f>E19</f>
        <v>33000</v>
      </c>
      <c r="D23" s="1"/>
      <c r="E23" s="1"/>
      <c r="I23" s="58"/>
      <c r="J23" s="58"/>
      <c r="M23" s="58"/>
    </row>
    <row r="24" spans="1:13" x14ac:dyDescent="0.25">
      <c r="A24" s="43"/>
      <c r="B24" s="1" t="s">
        <v>127</v>
      </c>
      <c r="C24" s="107">
        <v>0.1</v>
      </c>
      <c r="D24" s="16">
        <f>C23*C24</f>
        <v>3300</v>
      </c>
      <c r="E24" s="1"/>
      <c r="I24" s="58"/>
      <c r="J24" s="58"/>
      <c r="M24" s="58"/>
    </row>
    <row r="25" spans="1:13" x14ac:dyDescent="0.25">
      <c r="A25" s="43"/>
      <c r="B25" s="69" t="s">
        <v>128</v>
      </c>
      <c r="C25" s="1"/>
      <c r="D25" s="1"/>
      <c r="E25" s="1"/>
      <c r="I25" s="58"/>
      <c r="J25" s="58"/>
      <c r="M25" s="58"/>
    </row>
    <row r="26" spans="1:13" x14ac:dyDescent="0.25">
      <c r="A26" s="109">
        <v>42495</v>
      </c>
      <c r="B26" t="s">
        <v>134</v>
      </c>
      <c r="C26" s="1"/>
      <c r="D26" s="1">
        <v>10500</v>
      </c>
      <c r="E26" s="1"/>
      <c r="I26" s="58"/>
      <c r="J26" s="58"/>
      <c r="M26" s="58"/>
    </row>
    <row r="27" spans="1:13" x14ac:dyDescent="0.25">
      <c r="A27" s="43"/>
      <c r="B27" s="1" t="s">
        <v>131</v>
      </c>
      <c r="C27" s="1"/>
      <c r="D27" s="1">
        <v>2500</v>
      </c>
      <c r="E27" s="1"/>
      <c r="I27" s="58"/>
      <c r="J27" s="58"/>
      <c r="M27" s="58"/>
    </row>
    <row r="28" spans="1:13" x14ac:dyDescent="0.25">
      <c r="A28" s="109">
        <v>42648</v>
      </c>
      <c r="B28" s="110" t="s">
        <v>133</v>
      </c>
      <c r="C28" s="1"/>
      <c r="D28" s="1">
        <v>3500</v>
      </c>
      <c r="E28" s="1"/>
      <c r="I28" s="58"/>
      <c r="J28" s="58"/>
      <c r="M28" s="58"/>
    </row>
    <row r="29" spans="1:13" x14ac:dyDescent="0.25">
      <c r="A29" s="1" t="s">
        <v>132</v>
      </c>
      <c r="B29" s="110" t="s">
        <v>135</v>
      </c>
      <c r="C29" s="1"/>
      <c r="D29" s="1">
        <v>13700</v>
      </c>
      <c r="E29" s="1"/>
      <c r="I29" s="58"/>
      <c r="J29" s="58"/>
      <c r="M29" s="58"/>
    </row>
    <row r="30" spans="1:13" x14ac:dyDescent="0.25">
      <c r="A30" s="58"/>
      <c r="B30" s="1"/>
      <c r="C30" s="1"/>
      <c r="D30" s="1"/>
      <c r="E30" s="1"/>
      <c r="I30" s="58"/>
      <c r="J30" s="58"/>
      <c r="M30" s="108"/>
    </row>
    <row r="31" spans="1:13" x14ac:dyDescent="0.25">
      <c r="A31" s="58"/>
      <c r="B31" s="69" t="s">
        <v>129</v>
      </c>
      <c r="C31" s="70">
        <f>C23</f>
        <v>33000</v>
      </c>
      <c r="D31" s="70">
        <f>SUM(D23:D30)</f>
        <v>33500</v>
      </c>
      <c r="E31" s="70">
        <f>C31-D31</f>
        <v>-500</v>
      </c>
      <c r="I31" s="58"/>
      <c r="J31" s="58"/>
      <c r="M31" s="58"/>
    </row>
    <row r="32" spans="1:13" x14ac:dyDescent="0.25">
      <c r="A32" s="58"/>
      <c r="B32" s="1"/>
      <c r="C32" s="1"/>
      <c r="D32" s="1"/>
      <c r="E32" s="1"/>
      <c r="I32" s="58"/>
      <c r="J32" s="58"/>
      <c r="M32" s="21"/>
    </row>
    <row r="33" spans="1:13" x14ac:dyDescent="0.25">
      <c r="A33" s="58"/>
      <c r="I33" s="58"/>
      <c r="J33" s="58"/>
      <c r="M33" s="24" t="s">
        <v>130</v>
      </c>
    </row>
    <row r="34" spans="1:13" x14ac:dyDescent="0.25">
      <c r="A34" s="58"/>
      <c r="I34" s="58"/>
      <c r="J34" s="58"/>
    </row>
    <row r="35" spans="1:13" x14ac:dyDescent="0.25">
      <c r="A35" s="58"/>
      <c r="I35" s="58"/>
      <c r="J35" s="58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J32"/>
    </sheetView>
  </sheetViews>
  <sheetFormatPr defaultRowHeight="15" x14ac:dyDescent="0.25"/>
  <cols>
    <col min="1" max="1" width="4.140625" customWidth="1"/>
    <col min="2" max="2" width="16.85546875" customWidth="1"/>
  </cols>
  <sheetData>
    <row r="1" spans="1:10" ht="18.75" x14ac:dyDescent="0.25">
      <c r="A1" s="33" t="s">
        <v>140</v>
      </c>
      <c r="B1" s="35"/>
      <c r="C1" s="35"/>
      <c r="D1" s="34"/>
      <c r="E1" s="34"/>
      <c r="F1" s="34"/>
      <c r="G1" s="34"/>
      <c r="H1" s="34"/>
      <c r="I1" s="58"/>
      <c r="J1" s="58"/>
    </row>
    <row r="2" spans="1:10" x14ac:dyDescent="0.25">
      <c r="A2" s="1"/>
      <c r="B2" s="8" t="s">
        <v>0</v>
      </c>
      <c r="C2" s="8" t="s">
        <v>81</v>
      </c>
      <c r="D2" s="9" t="s">
        <v>1</v>
      </c>
      <c r="E2" s="8" t="s">
        <v>2</v>
      </c>
      <c r="F2" s="1" t="s">
        <v>77</v>
      </c>
      <c r="G2" s="1" t="s">
        <v>78</v>
      </c>
      <c r="H2" s="8" t="s">
        <v>3</v>
      </c>
      <c r="I2" s="103" t="s">
        <v>5</v>
      </c>
      <c r="J2" s="58"/>
    </row>
    <row r="3" spans="1:10" x14ac:dyDescent="0.25">
      <c r="A3" s="1"/>
      <c r="B3" s="11"/>
      <c r="C3" s="11"/>
      <c r="D3" s="11"/>
      <c r="E3" s="11"/>
      <c r="F3" s="58"/>
      <c r="G3" s="1"/>
      <c r="H3" s="12"/>
      <c r="I3" s="1"/>
      <c r="J3" s="58"/>
    </row>
    <row r="4" spans="1:10" x14ac:dyDescent="0.25">
      <c r="A4" s="1">
        <v>1</v>
      </c>
      <c r="B4" s="13" t="s">
        <v>68</v>
      </c>
      <c r="C4" s="13"/>
      <c r="D4" s="14">
        <v>0</v>
      </c>
      <c r="E4" s="1">
        <v>2500</v>
      </c>
      <c r="F4" s="1">
        <v>150</v>
      </c>
      <c r="G4" s="16">
        <f t="shared" ref="G4:G10" si="0">E4+F4</f>
        <v>2650</v>
      </c>
      <c r="H4" s="68">
        <v>2650</v>
      </c>
      <c r="I4" s="16">
        <f>G4-H4</f>
        <v>0</v>
      </c>
      <c r="J4" s="58"/>
    </row>
    <row r="5" spans="1:10" x14ac:dyDescent="0.25">
      <c r="A5" s="1">
        <v>2</v>
      </c>
      <c r="B5" s="13" t="s">
        <v>52</v>
      </c>
      <c r="C5" s="13"/>
      <c r="D5" s="14">
        <v>0</v>
      </c>
      <c r="E5" s="1">
        <v>2500</v>
      </c>
      <c r="F5" s="1">
        <v>150</v>
      </c>
      <c r="G5" s="16">
        <f t="shared" si="0"/>
        <v>2650</v>
      </c>
      <c r="H5" s="68">
        <v>2650</v>
      </c>
      <c r="I5" s="16">
        <f>G5-H5</f>
        <v>0</v>
      </c>
      <c r="J5" s="58"/>
    </row>
    <row r="6" spans="1:10" x14ac:dyDescent="0.25">
      <c r="A6" s="1">
        <v>3</v>
      </c>
      <c r="B6" s="13" t="s">
        <v>113</v>
      </c>
      <c r="C6" s="13"/>
      <c r="D6" s="14">
        <v>0</v>
      </c>
      <c r="E6" s="1">
        <v>2500</v>
      </c>
      <c r="F6" s="1">
        <v>150</v>
      </c>
      <c r="G6" s="16">
        <f t="shared" si="0"/>
        <v>2650</v>
      </c>
      <c r="H6" s="68">
        <v>1300</v>
      </c>
      <c r="I6" s="16">
        <v>0</v>
      </c>
      <c r="J6" s="58"/>
    </row>
    <row r="7" spans="1:10" x14ac:dyDescent="0.25">
      <c r="A7" s="1">
        <v>4</v>
      </c>
      <c r="B7" s="13" t="s">
        <v>10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2500</v>
      </c>
      <c r="I7" s="16">
        <v>0</v>
      </c>
      <c r="J7" s="58"/>
    </row>
    <row r="8" spans="1:10" x14ac:dyDescent="0.25">
      <c r="A8" s="1">
        <v>5</v>
      </c>
      <c r="B8" s="13" t="s">
        <v>104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/>
      <c r="I8" s="16">
        <f>G8-H8</f>
        <v>2650</v>
      </c>
      <c r="J8" s="58"/>
    </row>
    <row r="9" spans="1:10" x14ac:dyDescent="0.25">
      <c r="A9" s="1">
        <v>6</v>
      </c>
      <c r="B9" s="13" t="s">
        <v>120</v>
      </c>
      <c r="C9" s="13"/>
      <c r="D9" s="14"/>
      <c r="E9" s="1">
        <v>5000</v>
      </c>
      <c r="F9" s="1">
        <v>150</v>
      </c>
      <c r="G9" s="16">
        <f t="shared" si="0"/>
        <v>5150</v>
      </c>
      <c r="H9" s="16">
        <f>F9+G9</f>
        <v>5300</v>
      </c>
      <c r="I9" s="16">
        <v>0</v>
      </c>
      <c r="J9" s="58"/>
    </row>
    <row r="10" spans="1:10" x14ac:dyDescent="0.25">
      <c r="A10" s="1">
        <v>7</v>
      </c>
      <c r="B10" s="13" t="s">
        <v>14</v>
      </c>
      <c r="C10" s="13"/>
      <c r="D10" s="14">
        <v>0</v>
      </c>
      <c r="E10" s="1">
        <v>3500</v>
      </c>
      <c r="F10" s="1">
        <v>150</v>
      </c>
      <c r="G10" s="16">
        <f t="shared" si="0"/>
        <v>3650</v>
      </c>
      <c r="H10" s="68">
        <v>2500</v>
      </c>
      <c r="I10" s="16">
        <v>0</v>
      </c>
      <c r="J10" s="58"/>
    </row>
    <row r="11" spans="1:10" x14ac:dyDescent="0.25">
      <c r="A11" s="1">
        <v>8</v>
      </c>
      <c r="B11" s="13" t="s">
        <v>13</v>
      </c>
      <c r="C11" s="13"/>
      <c r="D11" s="14">
        <v>0</v>
      </c>
      <c r="E11" s="1"/>
      <c r="F11" s="1"/>
      <c r="G11" s="16"/>
      <c r="H11" s="68"/>
      <c r="I11" s="16"/>
      <c r="J11" s="58"/>
    </row>
    <row r="12" spans="1:10" x14ac:dyDescent="0.25">
      <c r="A12" s="1">
        <v>9</v>
      </c>
      <c r="B12" s="79" t="s">
        <v>105</v>
      </c>
      <c r="C12" s="79"/>
      <c r="D12" s="14">
        <v>0</v>
      </c>
      <c r="E12" s="1"/>
      <c r="F12" s="1"/>
      <c r="G12" s="16"/>
      <c r="H12" s="68"/>
      <c r="I12" s="16"/>
      <c r="J12" s="58"/>
    </row>
    <row r="13" spans="1:10" x14ac:dyDescent="0.25">
      <c r="A13" s="1">
        <v>10</v>
      </c>
      <c r="B13" s="79" t="s">
        <v>67</v>
      </c>
      <c r="C13" s="79"/>
      <c r="D13" s="14"/>
      <c r="E13" s="1">
        <v>2500</v>
      </c>
      <c r="F13" s="1">
        <v>150</v>
      </c>
      <c r="G13" s="16">
        <f>E13+F13</f>
        <v>2650</v>
      </c>
      <c r="H13" s="68">
        <v>2650</v>
      </c>
      <c r="I13" s="16">
        <f>G13-H13</f>
        <v>0</v>
      </c>
      <c r="J13" s="58"/>
    </row>
    <row r="14" spans="1:10" x14ac:dyDescent="0.25">
      <c r="A14" s="1">
        <v>11</v>
      </c>
      <c r="B14" s="13" t="s">
        <v>17</v>
      </c>
      <c r="C14" s="13"/>
      <c r="D14" s="14">
        <v>0</v>
      </c>
      <c r="E14" s="1">
        <v>3500</v>
      </c>
      <c r="F14" s="1"/>
      <c r="G14" s="16">
        <f>E14+F14</f>
        <v>3500</v>
      </c>
      <c r="H14" s="68">
        <v>3500</v>
      </c>
      <c r="I14" s="16">
        <f>G14-H14</f>
        <v>0</v>
      </c>
      <c r="J14" s="58"/>
    </row>
    <row r="15" spans="1:10" x14ac:dyDescent="0.25">
      <c r="A15" s="1">
        <v>12</v>
      </c>
      <c r="B15" s="13" t="s">
        <v>136</v>
      </c>
      <c r="C15" s="13"/>
      <c r="D15" s="14"/>
      <c r="E15" s="1">
        <v>2500</v>
      </c>
      <c r="F15" s="1"/>
      <c r="G15" s="16"/>
      <c r="H15" s="68"/>
      <c r="I15" s="16"/>
      <c r="J15" s="58"/>
    </row>
    <row r="16" spans="1:10" x14ac:dyDescent="0.25">
      <c r="A16" s="1">
        <v>13</v>
      </c>
      <c r="B16" s="13" t="s">
        <v>97</v>
      </c>
      <c r="C16" s="13"/>
      <c r="D16" s="14"/>
      <c r="E16" s="1">
        <v>2500</v>
      </c>
      <c r="F16" s="1">
        <v>150</v>
      </c>
      <c r="G16" s="16">
        <f>E16+F16</f>
        <v>2650</v>
      </c>
      <c r="H16" s="68">
        <v>2650</v>
      </c>
      <c r="I16" s="16">
        <f>G16-H16</f>
        <v>0</v>
      </c>
      <c r="J16" s="58"/>
    </row>
    <row r="17" spans="1:10" x14ac:dyDescent="0.25">
      <c r="A17" s="1"/>
      <c r="B17" s="13"/>
      <c r="C17" s="13"/>
      <c r="D17" s="67">
        <f>SUM(D3:D15)</f>
        <v>0</v>
      </c>
      <c r="E17" s="94">
        <f>SUM(E3:E16)</f>
        <v>32000</v>
      </c>
      <c r="F17" s="1">
        <v>150</v>
      </c>
      <c r="G17" s="16">
        <f>SUM(G4:G16)</f>
        <v>30850</v>
      </c>
      <c r="H17" s="68">
        <f>SUM(H4:H16)</f>
        <v>25700</v>
      </c>
      <c r="I17" s="16">
        <f>SUM(I3:I16)</f>
        <v>2650</v>
      </c>
      <c r="J17" s="58"/>
    </row>
    <row r="18" spans="1:10" ht="15.75" x14ac:dyDescent="0.25">
      <c r="A18" s="58"/>
      <c r="B18" s="58"/>
      <c r="C18" s="58"/>
      <c r="D18" s="19"/>
      <c r="E18" s="38"/>
      <c r="F18" s="38"/>
      <c r="G18" s="38"/>
      <c r="H18" s="58"/>
      <c r="I18" s="58"/>
      <c r="J18" s="58"/>
    </row>
    <row r="19" spans="1:10" ht="23.25" x14ac:dyDescent="0.35">
      <c r="A19" s="58"/>
      <c r="B19" s="105" t="s">
        <v>121</v>
      </c>
      <c r="C19" s="58"/>
      <c r="D19" s="58"/>
      <c r="E19" s="58"/>
      <c r="F19" s="58"/>
      <c r="G19" s="58"/>
      <c r="H19" s="58"/>
      <c r="I19" s="58"/>
      <c r="J19" s="58"/>
    </row>
    <row r="20" spans="1:10" ht="23.25" x14ac:dyDescent="0.35">
      <c r="A20" s="43"/>
      <c r="B20" s="106" t="s">
        <v>122</v>
      </c>
      <c r="C20" s="106" t="s">
        <v>123</v>
      </c>
      <c r="D20" s="106" t="s">
        <v>124</v>
      </c>
      <c r="E20" s="106" t="s">
        <v>125</v>
      </c>
      <c r="F20" s="58"/>
      <c r="G20" s="58"/>
      <c r="H20" s="58"/>
      <c r="I20" s="58"/>
      <c r="J20" s="58"/>
    </row>
    <row r="21" spans="1:10" x14ac:dyDescent="0.25">
      <c r="A21" s="43"/>
      <c r="B21" s="1" t="s">
        <v>126</v>
      </c>
      <c r="C21" s="16">
        <f>E17</f>
        <v>32000</v>
      </c>
      <c r="D21" s="1"/>
      <c r="E21" s="1"/>
      <c r="F21" s="58"/>
      <c r="G21" s="58"/>
      <c r="H21" s="58"/>
      <c r="I21" s="58"/>
      <c r="J21" s="58"/>
    </row>
    <row r="22" spans="1:10" x14ac:dyDescent="0.25">
      <c r="A22" s="43"/>
      <c r="B22" s="1" t="s">
        <v>127</v>
      </c>
      <c r="C22" s="107">
        <v>0.1</v>
      </c>
      <c r="D22" s="16">
        <f>C21*C22</f>
        <v>3200</v>
      </c>
      <c r="E22" s="1"/>
      <c r="F22" s="58"/>
      <c r="G22" s="58"/>
      <c r="H22" s="58"/>
      <c r="I22" s="58"/>
      <c r="J22" s="58"/>
    </row>
    <row r="23" spans="1:10" x14ac:dyDescent="0.25">
      <c r="A23" s="43"/>
      <c r="B23" s="111" t="s">
        <v>141</v>
      </c>
      <c r="C23">
        <v>3500</v>
      </c>
      <c r="F23" s="58"/>
      <c r="G23" s="58"/>
      <c r="H23" s="58"/>
      <c r="I23" s="58"/>
      <c r="J23" s="58"/>
    </row>
    <row r="24" spans="1:10" x14ac:dyDescent="0.25">
      <c r="A24" s="109">
        <v>42496</v>
      </c>
      <c r="B24" s="69" t="s">
        <v>128</v>
      </c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43"/>
      <c r="B25" s="58" t="s">
        <v>134</v>
      </c>
      <c r="C25" s="1"/>
      <c r="D25" s="1">
        <v>10110</v>
      </c>
      <c r="E25" s="1"/>
      <c r="F25" s="58"/>
      <c r="G25" s="58"/>
      <c r="H25" s="58"/>
      <c r="I25" s="58"/>
      <c r="J25" s="58"/>
    </row>
    <row r="26" spans="1:10" x14ac:dyDescent="0.25">
      <c r="A26" s="109"/>
      <c r="B26" s="1" t="s">
        <v>137</v>
      </c>
      <c r="C26" s="1"/>
      <c r="D26" s="1">
        <v>3500</v>
      </c>
      <c r="E26" s="1"/>
      <c r="F26" s="58"/>
      <c r="G26" s="58"/>
      <c r="H26" s="58"/>
      <c r="I26" s="58"/>
      <c r="J26" s="58"/>
    </row>
    <row r="27" spans="1:10" x14ac:dyDescent="0.25">
      <c r="A27" s="1"/>
      <c r="B27" s="110" t="s">
        <v>97</v>
      </c>
      <c r="C27" s="1"/>
      <c r="D27" s="1">
        <v>2500</v>
      </c>
      <c r="E27" s="1"/>
      <c r="F27" s="58"/>
      <c r="G27" s="58"/>
      <c r="H27" s="58"/>
      <c r="I27" s="58"/>
      <c r="J27" s="58"/>
    </row>
    <row r="28" spans="1:10" x14ac:dyDescent="0.25">
      <c r="A28" s="58"/>
      <c r="B28" s="110" t="s">
        <v>138</v>
      </c>
      <c r="C28" s="1"/>
      <c r="D28" s="1">
        <v>1000</v>
      </c>
      <c r="E28" s="1"/>
      <c r="F28" s="58"/>
      <c r="G28" s="58"/>
      <c r="H28" s="58"/>
      <c r="I28" s="58"/>
      <c r="J28" s="58"/>
    </row>
    <row r="29" spans="1:10" x14ac:dyDescent="0.25">
      <c r="A29" s="58"/>
      <c r="B29" s="1" t="s">
        <v>139</v>
      </c>
      <c r="C29" s="1"/>
      <c r="D29" s="1">
        <v>500</v>
      </c>
      <c r="E29" s="1"/>
      <c r="F29" s="58"/>
      <c r="G29" s="58"/>
      <c r="H29" s="58"/>
      <c r="I29" s="58"/>
      <c r="J29" s="58"/>
    </row>
    <row r="30" spans="1:10" x14ac:dyDescent="0.25">
      <c r="A30" s="58"/>
      <c r="B30" s="69" t="s">
        <v>129</v>
      </c>
      <c r="C30" s="70">
        <f>SUM(C21:C29)</f>
        <v>35500.1</v>
      </c>
      <c r="D30" s="70">
        <f>SUM(D21:D29)</f>
        <v>20810</v>
      </c>
      <c r="E30" s="70">
        <f>C30-D30</f>
        <v>14690.099999999999</v>
      </c>
      <c r="F30" s="58"/>
      <c r="G30" s="58"/>
      <c r="H30" s="58"/>
      <c r="I30" s="58"/>
      <c r="J30" s="58"/>
    </row>
    <row r="31" spans="1:10" x14ac:dyDescent="0.25">
      <c r="A31" s="58"/>
      <c r="B31" s="1"/>
      <c r="C31" s="1"/>
      <c r="D31" s="1"/>
      <c r="E31" s="1"/>
      <c r="F31" s="58"/>
      <c r="G31" s="58"/>
      <c r="H31" s="58"/>
      <c r="I31" s="58"/>
      <c r="J31" s="58"/>
    </row>
    <row r="33" spans="2:6" x14ac:dyDescent="0.25">
      <c r="B33" s="56" t="s">
        <v>46</v>
      </c>
      <c r="C33" s="58" t="s">
        <v>142</v>
      </c>
      <c r="D33" s="58"/>
      <c r="E33" s="58"/>
      <c r="F33" s="56" t="s">
        <v>33</v>
      </c>
    </row>
    <row r="34" spans="2:6" x14ac:dyDescent="0.25">
      <c r="B34" s="56" t="s">
        <v>34</v>
      </c>
      <c r="C34" s="58" t="s">
        <v>143</v>
      </c>
      <c r="D34" s="58"/>
      <c r="E34" s="58"/>
      <c r="F34" s="56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J37"/>
    </sheetView>
  </sheetViews>
  <sheetFormatPr defaultRowHeight="15" x14ac:dyDescent="0.25"/>
  <cols>
    <col min="1" max="1" width="5.28515625" customWidth="1"/>
    <col min="2" max="2" width="17" customWidth="1"/>
  </cols>
  <sheetData>
    <row r="1" spans="1:10" ht="33.75" x14ac:dyDescent="0.25">
      <c r="B1" s="115"/>
      <c r="C1" s="116"/>
      <c r="D1" s="117" t="s">
        <v>19</v>
      </c>
      <c r="E1" s="116"/>
      <c r="F1" s="58"/>
      <c r="J1" s="58"/>
    </row>
    <row r="2" spans="1:10" ht="18.75" x14ac:dyDescent="0.25">
      <c r="A2" s="33" t="s">
        <v>144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/>
      <c r="B4" s="11"/>
      <c r="C4" s="11"/>
      <c r="D4" s="11"/>
      <c r="E4" s="11"/>
      <c r="F4" s="58"/>
      <c r="G4" s="1"/>
      <c r="H4" s="12"/>
      <c r="I4" s="1"/>
      <c r="J4" s="58"/>
    </row>
    <row r="5" spans="1:10" x14ac:dyDescent="0.25">
      <c r="A5" s="1">
        <v>1</v>
      </c>
      <c r="B5" s="13" t="s">
        <v>148</v>
      </c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  <c r="J5" s="58"/>
    </row>
    <row r="6" spans="1:10" x14ac:dyDescent="0.25">
      <c r="A6" s="1">
        <v>2</v>
      </c>
      <c r="B6" t="s">
        <v>147</v>
      </c>
      <c r="C6" s="13"/>
      <c r="D6" s="14">
        <v>0</v>
      </c>
      <c r="E6" s="1">
        <v>2500</v>
      </c>
      <c r="F6" s="1">
        <v>150</v>
      </c>
      <c r="G6" s="16">
        <f t="shared" ref="G6:H17" si="0">E6+F6</f>
        <v>2650</v>
      </c>
      <c r="H6" s="68">
        <v>2650</v>
      </c>
      <c r="I6" s="16">
        <f>G6-H6</f>
        <v>0</v>
      </c>
      <c r="J6" s="58"/>
    </row>
    <row r="7" spans="1:10" x14ac:dyDescent="0.25">
      <c r="A7" s="1">
        <v>3</v>
      </c>
      <c r="B7" s="112" t="s">
        <v>146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  <c r="J7" s="58"/>
    </row>
    <row r="8" spans="1:10" x14ac:dyDescent="0.25">
      <c r="A8" s="1">
        <v>4</v>
      </c>
      <c r="B8" t="s">
        <v>151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v>0</v>
      </c>
      <c r="J8" s="58"/>
    </row>
    <row r="9" spans="1:10" x14ac:dyDescent="0.25">
      <c r="A9" s="1">
        <v>5</v>
      </c>
      <c r="B9" s="13" t="s">
        <v>68</v>
      </c>
      <c r="D9" s="14">
        <v>0</v>
      </c>
      <c r="E9" s="1">
        <v>2500</v>
      </c>
      <c r="F9" s="1">
        <v>150</v>
      </c>
      <c r="G9" s="16">
        <f t="shared" si="0"/>
        <v>2650</v>
      </c>
      <c r="H9" s="68"/>
      <c r="I9" s="16">
        <f>G9-H9</f>
        <v>2650</v>
      </c>
      <c r="J9" s="58"/>
    </row>
    <row r="10" spans="1:10" x14ac:dyDescent="0.25">
      <c r="A10" s="1">
        <v>6</v>
      </c>
      <c r="B10" s="13" t="s">
        <v>10</v>
      </c>
      <c r="C10" s="13"/>
      <c r="D10" s="14"/>
      <c r="E10" s="1">
        <v>2500</v>
      </c>
      <c r="F10" s="1">
        <v>150</v>
      </c>
      <c r="G10" s="16">
        <f t="shared" si="0"/>
        <v>2650</v>
      </c>
      <c r="H10" s="16">
        <f t="shared" si="0"/>
        <v>2800</v>
      </c>
      <c r="I10" s="16">
        <v>0</v>
      </c>
      <c r="J10" s="58"/>
    </row>
    <row r="11" spans="1:10" x14ac:dyDescent="0.25">
      <c r="A11" s="1">
        <v>7</v>
      </c>
      <c r="B11" s="112" t="s">
        <v>149</v>
      </c>
      <c r="C11" s="13"/>
      <c r="D11" s="14">
        <v>0</v>
      </c>
      <c r="E11" s="1">
        <v>2500</v>
      </c>
      <c r="F11" s="1">
        <v>150</v>
      </c>
      <c r="G11" s="16">
        <f t="shared" si="0"/>
        <v>2650</v>
      </c>
      <c r="H11" s="68">
        <v>2500</v>
      </c>
      <c r="I11" s="16">
        <v>0</v>
      </c>
      <c r="J11" s="58"/>
    </row>
    <row r="12" spans="1:10" x14ac:dyDescent="0.25">
      <c r="A12" s="1">
        <v>8</v>
      </c>
      <c r="B12" s="13" t="s">
        <v>150</v>
      </c>
      <c r="D12" s="14">
        <v>0</v>
      </c>
      <c r="E12" s="1">
        <v>2500</v>
      </c>
      <c r="F12" s="1">
        <v>150</v>
      </c>
      <c r="G12" s="16">
        <f t="shared" si="0"/>
        <v>2650</v>
      </c>
      <c r="H12" s="68"/>
      <c r="I12" s="16"/>
      <c r="J12" s="58"/>
    </row>
    <row r="13" spans="1:10" x14ac:dyDescent="0.25">
      <c r="A13" s="1">
        <v>9</v>
      </c>
      <c r="B13" s="13" t="s">
        <v>113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/>
      <c r="I13" s="16"/>
      <c r="J13" s="58"/>
    </row>
    <row r="14" spans="1:10" x14ac:dyDescent="0.25">
      <c r="A14" s="1">
        <v>10</v>
      </c>
      <c r="B14" s="79" t="s">
        <v>154</v>
      </c>
      <c r="C14" s="79"/>
      <c r="D14" s="14"/>
      <c r="E14" s="1">
        <v>3500</v>
      </c>
      <c r="F14" s="1">
        <v>150</v>
      </c>
      <c r="G14" s="16">
        <f t="shared" si="0"/>
        <v>3650</v>
      </c>
      <c r="H14" s="68">
        <v>2650</v>
      </c>
      <c r="I14" s="16">
        <f>G14-H14</f>
        <v>1000</v>
      </c>
      <c r="J14" s="58"/>
    </row>
    <row r="15" spans="1:10" x14ac:dyDescent="0.25">
      <c r="A15" s="1">
        <v>11</v>
      </c>
      <c r="B15" s="79" t="s">
        <v>152</v>
      </c>
      <c r="C15" s="13"/>
      <c r="D15" s="14">
        <v>0</v>
      </c>
      <c r="E15" s="1">
        <v>3500</v>
      </c>
      <c r="F15" s="1">
        <v>150</v>
      </c>
      <c r="G15" s="16">
        <f t="shared" si="0"/>
        <v>3650</v>
      </c>
      <c r="H15" s="68">
        <v>3500</v>
      </c>
      <c r="I15" s="16">
        <f>G15-H15</f>
        <v>150</v>
      </c>
      <c r="J15" s="58"/>
    </row>
    <row r="16" spans="1:10" x14ac:dyDescent="0.25">
      <c r="A16" s="1">
        <v>12</v>
      </c>
      <c r="B16" s="112" t="s">
        <v>153</v>
      </c>
      <c r="C16" s="13"/>
      <c r="D16" s="14"/>
      <c r="E16" s="1">
        <v>5000</v>
      </c>
      <c r="F16" s="1">
        <v>150</v>
      </c>
      <c r="G16" s="16">
        <v>5000</v>
      </c>
      <c r="H16" s="68"/>
      <c r="I16" s="16"/>
      <c r="J16" s="58"/>
    </row>
    <row r="17" spans="1:10" x14ac:dyDescent="0.25">
      <c r="A17" s="1">
        <v>13</v>
      </c>
      <c r="B17" s="13" t="s">
        <v>17</v>
      </c>
      <c r="D17" s="14"/>
      <c r="E17" s="1">
        <v>3500</v>
      </c>
      <c r="F17" s="1">
        <v>150</v>
      </c>
      <c r="G17" s="16">
        <f t="shared" si="0"/>
        <v>3650</v>
      </c>
      <c r="H17" s="68">
        <v>2650</v>
      </c>
      <c r="I17" s="16">
        <f>G17-H17</f>
        <v>1000</v>
      </c>
      <c r="J17" s="58"/>
    </row>
    <row r="18" spans="1:10" x14ac:dyDescent="0.25">
      <c r="A18" s="1"/>
      <c r="B18" s="13" t="s">
        <v>145</v>
      </c>
      <c r="C18" s="13"/>
      <c r="D18" s="67">
        <f>SUM(D4:D16)</f>
        <v>0</v>
      </c>
      <c r="E18" s="94">
        <f>SUM(E4:E17)</f>
        <v>38000</v>
      </c>
      <c r="F18" s="1">
        <v>150</v>
      </c>
      <c r="G18" s="16">
        <f>SUM(G5:G17)</f>
        <v>39800</v>
      </c>
      <c r="H18" s="68">
        <f>SUM(H5:H17)</f>
        <v>23200</v>
      </c>
      <c r="I18" s="16">
        <f>SUM(I4:I17)</f>
        <v>4800</v>
      </c>
      <c r="J18" s="58"/>
    </row>
    <row r="19" spans="1:10" ht="15.75" x14ac:dyDescent="0.25">
      <c r="A19" s="58"/>
      <c r="B19" s="58"/>
      <c r="C19" s="58"/>
      <c r="D19" s="19"/>
      <c r="E19" s="38"/>
      <c r="F19" s="38"/>
      <c r="G19" s="38"/>
      <c r="H19" s="58"/>
      <c r="I19" s="58"/>
      <c r="J19" s="58"/>
    </row>
    <row r="20" spans="1:10" ht="23.25" x14ac:dyDescent="0.35">
      <c r="A20" s="58"/>
      <c r="B20" s="105" t="s">
        <v>121</v>
      </c>
      <c r="C20" s="58"/>
      <c r="D20" s="58"/>
      <c r="E20" s="58"/>
      <c r="F20" s="58"/>
      <c r="G20" s="58"/>
      <c r="H20" s="58"/>
      <c r="I20" s="58"/>
      <c r="J20" s="58"/>
    </row>
    <row r="21" spans="1:10" ht="23.25" x14ac:dyDescent="0.35">
      <c r="A21" s="43"/>
      <c r="B21" s="106" t="s">
        <v>122</v>
      </c>
      <c r="C21" s="106" t="s">
        <v>123</v>
      </c>
      <c r="D21" s="106" t="s">
        <v>124</v>
      </c>
      <c r="E21" s="106" t="s">
        <v>125</v>
      </c>
      <c r="F21" s="58"/>
      <c r="G21" s="58"/>
      <c r="H21" s="58"/>
      <c r="I21" s="58"/>
      <c r="J21" s="58"/>
    </row>
    <row r="22" spans="1:10" x14ac:dyDescent="0.25">
      <c r="A22" s="43"/>
      <c r="B22" s="1" t="s">
        <v>126</v>
      </c>
      <c r="C22" s="16">
        <f>E18</f>
        <v>38000</v>
      </c>
      <c r="D22" s="1"/>
      <c r="E22" s="1"/>
      <c r="F22" s="58"/>
      <c r="G22" s="58"/>
      <c r="H22" s="58"/>
      <c r="I22" s="58"/>
      <c r="J22" s="58"/>
    </row>
    <row r="23" spans="1:10" x14ac:dyDescent="0.25">
      <c r="A23" s="43"/>
      <c r="B23" s="1" t="s">
        <v>127</v>
      </c>
      <c r="C23" s="107">
        <v>0.1</v>
      </c>
      <c r="D23" s="16">
        <f>C22*C23</f>
        <v>3800</v>
      </c>
      <c r="E23" s="1"/>
      <c r="F23" s="58"/>
      <c r="G23" s="58"/>
      <c r="H23" s="58"/>
      <c r="I23" s="58"/>
      <c r="J23" s="58"/>
    </row>
    <row r="24" spans="1:10" x14ac:dyDescent="0.25">
      <c r="A24" s="43"/>
      <c r="B24" s="113"/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69" t="s">
        <v>128</v>
      </c>
      <c r="C25" s="1"/>
      <c r="D25" s="1"/>
      <c r="E25" s="1"/>
      <c r="F25" s="58"/>
      <c r="G25" s="58"/>
      <c r="H25" s="58"/>
      <c r="I25" s="58"/>
      <c r="J25" s="58"/>
    </row>
    <row r="26" spans="1:10" x14ac:dyDescent="0.25">
      <c r="A26" s="43"/>
      <c r="B26" s="1" t="s">
        <v>156</v>
      </c>
      <c r="C26" s="1"/>
      <c r="D26" s="1">
        <v>10610</v>
      </c>
      <c r="E26" s="1"/>
      <c r="F26" s="58"/>
      <c r="G26" s="58"/>
      <c r="H26" s="58"/>
      <c r="I26" s="58"/>
      <c r="J26" s="58"/>
    </row>
    <row r="27" spans="1:10" x14ac:dyDescent="0.25">
      <c r="A27" s="118"/>
      <c r="B27" s="1" t="s">
        <v>155</v>
      </c>
      <c r="C27" s="1"/>
      <c r="D27" s="1">
        <v>500</v>
      </c>
      <c r="E27" s="1"/>
      <c r="F27" s="58"/>
      <c r="G27" s="58"/>
      <c r="H27" s="58"/>
      <c r="I27" s="58"/>
      <c r="J27" s="58"/>
    </row>
    <row r="28" spans="1:10" x14ac:dyDescent="0.25">
      <c r="A28" s="101"/>
      <c r="B28" s="113" t="s">
        <v>157</v>
      </c>
      <c r="C28" s="1"/>
      <c r="D28" s="1">
        <v>9050</v>
      </c>
      <c r="E28" s="1"/>
      <c r="F28" s="58"/>
      <c r="G28" s="58"/>
      <c r="H28" s="58"/>
      <c r="I28" s="58"/>
      <c r="J28" s="58"/>
    </row>
    <row r="29" spans="1:10" x14ac:dyDescent="0.25">
      <c r="A29" s="58"/>
      <c r="B29" s="110" t="s">
        <v>158</v>
      </c>
      <c r="C29" s="1"/>
      <c r="D29" s="1">
        <v>2500</v>
      </c>
      <c r="E29" s="1"/>
      <c r="F29" s="58"/>
      <c r="G29" s="58"/>
      <c r="H29" s="58"/>
      <c r="I29" s="58"/>
      <c r="J29" s="58"/>
    </row>
    <row r="30" spans="1:10" x14ac:dyDescent="0.25">
      <c r="A30" s="58"/>
      <c r="B30" s="1" t="s">
        <v>159</v>
      </c>
      <c r="C30" s="1"/>
      <c r="D30" s="1">
        <v>1000</v>
      </c>
      <c r="E30" s="1"/>
      <c r="F30" s="58"/>
      <c r="G30" s="58"/>
      <c r="H30" s="58"/>
      <c r="I30" s="58"/>
      <c r="J30" s="58"/>
    </row>
    <row r="31" spans="1:10" x14ac:dyDescent="0.25">
      <c r="A31" s="58"/>
      <c r="B31" s="69" t="s">
        <v>129</v>
      </c>
      <c r="C31" s="70">
        <f>SUM(C22:C30)</f>
        <v>38000.1</v>
      </c>
      <c r="D31" s="70">
        <f>SUM(D22:D30)</f>
        <v>27460</v>
      </c>
      <c r="E31" s="70">
        <f>C31-D31</f>
        <v>10540.099999999999</v>
      </c>
      <c r="F31" s="58"/>
      <c r="G31" s="58"/>
      <c r="H31" s="58"/>
      <c r="I31" s="58"/>
    </row>
    <row r="32" spans="1:10" x14ac:dyDescent="0.25">
      <c r="A32" s="58"/>
      <c r="B32" s="1"/>
      <c r="C32" s="1"/>
      <c r="D32" s="1"/>
      <c r="E32" s="1"/>
      <c r="F32" s="58"/>
      <c r="G32" s="58"/>
      <c r="H32" s="58"/>
      <c r="I32" s="58"/>
    </row>
    <row r="33" spans="1:9" x14ac:dyDescent="0.25">
      <c r="A33" s="58"/>
      <c r="B33" s="58"/>
      <c r="C33" s="58"/>
      <c r="D33" s="58"/>
      <c r="E33" s="58"/>
      <c r="F33" s="58"/>
      <c r="G33" s="58"/>
      <c r="H33" s="58"/>
      <c r="I33" s="58"/>
    </row>
    <row r="34" spans="1:9" x14ac:dyDescent="0.25">
      <c r="B34" s="21"/>
      <c r="C34" s="21" t="s">
        <v>33</v>
      </c>
      <c r="D34" s="21" t="s">
        <v>31</v>
      </c>
      <c r="F34" s="45" t="s">
        <v>92</v>
      </c>
    </row>
    <row r="35" spans="1:9" x14ac:dyDescent="0.25">
      <c r="B35" s="114" t="s">
        <v>160</v>
      </c>
      <c r="C35" s="21" t="s">
        <v>34</v>
      </c>
      <c r="D35" s="21" t="s">
        <v>162</v>
      </c>
      <c r="F35" s="45" t="s">
        <v>161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32" sqref="D32"/>
    </sheetView>
  </sheetViews>
  <sheetFormatPr defaultRowHeight="15" x14ac:dyDescent="0.25"/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165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/>
      <c r="B4" s="11"/>
      <c r="C4" s="11"/>
      <c r="D4" s="11"/>
      <c r="E4" s="11"/>
      <c r="F4" s="58"/>
      <c r="G4" s="1"/>
      <c r="H4" s="12"/>
      <c r="I4" s="1"/>
      <c r="J4" s="58"/>
    </row>
    <row r="5" spans="1:10" x14ac:dyDescent="0.25">
      <c r="A5" s="1">
        <v>1</v>
      </c>
      <c r="B5" s="13" t="s">
        <v>148</v>
      </c>
      <c r="C5" s="58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  <c r="J5" s="58"/>
    </row>
    <row r="6" spans="1:10" x14ac:dyDescent="0.25">
      <c r="A6" s="1">
        <v>2</v>
      </c>
      <c r="B6" s="58" t="s">
        <v>147</v>
      </c>
      <c r="C6" s="13"/>
      <c r="D6" s="14">
        <v>0</v>
      </c>
      <c r="E6" s="1">
        <v>2500</v>
      </c>
      <c r="F6" s="1">
        <v>150</v>
      </c>
      <c r="G6" s="16">
        <f t="shared" ref="G6:H17" si="0">E6+F6</f>
        <v>2650</v>
      </c>
      <c r="H6" s="68">
        <v>2650</v>
      </c>
      <c r="I6" s="16">
        <f>G6-H6</f>
        <v>0</v>
      </c>
      <c r="J6" s="58"/>
    </row>
    <row r="7" spans="1:10" x14ac:dyDescent="0.25">
      <c r="A7" s="1">
        <v>3</v>
      </c>
      <c r="B7" s="112" t="s">
        <v>146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  <c r="J7" s="58"/>
    </row>
    <row r="8" spans="1:10" x14ac:dyDescent="0.25">
      <c r="A8" s="1">
        <v>4</v>
      </c>
      <c r="B8" s="58" t="s">
        <v>151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v>0</v>
      </c>
      <c r="J8" s="58"/>
    </row>
    <row r="9" spans="1:10" x14ac:dyDescent="0.25">
      <c r="A9" s="1">
        <v>5</v>
      </c>
      <c r="B9" s="13" t="s">
        <v>68</v>
      </c>
      <c r="C9" s="58"/>
      <c r="D9" s="14">
        <v>0</v>
      </c>
      <c r="E9" s="1">
        <v>2500</v>
      </c>
      <c r="F9" s="1">
        <v>150</v>
      </c>
      <c r="G9" s="16">
        <f t="shared" si="0"/>
        <v>2650</v>
      </c>
      <c r="H9" s="68"/>
      <c r="I9" s="16">
        <f>G9-H9</f>
        <v>2650</v>
      </c>
      <c r="J9" s="58"/>
    </row>
    <row r="10" spans="1:10" x14ac:dyDescent="0.25">
      <c r="A10" s="1">
        <v>6</v>
      </c>
      <c r="B10" s="13" t="s">
        <v>10</v>
      </c>
      <c r="C10" s="13"/>
      <c r="D10" s="14"/>
      <c r="E10" s="1">
        <v>2500</v>
      </c>
      <c r="F10" s="1">
        <v>150</v>
      </c>
      <c r="G10" s="16">
        <f t="shared" si="0"/>
        <v>2650</v>
      </c>
      <c r="H10" s="16">
        <f t="shared" si="0"/>
        <v>2800</v>
      </c>
      <c r="I10" s="16">
        <v>0</v>
      </c>
      <c r="J10" s="58"/>
    </row>
    <row r="11" spans="1:10" x14ac:dyDescent="0.25">
      <c r="A11" s="1">
        <v>7</v>
      </c>
      <c r="B11" s="112" t="s">
        <v>149</v>
      </c>
      <c r="C11" s="13"/>
      <c r="D11" s="14">
        <v>0</v>
      </c>
      <c r="E11" s="1">
        <v>2500</v>
      </c>
      <c r="F11" s="1">
        <v>150</v>
      </c>
      <c r="G11" s="16">
        <f t="shared" si="0"/>
        <v>2650</v>
      </c>
      <c r="H11" s="68">
        <v>2500</v>
      </c>
      <c r="I11" s="16">
        <v>0</v>
      </c>
      <c r="J11" s="58"/>
    </row>
    <row r="12" spans="1:10" x14ac:dyDescent="0.25">
      <c r="A12" s="1">
        <v>8</v>
      </c>
      <c r="B12" s="13" t="s">
        <v>150</v>
      </c>
      <c r="C12" s="58"/>
      <c r="D12" s="14">
        <v>0</v>
      </c>
      <c r="E12" s="1">
        <v>2500</v>
      </c>
      <c r="F12" s="1">
        <v>150</v>
      </c>
      <c r="G12" s="16">
        <f t="shared" si="0"/>
        <v>2650</v>
      </c>
      <c r="H12" s="68"/>
      <c r="I12" s="16"/>
      <c r="J12" s="58"/>
    </row>
    <row r="13" spans="1:10" x14ac:dyDescent="0.25">
      <c r="A13" s="1">
        <v>9</v>
      </c>
      <c r="B13" s="13" t="s">
        <v>113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/>
      <c r="I13" s="16"/>
      <c r="J13" s="58"/>
    </row>
    <row r="14" spans="1:10" x14ac:dyDescent="0.25">
      <c r="A14" s="1">
        <v>10</v>
      </c>
      <c r="B14" s="79" t="s">
        <v>154</v>
      </c>
      <c r="C14" s="79"/>
      <c r="D14" s="14"/>
      <c r="E14" s="1">
        <v>3500</v>
      </c>
      <c r="F14" s="1">
        <v>150</v>
      </c>
      <c r="G14" s="16">
        <f t="shared" si="0"/>
        <v>3650</v>
      </c>
      <c r="H14" s="68">
        <v>2650</v>
      </c>
      <c r="I14" s="16">
        <f>G14-H14</f>
        <v>1000</v>
      </c>
      <c r="J14" s="58"/>
    </row>
    <row r="15" spans="1:10" x14ac:dyDescent="0.25">
      <c r="A15" s="1">
        <v>11</v>
      </c>
      <c r="B15" s="79" t="s">
        <v>152</v>
      </c>
      <c r="C15" s="13"/>
      <c r="D15" s="14">
        <v>0</v>
      </c>
      <c r="E15" s="1">
        <v>3500</v>
      </c>
      <c r="F15" s="1">
        <v>150</v>
      </c>
      <c r="G15" s="16">
        <f t="shared" si="0"/>
        <v>3650</v>
      </c>
      <c r="H15" s="68">
        <v>3500</v>
      </c>
      <c r="I15" s="16">
        <f>G15-H15</f>
        <v>150</v>
      </c>
      <c r="J15" s="58"/>
    </row>
    <row r="16" spans="1:10" x14ac:dyDescent="0.25">
      <c r="A16" s="1">
        <v>12</v>
      </c>
      <c r="B16" s="112" t="s">
        <v>153</v>
      </c>
      <c r="C16" s="13"/>
      <c r="D16" s="14"/>
      <c r="E16" s="1">
        <v>5000</v>
      </c>
      <c r="F16" s="1">
        <v>150</v>
      </c>
      <c r="G16" s="16">
        <v>5000</v>
      </c>
      <c r="H16" s="68"/>
      <c r="I16" s="16"/>
      <c r="J16" s="58"/>
    </row>
    <row r="17" spans="1:10" x14ac:dyDescent="0.25">
      <c r="A17" s="1">
        <v>13</v>
      </c>
      <c r="B17" s="13" t="s">
        <v>17</v>
      </c>
      <c r="C17" s="58"/>
      <c r="D17" s="14"/>
      <c r="E17" s="1">
        <v>3500</v>
      </c>
      <c r="F17" s="1">
        <v>150</v>
      </c>
      <c r="G17" s="16">
        <f t="shared" si="0"/>
        <v>3650</v>
      </c>
      <c r="H17" s="68">
        <v>2650</v>
      </c>
      <c r="I17" s="16">
        <f>G17-H17</f>
        <v>1000</v>
      </c>
      <c r="J17" s="58"/>
    </row>
    <row r="18" spans="1:10" x14ac:dyDescent="0.25">
      <c r="A18" s="1"/>
      <c r="B18" s="13" t="s">
        <v>145</v>
      </c>
      <c r="C18" s="13"/>
      <c r="D18" s="67">
        <f>SUM(D4:D16)</f>
        <v>0</v>
      </c>
      <c r="E18" s="94">
        <f>SUM(E4:E17)</f>
        <v>38000</v>
      </c>
      <c r="F18" s="1">
        <v>150</v>
      </c>
      <c r="G18" s="16">
        <f>SUM(G5:G17)</f>
        <v>39800</v>
      </c>
      <c r="H18" s="68">
        <f>SUM(H5:H17)</f>
        <v>23200</v>
      </c>
      <c r="I18" s="16">
        <f>SUM(I4:I17)</f>
        <v>4800</v>
      </c>
      <c r="J18" s="58"/>
    </row>
    <row r="19" spans="1:10" ht="15.75" x14ac:dyDescent="0.25">
      <c r="A19" s="58"/>
      <c r="B19" s="58"/>
      <c r="C19" s="58"/>
      <c r="D19" s="19"/>
      <c r="E19" s="38"/>
      <c r="F19" s="38"/>
      <c r="G19" s="38"/>
      <c r="H19" s="58"/>
      <c r="I19" s="58"/>
      <c r="J19" s="58"/>
    </row>
    <row r="20" spans="1:10" ht="23.25" x14ac:dyDescent="0.35">
      <c r="A20" s="58"/>
      <c r="B20" s="105" t="s">
        <v>121</v>
      </c>
      <c r="C20" s="58"/>
      <c r="D20" s="58"/>
      <c r="E20" s="58"/>
      <c r="F20" s="58"/>
      <c r="G20" s="58"/>
      <c r="H20" s="58"/>
      <c r="I20" s="58"/>
      <c r="J20" s="58"/>
    </row>
    <row r="21" spans="1:10" ht="23.25" x14ac:dyDescent="0.35">
      <c r="A21" s="43"/>
      <c r="B21" s="106" t="s">
        <v>122</v>
      </c>
      <c r="C21" s="106" t="s">
        <v>123</v>
      </c>
      <c r="D21" s="106" t="s">
        <v>124</v>
      </c>
      <c r="E21" s="106" t="s">
        <v>125</v>
      </c>
      <c r="F21" s="58"/>
      <c r="G21" s="58"/>
      <c r="H21" s="58"/>
      <c r="I21" s="58"/>
      <c r="J21" s="58"/>
    </row>
    <row r="22" spans="1:10" x14ac:dyDescent="0.25">
      <c r="A22" s="43"/>
      <c r="B22" s="1" t="s">
        <v>126</v>
      </c>
      <c r="C22" s="16">
        <f>E18</f>
        <v>38000</v>
      </c>
      <c r="D22" s="1"/>
      <c r="E22" s="1"/>
      <c r="F22" s="58"/>
      <c r="G22" s="58"/>
      <c r="H22" s="58"/>
      <c r="I22" s="58"/>
      <c r="J22" s="58"/>
    </row>
    <row r="23" spans="1:10" x14ac:dyDescent="0.25">
      <c r="A23" s="43"/>
      <c r="B23" s="1" t="s">
        <v>127</v>
      </c>
      <c r="C23" s="107">
        <v>0.1</v>
      </c>
      <c r="D23" s="16">
        <f>C22*C23</f>
        <v>3800</v>
      </c>
      <c r="E23" s="1"/>
      <c r="F23" s="58"/>
      <c r="G23" s="58"/>
      <c r="H23" s="58"/>
      <c r="I23" s="58"/>
      <c r="J23" s="58"/>
    </row>
    <row r="24" spans="1:10" x14ac:dyDescent="0.25">
      <c r="A24" s="43"/>
      <c r="B24" s="113"/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69" t="s">
        <v>128</v>
      </c>
      <c r="C25" s="1"/>
      <c r="D25" s="1"/>
      <c r="E25" s="1"/>
      <c r="F25" s="58"/>
      <c r="G25" s="58"/>
      <c r="H25" s="58"/>
      <c r="I25" s="58"/>
      <c r="J25" s="58"/>
    </row>
    <row r="26" spans="1:10" x14ac:dyDescent="0.25">
      <c r="A26" s="43"/>
      <c r="B26" s="1" t="s">
        <v>156</v>
      </c>
      <c r="C26" s="1"/>
      <c r="D26" s="1">
        <v>10610</v>
      </c>
      <c r="E26" s="1"/>
      <c r="F26" s="58"/>
      <c r="G26" s="58"/>
      <c r="H26" s="58"/>
      <c r="I26" s="58"/>
      <c r="J26" s="58"/>
    </row>
    <row r="27" spans="1:10" x14ac:dyDescent="0.25">
      <c r="A27" s="118"/>
      <c r="B27" s="1" t="s">
        <v>163</v>
      </c>
      <c r="C27" s="1"/>
      <c r="D27" s="1">
        <v>2500</v>
      </c>
      <c r="E27" s="1"/>
      <c r="F27" s="58"/>
      <c r="G27" s="58"/>
      <c r="H27" s="58"/>
      <c r="I27" s="58"/>
      <c r="J27" s="58"/>
    </row>
    <row r="28" spans="1:10" x14ac:dyDescent="0.25">
      <c r="A28" s="101"/>
      <c r="B28" s="113" t="s">
        <v>164</v>
      </c>
      <c r="C28" s="1"/>
      <c r="D28" s="1">
        <v>500</v>
      </c>
      <c r="E28" s="1"/>
      <c r="F28" s="58"/>
      <c r="G28" s="58"/>
      <c r="H28" s="58"/>
      <c r="I28" s="58"/>
      <c r="J28" s="58"/>
    </row>
    <row r="29" spans="1:10" x14ac:dyDescent="0.25">
      <c r="A29" s="58"/>
      <c r="B29" s="110"/>
      <c r="C29" s="1"/>
      <c r="D29" s="1"/>
      <c r="E29" s="1"/>
      <c r="F29" s="58"/>
      <c r="G29" s="58"/>
      <c r="H29" s="58"/>
      <c r="I29" s="58"/>
      <c r="J29" s="58"/>
    </row>
    <row r="30" spans="1:10" x14ac:dyDescent="0.25">
      <c r="A30" s="58"/>
      <c r="B30" s="1"/>
      <c r="C30" s="1"/>
      <c r="D30" s="1"/>
      <c r="E30" s="1"/>
      <c r="F30" s="58"/>
      <c r="G30" s="58"/>
      <c r="H30" s="58"/>
      <c r="I30" s="58"/>
      <c r="J30" s="58"/>
    </row>
    <row r="31" spans="1:10" x14ac:dyDescent="0.25">
      <c r="A31" s="58"/>
      <c r="B31" s="69" t="s">
        <v>129</v>
      </c>
      <c r="C31" s="70">
        <f>SUM(C22:C30)</f>
        <v>38000.1</v>
      </c>
      <c r="D31" s="70">
        <f>SUM(D22:D30)</f>
        <v>17410</v>
      </c>
      <c r="E31" s="70">
        <f>C31-D31</f>
        <v>20590.099999999999</v>
      </c>
      <c r="F31" s="58"/>
      <c r="G31" s="58"/>
      <c r="H31" s="58"/>
      <c r="I31" s="58"/>
      <c r="J31" s="58"/>
    </row>
    <row r="32" spans="1:10" x14ac:dyDescent="0.25">
      <c r="A32" s="58"/>
      <c r="B32" s="1"/>
      <c r="C32" s="1"/>
      <c r="D32" s="1"/>
      <c r="E32" s="1"/>
      <c r="F32" s="58"/>
      <c r="G32" s="58"/>
      <c r="H32" s="58"/>
      <c r="I32" s="58"/>
      <c r="J32" s="58"/>
    </row>
    <row r="33" spans="1:10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</row>
    <row r="34" spans="1:10" x14ac:dyDescent="0.25">
      <c r="A34" s="58"/>
      <c r="B34" s="21"/>
      <c r="C34" s="21" t="s">
        <v>33</v>
      </c>
      <c r="D34" s="21" t="s">
        <v>31</v>
      </c>
      <c r="E34" s="58"/>
      <c r="F34" s="45" t="s">
        <v>92</v>
      </c>
      <c r="G34" s="58"/>
      <c r="H34" s="58"/>
      <c r="I34" s="58"/>
      <c r="J34" s="58"/>
    </row>
    <row r="35" spans="1:10" x14ac:dyDescent="0.25">
      <c r="A35" s="58"/>
      <c r="B35" s="114" t="s">
        <v>160</v>
      </c>
      <c r="C35" s="21" t="s">
        <v>34</v>
      </c>
      <c r="D35" s="21" t="s">
        <v>162</v>
      </c>
      <c r="E35" s="58"/>
      <c r="F35" s="45" t="s">
        <v>161</v>
      </c>
      <c r="G35" s="58"/>
      <c r="H35" s="58"/>
      <c r="I35" s="58"/>
      <c r="J35" s="58"/>
    </row>
    <row r="36" spans="1:10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</row>
    <row r="37" spans="1:10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31" sqref="D31"/>
    </sheetView>
  </sheetViews>
  <sheetFormatPr defaultRowHeight="15" x14ac:dyDescent="0.25"/>
  <cols>
    <col min="2" max="2" width="12.85546875" customWidth="1"/>
  </cols>
  <sheetData>
    <row r="1" spans="1:11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  <c r="K1" s="58"/>
    </row>
    <row r="2" spans="1:11" ht="18.75" x14ac:dyDescent="0.25">
      <c r="A2" s="33" t="s">
        <v>167</v>
      </c>
      <c r="B2" s="35"/>
      <c r="C2" s="35"/>
      <c r="D2" s="34"/>
      <c r="E2" s="34"/>
      <c r="F2" s="34"/>
      <c r="G2" s="34"/>
      <c r="H2" s="34"/>
      <c r="I2" s="58"/>
      <c r="J2" s="58"/>
      <c r="K2" s="58"/>
    </row>
    <row r="3" spans="1:11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  <c r="K3" s="58"/>
    </row>
    <row r="4" spans="1:11" x14ac:dyDescent="0.25">
      <c r="A4" s="1"/>
      <c r="B4" s="11"/>
      <c r="C4" s="11"/>
      <c r="D4" s="11"/>
      <c r="E4" s="11"/>
      <c r="F4" s="58"/>
      <c r="G4" s="1"/>
      <c r="H4" s="12"/>
      <c r="I4" s="1"/>
      <c r="J4" s="58"/>
      <c r="K4" s="58"/>
    </row>
    <row r="5" spans="1:11" x14ac:dyDescent="0.25">
      <c r="A5" s="1">
        <v>1</v>
      </c>
      <c r="B5" s="13" t="s">
        <v>148</v>
      </c>
      <c r="C5" s="58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  <c r="J5" s="58"/>
      <c r="K5" s="58"/>
    </row>
    <row r="6" spans="1:11" x14ac:dyDescent="0.25">
      <c r="A6" s="1">
        <v>2</v>
      </c>
      <c r="B6" s="58" t="s">
        <v>147</v>
      </c>
      <c r="C6" s="13"/>
      <c r="D6" s="14">
        <v>0</v>
      </c>
      <c r="E6" s="1">
        <v>2500</v>
      </c>
      <c r="F6" s="1">
        <v>150</v>
      </c>
      <c r="G6" s="16">
        <f t="shared" ref="G6:H17" si="0">E6+F6</f>
        <v>2650</v>
      </c>
      <c r="H6" s="68">
        <v>2650</v>
      </c>
      <c r="I6" s="16">
        <f>G6-H6</f>
        <v>0</v>
      </c>
      <c r="J6" s="58"/>
      <c r="K6" s="58"/>
    </row>
    <row r="7" spans="1:11" x14ac:dyDescent="0.25">
      <c r="A7" s="1">
        <v>3</v>
      </c>
      <c r="B7" s="112" t="s">
        <v>146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  <c r="J7" s="58"/>
      <c r="K7" s="58"/>
    </row>
    <row r="8" spans="1:11" x14ac:dyDescent="0.25">
      <c r="A8" s="1">
        <v>4</v>
      </c>
      <c r="B8" s="58" t="s">
        <v>151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v>0</v>
      </c>
      <c r="J8" s="58"/>
      <c r="K8" s="58"/>
    </row>
    <row r="9" spans="1:11" x14ac:dyDescent="0.25">
      <c r="A9" s="1">
        <v>5</v>
      </c>
      <c r="B9" s="13" t="s">
        <v>68</v>
      </c>
      <c r="C9" s="58"/>
      <c r="D9" s="14">
        <v>0</v>
      </c>
      <c r="E9" s="1">
        <v>2500</v>
      </c>
      <c r="F9" s="1">
        <v>150</v>
      </c>
      <c r="G9" s="16">
        <f t="shared" si="0"/>
        <v>2650</v>
      </c>
      <c r="H9" s="68"/>
      <c r="I9" s="16">
        <f>G9-H9</f>
        <v>2650</v>
      </c>
      <c r="J9" s="58"/>
      <c r="K9" s="58"/>
    </row>
    <row r="10" spans="1:11" x14ac:dyDescent="0.25">
      <c r="A10" s="1">
        <v>6</v>
      </c>
      <c r="B10" s="13" t="s">
        <v>10</v>
      </c>
      <c r="C10" s="13"/>
      <c r="D10" s="14"/>
      <c r="E10" s="1">
        <v>2500</v>
      </c>
      <c r="F10" s="1">
        <v>150</v>
      </c>
      <c r="G10" s="16">
        <f t="shared" si="0"/>
        <v>2650</v>
      </c>
      <c r="H10" s="16">
        <f t="shared" si="0"/>
        <v>2800</v>
      </c>
      <c r="I10" s="16">
        <v>0</v>
      </c>
      <c r="J10" s="58"/>
      <c r="K10" s="58"/>
    </row>
    <row r="11" spans="1:11" x14ac:dyDescent="0.25">
      <c r="A11" s="1">
        <v>7</v>
      </c>
      <c r="B11" s="112" t="s">
        <v>149</v>
      </c>
      <c r="C11" s="13"/>
      <c r="D11" s="14">
        <v>0</v>
      </c>
      <c r="E11" s="1">
        <v>2500</v>
      </c>
      <c r="F11" s="1">
        <v>150</v>
      </c>
      <c r="G11" s="16">
        <f t="shared" si="0"/>
        <v>2650</v>
      </c>
      <c r="H11" s="68">
        <v>2500</v>
      </c>
      <c r="I11" s="16">
        <v>0</v>
      </c>
      <c r="J11" s="58"/>
      <c r="K11" s="58"/>
    </row>
    <row r="12" spans="1:11" x14ac:dyDescent="0.25">
      <c r="A12" s="1">
        <v>8</v>
      </c>
      <c r="B12" s="13" t="s">
        <v>150</v>
      </c>
      <c r="C12" s="58"/>
      <c r="D12" s="14">
        <v>0</v>
      </c>
      <c r="E12" s="1">
        <v>2500</v>
      </c>
      <c r="F12" s="1">
        <v>150</v>
      </c>
      <c r="G12" s="16">
        <f t="shared" si="0"/>
        <v>2650</v>
      </c>
      <c r="H12" s="68"/>
      <c r="I12" s="16"/>
      <c r="J12" s="58"/>
      <c r="K12" s="58"/>
    </row>
    <row r="13" spans="1:11" x14ac:dyDescent="0.25">
      <c r="A13" s="1">
        <v>9</v>
      </c>
      <c r="B13" s="13" t="s">
        <v>113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/>
      <c r="I13" s="16"/>
      <c r="J13" s="58"/>
      <c r="K13" s="58"/>
    </row>
    <row r="14" spans="1:11" x14ac:dyDescent="0.25">
      <c r="A14" s="1">
        <v>10</v>
      </c>
      <c r="B14" s="79" t="s">
        <v>154</v>
      </c>
      <c r="C14" s="79"/>
      <c r="D14" s="14"/>
      <c r="E14" s="1">
        <v>3500</v>
      </c>
      <c r="F14" s="1">
        <v>150</v>
      </c>
      <c r="G14" s="16">
        <f t="shared" si="0"/>
        <v>3650</v>
      </c>
      <c r="H14" s="68">
        <v>2650</v>
      </c>
      <c r="I14" s="16">
        <f>G14-H14</f>
        <v>1000</v>
      </c>
      <c r="J14" s="58"/>
      <c r="K14" s="58"/>
    </row>
    <row r="15" spans="1:11" x14ac:dyDescent="0.25">
      <c r="A15" s="1">
        <v>11</v>
      </c>
      <c r="B15" s="79" t="s">
        <v>152</v>
      </c>
      <c r="C15" s="13"/>
      <c r="D15" s="14">
        <v>0</v>
      </c>
      <c r="E15" s="1">
        <v>3500</v>
      </c>
      <c r="F15" s="1">
        <v>150</v>
      </c>
      <c r="G15" s="16">
        <f t="shared" si="0"/>
        <v>3650</v>
      </c>
      <c r="H15" s="68">
        <v>3500</v>
      </c>
      <c r="I15" s="16">
        <f>G15-H15</f>
        <v>150</v>
      </c>
      <c r="J15" s="58"/>
      <c r="K15" s="58"/>
    </row>
    <row r="16" spans="1:11" x14ac:dyDescent="0.25">
      <c r="A16" s="1">
        <v>12</v>
      </c>
      <c r="B16" s="112" t="s">
        <v>153</v>
      </c>
      <c r="C16" s="13"/>
      <c r="D16" s="14"/>
      <c r="E16" s="1">
        <v>5000</v>
      </c>
      <c r="F16" s="1">
        <v>150</v>
      </c>
      <c r="G16" s="16">
        <v>5000</v>
      </c>
      <c r="H16" s="68"/>
      <c r="I16" s="16"/>
      <c r="J16" s="58"/>
      <c r="K16" s="58"/>
    </row>
    <row r="17" spans="1:11" x14ac:dyDescent="0.25">
      <c r="A17" s="1">
        <v>13</v>
      </c>
      <c r="B17" s="13" t="s">
        <v>17</v>
      </c>
      <c r="C17" s="58"/>
      <c r="D17" s="14"/>
      <c r="E17" s="1">
        <v>3500</v>
      </c>
      <c r="F17" s="1">
        <v>150</v>
      </c>
      <c r="G17" s="16">
        <f t="shared" si="0"/>
        <v>3650</v>
      </c>
      <c r="H17" s="68">
        <v>2650</v>
      </c>
      <c r="I17" s="16">
        <f>G17-H17</f>
        <v>1000</v>
      </c>
      <c r="J17" s="58"/>
      <c r="K17" s="58"/>
    </row>
    <row r="18" spans="1:11" x14ac:dyDescent="0.25">
      <c r="A18" s="1"/>
      <c r="B18" s="13" t="s">
        <v>145</v>
      </c>
      <c r="C18" s="13"/>
      <c r="D18" s="67">
        <f>SUM(D4:D16)</f>
        <v>0</v>
      </c>
      <c r="E18" s="94">
        <f>SUM(E5:E17)</f>
        <v>38000</v>
      </c>
      <c r="F18" s="1">
        <v>150</v>
      </c>
      <c r="G18" s="16">
        <f>SUM(G5:G17)</f>
        <v>39800</v>
      </c>
      <c r="H18" s="68">
        <f>SUM(H5:H17)</f>
        <v>23200</v>
      </c>
      <c r="I18" s="16">
        <f>SUM(I4:I17)</f>
        <v>4800</v>
      </c>
      <c r="J18" s="58"/>
      <c r="K18" s="58"/>
    </row>
    <row r="19" spans="1:11" ht="15.75" x14ac:dyDescent="0.25">
      <c r="A19" s="58"/>
      <c r="B19" s="58"/>
      <c r="C19" s="58"/>
      <c r="D19" s="19"/>
      <c r="E19" s="38"/>
      <c r="F19" s="38"/>
      <c r="G19" s="38"/>
      <c r="H19" s="58"/>
      <c r="I19" s="58"/>
      <c r="J19" s="58"/>
      <c r="K19" s="58"/>
    </row>
    <row r="20" spans="1:11" ht="23.25" x14ac:dyDescent="0.35">
      <c r="A20" s="58"/>
      <c r="B20" s="105" t="s">
        <v>121</v>
      </c>
      <c r="C20" s="58"/>
      <c r="D20" s="58"/>
      <c r="E20" s="58"/>
      <c r="F20" s="58"/>
      <c r="G20" s="58"/>
      <c r="H20" s="58"/>
      <c r="I20" s="58"/>
      <c r="J20" s="58"/>
      <c r="K20" s="58"/>
    </row>
    <row r="21" spans="1:11" ht="23.25" x14ac:dyDescent="0.35">
      <c r="A21" s="43"/>
      <c r="B21" s="106" t="s">
        <v>122</v>
      </c>
      <c r="C21" s="106" t="s">
        <v>123</v>
      </c>
      <c r="D21" s="106" t="s">
        <v>124</v>
      </c>
      <c r="E21" s="106" t="s">
        <v>125</v>
      </c>
      <c r="F21" s="58"/>
      <c r="G21" s="58"/>
      <c r="H21" s="58"/>
      <c r="I21" s="58"/>
      <c r="J21" s="58"/>
      <c r="K21" s="58"/>
    </row>
    <row r="22" spans="1:11" x14ac:dyDescent="0.25">
      <c r="A22" s="43"/>
      <c r="B22" s="1" t="s">
        <v>126</v>
      </c>
      <c r="C22" s="16">
        <f>E18</f>
        <v>38000</v>
      </c>
      <c r="D22" s="1"/>
      <c r="E22" s="1"/>
      <c r="F22" s="58"/>
      <c r="G22" s="58"/>
      <c r="H22" s="58"/>
      <c r="I22" s="58"/>
      <c r="J22" s="58"/>
      <c r="K22" s="58"/>
    </row>
    <row r="23" spans="1:11" x14ac:dyDescent="0.25">
      <c r="A23" s="43"/>
      <c r="B23" s="1" t="s">
        <v>127</v>
      </c>
      <c r="C23" s="107">
        <v>0.1</v>
      </c>
      <c r="D23" s="16">
        <f>C22*C23</f>
        <v>3800</v>
      </c>
      <c r="E23" s="1"/>
      <c r="F23" s="58"/>
      <c r="G23" s="58"/>
      <c r="H23" s="58"/>
      <c r="I23" s="58"/>
      <c r="J23" s="58"/>
      <c r="K23" s="58"/>
    </row>
    <row r="24" spans="1:11" x14ac:dyDescent="0.25">
      <c r="A24" s="43"/>
      <c r="B24" s="113"/>
      <c r="C24" s="1"/>
      <c r="D24" s="1"/>
      <c r="E24" s="1"/>
      <c r="F24" s="58"/>
      <c r="G24" s="58">
        <v>14</v>
      </c>
      <c r="H24" s="58">
        <v>6</v>
      </c>
      <c r="I24" s="58">
        <f>G24-H24</f>
        <v>8</v>
      </c>
      <c r="J24" s="58"/>
      <c r="K24" s="58"/>
    </row>
    <row r="25" spans="1:11" x14ac:dyDescent="0.25">
      <c r="A25" s="118"/>
      <c r="B25" s="69" t="s">
        <v>128</v>
      </c>
      <c r="C25" s="1"/>
      <c r="D25" s="1"/>
      <c r="E25" s="1"/>
      <c r="F25" s="58"/>
      <c r="G25" s="58"/>
      <c r="H25" s="58"/>
      <c r="I25" s="58"/>
      <c r="J25" s="58"/>
      <c r="K25" s="58"/>
    </row>
    <row r="26" spans="1:11" x14ac:dyDescent="0.25">
      <c r="A26" s="43"/>
      <c r="B26" s="1" t="s">
        <v>168</v>
      </c>
      <c r="C26" s="1"/>
      <c r="D26" s="1">
        <v>11610</v>
      </c>
      <c r="E26" s="1"/>
      <c r="F26" s="58"/>
      <c r="G26" s="58"/>
      <c r="H26" s="58"/>
      <c r="I26" s="58"/>
      <c r="J26" s="58"/>
      <c r="K26" s="58"/>
    </row>
    <row r="27" spans="1:11" x14ac:dyDescent="0.25">
      <c r="A27" s="118"/>
      <c r="B27" s="1" t="s">
        <v>163</v>
      </c>
      <c r="C27" s="1"/>
      <c r="D27" s="1">
        <v>2500</v>
      </c>
      <c r="E27" s="1"/>
      <c r="F27" s="58"/>
      <c r="G27" s="58"/>
      <c r="H27" s="58"/>
      <c r="I27" s="58"/>
      <c r="J27" s="58"/>
      <c r="K27" s="58"/>
    </row>
    <row r="28" spans="1:11" x14ac:dyDescent="0.25">
      <c r="A28" s="101"/>
      <c r="B28" s="113" t="s">
        <v>166</v>
      </c>
      <c r="C28" s="1"/>
      <c r="D28" s="1">
        <v>1800</v>
      </c>
      <c r="E28" s="1"/>
      <c r="F28" s="58"/>
      <c r="G28" s="58"/>
      <c r="H28" s="58"/>
      <c r="I28" s="58"/>
      <c r="J28" s="58"/>
      <c r="K28" s="58"/>
    </row>
    <row r="29" spans="1:11" x14ac:dyDescent="0.25">
      <c r="A29" s="58"/>
      <c r="B29" s="110"/>
      <c r="C29" s="1"/>
      <c r="D29" s="1"/>
      <c r="E29" s="1"/>
      <c r="F29" s="58"/>
      <c r="G29" s="58"/>
      <c r="H29" s="58"/>
      <c r="I29" s="58"/>
      <c r="J29" s="58"/>
      <c r="K29" s="58"/>
    </row>
    <row r="30" spans="1:11" x14ac:dyDescent="0.25">
      <c r="A30" s="58"/>
      <c r="B30" s="1"/>
      <c r="C30" s="1"/>
      <c r="D30" s="1"/>
      <c r="E30" s="1"/>
      <c r="F30" s="58"/>
      <c r="G30" s="58"/>
      <c r="H30" s="58"/>
      <c r="I30" s="58"/>
      <c r="J30" s="58"/>
      <c r="K30" s="58"/>
    </row>
    <row r="31" spans="1:11" x14ac:dyDescent="0.25">
      <c r="A31" s="58"/>
      <c r="B31" s="69" t="s">
        <v>129</v>
      </c>
      <c r="C31" s="70">
        <f>SUM(C22:C30)</f>
        <v>38000.1</v>
      </c>
      <c r="D31" s="70">
        <f>SUM(D22:D30)</f>
        <v>19710</v>
      </c>
      <c r="E31" s="70">
        <f>C31-D31</f>
        <v>18290.099999999999</v>
      </c>
      <c r="F31" s="58"/>
      <c r="G31" s="58"/>
      <c r="H31" s="58"/>
      <c r="I31" s="58"/>
      <c r="J31" s="58"/>
      <c r="K31" s="58"/>
    </row>
    <row r="32" spans="1:11" x14ac:dyDescent="0.25">
      <c r="A32" s="58"/>
      <c r="B32" s="1"/>
      <c r="C32" s="1"/>
      <c r="D32" s="1"/>
      <c r="E32" s="1"/>
      <c r="F32" s="58"/>
      <c r="G32" s="58"/>
      <c r="H32" s="58"/>
      <c r="I32" s="58"/>
      <c r="J32" s="58"/>
      <c r="K32" s="58"/>
    </row>
    <row r="33" spans="1:11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</row>
    <row r="34" spans="1:11" x14ac:dyDescent="0.25">
      <c r="A34" s="58"/>
      <c r="B34" s="21"/>
      <c r="C34" s="21" t="s">
        <v>33</v>
      </c>
      <c r="D34" s="21" t="s">
        <v>31</v>
      </c>
      <c r="E34" s="58"/>
      <c r="F34" s="45" t="s">
        <v>92</v>
      </c>
      <c r="G34" s="58"/>
      <c r="H34" s="58"/>
      <c r="I34" s="58"/>
      <c r="J34" s="58"/>
      <c r="K34" s="58"/>
    </row>
    <row r="35" spans="1:11" x14ac:dyDescent="0.25">
      <c r="A35" s="58"/>
      <c r="B35" s="114" t="s">
        <v>160</v>
      </c>
      <c r="C35" s="21" t="s">
        <v>34</v>
      </c>
      <c r="D35" s="21" t="s">
        <v>162</v>
      </c>
      <c r="E35" s="58"/>
      <c r="F35" s="45" t="s">
        <v>161</v>
      </c>
      <c r="G35" s="58"/>
      <c r="H35" s="58"/>
      <c r="I35" s="58"/>
      <c r="J35" s="58"/>
      <c r="K35" s="58"/>
    </row>
    <row r="36" spans="1:11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</row>
    <row r="37" spans="1:11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0" workbookViewId="0">
      <selection activeCell="D31" sqref="D31"/>
    </sheetView>
  </sheetViews>
  <sheetFormatPr defaultRowHeight="15" x14ac:dyDescent="0.25"/>
  <cols>
    <col min="1" max="1" width="3.28515625" customWidth="1"/>
    <col min="2" max="2" width="16.28515625" customWidth="1"/>
  </cols>
  <sheetData>
    <row r="1" spans="1:9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</row>
    <row r="2" spans="1:9" ht="18.75" x14ac:dyDescent="0.25">
      <c r="A2" s="33" t="s">
        <v>170</v>
      </c>
      <c r="B2" s="35"/>
      <c r="C2" s="35"/>
      <c r="D2" s="34"/>
      <c r="E2" s="34"/>
      <c r="F2" s="34"/>
      <c r="G2" s="34"/>
      <c r="H2" s="34"/>
      <c r="I2" s="58"/>
    </row>
    <row r="3" spans="1:9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</row>
    <row r="4" spans="1:9" x14ac:dyDescent="0.25">
      <c r="A4" s="1"/>
      <c r="B4" s="11"/>
      <c r="C4" s="11"/>
      <c r="D4" s="11"/>
      <c r="E4" s="11"/>
      <c r="F4" s="58"/>
      <c r="G4" s="1"/>
      <c r="H4" s="12"/>
      <c r="I4" s="1"/>
    </row>
    <row r="5" spans="1:9" x14ac:dyDescent="0.25">
      <c r="A5" s="1">
        <v>1</v>
      </c>
      <c r="B5" s="13" t="s">
        <v>148</v>
      </c>
      <c r="C5" s="58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</row>
    <row r="6" spans="1:9" x14ac:dyDescent="0.25">
      <c r="A6" s="1">
        <v>2</v>
      </c>
      <c r="B6" s="58" t="s">
        <v>147</v>
      </c>
      <c r="C6" s="13"/>
      <c r="D6" s="14">
        <v>0</v>
      </c>
      <c r="E6" s="1">
        <v>2500</v>
      </c>
      <c r="F6" s="1">
        <v>150</v>
      </c>
      <c r="G6" s="16">
        <f>E6+F6</f>
        <v>2650</v>
      </c>
      <c r="H6" s="68">
        <v>2650</v>
      </c>
      <c r="I6" s="16">
        <f>G6-H6</f>
        <v>0</v>
      </c>
    </row>
    <row r="7" spans="1:9" x14ac:dyDescent="0.25">
      <c r="A7" s="1">
        <v>3</v>
      </c>
      <c r="B7" s="112" t="s">
        <v>146</v>
      </c>
      <c r="C7" s="13"/>
      <c r="D7" s="14">
        <v>0</v>
      </c>
      <c r="E7" s="1">
        <v>2500</v>
      </c>
      <c r="F7" s="1">
        <v>150</v>
      </c>
      <c r="G7" s="16">
        <f>E7+F7</f>
        <v>2650</v>
      </c>
      <c r="H7" s="68">
        <v>1300</v>
      </c>
      <c r="I7" s="16">
        <v>0</v>
      </c>
    </row>
    <row r="8" spans="1:9" x14ac:dyDescent="0.25">
      <c r="A8" s="1">
        <v>4</v>
      </c>
      <c r="B8" s="58" t="s">
        <v>151</v>
      </c>
      <c r="C8" s="13"/>
      <c r="D8" s="14">
        <v>0</v>
      </c>
      <c r="E8" s="1">
        <v>2500</v>
      </c>
      <c r="F8" s="1">
        <v>150</v>
      </c>
      <c r="G8" s="16">
        <f>E8+F8</f>
        <v>2650</v>
      </c>
      <c r="H8" s="68">
        <v>2500</v>
      </c>
      <c r="I8" s="16">
        <v>0</v>
      </c>
    </row>
    <row r="9" spans="1:9" x14ac:dyDescent="0.25">
      <c r="A9" s="1">
        <v>5</v>
      </c>
      <c r="B9" s="13"/>
      <c r="C9" s="58"/>
      <c r="D9" s="14"/>
      <c r="E9" s="1"/>
      <c r="F9" s="1"/>
      <c r="G9" s="16"/>
      <c r="H9" s="68"/>
      <c r="I9" s="16"/>
    </row>
    <row r="10" spans="1:9" x14ac:dyDescent="0.25">
      <c r="A10" s="1">
        <v>6</v>
      </c>
      <c r="B10" s="13" t="s">
        <v>10</v>
      </c>
      <c r="C10" s="13"/>
      <c r="D10" s="14"/>
      <c r="E10" s="1">
        <v>2500</v>
      </c>
      <c r="F10" s="1">
        <v>150</v>
      </c>
      <c r="G10" s="16">
        <f>E10+F10</f>
        <v>2650</v>
      </c>
      <c r="H10" s="16">
        <f>F10+G10</f>
        <v>2800</v>
      </c>
      <c r="I10" s="16">
        <v>0</v>
      </c>
    </row>
    <row r="11" spans="1:9" x14ac:dyDescent="0.25">
      <c r="A11" s="1">
        <v>7</v>
      </c>
      <c r="B11" s="112" t="s">
        <v>149</v>
      </c>
      <c r="C11" s="13"/>
      <c r="D11" s="14">
        <v>0</v>
      </c>
      <c r="E11" s="1">
        <v>2500</v>
      </c>
      <c r="F11" s="1">
        <v>150</v>
      </c>
      <c r="G11" s="16">
        <f>E11+F11</f>
        <v>2650</v>
      </c>
      <c r="H11" s="68">
        <v>2500</v>
      </c>
      <c r="I11" s="16">
        <v>0</v>
      </c>
    </row>
    <row r="12" spans="1:9" x14ac:dyDescent="0.25">
      <c r="A12" s="1">
        <v>8</v>
      </c>
      <c r="B12" s="13" t="s">
        <v>150</v>
      </c>
      <c r="C12" s="58"/>
      <c r="D12" s="14">
        <v>0</v>
      </c>
      <c r="E12" s="1">
        <v>2500</v>
      </c>
      <c r="F12" s="1">
        <v>150</v>
      </c>
      <c r="G12" s="16">
        <f>E12+F12</f>
        <v>2650</v>
      </c>
      <c r="H12" s="68"/>
      <c r="I12" s="16"/>
    </row>
    <row r="13" spans="1:9" x14ac:dyDescent="0.25">
      <c r="A13" s="1">
        <v>9</v>
      </c>
      <c r="B13" s="13" t="s">
        <v>113</v>
      </c>
      <c r="C13" s="79"/>
      <c r="D13" s="14">
        <v>0</v>
      </c>
      <c r="E13" s="1">
        <v>2500</v>
      </c>
      <c r="F13" s="1">
        <v>150</v>
      </c>
      <c r="G13" s="16">
        <f>E13+F13</f>
        <v>2650</v>
      </c>
      <c r="H13" s="68"/>
      <c r="I13" s="16"/>
    </row>
    <row r="14" spans="1:9" x14ac:dyDescent="0.25">
      <c r="A14" s="1">
        <v>10</v>
      </c>
      <c r="B14" s="79" t="s">
        <v>154</v>
      </c>
      <c r="C14" s="79"/>
      <c r="D14" s="14"/>
      <c r="E14" s="1">
        <v>3500</v>
      </c>
      <c r="F14" s="1">
        <v>150</v>
      </c>
      <c r="G14" s="16">
        <f>E14+F14</f>
        <v>3650</v>
      </c>
      <c r="H14" s="68">
        <v>2650</v>
      </c>
      <c r="I14" s="16">
        <f>G14-H14</f>
        <v>1000</v>
      </c>
    </row>
    <row r="15" spans="1:9" x14ac:dyDescent="0.25">
      <c r="A15" s="1">
        <v>11</v>
      </c>
      <c r="B15" s="79" t="s">
        <v>152</v>
      </c>
      <c r="C15" s="13"/>
      <c r="D15" s="14">
        <v>0</v>
      </c>
      <c r="E15" s="1">
        <v>3500</v>
      </c>
      <c r="F15" s="1">
        <v>150</v>
      </c>
      <c r="G15" s="16">
        <f>E15+F15</f>
        <v>3650</v>
      </c>
      <c r="H15" s="68">
        <v>3500</v>
      </c>
      <c r="I15" s="16">
        <f>G15-H15</f>
        <v>150</v>
      </c>
    </row>
    <row r="16" spans="1:9" x14ac:dyDescent="0.25">
      <c r="A16" s="1">
        <v>12</v>
      </c>
      <c r="B16" s="112" t="s">
        <v>153</v>
      </c>
      <c r="C16" s="13"/>
      <c r="D16" s="14"/>
      <c r="E16" s="1">
        <v>5000</v>
      </c>
      <c r="F16" s="1">
        <v>150</v>
      </c>
      <c r="G16" s="16">
        <v>5000</v>
      </c>
      <c r="H16" s="68"/>
      <c r="I16" s="16"/>
    </row>
    <row r="17" spans="1:9" x14ac:dyDescent="0.25">
      <c r="A17" s="1">
        <v>13</v>
      </c>
      <c r="B17" s="13" t="s">
        <v>17</v>
      </c>
      <c r="C17" s="58"/>
      <c r="D17" s="14"/>
      <c r="E17" s="1">
        <v>3500</v>
      </c>
      <c r="F17" s="1">
        <v>150</v>
      </c>
      <c r="G17" s="16">
        <f>E17+F17</f>
        <v>3650</v>
      </c>
      <c r="H17" s="68">
        <v>2650</v>
      </c>
      <c r="I17" s="16">
        <f>G17-H17</f>
        <v>1000</v>
      </c>
    </row>
    <row r="18" spans="1:9" x14ac:dyDescent="0.25">
      <c r="A18" s="1"/>
      <c r="B18" s="13" t="s">
        <v>145</v>
      </c>
      <c r="C18" s="13"/>
      <c r="D18" s="67">
        <f>SUM(D4:D16)</f>
        <v>0</v>
      </c>
      <c r="E18" s="94">
        <f>SUM(E5:E17)</f>
        <v>35500</v>
      </c>
      <c r="F18" s="1">
        <v>150</v>
      </c>
      <c r="G18" s="16">
        <f>SUM(G5:G17)</f>
        <v>37150</v>
      </c>
      <c r="H18" s="68">
        <f>SUM(H5:H17)</f>
        <v>23200</v>
      </c>
      <c r="I18" s="16">
        <f>SUM(I4:I17)</f>
        <v>2150</v>
      </c>
    </row>
    <row r="19" spans="1:9" ht="15.75" x14ac:dyDescent="0.25">
      <c r="A19" s="58"/>
      <c r="B19" s="58"/>
      <c r="C19" s="58"/>
      <c r="D19" s="19"/>
      <c r="E19" s="38"/>
      <c r="F19" s="38"/>
      <c r="G19" s="38"/>
      <c r="H19" s="58"/>
      <c r="I19" s="58"/>
    </row>
    <row r="20" spans="1:9" ht="23.25" x14ac:dyDescent="0.35">
      <c r="A20" s="58"/>
      <c r="B20" s="105" t="s">
        <v>121</v>
      </c>
      <c r="C20" s="58"/>
      <c r="D20" s="58"/>
      <c r="E20" s="58"/>
      <c r="F20" s="58"/>
      <c r="G20" s="58"/>
      <c r="H20" s="58"/>
      <c r="I20" s="58"/>
    </row>
    <row r="21" spans="1:9" ht="23.25" x14ac:dyDescent="0.35">
      <c r="A21" s="43"/>
      <c r="B21" s="106" t="s">
        <v>122</v>
      </c>
      <c r="C21" s="106" t="s">
        <v>123</v>
      </c>
      <c r="D21" s="106" t="s">
        <v>124</v>
      </c>
      <c r="E21" s="106" t="s">
        <v>125</v>
      </c>
      <c r="F21" s="58"/>
      <c r="G21" s="58"/>
      <c r="H21" s="58"/>
      <c r="I21" s="58"/>
    </row>
    <row r="22" spans="1:9" x14ac:dyDescent="0.25">
      <c r="A22" s="43"/>
      <c r="B22" s="1" t="s">
        <v>126</v>
      </c>
      <c r="C22" s="16">
        <f>E18</f>
        <v>35500</v>
      </c>
      <c r="D22" s="1"/>
      <c r="E22" s="1"/>
      <c r="F22" s="58"/>
      <c r="G22" s="58"/>
      <c r="H22" s="58"/>
      <c r="I22" s="58"/>
    </row>
    <row r="23" spans="1:9" x14ac:dyDescent="0.25">
      <c r="A23" s="43"/>
      <c r="B23" s="1" t="s">
        <v>127</v>
      </c>
      <c r="C23" s="107">
        <v>0.1</v>
      </c>
      <c r="D23" s="16">
        <f>C22*C23</f>
        <v>3550</v>
      </c>
      <c r="E23" s="1"/>
      <c r="F23" s="58"/>
      <c r="G23" s="58"/>
      <c r="H23" s="58"/>
      <c r="I23" s="58"/>
    </row>
    <row r="24" spans="1:9" x14ac:dyDescent="0.25">
      <c r="A24" s="43"/>
      <c r="B24" s="113"/>
      <c r="C24" s="1"/>
      <c r="D24" s="1"/>
      <c r="E24" s="1"/>
      <c r="F24" s="58"/>
      <c r="G24" s="58"/>
      <c r="H24" s="58"/>
      <c r="I24" s="58"/>
    </row>
    <row r="25" spans="1:9" x14ac:dyDescent="0.25">
      <c r="A25" s="118"/>
      <c r="B25" s="69" t="s">
        <v>128</v>
      </c>
      <c r="C25" s="1"/>
      <c r="D25" s="1"/>
      <c r="E25" s="1"/>
      <c r="F25" s="58"/>
      <c r="G25" s="58"/>
      <c r="H25" s="58"/>
      <c r="I25" s="58"/>
    </row>
    <row r="26" spans="1:9" x14ac:dyDescent="0.25">
      <c r="A26" s="43"/>
      <c r="B26" s="1" t="s">
        <v>168</v>
      </c>
      <c r="C26" s="1"/>
      <c r="D26" s="1">
        <v>10650</v>
      </c>
      <c r="E26" s="1"/>
      <c r="F26" s="58"/>
      <c r="G26" s="58"/>
      <c r="H26" s="58"/>
      <c r="I26" s="58"/>
    </row>
    <row r="27" spans="1:9" x14ac:dyDescent="0.25">
      <c r="A27" s="118"/>
      <c r="B27" s="1" t="s">
        <v>169</v>
      </c>
      <c r="C27" s="1"/>
      <c r="D27" s="1">
        <v>2500</v>
      </c>
      <c r="E27" s="1"/>
      <c r="F27" s="58"/>
      <c r="G27" s="58"/>
      <c r="H27" s="58"/>
      <c r="I27" s="58"/>
    </row>
    <row r="28" spans="1:9" x14ac:dyDescent="0.25">
      <c r="A28" s="101"/>
      <c r="B28" s="113" t="s">
        <v>171</v>
      </c>
      <c r="C28" s="1"/>
      <c r="D28" s="1">
        <v>2500</v>
      </c>
      <c r="E28" s="1"/>
      <c r="F28" s="58"/>
      <c r="G28" s="58"/>
      <c r="H28" s="58"/>
      <c r="I28" s="58"/>
    </row>
    <row r="29" spans="1:9" x14ac:dyDescent="0.25">
      <c r="A29" s="58"/>
      <c r="B29" s="110" t="s">
        <v>168</v>
      </c>
      <c r="C29" s="1"/>
      <c r="D29" s="1">
        <v>1000</v>
      </c>
      <c r="E29" s="1"/>
      <c r="F29" s="58"/>
      <c r="G29" s="58"/>
      <c r="H29" s="58"/>
      <c r="I29" s="58"/>
    </row>
    <row r="30" spans="1:9" x14ac:dyDescent="0.25">
      <c r="A30" s="58"/>
      <c r="B30" s="1" t="s">
        <v>172</v>
      </c>
      <c r="C30" s="1"/>
      <c r="D30" s="1">
        <v>16300</v>
      </c>
      <c r="E30" s="1"/>
      <c r="F30" s="58"/>
      <c r="G30" s="58"/>
      <c r="H30" s="58"/>
      <c r="I30" s="58"/>
    </row>
    <row r="31" spans="1:9" x14ac:dyDescent="0.25">
      <c r="A31" s="58"/>
      <c r="B31" s="69" t="s">
        <v>129</v>
      </c>
      <c r="C31" s="70">
        <f>SUM(C22:C30)</f>
        <v>35500.1</v>
      </c>
      <c r="D31" s="70">
        <f>SUM(D22:D30)</f>
        <v>36500</v>
      </c>
      <c r="E31" s="70">
        <f>C31-D31</f>
        <v>-999.90000000000146</v>
      </c>
      <c r="F31" s="58"/>
      <c r="G31" s="58"/>
      <c r="H31" s="58"/>
      <c r="I31" s="58"/>
    </row>
    <row r="32" spans="1:9" x14ac:dyDescent="0.25">
      <c r="A32" s="58"/>
      <c r="B32" s="1"/>
      <c r="C32" s="1"/>
      <c r="D32" s="1"/>
      <c r="E32" s="1" t="s">
        <v>173</v>
      </c>
      <c r="F32" s="58"/>
      <c r="G32" s="58"/>
      <c r="H32" s="58"/>
      <c r="I32" s="58"/>
    </row>
    <row r="33" spans="1:9" x14ac:dyDescent="0.25">
      <c r="A33" s="58"/>
      <c r="B33" s="58"/>
      <c r="C33" s="58"/>
      <c r="D33" s="58"/>
      <c r="E33" s="58"/>
      <c r="F33" s="58"/>
      <c r="G33" s="58"/>
      <c r="H33" s="58"/>
      <c r="I33" s="58"/>
    </row>
    <row r="34" spans="1:9" x14ac:dyDescent="0.25">
      <c r="A34" s="58"/>
      <c r="B34" s="21"/>
      <c r="C34" s="21" t="s">
        <v>33</v>
      </c>
      <c r="D34" s="21" t="s">
        <v>31</v>
      </c>
      <c r="E34" s="58"/>
      <c r="F34" s="45" t="s">
        <v>92</v>
      </c>
      <c r="G34" s="58"/>
      <c r="H34" s="58"/>
      <c r="I34" s="58"/>
    </row>
    <row r="35" spans="1:9" x14ac:dyDescent="0.25">
      <c r="A35" s="58"/>
      <c r="B35" s="114" t="s">
        <v>160</v>
      </c>
      <c r="C35" s="21" t="s">
        <v>34</v>
      </c>
      <c r="D35" s="21" t="s">
        <v>162</v>
      </c>
      <c r="E35" s="58"/>
      <c r="F35" s="45" t="s">
        <v>161</v>
      </c>
      <c r="G35" s="58"/>
      <c r="H35" s="58"/>
      <c r="I35" s="58"/>
    </row>
    <row r="36" spans="1:9" x14ac:dyDescent="0.25">
      <c r="A36" s="58"/>
      <c r="B36" s="58"/>
      <c r="C36" s="58"/>
      <c r="D36" s="58"/>
      <c r="E36" s="58"/>
      <c r="F36" s="58"/>
      <c r="G36" s="58"/>
      <c r="H36" s="58"/>
      <c r="I36" s="58"/>
    </row>
    <row r="37" spans="1:9" x14ac:dyDescent="0.25">
      <c r="A37" s="58"/>
      <c r="B37" s="58"/>
      <c r="C37" s="58"/>
      <c r="D37" s="58"/>
      <c r="E37" s="58"/>
      <c r="F37" s="58"/>
      <c r="G37" s="58"/>
      <c r="H37" s="58"/>
      <c r="I37" s="58"/>
    </row>
    <row r="38" spans="1:9" x14ac:dyDescent="0.25">
      <c r="A38" s="58"/>
      <c r="B38" s="58"/>
      <c r="C38" s="58"/>
      <c r="D38" s="58"/>
      <c r="E38" s="58"/>
      <c r="F38" s="58"/>
      <c r="G38" s="58"/>
      <c r="H38" s="58"/>
      <c r="I38" s="58"/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D34" sqref="D34"/>
    </sheetView>
  </sheetViews>
  <sheetFormatPr defaultRowHeight="15" x14ac:dyDescent="0.25"/>
  <cols>
    <col min="1" max="1" width="4.85546875" customWidth="1"/>
    <col min="2" max="2" width="17.5703125" customWidth="1"/>
    <col min="3" max="3" width="9.7109375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180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/>
      <c r="B4" s="11"/>
      <c r="C4" s="11"/>
      <c r="D4" s="11"/>
      <c r="E4" s="11"/>
      <c r="F4" s="58"/>
      <c r="G4" s="1"/>
      <c r="H4" s="12"/>
      <c r="I4" s="1"/>
      <c r="J4" s="58"/>
    </row>
    <row r="5" spans="1:10" x14ac:dyDescent="0.25">
      <c r="A5" s="1">
        <v>1</v>
      </c>
      <c r="B5" s="13" t="s">
        <v>148</v>
      </c>
      <c r="C5" s="58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  <c r="J5" s="58"/>
    </row>
    <row r="6" spans="1:10" x14ac:dyDescent="0.25">
      <c r="A6" s="1">
        <v>2</v>
      </c>
      <c r="B6" s="1" t="s">
        <v>147</v>
      </c>
      <c r="C6" s="13"/>
      <c r="D6" s="14">
        <v>0</v>
      </c>
      <c r="E6" s="1"/>
      <c r="F6" s="1">
        <v>150</v>
      </c>
      <c r="G6" s="16">
        <f>E6+F6</f>
        <v>150</v>
      </c>
      <c r="H6" s="68">
        <v>2650</v>
      </c>
      <c r="I6" s="16">
        <f>G6-H6</f>
        <v>-2500</v>
      </c>
      <c r="J6" s="58"/>
    </row>
    <row r="7" spans="1:10" x14ac:dyDescent="0.25">
      <c r="A7" s="1">
        <v>3</v>
      </c>
      <c r="B7" s="119" t="s">
        <v>146</v>
      </c>
      <c r="C7" s="13"/>
      <c r="D7" s="14">
        <v>0</v>
      </c>
      <c r="E7" s="1">
        <v>2500</v>
      </c>
      <c r="F7" s="1">
        <v>150</v>
      </c>
      <c r="G7" s="16">
        <f>E7+F7</f>
        <v>2650</v>
      </c>
      <c r="H7" s="68">
        <v>1300</v>
      </c>
      <c r="I7" s="16">
        <v>0</v>
      </c>
      <c r="J7" s="58"/>
    </row>
    <row r="8" spans="1:10" x14ac:dyDescent="0.25">
      <c r="A8" s="1">
        <v>4</v>
      </c>
      <c r="B8" s="1" t="s">
        <v>177</v>
      </c>
      <c r="C8" s="13"/>
      <c r="D8" s="14">
        <v>0</v>
      </c>
      <c r="E8" s="1">
        <v>2500</v>
      </c>
      <c r="F8" s="1">
        <v>150</v>
      </c>
      <c r="G8" s="16">
        <f>E8+F8</f>
        <v>2650</v>
      </c>
      <c r="H8" s="68">
        <v>2500</v>
      </c>
      <c r="I8" s="16">
        <v>0</v>
      </c>
      <c r="J8" s="58"/>
    </row>
    <row r="9" spans="1:10" x14ac:dyDescent="0.25">
      <c r="A9" s="1">
        <v>5</v>
      </c>
      <c r="B9" s="13"/>
      <c r="C9" s="58"/>
      <c r="D9" s="14"/>
      <c r="E9" s="1"/>
      <c r="F9" s="1"/>
      <c r="G9" s="16"/>
      <c r="H9" s="68"/>
      <c r="I9" s="16"/>
      <c r="J9" s="58"/>
    </row>
    <row r="10" spans="1:10" x14ac:dyDescent="0.25">
      <c r="A10" s="1">
        <v>6</v>
      </c>
      <c r="B10" s="13" t="s">
        <v>10</v>
      </c>
      <c r="C10" s="13"/>
      <c r="D10" s="14"/>
      <c r="E10" s="1">
        <v>2500</v>
      </c>
      <c r="F10" s="1">
        <v>150</v>
      </c>
      <c r="G10" s="16">
        <f>E10+F10</f>
        <v>2650</v>
      </c>
      <c r="H10" s="16">
        <f>F10+G10</f>
        <v>2800</v>
      </c>
      <c r="I10" s="16">
        <v>0</v>
      </c>
      <c r="J10" s="58"/>
    </row>
    <row r="11" spans="1:10" x14ac:dyDescent="0.25">
      <c r="A11" s="1">
        <v>7</v>
      </c>
      <c r="B11" s="119" t="s">
        <v>183</v>
      </c>
      <c r="C11" s="13"/>
      <c r="D11" s="14">
        <v>0</v>
      </c>
      <c r="E11" s="1">
        <v>2500</v>
      </c>
      <c r="F11" s="1">
        <v>150</v>
      </c>
      <c r="G11" s="16">
        <f>E11+F11</f>
        <v>2650</v>
      </c>
      <c r="H11" s="68">
        <v>2500</v>
      </c>
      <c r="I11" s="16">
        <v>0</v>
      </c>
      <c r="J11" s="58"/>
    </row>
    <row r="12" spans="1:10" x14ac:dyDescent="0.25">
      <c r="A12" s="1">
        <v>8</v>
      </c>
      <c r="B12" s="13" t="s">
        <v>150</v>
      </c>
      <c r="C12" s="58"/>
      <c r="D12" s="14">
        <v>0</v>
      </c>
      <c r="E12" s="1">
        <v>2500</v>
      </c>
      <c r="F12" s="1">
        <v>150</v>
      </c>
      <c r="G12" s="16">
        <f>E12+F12</f>
        <v>2650</v>
      </c>
      <c r="H12" s="68"/>
      <c r="I12" s="16"/>
      <c r="J12" s="58"/>
    </row>
    <row r="13" spans="1:10" x14ac:dyDescent="0.25">
      <c r="A13" s="1">
        <v>9</v>
      </c>
      <c r="B13" s="13" t="s">
        <v>113</v>
      </c>
      <c r="C13" s="79"/>
      <c r="D13" s="14">
        <v>0</v>
      </c>
      <c r="E13" s="1">
        <v>2500</v>
      </c>
      <c r="F13" s="1">
        <v>150</v>
      </c>
      <c r="G13" s="16">
        <f>E13+F13</f>
        <v>2650</v>
      </c>
      <c r="H13" s="68"/>
      <c r="I13" s="16"/>
      <c r="J13" s="58"/>
    </row>
    <row r="14" spans="1:10" x14ac:dyDescent="0.25">
      <c r="A14" s="1">
        <v>10</v>
      </c>
      <c r="B14" s="79" t="s">
        <v>174</v>
      </c>
      <c r="C14" s="79"/>
      <c r="D14" s="14"/>
      <c r="E14" s="1">
        <v>3500</v>
      </c>
      <c r="F14" s="1">
        <v>150</v>
      </c>
      <c r="G14" s="16">
        <f>E14+F14</f>
        <v>3650</v>
      </c>
      <c r="H14" s="68">
        <v>2650</v>
      </c>
      <c r="I14" s="16">
        <f>G14-H14</f>
        <v>1000</v>
      </c>
      <c r="J14" s="58"/>
    </row>
    <row r="15" spans="1:10" x14ac:dyDescent="0.25">
      <c r="A15" s="1">
        <v>11</v>
      </c>
      <c r="B15" s="79" t="s">
        <v>152</v>
      </c>
      <c r="C15" s="13"/>
      <c r="D15" s="14">
        <v>0</v>
      </c>
      <c r="E15" s="1">
        <v>3500</v>
      </c>
      <c r="F15" s="1">
        <v>150</v>
      </c>
      <c r="G15" s="16">
        <f>E15+F15</f>
        <v>3650</v>
      </c>
      <c r="H15" s="68">
        <v>3500</v>
      </c>
      <c r="I15" s="16">
        <f>G15-H15</f>
        <v>150</v>
      </c>
      <c r="J15" s="58"/>
    </row>
    <row r="16" spans="1:10" x14ac:dyDescent="0.25">
      <c r="A16" s="1">
        <v>12</v>
      </c>
      <c r="B16" s="119" t="s">
        <v>153</v>
      </c>
      <c r="C16" s="13"/>
      <c r="D16" s="14"/>
      <c r="E16" s="1">
        <v>5000</v>
      </c>
      <c r="F16" s="1">
        <v>150</v>
      </c>
      <c r="G16" s="16">
        <v>5000</v>
      </c>
      <c r="H16" s="68"/>
      <c r="I16" s="16"/>
      <c r="J16" s="58"/>
    </row>
    <row r="17" spans="1:10" x14ac:dyDescent="0.25">
      <c r="A17" s="1">
        <v>13</v>
      </c>
      <c r="B17" s="13" t="s">
        <v>17</v>
      </c>
      <c r="C17" s="58"/>
      <c r="D17" s="14"/>
      <c r="E17" s="1">
        <v>3500</v>
      </c>
      <c r="F17" s="1">
        <v>150</v>
      </c>
      <c r="G17" s="16">
        <f>E17+F17</f>
        <v>3650</v>
      </c>
      <c r="H17" s="68">
        <v>2650</v>
      </c>
      <c r="I17" s="16">
        <f>G17-H17</f>
        <v>1000</v>
      </c>
      <c r="J17" s="58"/>
    </row>
    <row r="18" spans="1:10" x14ac:dyDescent="0.25">
      <c r="A18" s="1"/>
      <c r="B18" s="13"/>
      <c r="C18" s="13"/>
      <c r="D18" s="67"/>
      <c r="E18" s="94">
        <f>SUM(E4:E17)</f>
        <v>33000</v>
      </c>
      <c r="F18" s="1"/>
      <c r="G18" s="16"/>
      <c r="H18" s="68"/>
      <c r="I18" s="16"/>
      <c r="J18" s="58"/>
    </row>
    <row r="19" spans="1:10" ht="15.75" x14ac:dyDescent="0.25">
      <c r="A19" s="58"/>
      <c r="B19" s="58"/>
      <c r="C19" s="58"/>
      <c r="D19" s="19"/>
      <c r="E19" s="38"/>
      <c r="F19" s="38"/>
      <c r="G19" s="38"/>
      <c r="H19" s="58"/>
      <c r="I19" s="58"/>
      <c r="J19" s="58"/>
    </row>
    <row r="20" spans="1:10" ht="23.25" x14ac:dyDescent="0.35">
      <c r="A20" s="58"/>
      <c r="B20" s="105" t="s">
        <v>121</v>
      </c>
      <c r="C20" s="58"/>
      <c r="D20" s="58"/>
      <c r="E20" s="58"/>
      <c r="F20" s="58"/>
      <c r="G20" s="58"/>
      <c r="H20" s="58"/>
      <c r="I20" s="58"/>
      <c r="J20" s="58"/>
    </row>
    <row r="21" spans="1:10" ht="23.25" x14ac:dyDescent="0.35">
      <c r="A21" s="43"/>
      <c r="B21" s="106" t="s">
        <v>122</v>
      </c>
      <c r="C21" s="106" t="s">
        <v>123</v>
      </c>
      <c r="D21" s="106" t="s">
        <v>124</v>
      </c>
      <c r="E21" s="106" t="s">
        <v>125</v>
      </c>
      <c r="F21" s="58"/>
      <c r="G21" s="58"/>
      <c r="H21" s="58"/>
      <c r="I21" s="58"/>
      <c r="J21" s="58"/>
    </row>
    <row r="22" spans="1:10" x14ac:dyDescent="0.25">
      <c r="A22" s="43"/>
      <c r="B22" s="1" t="s">
        <v>126</v>
      </c>
      <c r="C22" s="16">
        <f>E18</f>
        <v>33000</v>
      </c>
      <c r="D22" s="1"/>
      <c r="E22" s="1"/>
      <c r="F22" s="58"/>
      <c r="G22" s="58"/>
      <c r="H22" s="58"/>
      <c r="I22" s="58"/>
      <c r="J22" s="58"/>
    </row>
    <row r="23" spans="1:10" x14ac:dyDescent="0.25">
      <c r="A23" s="43"/>
      <c r="B23" s="1" t="s">
        <v>127</v>
      </c>
      <c r="C23" s="107">
        <v>0.1</v>
      </c>
      <c r="D23" s="16">
        <f>C22*C23</f>
        <v>3300</v>
      </c>
      <c r="E23" s="1"/>
      <c r="F23" s="58"/>
      <c r="G23" s="58"/>
      <c r="H23" s="58"/>
      <c r="I23" s="58"/>
      <c r="J23" s="58"/>
    </row>
    <row r="24" spans="1:10" x14ac:dyDescent="0.25">
      <c r="A24" s="43"/>
      <c r="B24" s="113"/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69" t="s">
        <v>128</v>
      </c>
      <c r="C25" s="1"/>
      <c r="D25" s="1"/>
      <c r="E25" s="1"/>
      <c r="F25" s="58"/>
      <c r="G25" s="58"/>
      <c r="H25" s="58"/>
      <c r="I25" s="58"/>
      <c r="J25" s="58"/>
    </row>
    <row r="26" spans="1:10" s="58" customFormat="1" x14ac:dyDescent="0.25">
      <c r="A26" s="118"/>
      <c r="B26" s="69" t="s">
        <v>178</v>
      </c>
      <c r="C26" s="1"/>
      <c r="D26" s="1">
        <v>4000</v>
      </c>
      <c r="E26" s="1"/>
    </row>
    <row r="27" spans="1:10" x14ac:dyDescent="0.25">
      <c r="A27" s="43"/>
      <c r="B27" s="1" t="s">
        <v>168</v>
      </c>
      <c r="C27" s="1"/>
      <c r="D27" s="1">
        <v>10650</v>
      </c>
      <c r="E27" s="1"/>
      <c r="F27" s="58"/>
      <c r="G27" s="58"/>
      <c r="H27" s="58"/>
      <c r="I27" s="58"/>
      <c r="J27" s="58"/>
    </row>
    <row r="28" spans="1:10" x14ac:dyDescent="0.25">
      <c r="A28" s="118"/>
      <c r="B28" s="1" t="s">
        <v>168</v>
      </c>
      <c r="C28" s="1"/>
      <c r="D28" s="1">
        <v>7060</v>
      </c>
      <c r="E28" s="1"/>
      <c r="F28" s="58"/>
      <c r="G28" s="58"/>
      <c r="H28" s="58"/>
      <c r="I28" s="58"/>
      <c r="J28" s="58"/>
    </row>
    <row r="29" spans="1:10" s="58" customFormat="1" x14ac:dyDescent="0.25">
      <c r="A29" s="118"/>
      <c r="B29" s="1" t="s">
        <v>179</v>
      </c>
      <c r="C29" s="1" t="s">
        <v>182</v>
      </c>
      <c r="D29" s="1">
        <v>3000</v>
      </c>
      <c r="E29" s="1"/>
    </row>
    <row r="30" spans="1:10" x14ac:dyDescent="0.25">
      <c r="A30" s="101"/>
      <c r="B30" s="113" t="s">
        <v>175</v>
      </c>
      <c r="C30" s="1"/>
      <c r="D30" s="1">
        <v>1500</v>
      </c>
      <c r="E30" s="1"/>
      <c r="F30" s="58"/>
      <c r="G30" s="58"/>
      <c r="H30" s="58"/>
      <c r="I30" s="58"/>
      <c r="J30" s="58"/>
    </row>
    <row r="31" spans="1:10" s="58" customFormat="1" x14ac:dyDescent="0.25">
      <c r="A31" s="101"/>
      <c r="B31" s="110" t="s">
        <v>183</v>
      </c>
      <c r="C31" s="1"/>
      <c r="D31" s="1">
        <v>500</v>
      </c>
      <c r="E31" s="1"/>
    </row>
    <row r="32" spans="1:10" x14ac:dyDescent="0.25">
      <c r="A32" s="58"/>
      <c r="B32" s="110" t="s">
        <v>176</v>
      </c>
      <c r="C32" s="1"/>
      <c r="D32" s="1">
        <v>1000</v>
      </c>
      <c r="E32" s="1"/>
      <c r="F32" s="58"/>
      <c r="G32" s="58"/>
      <c r="H32" s="58"/>
      <c r="I32" s="58"/>
      <c r="J32" s="58"/>
    </row>
    <row r="33" spans="1:10" x14ac:dyDescent="0.25">
      <c r="A33" s="58"/>
      <c r="B33" s="1" t="s">
        <v>181</v>
      </c>
      <c r="C33" s="1"/>
      <c r="D33" s="1">
        <v>3000</v>
      </c>
      <c r="E33" s="1"/>
      <c r="F33" s="58"/>
      <c r="G33" s="58"/>
      <c r="H33" s="58"/>
      <c r="I33" s="58"/>
      <c r="J33" s="58"/>
    </row>
    <row r="34" spans="1:10" s="58" customFormat="1" x14ac:dyDescent="0.25">
      <c r="B34" s="1" t="s">
        <v>184</v>
      </c>
      <c r="C34" s="1"/>
      <c r="D34" s="1">
        <v>2290</v>
      </c>
      <c r="E34" s="1"/>
    </row>
    <row r="35" spans="1:10" x14ac:dyDescent="0.25">
      <c r="A35" s="58"/>
      <c r="B35" s="69" t="s">
        <v>129</v>
      </c>
      <c r="C35" s="70">
        <f>SUM(C22:C33)</f>
        <v>33000.1</v>
      </c>
      <c r="D35" s="70">
        <f>SUM(D26:D34)</f>
        <v>33000</v>
      </c>
      <c r="E35" s="70">
        <f>C35-D35</f>
        <v>9.9999999998544808E-2</v>
      </c>
      <c r="F35" s="58"/>
      <c r="G35" s="58"/>
      <c r="H35" s="58"/>
      <c r="I35" s="58"/>
      <c r="J35" s="58"/>
    </row>
    <row r="36" spans="1:10" x14ac:dyDescent="0.25">
      <c r="A36" s="58"/>
      <c r="B36" s="1"/>
      <c r="C36" s="1"/>
      <c r="D36" s="1"/>
      <c r="E36" s="1" t="s">
        <v>173</v>
      </c>
      <c r="F36" s="58"/>
      <c r="G36" s="58"/>
      <c r="H36" s="58"/>
      <c r="I36" s="58"/>
      <c r="J36" s="58"/>
    </row>
    <row r="37" spans="1:10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</row>
    <row r="38" spans="1:10" x14ac:dyDescent="0.25">
      <c r="A38" s="58"/>
      <c r="B38" s="21"/>
      <c r="C38" s="21" t="s">
        <v>33</v>
      </c>
      <c r="D38" s="21" t="s">
        <v>31</v>
      </c>
      <c r="E38" s="58"/>
      <c r="F38" s="45" t="s">
        <v>92</v>
      </c>
      <c r="G38" s="58"/>
      <c r="H38" s="58"/>
      <c r="I38" s="58"/>
      <c r="J38" s="58"/>
    </row>
    <row r="39" spans="1:10" x14ac:dyDescent="0.25">
      <c r="A39" s="58"/>
      <c r="B39" s="114" t="s">
        <v>160</v>
      </c>
      <c r="C39" s="21" t="s">
        <v>34</v>
      </c>
      <c r="D39" s="21" t="s">
        <v>162</v>
      </c>
      <c r="E39" s="58"/>
      <c r="F39" s="45" t="s">
        <v>161</v>
      </c>
      <c r="G39" s="58"/>
      <c r="H39" s="58"/>
      <c r="I39" s="58"/>
      <c r="J39" s="58"/>
    </row>
    <row r="40" spans="1:10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spans="1:10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spans="1:10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28" sqref="F28"/>
    </sheetView>
  </sheetViews>
  <sheetFormatPr defaultRowHeight="15" x14ac:dyDescent="0.25"/>
  <cols>
    <col min="2" max="2" width="18.7109375" customWidth="1"/>
    <col min="6" max="6" width="11.140625" customWidth="1"/>
    <col min="8" max="8" width="11.42578125" customWidth="1"/>
  </cols>
  <sheetData>
    <row r="1" spans="1:3" x14ac:dyDescent="0.25">
      <c r="A1" s="58"/>
    </row>
    <row r="2" spans="1:3" ht="15.75" thickBot="1" x14ac:dyDescent="0.3">
      <c r="B2" s="66" t="s">
        <v>0</v>
      </c>
      <c r="C2" s="66" t="s">
        <v>38</v>
      </c>
    </row>
    <row r="3" spans="1:3" ht="15.75" thickTop="1" x14ac:dyDescent="0.25">
      <c r="B3" s="59"/>
      <c r="C3" s="60"/>
    </row>
    <row r="4" spans="1:3" x14ac:dyDescent="0.25">
      <c r="B4" s="61" t="s">
        <v>10</v>
      </c>
      <c r="C4" s="62">
        <v>1500</v>
      </c>
    </row>
    <row r="5" spans="1:3" x14ac:dyDescent="0.25">
      <c r="B5" s="61" t="s">
        <v>39</v>
      </c>
      <c r="C5" s="62">
        <v>1500</v>
      </c>
    </row>
    <row r="6" spans="1:3" x14ac:dyDescent="0.25">
      <c r="B6" s="61" t="s">
        <v>8</v>
      </c>
      <c r="C6" s="62">
        <v>1500</v>
      </c>
    </row>
    <row r="7" spans="1:3" x14ac:dyDescent="0.25">
      <c r="B7" s="61" t="s">
        <v>15</v>
      </c>
      <c r="C7" s="62">
        <v>1400</v>
      </c>
    </row>
    <row r="8" spans="1:3" x14ac:dyDescent="0.25">
      <c r="B8" s="61" t="s">
        <v>11</v>
      </c>
      <c r="C8" s="62">
        <v>1000</v>
      </c>
    </row>
    <row r="9" spans="1:3" x14ac:dyDescent="0.25">
      <c r="B9" s="61" t="s">
        <v>15</v>
      </c>
      <c r="C9" s="62">
        <v>150</v>
      </c>
    </row>
    <row r="10" spans="1:3" x14ac:dyDescent="0.25">
      <c r="B10" s="61" t="s">
        <v>40</v>
      </c>
      <c r="C10" s="62">
        <v>1500</v>
      </c>
    </row>
    <row r="11" spans="1:3" x14ac:dyDescent="0.25">
      <c r="B11" s="61" t="s">
        <v>9</v>
      </c>
      <c r="C11" s="62">
        <v>1500</v>
      </c>
    </row>
    <row r="12" spans="1:3" x14ac:dyDescent="0.25">
      <c r="B12" s="61" t="s">
        <v>12</v>
      </c>
      <c r="C12" s="62">
        <v>3500</v>
      </c>
    </row>
    <row r="13" spans="1:3" x14ac:dyDescent="0.25">
      <c r="B13" s="61" t="s">
        <v>6</v>
      </c>
      <c r="C13" s="62">
        <v>1500</v>
      </c>
    </row>
    <row r="14" spans="1:3" x14ac:dyDescent="0.25">
      <c r="B14" s="61" t="s">
        <v>13</v>
      </c>
      <c r="C14" s="62">
        <v>2500</v>
      </c>
    </row>
    <row r="15" spans="1:3" ht="15.75" thickBot="1" x14ac:dyDescent="0.3">
      <c r="B15" s="61" t="s">
        <v>41</v>
      </c>
      <c r="C15" s="63">
        <v>1500</v>
      </c>
    </row>
    <row r="16" spans="1:3" ht="15.75" thickBot="1" x14ac:dyDescent="0.3">
      <c r="B16" s="61"/>
      <c r="C16" s="64">
        <v>19050</v>
      </c>
    </row>
    <row r="17" spans="2:9" ht="15.75" thickBot="1" x14ac:dyDescent="0.3">
      <c r="B17" s="59"/>
      <c r="C17" s="65">
        <v>19050</v>
      </c>
    </row>
    <row r="18" spans="2:9" ht="15.75" thickTop="1" x14ac:dyDescent="0.25"/>
    <row r="20" spans="2:9" ht="15.75" x14ac:dyDescent="0.25">
      <c r="B20" s="58"/>
      <c r="C20" s="58"/>
      <c r="D20" s="19" t="s">
        <v>24</v>
      </c>
      <c r="E20" s="38"/>
      <c r="F20" s="39"/>
    </row>
    <row r="21" spans="2:9" x14ac:dyDescent="0.25">
      <c r="B21" s="43"/>
      <c r="C21" s="21" t="s">
        <v>25</v>
      </c>
      <c r="D21" s="41"/>
      <c r="E21" s="58"/>
      <c r="F21" s="44">
        <f>C17</f>
        <v>19050</v>
      </c>
      <c r="H21" s="58" t="s">
        <v>42</v>
      </c>
      <c r="I21">
        <v>4100</v>
      </c>
    </row>
    <row r="22" spans="2:9" x14ac:dyDescent="0.25">
      <c r="B22" s="43"/>
      <c r="C22" s="21" t="s">
        <v>36</v>
      </c>
      <c r="D22" s="57">
        <v>0.1</v>
      </c>
      <c r="E22" s="58"/>
      <c r="F22" s="44">
        <f>F21*D22</f>
        <v>1905</v>
      </c>
      <c r="H22" s="58" t="s">
        <v>43</v>
      </c>
      <c r="I22">
        <v>1000</v>
      </c>
    </row>
    <row r="23" spans="2:9" x14ac:dyDescent="0.25">
      <c r="B23" s="43"/>
      <c r="C23" s="21" t="s">
        <v>27</v>
      </c>
      <c r="D23" s="41"/>
      <c r="E23" s="58"/>
      <c r="F23" s="42"/>
      <c r="H23" s="58" t="s">
        <v>43</v>
      </c>
      <c r="I23">
        <v>500</v>
      </c>
    </row>
    <row r="24" spans="2:9" x14ac:dyDescent="0.25">
      <c r="B24" s="43"/>
      <c r="C24" s="47" t="s">
        <v>28</v>
      </c>
      <c r="D24" s="58"/>
      <c r="E24" s="58"/>
      <c r="F24" s="58"/>
      <c r="I24">
        <f>SUM(I21:I23)</f>
        <v>5600</v>
      </c>
    </row>
    <row r="25" spans="2:9" x14ac:dyDescent="0.25">
      <c r="B25" s="43"/>
      <c r="C25" s="21" t="s">
        <v>29</v>
      </c>
      <c r="D25" s="41"/>
      <c r="E25" s="58"/>
      <c r="F25" s="58"/>
    </row>
    <row r="26" spans="2:9" ht="16.5" x14ac:dyDescent="0.35">
      <c r="B26" s="43"/>
      <c r="C26" s="21" t="s">
        <v>26</v>
      </c>
      <c r="D26" s="41"/>
      <c r="E26" s="58"/>
      <c r="F26" s="51"/>
      <c r="H26" s="45">
        <f>F27-I24</f>
        <v>13450</v>
      </c>
    </row>
    <row r="27" spans="2:9" x14ac:dyDescent="0.25">
      <c r="B27" s="43"/>
      <c r="C27" s="21" t="s">
        <v>5</v>
      </c>
      <c r="D27" s="58"/>
      <c r="E27" s="58"/>
      <c r="F27" s="45">
        <f>F21-F26</f>
        <v>19050</v>
      </c>
    </row>
    <row r="28" spans="2:9" x14ac:dyDescent="0.25">
      <c r="B28" s="43"/>
      <c r="C28" s="58"/>
      <c r="D28" s="58"/>
      <c r="E28" s="58"/>
      <c r="F28" s="58"/>
    </row>
    <row r="29" spans="2:9" x14ac:dyDescent="0.25">
      <c r="B29" s="43"/>
      <c r="C29" s="58"/>
      <c r="D29" s="58"/>
      <c r="E29" s="58"/>
      <c r="F29" s="58"/>
    </row>
    <row r="30" spans="2:9" x14ac:dyDescent="0.25">
      <c r="B30" s="21"/>
      <c r="C30" s="58"/>
      <c r="D30" s="58"/>
      <c r="E30" s="58"/>
      <c r="F30" s="58"/>
    </row>
    <row r="31" spans="2:9" x14ac:dyDescent="0.25">
      <c r="B31" s="55" t="s">
        <v>30</v>
      </c>
      <c r="C31" s="58"/>
      <c r="D31" s="58"/>
      <c r="E31" s="58"/>
      <c r="F31" s="56" t="s">
        <v>31</v>
      </c>
    </row>
    <row r="32" spans="2:9" x14ac:dyDescent="0.25">
      <c r="B32" s="58"/>
      <c r="C32" s="58"/>
      <c r="D32" s="58"/>
      <c r="E32" s="58"/>
      <c r="F32" s="58"/>
    </row>
    <row r="33" spans="2:6" x14ac:dyDescent="0.25">
      <c r="B33" s="56" t="s">
        <v>32</v>
      </c>
      <c r="C33" s="58"/>
      <c r="D33" s="58"/>
      <c r="E33" s="58"/>
      <c r="F33" s="56" t="s">
        <v>33</v>
      </c>
    </row>
    <row r="34" spans="2:6" x14ac:dyDescent="0.25">
      <c r="B34" s="56" t="s">
        <v>34</v>
      </c>
      <c r="C34" s="58"/>
      <c r="D34" s="58"/>
      <c r="E34" s="58"/>
      <c r="F34" s="56" t="s">
        <v>34</v>
      </c>
    </row>
    <row r="35" spans="2:6" x14ac:dyDescent="0.25">
      <c r="B35" s="58" t="s">
        <v>35</v>
      </c>
      <c r="C35" s="58"/>
      <c r="D35" s="58"/>
      <c r="E35" s="58"/>
      <c r="F35" s="58"/>
    </row>
    <row r="36" spans="2:6" x14ac:dyDescent="0.25">
      <c r="B36" s="58"/>
      <c r="C36" s="58"/>
      <c r="D36" s="58"/>
      <c r="E36" s="58"/>
      <c r="F36" s="58"/>
    </row>
    <row r="37" spans="2:6" x14ac:dyDescent="0.25">
      <c r="B37" s="58"/>
      <c r="C37" s="58"/>
      <c r="D37" s="58"/>
      <c r="E37" s="58"/>
      <c r="F37" s="5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25" sqref="D25"/>
    </sheetView>
  </sheetViews>
  <sheetFormatPr defaultRowHeight="15" x14ac:dyDescent="0.25"/>
  <cols>
    <col min="1" max="1" width="3.28515625" customWidth="1"/>
    <col min="2" max="2" width="15.28515625" customWidth="1"/>
    <col min="8" max="8" width="8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190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/>
      <c r="G4" s="16">
        <f>D4+E4</f>
        <v>3000</v>
      </c>
      <c r="H4" s="68">
        <v>3000</v>
      </c>
      <c r="I4" s="16">
        <f>G4-H4</f>
        <v>0</v>
      </c>
      <c r="J4" s="58"/>
    </row>
    <row r="5" spans="1:10" x14ac:dyDescent="0.25">
      <c r="A5" s="1">
        <v>2</v>
      </c>
      <c r="B5" s="1" t="s">
        <v>105</v>
      </c>
      <c r="C5" s="13"/>
      <c r="D5" s="14"/>
      <c r="E5" s="1"/>
      <c r="F5" s="1"/>
      <c r="G5" s="16">
        <f t="shared" ref="G5:G16" si="0">D5+E5</f>
        <v>0</v>
      </c>
      <c r="H5" s="68"/>
      <c r="I5" s="16">
        <f t="shared" ref="I5:I16" si="1">G5-H5</f>
        <v>0</v>
      </c>
      <c r="J5" s="58"/>
    </row>
    <row r="6" spans="1:10" x14ac:dyDescent="0.25">
      <c r="A6" s="1">
        <v>3</v>
      </c>
      <c r="B6" s="119" t="s">
        <v>146</v>
      </c>
      <c r="C6" s="13"/>
      <c r="D6" s="14">
        <v>0</v>
      </c>
      <c r="E6" s="1">
        <v>3000</v>
      </c>
      <c r="F6" s="1"/>
      <c r="G6" s="16">
        <f t="shared" si="0"/>
        <v>3000</v>
      </c>
      <c r="H6" s="68">
        <v>3000</v>
      </c>
      <c r="I6" s="16">
        <f t="shared" si="1"/>
        <v>0</v>
      </c>
      <c r="J6" s="58"/>
    </row>
    <row r="7" spans="1:10" x14ac:dyDescent="0.25">
      <c r="A7" s="1">
        <v>4</v>
      </c>
      <c r="B7" s="1" t="s">
        <v>177</v>
      </c>
      <c r="C7" s="13"/>
      <c r="D7" s="14">
        <v>0</v>
      </c>
      <c r="E7" s="1"/>
      <c r="F7" s="1"/>
      <c r="G7" s="16">
        <f t="shared" si="0"/>
        <v>0</v>
      </c>
      <c r="H7" s="68"/>
      <c r="I7" s="16"/>
      <c r="J7" s="58" t="s">
        <v>191</v>
      </c>
    </row>
    <row r="8" spans="1:10" x14ac:dyDescent="0.25">
      <c r="A8" s="1">
        <v>5</v>
      </c>
      <c r="B8" s="13" t="s">
        <v>105</v>
      </c>
      <c r="C8" s="58"/>
      <c r="D8" s="14"/>
      <c r="E8" s="1"/>
      <c r="F8" s="1"/>
      <c r="G8" s="16">
        <f t="shared" si="0"/>
        <v>0</v>
      </c>
      <c r="H8" s="68"/>
      <c r="I8" s="16"/>
      <c r="J8" s="58"/>
    </row>
    <row r="9" spans="1:10" x14ac:dyDescent="0.25">
      <c r="A9" s="1">
        <v>6</v>
      </c>
      <c r="B9" s="13" t="s">
        <v>105</v>
      </c>
      <c r="C9" s="13"/>
      <c r="D9" s="14"/>
      <c r="E9" s="1"/>
      <c r="F9" s="1"/>
      <c r="G9" s="16">
        <f t="shared" si="0"/>
        <v>0</v>
      </c>
      <c r="H9" s="68"/>
      <c r="I9" s="16"/>
      <c r="J9" s="58"/>
    </row>
    <row r="10" spans="1:10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/>
      <c r="G10" s="16">
        <f t="shared" si="0"/>
        <v>3000</v>
      </c>
      <c r="H10" s="68">
        <v>3000</v>
      </c>
      <c r="I10" s="16"/>
      <c r="J10" s="58"/>
    </row>
    <row r="11" spans="1:10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/>
      <c r="G11" s="16">
        <f t="shared" si="0"/>
        <v>3000</v>
      </c>
      <c r="H11" s="68">
        <v>3000</v>
      </c>
      <c r="I11" s="16"/>
      <c r="J11" s="58"/>
    </row>
    <row r="12" spans="1:10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/>
      <c r="G12" s="16">
        <f t="shared" si="0"/>
        <v>3000</v>
      </c>
      <c r="H12" s="68">
        <v>3000</v>
      </c>
      <c r="I12" s="16">
        <v>200</v>
      </c>
      <c r="J12" s="58"/>
    </row>
    <row r="13" spans="1:10" x14ac:dyDescent="0.25">
      <c r="A13" s="1">
        <v>10</v>
      </c>
      <c r="B13" s="79" t="s">
        <v>192</v>
      </c>
      <c r="C13" s="79"/>
      <c r="D13" s="14"/>
      <c r="E13" s="1">
        <v>4500</v>
      </c>
      <c r="F13" s="1"/>
      <c r="G13" s="16">
        <f t="shared" si="0"/>
        <v>4500</v>
      </c>
      <c r="H13" s="68">
        <v>4500</v>
      </c>
      <c r="I13" s="16">
        <f t="shared" si="1"/>
        <v>0</v>
      </c>
      <c r="J13" s="58"/>
    </row>
    <row r="14" spans="1:10" x14ac:dyDescent="0.25">
      <c r="A14" s="1">
        <v>11</v>
      </c>
      <c r="B14" s="79" t="s">
        <v>152</v>
      </c>
      <c r="C14" s="13"/>
      <c r="D14" s="14">
        <v>1800</v>
      </c>
      <c r="E14" s="1">
        <v>4500</v>
      </c>
      <c r="F14" s="1"/>
      <c r="G14" s="16">
        <f t="shared" si="0"/>
        <v>6300</v>
      </c>
      <c r="H14" s="68">
        <v>3000</v>
      </c>
      <c r="I14" s="16">
        <f t="shared" si="1"/>
        <v>3300</v>
      </c>
      <c r="J14" s="58"/>
    </row>
    <row r="15" spans="1:10" x14ac:dyDescent="0.25">
      <c r="A15" s="1">
        <v>12</v>
      </c>
      <c r="B15" s="119" t="s">
        <v>153</v>
      </c>
      <c r="C15" s="13"/>
      <c r="D15" s="14"/>
      <c r="E15" s="1">
        <v>7000</v>
      </c>
      <c r="F15" s="1"/>
      <c r="G15" s="16">
        <f t="shared" si="0"/>
        <v>7000</v>
      </c>
      <c r="H15" s="68">
        <v>7000</v>
      </c>
      <c r="I15" s="16">
        <f t="shared" si="1"/>
        <v>0</v>
      </c>
      <c r="J15" s="58"/>
    </row>
    <row r="16" spans="1:10" x14ac:dyDescent="0.25">
      <c r="A16" s="1">
        <v>13</v>
      </c>
      <c r="B16" s="13" t="s">
        <v>17</v>
      </c>
      <c r="C16" s="58"/>
      <c r="D16" s="14"/>
      <c r="E16" s="1">
        <v>3500</v>
      </c>
      <c r="F16" s="1"/>
      <c r="G16" s="16">
        <f t="shared" si="0"/>
        <v>3500</v>
      </c>
      <c r="H16" s="68">
        <v>3000</v>
      </c>
      <c r="I16" s="16">
        <f t="shared" si="1"/>
        <v>500</v>
      </c>
      <c r="J16" s="58"/>
    </row>
    <row r="17" spans="1:10" x14ac:dyDescent="0.25">
      <c r="A17" s="1"/>
      <c r="B17" s="13"/>
      <c r="C17" s="13"/>
      <c r="D17" s="67"/>
      <c r="E17" s="94">
        <f>SUM(E4:E16)</f>
        <v>34500</v>
      </c>
      <c r="F17" s="1"/>
      <c r="G17" s="16">
        <f>SUM(G4:G16)</f>
        <v>36300</v>
      </c>
      <c r="H17" s="68">
        <f>SUM(H4:H16)</f>
        <v>32500</v>
      </c>
      <c r="I17" s="16">
        <f>SUM(I4:I16)</f>
        <v>4000</v>
      </c>
      <c r="J17" s="58"/>
    </row>
    <row r="18" spans="1:10" ht="23.25" x14ac:dyDescent="0.35">
      <c r="A18" s="58"/>
      <c r="B18" s="105" t="s">
        <v>121</v>
      </c>
      <c r="C18" s="58"/>
      <c r="D18" s="58"/>
      <c r="E18" s="58"/>
      <c r="F18" s="58"/>
      <c r="G18" s="58"/>
      <c r="J18" s="58"/>
    </row>
    <row r="19" spans="1:10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58"/>
      <c r="G19" s="58"/>
      <c r="H19" s="58"/>
      <c r="I19" s="58"/>
      <c r="J19" s="58"/>
    </row>
    <row r="20" spans="1:10" x14ac:dyDescent="0.25">
      <c r="A20" s="43"/>
      <c r="B20" s="1" t="s">
        <v>126</v>
      </c>
      <c r="C20" s="16">
        <f>E17</f>
        <v>34500</v>
      </c>
      <c r="D20" s="1"/>
      <c r="E20" s="1"/>
      <c r="F20" s="58"/>
      <c r="G20" s="58"/>
      <c r="H20" s="58"/>
      <c r="I20" s="58"/>
      <c r="J20" s="58"/>
    </row>
    <row r="21" spans="1:10" x14ac:dyDescent="0.25">
      <c r="A21" s="43"/>
      <c r="B21" s="1" t="s">
        <v>127</v>
      </c>
      <c r="C21" s="107">
        <v>0.1</v>
      </c>
      <c r="D21" s="16">
        <f>C20*C21</f>
        <v>3450</v>
      </c>
      <c r="E21" s="1"/>
      <c r="F21" s="58"/>
      <c r="G21" s="58"/>
      <c r="H21" s="58"/>
      <c r="I21" s="58"/>
      <c r="J21" s="58"/>
    </row>
    <row r="22" spans="1:10" x14ac:dyDescent="0.25">
      <c r="A22" s="43"/>
      <c r="B22" s="113" t="s">
        <v>188</v>
      </c>
      <c r="C22" s="16">
        <f>C20-D21</f>
        <v>31050</v>
      </c>
      <c r="D22" s="1"/>
      <c r="E22" s="1"/>
      <c r="F22" s="58"/>
      <c r="G22" s="58"/>
      <c r="H22" s="58"/>
      <c r="I22" s="58"/>
      <c r="J22" s="58"/>
    </row>
    <row r="23" spans="1:10" x14ac:dyDescent="0.25">
      <c r="A23" s="118"/>
      <c r="B23" s="69" t="s">
        <v>128</v>
      </c>
      <c r="C23" s="1"/>
      <c r="D23" s="1"/>
      <c r="E23" s="1"/>
      <c r="F23" s="58"/>
      <c r="G23" s="58"/>
      <c r="H23" s="58"/>
      <c r="I23" s="58"/>
      <c r="J23" s="58"/>
    </row>
    <row r="24" spans="1:10" x14ac:dyDescent="0.25">
      <c r="A24" s="118"/>
      <c r="B24" s="1" t="s">
        <v>185</v>
      </c>
      <c r="C24" s="1"/>
      <c r="D24" s="1">
        <v>10710</v>
      </c>
      <c r="E24" s="1"/>
      <c r="F24" s="58"/>
      <c r="G24" s="58"/>
      <c r="H24" s="58"/>
      <c r="I24" s="58"/>
      <c r="J24" s="58"/>
    </row>
    <row r="25" spans="1:10" x14ac:dyDescent="0.25">
      <c r="A25" s="43"/>
      <c r="B25" s="1" t="s">
        <v>43</v>
      </c>
      <c r="C25" s="1"/>
      <c r="D25" s="1">
        <v>4000</v>
      </c>
      <c r="E25" s="1"/>
      <c r="F25" s="58"/>
      <c r="G25" s="58"/>
      <c r="H25" s="58"/>
      <c r="I25" s="58"/>
      <c r="J25" s="58"/>
    </row>
    <row r="26" spans="1:10" x14ac:dyDescent="0.25">
      <c r="A26" s="118"/>
      <c r="B26" s="110" t="s">
        <v>186</v>
      </c>
      <c r="D26">
        <v>999</v>
      </c>
      <c r="E26" s="1"/>
      <c r="F26" s="58"/>
      <c r="G26" s="58"/>
      <c r="H26" s="58"/>
      <c r="I26" s="58"/>
      <c r="J26" s="58"/>
    </row>
    <row r="27" spans="1:10" x14ac:dyDescent="0.25">
      <c r="A27" s="118"/>
      <c r="B27" s="1" t="s">
        <v>187</v>
      </c>
      <c r="C27" s="1"/>
      <c r="D27" s="1">
        <v>3300</v>
      </c>
      <c r="E27" s="1"/>
      <c r="F27" s="58"/>
      <c r="G27" s="58"/>
      <c r="H27" s="58"/>
      <c r="I27" s="58"/>
      <c r="J27" s="58"/>
    </row>
    <row r="28" spans="1:10" x14ac:dyDescent="0.25">
      <c r="A28" s="101"/>
      <c r="B28" s="113" t="s">
        <v>189</v>
      </c>
      <c r="C28" s="1"/>
      <c r="D28" s="1">
        <v>16540</v>
      </c>
      <c r="E28" s="1"/>
      <c r="F28" s="58"/>
      <c r="G28" s="58"/>
      <c r="H28" s="58"/>
      <c r="I28" s="58"/>
      <c r="J28" s="58"/>
    </row>
    <row r="29" spans="1:10" x14ac:dyDescent="0.25">
      <c r="A29" s="58"/>
      <c r="B29" s="69" t="s">
        <v>129</v>
      </c>
      <c r="C29" s="70">
        <f>C22</f>
        <v>31050</v>
      </c>
      <c r="D29" s="70">
        <f>SUM(D24:D28)</f>
        <v>35549</v>
      </c>
      <c r="E29" s="70">
        <f>C29-D29</f>
        <v>-4499</v>
      </c>
      <c r="F29" s="58"/>
      <c r="G29" s="58"/>
      <c r="H29" s="58"/>
      <c r="I29" s="58"/>
      <c r="J29" s="58"/>
    </row>
    <row r="30" spans="1:10" x14ac:dyDescent="0.25">
      <c r="A30" s="58"/>
      <c r="B30" s="21"/>
      <c r="C30" s="21" t="s">
        <v>33</v>
      </c>
      <c r="D30" s="21" t="s">
        <v>31</v>
      </c>
      <c r="E30" s="58"/>
      <c r="F30" s="45" t="s">
        <v>92</v>
      </c>
      <c r="G30" s="58"/>
      <c r="H30" s="58"/>
      <c r="I30" s="58"/>
      <c r="J30" s="58"/>
    </row>
    <row r="31" spans="1:10" x14ac:dyDescent="0.25">
      <c r="A31" s="58"/>
      <c r="B31" s="114" t="s">
        <v>160</v>
      </c>
      <c r="C31" s="21" t="s">
        <v>34</v>
      </c>
      <c r="D31" s="21" t="s">
        <v>162</v>
      </c>
      <c r="E31" s="58"/>
      <c r="F31" s="45" t="s">
        <v>161</v>
      </c>
      <c r="G31" s="58"/>
      <c r="H31" s="58"/>
      <c r="I31" s="58"/>
      <c r="J31" s="58"/>
    </row>
    <row r="32" spans="1:10" x14ac:dyDescent="0.25">
      <c r="H32" s="58"/>
      <c r="I32" s="58"/>
      <c r="J32" s="58"/>
    </row>
    <row r="33" spans="1:10" x14ac:dyDescent="0.25">
      <c r="H33" s="58"/>
      <c r="I33" s="58"/>
      <c r="J33" s="58"/>
    </row>
    <row r="34" spans="1:10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</row>
    <row r="35" spans="1:10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</row>
  </sheetData>
  <pageMargins left="0.7" right="0.7" top="0.75" bottom="0.75" header="0.3" footer="0.3"/>
  <pageSetup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7" workbookViewId="0">
      <selection activeCell="L25" sqref="L25"/>
    </sheetView>
  </sheetViews>
  <sheetFormatPr defaultRowHeight="15" x14ac:dyDescent="0.25"/>
  <cols>
    <col min="1" max="1" width="3.85546875" customWidth="1"/>
    <col min="7" max="7" width="12.42578125" customWidth="1"/>
    <col min="12" max="12" width="10.140625" bestFit="1" customWidth="1"/>
    <col min="14" max="14" width="13.28515625" bestFit="1" customWidth="1"/>
  </cols>
  <sheetData>
    <row r="1" spans="1:14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  <c r="K1" s="58"/>
    </row>
    <row r="2" spans="1:14" ht="18.75" x14ac:dyDescent="0.25">
      <c r="A2" s="33" t="s">
        <v>194</v>
      </c>
      <c r="B2" s="35"/>
      <c r="C2" s="35"/>
      <c r="D2" s="34"/>
      <c r="E2" s="34"/>
      <c r="F2" s="34"/>
      <c r="G2" s="34"/>
      <c r="H2" s="34"/>
      <c r="I2" s="58"/>
      <c r="J2" s="58"/>
      <c r="K2" s="58"/>
    </row>
    <row r="3" spans="1:14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  <c r="K3" s="58"/>
    </row>
    <row r="4" spans="1:14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/>
      <c r="G4" s="16">
        <f>D4+E4</f>
        <v>3000</v>
      </c>
      <c r="H4" s="68">
        <v>3000</v>
      </c>
      <c r="I4" s="16">
        <f>G4-H4</f>
        <v>0</v>
      </c>
      <c r="J4" s="58"/>
      <c r="K4" s="58"/>
    </row>
    <row r="5" spans="1:14" x14ac:dyDescent="0.25">
      <c r="A5" s="1">
        <v>2</v>
      </c>
      <c r="B5" s="1" t="s">
        <v>105</v>
      </c>
      <c r="C5" s="13"/>
      <c r="D5" s="14"/>
      <c r="E5" s="1"/>
      <c r="F5" s="1"/>
      <c r="G5" s="16">
        <f t="shared" ref="G5:G16" si="0">D5+E5</f>
        <v>0</v>
      </c>
      <c r="H5" s="68"/>
      <c r="I5" s="16">
        <f t="shared" ref="I5:I16" si="1">G5-H5</f>
        <v>0</v>
      </c>
      <c r="J5" s="58"/>
      <c r="K5" s="58"/>
    </row>
    <row r="6" spans="1:14" x14ac:dyDescent="0.25">
      <c r="A6" s="1">
        <v>3</v>
      </c>
      <c r="B6" s="119" t="s">
        <v>146</v>
      </c>
      <c r="C6" s="13"/>
      <c r="D6" s="14">
        <v>0</v>
      </c>
      <c r="E6" s="1">
        <v>3000</v>
      </c>
      <c r="F6" s="1"/>
      <c r="G6" s="16">
        <f t="shared" si="0"/>
        <v>3000</v>
      </c>
      <c r="H6" s="68">
        <v>2600</v>
      </c>
      <c r="I6" s="16">
        <f t="shared" si="1"/>
        <v>400</v>
      </c>
      <c r="J6" s="58"/>
      <c r="K6" s="58"/>
    </row>
    <row r="7" spans="1:14" x14ac:dyDescent="0.25">
      <c r="A7" s="1">
        <v>4</v>
      </c>
      <c r="B7" s="1" t="s">
        <v>105</v>
      </c>
      <c r="C7" s="13"/>
      <c r="D7" s="14">
        <v>0</v>
      </c>
      <c r="E7" s="1"/>
      <c r="F7" s="1"/>
      <c r="G7" s="16">
        <f t="shared" si="0"/>
        <v>0</v>
      </c>
      <c r="H7" s="68"/>
      <c r="I7" s="16"/>
      <c r="J7" s="58" t="s">
        <v>191</v>
      </c>
      <c r="K7" s="58"/>
    </row>
    <row r="8" spans="1:14" x14ac:dyDescent="0.25">
      <c r="A8" s="1">
        <v>5</v>
      </c>
      <c r="B8" s="13" t="s">
        <v>105</v>
      </c>
      <c r="C8" s="58"/>
      <c r="D8" s="14"/>
      <c r="E8" s="1"/>
      <c r="F8" s="1"/>
      <c r="G8" s="16">
        <f t="shared" si="0"/>
        <v>0</v>
      </c>
      <c r="H8" s="68"/>
      <c r="I8" s="16"/>
      <c r="J8" s="58"/>
      <c r="K8" s="58"/>
    </row>
    <row r="9" spans="1:14" x14ac:dyDescent="0.25">
      <c r="A9" s="1">
        <v>6</v>
      </c>
      <c r="B9" s="13" t="s">
        <v>195</v>
      </c>
      <c r="C9" s="13"/>
      <c r="D9" s="14"/>
      <c r="E9" s="1">
        <v>3000</v>
      </c>
      <c r="F9" s="1"/>
      <c r="G9" s="16">
        <f t="shared" si="0"/>
        <v>3000</v>
      </c>
      <c r="H9" s="68">
        <v>3000</v>
      </c>
      <c r="I9" s="16"/>
      <c r="J9" s="58"/>
      <c r="K9" s="58"/>
    </row>
    <row r="10" spans="1:14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/>
      <c r="G10" s="16">
        <f t="shared" si="0"/>
        <v>3000</v>
      </c>
      <c r="H10" s="68"/>
      <c r="I10" s="16"/>
      <c r="J10" s="58"/>
      <c r="K10" s="58"/>
    </row>
    <row r="11" spans="1:14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/>
      <c r="G11" s="16">
        <f t="shared" si="0"/>
        <v>3000</v>
      </c>
      <c r="H11" s="68">
        <v>1500</v>
      </c>
      <c r="I11" s="16"/>
      <c r="J11" s="58"/>
      <c r="K11" s="58"/>
    </row>
    <row r="12" spans="1:14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/>
      <c r="G12" s="16">
        <f t="shared" si="0"/>
        <v>3000</v>
      </c>
      <c r="H12" s="68">
        <v>3000</v>
      </c>
      <c r="I12" s="16">
        <v>200</v>
      </c>
      <c r="J12" s="58"/>
      <c r="K12" s="58"/>
    </row>
    <row r="13" spans="1:14" x14ac:dyDescent="0.25">
      <c r="A13" s="1">
        <v>10</v>
      </c>
      <c r="B13" s="79" t="s">
        <v>192</v>
      </c>
      <c r="C13" s="79"/>
      <c r="D13" s="14"/>
      <c r="E13" s="1">
        <v>4500</v>
      </c>
      <c r="F13" s="1"/>
      <c r="G13" s="16">
        <f t="shared" si="0"/>
        <v>4500</v>
      </c>
      <c r="H13" s="68">
        <v>4500</v>
      </c>
      <c r="I13" s="16">
        <f t="shared" si="1"/>
        <v>0</v>
      </c>
      <c r="J13" s="58"/>
      <c r="K13" s="58"/>
    </row>
    <row r="14" spans="1:14" x14ac:dyDescent="0.25">
      <c r="A14" s="1">
        <v>11</v>
      </c>
      <c r="B14" s="79" t="s">
        <v>152</v>
      </c>
      <c r="C14" s="13"/>
      <c r="D14" s="14">
        <v>1800</v>
      </c>
      <c r="E14" s="1">
        <v>4500</v>
      </c>
      <c r="F14" s="1"/>
      <c r="G14" s="16">
        <f t="shared" si="0"/>
        <v>6300</v>
      </c>
      <c r="H14" s="68">
        <v>3000</v>
      </c>
      <c r="I14" s="16">
        <f t="shared" si="1"/>
        <v>3300</v>
      </c>
      <c r="J14" s="58"/>
      <c r="K14" s="58"/>
    </row>
    <row r="15" spans="1:14" x14ac:dyDescent="0.25">
      <c r="A15" s="1">
        <v>12</v>
      </c>
      <c r="B15" s="119" t="s">
        <v>153</v>
      </c>
      <c r="C15" s="13"/>
      <c r="D15" s="14"/>
      <c r="E15" s="1">
        <v>7000</v>
      </c>
      <c r="F15" s="1"/>
      <c r="G15" s="16">
        <f t="shared" si="0"/>
        <v>7000</v>
      </c>
      <c r="H15" s="68">
        <v>6500</v>
      </c>
      <c r="I15" s="16">
        <f t="shared" si="1"/>
        <v>500</v>
      </c>
      <c r="J15" s="58"/>
      <c r="K15" s="58"/>
    </row>
    <row r="16" spans="1:14" x14ac:dyDescent="0.25">
      <c r="A16" s="1">
        <v>13</v>
      </c>
      <c r="B16" s="13" t="s">
        <v>17</v>
      </c>
      <c r="C16" s="58"/>
      <c r="D16" s="14"/>
      <c r="E16" s="1">
        <v>3500</v>
      </c>
      <c r="F16" s="1"/>
      <c r="G16" s="16">
        <f t="shared" si="0"/>
        <v>3500</v>
      </c>
      <c r="H16" s="68">
        <v>3500</v>
      </c>
      <c r="I16" s="16">
        <f t="shared" si="1"/>
        <v>0</v>
      </c>
      <c r="J16" s="58"/>
      <c r="K16" s="58"/>
      <c r="L16" s="73">
        <v>70000000</v>
      </c>
      <c r="M16" s="71">
        <v>0.03</v>
      </c>
      <c r="N16" s="120">
        <f>L16*M16</f>
        <v>2100000</v>
      </c>
    </row>
    <row r="17" spans="1:11" x14ac:dyDescent="0.25">
      <c r="A17" s="1"/>
      <c r="B17" s="13"/>
      <c r="C17" s="13"/>
      <c r="D17" s="67"/>
      <c r="E17" s="94">
        <f>SUM(E4:E16)</f>
        <v>37500</v>
      </c>
      <c r="F17" s="1"/>
      <c r="G17" s="16">
        <f>SUM(G4:G16)</f>
        <v>39300</v>
      </c>
      <c r="H17" s="68">
        <f>SUM(H4:H16)</f>
        <v>30600</v>
      </c>
      <c r="I17" s="16">
        <f>SUM(I4:I16)</f>
        <v>4400</v>
      </c>
      <c r="J17" s="58"/>
      <c r="K17" s="58"/>
    </row>
    <row r="18" spans="1:11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  <c r="K18" s="58"/>
    </row>
    <row r="19" spans="1:11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58"/>
      <c r="G19" s="58"/>
      <c r="H19" s="58"/>
      <c r="I19" s="58"/>
      <c r="J19" s="58"/>
      <c r="K19" s="58"/>
    </row>
    <row r="20" spans="1:11" x14ac:dyDescent="0.25">
      <c r="A20" s="43"/>
      <c r="B20" s="1" t="s">
        <v>126</v>
      </c>
      <c r="C20" s="16">
        <f>E17</f>
        <v>37500</v>
      </c>
      <c r="D20" s="1"/>
      <c r="E20" s="1"/>
      <c r="F20" s="58"/>
      <c r="G20" s="58"/>
      <c r="H20" s="58"/>
      <c r="I20" s="58"/>
      <c r="J20" s="58"/>
      <c r="K20" s="58"/>
    </row>
    <row r="21" spans="1:11" s="58" customFormat="1" x14ac:dyDescent="0.25">
      <c r="A21" s="43"/>
      <c r="B21" s="1" t="s">
        <v>193</v>
      </c>
      <c r="C21" s="16">
        <v>-4499</v>
      </c>
      <c r="D21" s="1"/>
      <c r="E21" s="1"/>
    </row>
    <row r="22" spans="1:11" x14ac:dyDescent="0.25">
      <c r="A22" s="43"/>
      <c r="B22" s="1" t="s">
        <v>127</v>
      </c>
      <c r="C22" s="107">
        <v>0.1</v>
      </c>
      <c r="D22" s="16">
        <f>C20*C22</f>
        <v>3750</v>
      </c>
      <c r="E22" s="1"/>
      <c r="F22" s="58"/>
      <c r="G22" s="58"/>
      <c r="H22" s="58"/>
      <c r="I22" s="58"/>
      <c r="J22" s="58"/>
      <c r="K22" s="58"/>
    </row>
    <row r="23" spans="1:11" x14ac:dyDescent="0.25">
      <c r="A23" s="43"/>
      <c r="B23" s="113" t="s">
        <v>188</v>
      </c>
      <c r="C23" s="16">
        <f>C20+C21-D22</f>
        <v>29251</v>
      </c>
      <c r="D23" s="1"/>
      <c r="E23" s="1"/>
      <c r="F23" s="58"/>
      <c r="G23" s="58"/>
      <c r="H23" s="58"/>
      <c r="I23" s="58"/>
      <c r="J23" s="58"/>
      <c r="K23" s="58"/>
    </row>
    <row r="24" spans="1:11" x14ac:dyDescent="0.25">
      <c r="A24" s="118"/>
      <c r="B24" s="69" t="s">
        <v>128</v>
      </c>
      <c r="C24" s="1"/>
      <c r="D24" s="1"/>
      <c r="E24" s="1"/>
      <c r="F24" s="58"/>
      <c r="G24" s="58"/>
      <c r="H24" s="58"/>
      <c r="I24" s="58"/>
      <c r="J24" s="58"/>
      <c r="K24" s="58"/>
    </row>
    <row r="25" spans="1:11" x14ac:dyDescent="0.25">
      <c r="A25" s="118"/>
      <c r="B25" s="1" t="s">
        <v>185</v>
      </c>
      <c r="C25" s="1"/>
      <c r="D25" s="1">
        <v>10610</v>
      </c>
      <c r="E25" s="1"/>
      <c r="F25" s="58"/>
      <c r="G25" s="58"/>
      <c r="H25" s="58"/>
      <c r="I25" s="58"/>
      <c r="J25" s="58"/>
      <c r="K25" s="58"/>
    </row>
    <row r="26" spans="1:11" x14ac:dyDescent="0.25">
      <c r="A26" s="43"/>
      <c r="B26" s="1" t="s">
        <v>150</v>
      </c>
      <c r="C26" s="1"/>
      <c r="D26" s="1">
        <v>1500</v>
      </c>
      <c r="E26" s="1"/>
      <c r="F26" s="58"/>
      <c r="G26" s="58"/>
      <c r="H26" s="58"/>
      <c r="I26" s="58"/>
      <c r="J26" s="58"/>
      <c r="K26" s="58"/>
    </row>
    <row r="27" spans="1:11" x14ac:dyDescent="0.25">
      <c r="A27" s="118"/>
      <c r="B27" s="113" t="s">
        <v>196</v>
      </c>
      <c r="C27" s="1"/>
      <c r="D27" s="1">
        <v>17141</v>
      </c>
      <c r="E27" s="1"/>
      <c r="F27" s="58"/>
      <c r="G27" s="58"/>
      <c r="H27" s="58"/>
      <c r="I27" s="58"/>
      <c r="J27" s="58"/>
      <c r="K27" s="58"/>
    </row>
    <row r="28" spans="1:11" x14ac:dyDescent="0.25">
      <c r="A28" s="118"/>
      <c r="B28" s="1" t="s">
        <v>197</v>
      </c>
      <c r="C28" s="1"/>
      <c r="D28" s="1">
        <v>2500</v>
      </c>
      <c r="E28" s="1"/>
      <c r="F28" s="58"/>
      <c r="G28" s="58"/>
      <c r="H28" s="58"/>
      <c r="I28" s="58"/>
      <c r="J28" s="58"/>
      <c r="K28" s="58"/>
    </row>
    <row r="29" spans="1:11" x14ac:dyDescent="0.25">
      <c r="A29" s="101"/>
      <c r="B29" s="113"/>
      <c r="C29" s="1"/>
      <c r="D29" s="1"/>
      <c r="E29" s="1"/>
      <c r="F29" s="58"/>
      <c r="G29" s="58"/>
      <c r="H29" s="58"/>
      <c r="I29" s="58"/>
      <c r="J29" s="58"/>
      <c r="K29" s="58"/>
    </row>
    <row r="30" spans="1:11" x14ac:dyDescent="0.25">
      <c r="A30" s="58"/>
      <c r="B30" s="69" t="s">
        <v>129</v>
      </c>
      <c r="C30" s="70">
        <f>C23</f>
        <v>29251</v>
      </c>
      <c r="D30" s="70">
        <f>SUM(D25:D29)</f>
        <v>31751</v>
      </c>
      <c r="E30" s="70">
        <f>C30-D30</f>
        <v>-2500</v>
      </c>
      <c r="F30" s="58"/>
      <c r="G30" s="58"/>
      <c r="H30" s="58"/>
      <c r="I30" s="58"/>
      <c r="J30" s="58"/>
      <c r="K30" s="58"/>
    </row>
    <row r="31" spans="1:11" x14ac:dyDescent="0.25">
      <c r="A31" s="58"/>
      <c r="B31" s="21"/>
      <c r="C31" s="21" t="s">
        <v>33</v>
      </c>
      <c r="D31" s="21" t="s">
        <v>31</v>
      </c>
      <c r="E31" s="58"/>
      <c r="F31" s="45" t="s">
        <v>92</v>
      </c>
      <c r="G31" s="58"/>
      <c r="H31" s="58"/>
      <c r="I31" s="58"/>
      <c r="J31" s="58"/>
      <c r="K31" s="58"/>
    </row>
    <row r="32" spans="1:11" x14ac:dyDescent="0.25">
      <c r="A32" s="58"/>
      <c r="B32" s="114" t="s">
        <v>160</v>
      </c>
      <c r="C32" s="21" t="s">
        <v>34</v>
      </c>
      <c r="D32" s="21" t="s">
        <v>162</v>
      </c>
      <c r="E32" s="58"/>
      <c r="F32" s="45" t="s">
        <v>161</v>
      </c>
      <c r="G32" s="58"/>
      <c r="H32" s="58"/>
      <c r="I32" s="58"/>
      <c r="J32" s="58"/>
      <c r="K32" s="58"/>
    </row>
    <row r="33" spans="1:11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I24" sqref="I24"/>
    </sheetView>
  </sheetViews>
  <sheetFormatPr defaultRowHeight="15" x14ac:dyDescent="0.25"/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200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/>
      <c r="G4" s="16">
        <f>D4+E4</f>
        <v>3000</v>
      </c>
      <c r="H4" s="68">
        <v>3000</v>
      </c>
      <c r="I4" s="16">
        <f>G4-H4</f>
        <v>0</v>
      </c>
      <c r="J4" s="58"/>
    </row>
    <row r="5" spans="1:10" x14ac:dyDescent="0.25">
      <c r="A5" s="1">
        <v>2</v>
      </c>
      <c r="B5" s="1" t="s">
        <v>105</v>
      </c>
      <c r="C5" s="13"/>
      <c r="D5" s="14"/>
      <c r="E5" s="1"/>
      <c r="F5" s="1"/>
      <c r="G5" s="16">
        <f t="shared" ref="G5:G16" si="0">D5+E5</f>
        <v>0</v>
      </c>
      <c r="H5" s="68"/>
      <c r="I5" s="16">
        <f t="shared" ref="I5:I16" si="1">G5-H5</f>
        <v>0</v>
      </c>
      <c r="J5" s="58"/>
    </row>
    <row r="6" spans="1:10" x14ac:dyDescent="0.25">
      <c r="A6" s="1">
        <v>3</v>
      </c>
      <c r="B6" s="119" t="s">
        <v>146</v>
      </c>
      <c r="C6" s="13"/>
      <c r="D6" s="14">
        <v>0</v>
      </c>
      <c r="E6" s="1">
        <v>3000</v>
      </c>
      <c r="F6" s="1"/>
      <c r="G6" s="16">
        <f t="shared" si="0"/>
        <v>3000</v>
      </c>
      <c r="H6" s="68"/>
      <c r="I6" s="16">
        <f t="shared" si="1"/>
        <v>3000</v>
      </c>
      <c r="J6" s="58"/>
    </row>
    <row r="7" spans="1:10" x14ac:dyDescent="0.25">
      <c r="A7" s="1">
        <v>4</v>
      </c>
      <c r="B7" s="1" t="s">
        <v>105</v>
      </c>
      <c r="C7" s="13"/>
      <c r="D7" s="14">
        <v>0</v>
      </c>
      <c r="E7" s="1"/>
      <c r="F7" s="1"/>
      <c r="G7" s="16">
        <f t="shared" si="0"/>
        <v>0</v>
      </c>
      <c r="H7" s="68"/>
      <c r="I7" s="16"/>
      <c r="J7" s="58" t="s">
        <v>191</v>
      </c>
    </row>
    <row r="8" spans="1:10" x14ac:dyDescent="0.25">
      <c r="A8" s="1">
        <v>5</v>
      </c>
      <c r="B8" s="13" t="s">
        <v>198</v>
      </c>
      <c r="C8" s="58"/>
      <c r="D8" s="14"/>
      <c r="E8" s="1">
        <v>3000</v>
      </c>
      <c r="F8" s="1"/>
      <c r="G8" s="16">
        <f t="shared" si="0"/>
        <v>3000</v>
      </c>
      <c r="H8" s="68"/>
      <c r="I8" s="16"/>
      <c r="J8" s="58"/>
    </row>
    <row r="9" spans="1:10" x14ac:dyDescent="0.25">
      <c r="A9" s="1">
        <v>6</v>
      </c>
      <c r="B9" s="13" t="s">
        <v>195</v>
      </c>
      <c r="C9" s="13"/>
      <c r="D9" s="14"/>
      <c r="E9" s="1">
        <v>3000</v>
      </c>
      <c r="F9" s="1"/>
      <c r="G9" s="16">
        <f t="shared" si="0"/>
        <v>3000</v>
      </c>
      <c r="H9" s="68">
        <v>3000</v>
      </c>
      <c r="I9" s="16"/>
      <c r="J9" s="58"/>
    </row>
    <row r="10" spans="1:10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/>
      <c r="G10" s="16">
        <f t="shared" si="0"/>
        <v>3000</v>
      </c>
      <c r="H10" s="68"/>
      <c r="I10" s="16"/>
      <c r="J10" s="58"/>
    </row>
    <row r="11" spans="1:10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/>
      <c r="G11" s="16">
        <f t="shared" si="0"/>
        <v>3000</v>
      </c>
      <c r="H11" s="68">
        <v>1500</v>
      </c>
      <c r="I11" s="16"/>
      <c r="J11" s="58"/>
    </row>
    <row r="12" spans="1:10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/>
      <c r="G12" s="16">
        <f t="shared" si="0"/>
        <v>3000</v>
      </c>
      <c r="H12" s="68">
        <v>3000</v>
      </c>
      <c r="I12" s="16">
        <v>200</v>
      </c>
      <c r="J12" s="58"/>
    </row>
    <row r="13" spans="1:10" x14ac:dyDescent="0.25">
      <c r="A13" s="1">
        <v>10</v>
      </c>
      <c r="B13" s="79" t="s">
        <v>192</v>
      </c>
      <c r="C13" s="79"/>
      <c r="D13" s="14"/>
      <c r="E13" s="1">
        <v>4500</v>
      </c>
      <c r="F13" s="1"/>
      <c r="G13" s="16">
        <f t="shared" si="0"/>
        <v>4500</v>
      </c>
      <c r="H13" s="68">
        <v>4500</v>
      </c>
      <c r="I13" s="16">
        <f t="shared" si="1"/>
        <v>0</v>
      </c>
      <c r="J13" s="58"/>
    </row>
    <row r="14" spans="1:10" x14ac:dyDescent="0.25">
      <c r="A14" s="1">
        <v>11</v>
      </c>
      <c r="B14" s="79" t="s">
        <v>152</v>
      </c>
      <c r="C14" s="13"/>
      <c r="D14" s="14">
        <v>1800</v>
      </c>
      <c r="E14" s="1">
        <v>4500</v>
      </c>
      <c r="F14" s="1"/>
      <c r="G14" s="16">
        <f t="shared" si="0"/>
        <v>6300</v>
      </c>
      <c r="H14" s="68">
        <v>3000</v>
      </c>
      <c r="I14" s="16">
        <f t="shared" si="1"/>
        <v>3300</v>
      </c>
      <c r="J14" s="58"/>
    </row>
    <row r="15" spans="1:10" x14ac:dyDescent="0.25">
      <c r="A15" s="1">
        <v>12</v>
      </c>
      <c r="B15" s="119" t="s">
        <v>153</v>
      </c>
      <c r="C15" s="13"/>
      <c r="D15" s="14"/>
      <c r="E15" s="1">
        <v>7000</v>
      </c>
      <c r="F15" s="1"/>
      <c r="G15" s="16">
        <f t="shared" si="0"/>
        <v>7000</v>
      </c>
      <c r="H15" s="68">
        <v>6500</v>
      </c>
      <c r="I15" s="16">
        <f t="shared" si="1"/>
        <v>500</v>
      </c>
      <c r="J15" s="58"/>
    </row>
    <row r="16" spans="1:10" x14ac:dyDescent="0.25">
      <c r="A16" s="1">
        <v>13</v>
      </c>
      <c r="B16" s="13" t="s">
        <v>17</v>
      </c>
      <c r="C16" s="58"/>
      <c r="D16" s="14"/>
      <c r="E16" s="1">
        <v>3500</v>
      </c>
      <c r="F16" s="1"/>
      <c r="G16" s="16">
        <f t="shared" si="0"/>
        <v>3500</v>
      </c>
      <c r="H16" s="68"/>
      <c r="I16" s="16">
        <f t="shared" si="1"/>
        <v>3500</v>
      </c>
      <c r="J16" s="58"/>
    </row>
    <row r="17" spans="1:10" x14ac:dyDescent="0.25">
      <c r="A17" s="1"/>
      <c r="B17" s="13"/>
      <c r="C17" s="13"/>
      <c r="D17" s="67"/>
      <c r="E17" s="94">
        <f>SUM(E4:E16)</f>
        <v>40500</v>
      </c>
      <c r="F17" s="1"/>
      <c r="G17" s="16">
        <f>SUM(G4:G16)</f>
        <v>42300</v>
      </c>
      <c r="H17" s="68">
        <f>SUM(H4:H16)</f>
        <v>24500</v>
      </c>
      <c r="I17" s="16">
        <f>SUM(I4:I16)</f>
        <v>10500</v>
      </c>
      <c r="J17" s="58"/>
    </row>
    <row r="18" spans="1:10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</row>
    <row r="19" spans="1:10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58"/>
      <c r="G19" s="58"/>
      <c r="H19" s="58"/>
      <c r="I19" s="58"/>
      <c r="J19" s="58"/>
    </row>
    <row r="20" spans="1:10" x14ac:dyDescent="0.25">
      <c r="A20" s="43"/>
      <c r="B20" s="1" t="s">
        <v>126</v>
      </c>
      <c r="C20" s="16">
        <f>E17</f>
        <v>40500</v>
      </c>
      <c r="D20" s="1"/>
      <c r="E20" s="1"/>
      <c r="F20" s="58"/>
      <c r="G20" s="58"/>
      <c r="H20" s="58"/>
      <c r="I20" s="58"/>
      <c r="J20" s="58"/>
    </row>
    <row r="21" spans="1:10" x14ac:dyDescent="0.25">
      <c r="A21" s="43"/>
      <c r="B21" s="1" t="s">
        <v>193</v>
      </c>
      <c r="C21" s="16">
        <v>-2500</v>
      </c>
      <c r="D21" s="1"/>
      <c r="E21" s="1"/>
      <c r="F21" s="58"/>
      <c r="G21" s="58"/>
      <c r="H21" s="58"/>
      <c r="I21" s="58"/>
      <c r="J21" s="58"/>
    </row>
    <row r="22" spans="1:10" x14ac:dyDescent="0.25">
      <c r="A22" s="43"/>
      <c r="B22" s="1" t="s">
        <v>127</v>
      </c>
      <c r="C22" s="107">
        <v>0.1</v>
      </c>
      <c r="D22" s="16">
        <f>C20*C22</f>
        <v>4050</v>
      </c>
      <c r="E22" s="1"/>
      <c r="F22" s="58"/>
      <c r="G22" s="58"/>
      <c r="H22" s="58"/>
      <c r="I22" s="58"/>
      <c r="J22" s="58"/>
    </row>
    <row r="23" spans="1:10" x14ac:dyDescent="0.25">
      <c r="A23" s="43"/>
      <c r="B23" s="113" t="s">
        <v>188</v>
      </c>
      <c r="C23" s="16">
        <f>C20+C21-D22</f>
        <v>33950</v>
      </c>
      <c r="D23" s="1"/>
      <c r="E23" s="1"/>
      <c r="F23" s="58"/>
      <c r="G23" s="58"/>
      <c r="H23" s="58"/>
      <c r="I23" s="58"/>
      <c r="J23" s="58"/>
    </row>
    <row r="24" spans="1:10" x14ac:dyDescent="0.25">
      <c r="A24" s="118"/>
      <c r="B24" s="69" t="s">
        <v>128</v>
      </c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1" t="s">
        <v>185</v>
      </c>
      <c r="C25" s="1"/>
      <c r="D25" s="1">
        <v>10610</v>
      </c>
      <c r="E25" s="1"/>
      <c r="F25" s="58"/>
      <c r="G25" s="58"/>
      <c r="H25" s="58"/>
      <c r="I25" s="58"/>
      <c r="J25" s="58"/>
    </row>
    <row r="26" spans="1:10" x14ac:dyDescent="0.25">
      <c r="A26" s="43"/>
      <c r="B26" s="1" t="s">
        <v>185</v>
      </c>
      <c r="C26" s="1"/>
      <c r="D26" s="1">
        <v>1500</v>
      </c>
      <c r="E26" s="1"/>
      <c r="F26" s="58"/>
      <c r="G26" s="58"/>
      <c r="H26" s="58"/>
      <c r="I26" s="58"/>
      <c r="J26" s="58"/>
    </row>
    <row r="27" spans="1:10" x14ac:dyDescent="0.25">
      <c r="A27" s="118"/>
      <c r="B27" s="113" t="s">
        <v>199</v>
      </c>
      <c r="C27" s="1"/>
      <c r="D27" s="1">
        <v>2000</v>
      </c>
      <c r="E27" s="1"/>
      <c r="F27" s="58"/>
      <c r="G27" s="58"/>
      <c r="H27" s="58"/>
      <c r="I27" s="58"/>
      <c r="J27" s="58"/>
    </row>
    <row r="28" spans="1:10" x14ac:dyDescent="0.25">
      <c r="A28" s="118"/>
      <c r="B28" s="1" t="s">
        <v>201</v>
      </c>
      <c r="C28" s="1"/>
      <c r="D28" s="1">
        <v>19840</v>
      </c>
      <c r="E28" s="1"/>
      <c r="F28" s="58"/>
      <c r="G28" s="58"/>
      <c r="H28" s="58"/>
      <c r="I28" s="58"/>
      <c r="J28" s="58"/>
    </row>
    <row r="29" spans="1:10" x14ac:dyDescent="0.25">
      <c r="A29" s="101"/>
      <c r="B29" s="113"/>
      <c r="C29" s="1"/>
      <c r="D29" s="1"/>
      <c r="E29" s="1"/>
      <c r="F29" s="58"/>
      <c r="G29" s="58"/>
      <c r="H29" s="58"/>
      <c r="I29" s="58"/>
      <c r="J29" s="58"/>
    </row>
    <row r="30" spans="1:10" x14ac:dyDescent="0.25">
      <c r="A30" s="58"/>
      <c r="B30" s="69" t="s">
        <v>129</v>
      </c>
      <c r="C30" s="70">
        <f>C23</f>
        <v>33950</v>
      </c>
      <c r="D30" s="70">
        <f>SUM(D25:D29)</f>
        <v>33950</v>
      </c>
      <c r="E30" s="70">
        <f>C30-D30</f>
        <v>0</v>
      </c>
      <c r="F30" s="58"/>
      <c r="G30" s="58"/>
      <c r="H30" s="58"/>
      <c r="I30" s="58"/>
      <c r="J30" s="58"/>
    </row>
    <row r="31" spans="1:10" x14ac:dyDescent="0.25">
      <c r="A31" s="58"/>
      <c r="B31" s="21"/>
      <c r="C31" s="21" t="s">
        <v>33</v>
      </c>
      <c r="D31" s="21" t="s">
        <v>31</v>
      </c>
      <c r="E31" s="58"/>
      <c r="F31" s="45" t="s">
        <v>92</v>
      </c>
      <c r="G31" s="58"/>
      <c r="H31" s="58"/>
      <c r="I31" s="58"/>
      <c r="J31" s="58"/>
    </row>
    <row r="32" spans="1:10" x14ac:dyDescent="0.25">
      <c r="A32" s="58"/>
      <c r="B32" s="114" t="s">
        <v>160</v>
      </c>
      <c r="C32" s="21" t="s">
        <v>34</v>
      </c>
      <c r="D32" s="21" t="s">
        <v>162</v>
      </c>
      <c r="E32" s="58"/>
      <c r="F32" s="45" t="s">
        <v>161</v>
      </c>
      <c r="G32" s="58"/>
      <c r="H32" s="58"/>
      <c r="I32" s="58"/>
      <c r="J32" s="58"/>
    </row>
    <row r="33" spans="1:10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</row>
    <row r="34" spans="1:10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27" sqref="J27"/>
    </sheetView>
  </sheetViews>
  <sheetFormatPr defaultRowHeight="15" x14ac:dyDescent="0.25"/>
  <cols>
    <col min="1" max="1" width="6.7109375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203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/>
      <c r="G4" s="16">
        <f>D4+E4</f>
        <v>3000</v>
      </c>
      <c r="H4" s="68">
        <v>3000</v>
      </c>
      <c r="I4" s="16">
        <f>G4-H4</f>
        <v>0</v>
      </c>
      <c r="J4" s="58"/>
    </row>
    <row r="5" spans="1:10" x14ac:dyDescent="0.25">
      <c r="A5" s="1">
        <v>2</v>
      </c>
      <c r="B5" s="1" t="s">
        <v>105</v>
      </c>
      <c r="C5" s="13"/>
      <c r="D5" s="14"/>
      <c r="E5" s="1"/>
      <c r="F5" s="1"/>
      <c r="G5" s="16">
        <f t="shared" ref="G5:G16" si="0">D5+E5</f>
        <v>0</v>
      </c>
      <c r="H5" s="68"/>
      <c r="I5" s="16">
        <f t="shared" ref="I5:I16" si="1">G5-H5</f>
        <v>0</v>
      </c>
      <c r="J5" s="58"/>
    </row>
    <row r="6" spans="1:10" x14ac:dyDescent="0.25">
      <c r="A6" s="1">
        <v>3</v>
      </c>
      <c r="B6" s="119" t="s">
        <v>146</v>
      </c>
      <c r="C6" s="13"/>
      <c r="D6" s="14">
        <v>0</v>
      </c>
      <c r="E6" s="1">
        <v>3000</v>
      </c>
      <c r="F6" s="1"/>
      <c r="G6" s="16">
        <f t="shared" si="0"/>
        <v>3000</v>
      </c>
      <c r="H6" s="68">
        <v>2600</v>
      </c>
      <c r="I6" s="16">
        <f t="shared" si="1"/>
        <v>400</v>
      </c>
      <c r="J6" s="58"/>
    </row>
    <row r="7" spans="1:10" x14ac:dyDescent="0.25">
      <c r="A7" s="1">
        <v>4</v>
      </c>
      <c r="B7" s="1" t="s">
        <v>105</v>
      </c>
      <c r="C7" s="13"/>
      <c r="D7" s="14">
        <v>0</v>
      </c>
      <c r="E7" s="1"/>
      <c r="F7" s="1"/>
      <c r="G7" s="16">
        <f t="shared" si="0"/>
        <v>0</v>
      </c>
      <c r="H7" s="68"/>
      <c r="I7" s="16"/>
      <c r="J7" s="58" t="s">
        <v>191</v>
      </c>
    </row>
    <row r="8" spans="1:10" x14ac:dyDescent="0.25">
      <c r="A8" s="1">
        <v>5</v>
      </c>
      <c r="B8" s="13" t="s">
        <v>198</v>
      </c>
      <c r="C8" s="58"/>
      <c r="D8" s="14"/>
      <c r="E8" s="1">
        <v>3000</v>
      </c>
      <c r="F8" s="1"/>
      <c r="G8" s="16">
        <f t="shared" si="0"/>
        <v>3000</v>
      </c>
      <c r="H8" s="68"/>
      <c r="I8" s="16"/>
      <c r="J8" s="58"/>
    </row>
    <row r="9" spans="1:10" x14ac:dyDescent="0.25">
      <c r="A9" s="1">
        <v>6</v>
      </c>
      <c r="B9" s="13" t="s">
        <v>195</v>
      </c>
      <c r="C9" s="13"/>
      <c r="D9" s="14"/>
      <c r="E9" s="1">
        <v>3000</v>
      </c>
      <c r="F9" s="1"/>
      <c r="G9" s="16">
        <f t="shared" si="0"/>
        <v>3000</v>
      </c>
      <c r="H9" s="68">
        <v>3000</v>
      </c>
      <c r="I9" s="16"/>
      <c r="J9" s="58"/>
    </row>
    <row r="10" spans="1:10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/>
      <c r="G10" s="16">
        <f t="shared" si="0"/>
        <v>3000</v>
      </c>
      <c r="H10" s="68"/>
      <c r="I10" s="16"/>
      <c r="J10" s="58"/>
    </row>
    <row r="11" spans="1:10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/>
      <c r="G11" s="16">
        <f t="shared" si="0"/>
        <v>3000</v>
      </c>
      <c r="H11" s="68">
        <v>1500</v>
      </c>
      <c r="I11" s="16"/>
      <c r="J11" s="58"/>
    </row>
    <row r="12" spans="1:10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/>
      <c r="G12" s="16">
        <f t="shared" si="0"/>
        <v>3000</v>
      </c>
      <c r="H12" s="68">
        <v>3000</v>
      </c>
      <c r="I12" s="16">
        <v>200</v>
      </c>
      <c r="J12" s="58"/>
    </row>
    <row r="13" spans="1:10" x14ac:dyDescent="0.25">
      <c r="A13" s="1">
        <v>10</v>
      </c>
      <c r="B13" s="79" t="s">
        <v>192</v>
      </c>
      <c r="C13" s="79"/>
      <c r="D13" s="14"/>
      <c r="E13" s="1">
        <v>4500</v>
      </c>
      <c r="F13" s="1"/>
      <c r="G13" s="16">
        <f t="shared" si="0"/>
        <v>4500</v>
      </c>
      <c r="H13" s="68">
        <v>4500</v>
      </c>
      <c r="I13" s="16">
        <f t="shared" si="1"/>
        <v>0</v>
      </c>
      <c r="J13" s="58"/>
    </row>
    <row r="14" spans="1:10" x14ac:dyDescent="0.25">
      <c r="A14" s="1">
        <v>11</v>
      </c>
      <c r="B14" s="79" t="s">
        <v>152</v>
      </c>
      <c r="C14" s="13"/>
      <c r="D14" s="14">
        <v>1800</v>
      </c>
      <c r="E14" s="1">
        <v>4500</v>
      </c>
      <c r="F14" s="1"/>
      <c r="G14" s="16">
        <f t="shared" si="0"/>
        <v>6300</v>
      </c>
      <c r="H14" s="68">
        <v>3000</v>
      </c>
      <c r="I14" s="16">
        <f t="shared" si="1"/>
        <v>3300</v>
      </c>
      <c r="J14" s="58"/>
    </row>
    <row r="15" spans="1:10" x14ac:dyDescent="0.25">
      <c r="A15" s="1">
        <v>12</v>
      </c>
      <c r="B15" s="119" t="s">
        <v>153</v>
      </c>
      <c r="C15" s="13"/>
      <c r="D15" s="14"/>
      <c r="E15" s="1">
        <v>7000</v>
      </c>
      <c r="F15" s="1"/>
      <c r="G15" s="16">
        <f t="shared" si="0"/>
        <v>7000</v>
      </c>
      <c r="H15" s="68">
        <v>6500</v>
      </c>
      <c r="I15" s="16">
        <f t="shared" si="1"/>
        <v>500</v>
      </c>
      <c r="J15" s="58"/>
    </row>
    <row r="16" spans="1:10" x14ac:dyDescent="0.25">
      <c r="A16" s="1">
        <v>13</v>
      </c>
      <c r="B16" s="13" t="s">
        <v>17</v>
      </c>
      <c r="C16" s="58"/>
      <c r="D16" s="14"/>
      <c r="E16" s="1">
        <v>3500</v>
      </c>
      <c r="F16" s="1"/>
      <c r="G16" s="16">
        <f t="shared" si="0"/>
        <v>3500</v>
      </c>
      <c r="H16" s="68">
        <v>3500</v>
      </c>
      <c r="I16" s="16">
        <f t="shared" si="1"/>
        <v>0</v>
      </c>
      <c r="J16" s="58"/>
    </row>
    <row r="17" spans="1:10" x14ac:dyDescent="0.25">
      <c r="A17" s="1"/>
      <c r="B17" s="13"/>
      <c r="C17" s="13"/>
      <c r="D17" s="67"/>
      <c r="E17" s="94">
        <f>SUM(E4:E16)</f>
        <v>40500</v>
      </c>
      <c r="F17" s="1"/>
      <c r="G17" s="16">
        <f>SUM(G4:G16)</f>
        <v>42300</v>
      </c>
      <c r="H17" s="68">
        <f>SUM(H4:H16)</f>
        <v>30600</v>
      </c>
      <c r="I17" s="16">
        <f>SUM(I4:I16)</f>
        <v>4400</v>
      </c>
      <c r="J17" s="58"/>
    </row>
    <row r="18" spans="1:10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</row>
    <row r="19" spans="1:10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58"/>
      <c r="G19" s="58"/>
      <c r="H19" s="58"/>
      <c r="I19" s="58"/>
      <c r="J19" s="58"/>
    </row>
    <row r="20" spans="1:10" x14ac:dyDescent="0.25">
      <c r="A20" s="43"/>
      <c r="B20" s="1" t="s">
        <v>126</v>
      </c>
      <c r="C20" s="16">
        <f>E17</f>
        <v>40500</v>
      </c>
      <c r="D20" s="1"/>
      <c r="E20" s="1"/>
      <c r="F20" s="58"/>
      <c r="G20" s="58"/>
      <c r="H20" s="58"/>
      <c r="I20" s="58"/>
      <c r="J20" s="58"/>
    </row>
    <row r="21" spans="1:10" x14ac:dyDescent="0.25">
      <c r="A21" s="43"/>
      <c r="B21" s="1" t="s">
        <v>193</v>
      </c>
      <c r="C21" s="16"/>
      <c r="D21" s="1"/>
      <c r="E21" s="1"/>
      <c r="F21" s="58"/>
      <c r="G21" s="58"/>
      <c r="H21" s="58"/>
      <c r="I21" s="58"/>
      <c r="J21" s="58"/>
    </row>
    <row r="22" spans="1:10" x14ac:dyDescent="0.25">
      <c r="A22" s="43"/>
      <c r="B22" s="1" t="s">
        <v>127</v>
      </c>
      <c r="C22" s="107">
        <v>0.1</v>
      </c>
      <c r="D22" s="16">
        <f>C20*C22</f>
        <v>4050</v>
      </c>
      <c r="E22" s="1"/>
      <c r="F22" s="58"/>
      <c r="G22" s="58"/>
      <c r="H22" s="58"/>
      <c r="I22" s="58"/>
      <c r="J22" s="58"/>
    </row>
    <row r="23" spans="1:10" x14ac:dyDescent="0.25">
      <c r="A23" s="43"/>
      <c r="B23" s="113" t="s">
        <v>188</v>
      </c>
      <c r="C23" s="16">
        <f>C20+C21-D22</f>
        <v>36450</v>
      </c>
      <c r="D23" s="1"/>
      <c r="E23" s="1"/>
      <c r="F23" s="58"/>
      <c r="G23" s="58"/>
      <c r="H23" s="58"/>
      <c r="I23" s="58"/>
      <c r="J23" s="58"/>
    </row>
    <row r="24" spans="1:10" x14ac:dyDescent="0.25">
      <c r="A24" s="118"/>
      <c r="B24" s="69" t="s">
        <v>128</v>
      </c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1" t="s">
        <v>185</v>
      </c>
      <c r="C25" s="1"/>
      <c r="D25" s="1">
        <v>10610</v>
      </c>
      <c r="E25" s="1"/>
      <c r="F25" s="58"/>
      <c r="G25" s="58"/>
      <c r="H25" s="58"/>
      <c r="I25" s="58"/>
      <c r="J25" s="58"/>
    </row>
    <row r="26" spans="1:10" x14ac:dyDescent="0.25">
      <c r="A26" s="43"/>
      <c r="B26" s="1" t="s">
        <v>185</v>
      </c>
      <c r="C26" s="1"/>
      <c r="D26" s="1">
        <v>3000</v>
      </c>
      <c r="E26" s="1"/>
      <c r="F26" s="58"/>
      <c r="G26" s="58"/>
      <c r="H26" s="58"/>
      <c r="I26" s="58"/>
      <c r="J26" s="58"/>
    </row>
    <row r="27" spans="1:10" x14ac:dyDescent="0.25">
      <c r="A27" s="118"/>
      <c r="B27" s="113" t="s">
        <v>199</v>
      </c>
      <c r="C27" s="1"/>
      <c r="D27" s="1">
        <v>2000</v>
      </c>
      <c r="E27" s="1"/>
      <c r="F27" s="58"/>
      <c r="G27" s="58"/>
      <c r="H27" s="58"/>
      <c r="I27" s="58"/>
      <c r="J27" s="58"/>
    </row>
    <row r="28" spans="1:10" x14ac:dyDescent="0.25">
      <c r="A28" s="118"/>
      <c r="B28" s="1" t="s">
        <v>202</v>
      </c>
      <c r="C28" s="1"/>
      <c r="D28" s="1">
        <v>21150</v>
      </c>
      <c r="E28" s="1"/>
      <c r="F28" s="58"/>
      <c r="G28" s="58"/>
      <c r="H28" s="58"/>
      <c r="I28" s="58"/>
      <c r="J28" s="58"/>
    </row>
    <row r="29" spans="1:10" x14ac:dyDescent="0.25">
      <c r="A29" s="101"/>
      <c r="B29" s="113"/>
      <c r="C29" s="1"/>
      <c r="D29" s="1"/>
      <c r="E29" s="1"/>
      <c r="F29" s="58"/>
      <c r="G29" s="58"/>
      <c r="H29" s="58"/>
      <c r="I29" s="58"/>
      <c r="J29" s="58"/>
    </row>
    <row r="30" spans="1:10" x14ac:dyDescent="0.25">
      <c r="A30" s="58"/>
      <c r="B30" s="69" t="s">
        <v>129</v>
      </c>
      <c r="C30" s="70">
        <f>C23</f>
        <v>36450</v>
      </c>
      <c r="D30" s="70">
        <f>SUM(D25:D29)</f>
        <v>36760</v>
      </c>
      <c r="E30" s="70">
        <f>C30-D30</f>
        <v>-310</v>
      </c>
      <c r="F30" s="58"/>
      <c r="G30" s="58"/>
      <c r="H30" s="58"/>
      <c r="I30" s="58"/>
      <c r="J30" s="58"/>
    </row>
    <row r="31" spans="1:10" x14ac:dyDescent="0.25">
      <c r="A31" s="58"/>
      <c r="B31" s="21"/>
      <c r="C31" s="21" t="s">
        <v>33</v>
      </c>
      <c r="D31" s="21" t="s">
        <v>31</v>
      </c>
      <c r="E31" s="58"/>
      <c r="F31" s="45" t="s">
        <v>92</v>
      </c>
      <c r="G31" s="58"/>
      <c r="H31" s="58"/>
      <c r="I31" s="58"/>
      <c r="J31" s="58"/>
    </row>
    <row r="32" spans="1:10" x14ac:dyDescent="0.25">
      <c r="A32" s="58"/>
      <c r="B32" s="114" t="s">
        <v>160</v>
      </c>
      <c r="C32" s="21" t="s">
        <v>34</v>
      </c>
      <c r="D32" s="21" t="s">
        <v>162</v>
      </c>
      <c r="E32" s="58"/>
      <c r="F32" s="45" t="s">
        <v>161</v>
      </c>
      <c r="G32" s="58"/>
      <c r="H32" s="58"/>
      <c r="I32" s="58"/>
      <c r="J32" s="58"/>
    </row>
    <row r="33" spans="1:10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</row>
    <row r="34" spans="1:10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</row>
    <row r="35" spans="1:10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K19" sqref="K19"/>
    </sheetView>
  </sheetViews>
  <sheetFormatPr defaultRowHeight="15" x14ac:dyDescent="0.25"/>
  <cols>
    <col min="3" max="3" width="10.28515625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204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/>
      <c r="G4" s="16">
        <f>D4+E4</f>
        <v>3000</v>
      </c>
      <c r="H4" s="80">
        <v>3100</v>
      </c>
      <c r="I4" s="16">
        <f>G4-H4</f>
        <v>-100</v>
      </c>
      <c r="J4" s="58"/>
    </row>
    <row r="5" spans="1:10" x14ac:dyDescent="0.25">
      <c r="A5" s="1">
        <v>2</v>
      </c>
      <c r="B5" s="1" t="s">
        <v>198</v>
      </c>
      <c r="C5" s="13"/>
      <c r="D5" s="14"/>
      <c r="E5" s="1">
        <v>3000</v>
      </c>
      <c r="F5" s="1"/>
      <c r="G5" s="16">
        <f t="shared" ref="G5:G16" si="0">D5+E5</f>
        <v>3000</v>
      </c>
      <c r="H5" s="68"/>
      <c r="I5" s="16">
        <f t="shared" ref="I5:I16" si="1">G5-H5</f>
        <v>3000</v>
      </c>
      <c r="J5" s="58"/>
    </row>
    <row r="6" spans="1:10" x14ac:dyDescent="0.25">
      <c r="A6" s="1">
        <v>3</v>
      </c>
      <c r="B6" s="119"/>
      <c r="C6" s="13"/>
      <c r="D6" s="14">
        <v>0</v>
      </c>
      <c r="E6" s="1"/>
      <c r="F6" s="1"/>
      <c r="G6" s="16">
        <f t="shared" si="0"/>
        <v>0</v>
      </c>
      <c r="H6" s="68">
        <v>0</v>
      </c>
      <c r="I6" s="16">
        <f t="shared" si="1"/>
        <v>0</v>
      </c>
      <c r="J6" s="58"/>
    </row>
    <row r="7" spans="1:10" x14ac:dyDescent="0.25">
      <c r="A7" s="1">
        <v>4</v>
      </c>
      <c r="B7" s="1" t="s">
        <v>198</v>
      </c>
      <c r="C7" s="13"/>
      <c r="D7" s="14">
        <v>0</v>
      </c>
      <c r="E7" s="1">
        <v>3000</v>
      </c>
      <c r="F7" s="1"/>
      <c r="G7" s="16">
        <f t="shared" si="0"/>
        <v>3000</v>
      </c>
      <c r="H7" s="68"/>
      <c r="I7" s="16"/>
      <c r="J7" s="58" t="s">
        <v>191</v>
      </c>
    </row>
    <row r="8" spans="1:10" x14ac:dyDescent="0.25">
      <c r="A8" s="1">
        <v>5</v>
      </c>
      <c r="B8" s="13" t="s">
        <v>205</v>
      </c>
      <c r="C8" s="58"/>
      <c r="D8" s="14"/>
      <c r="E8" s="1">
        <v>3000</v>
      </c>
      <c r="F8" s="1"/>
      <c r="G8" s="16">
        <f t="shared" si="0"/>
        <v>3000</v>
      </c>
      <c r="H8" s="80">
        <v>3100</v>
      </c>
      <c r="I8" s="16"/>
      <c r="J8" s="58"/>
    </row>
    <row r="9" spans="1:10" x14ac:dyDescent="0.25">
      <c r="A9" s="1">
        <v>6</v>
      </c>
      <c r="B9" s="13" t="s">
        <v>195</v>
      </c>
      <c r="C9" s="13"/>
      <c r="D9" s="14">
        <v>4200</v>
      </c>
      <c r="E9" s="1">
        <v>3000</v>
      </c>
      <c r="F9" s="1"/>
      <c r="G9" s="16">
        <f t="shared" si="0"/>
        <v>7200</v>
      </c>
      <c r="H9" s="80">
        <v>6200</v>
      </c>
      <c r="I9" s="16">
        <f>G9-H9</f>
        <v>1000</v>
      </c>
      <c r="J9" s="58"/>
    </row>
    <row r="10" spans="1:10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/>
      <c r="G10" s="16">
        <f t="shared" si="0"/>
        <v>3000</v>
      </c>
      <c r="H10" s="80">
        <v>3100</v>
      </c>
      <c r="I10" s="16"/>
      <c r="J10" s="58"/>
    </row>
    <row r="11" spans="1:10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/>
      <c r="G11" s="16">
        <f t="shared" si="0"/>
        <v>3000</v>
      </c>
      <c r="H11" s="80">
        <v>3100</v>
      </c>
      <c r="I11" s="16"/>
      <c r="J11" s="58"/>
    </row>
    <row r="12" spans="1:10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/>
      <c r="G12" s="16">
        <f t="shared" si="0"/>
        <v>3000</v>
      </c>
      <c r="H12" s="80">
        <v>3000</v>
      </c>
      <c r="I12" s="16">
        <v>200</v>
      </c>
      <c r="J12" s="58"/>
    </row>
    <row r="13" spans="1:10" x14ac:dyDescent="0.25">
      <c r="A13" s="1">
        <v>10</v>
      </c>
      <c r="B13" s="79" t="s">
        <v>192</v>
      </c>
      <c r="C13" s="79"/>
      <c r="D13" s="14"/>
      <c r="E13" s="1">
        <v>4500</v>
      </c>
      <c r="F13" s="1"/>
      <c r="G13" s="16">
        <f t="shared" si="0"/>
        <v>4500</v>
      </c>
      <c r="H13" s="80">
        <v>4500</v>
      </c>
      <c r="I13" s="16">
        <f t="shared" si="1"/>
        <v>0</v>
      </c>
      <c r="J13" s="58"/>
    </row>
    <row r="14" spans="1:10" x14ac:dyDescent="0.25">
      <c r="A14" s="1">
        <v>11</v>
      </c>
      <c r="B14" s="79" t="s">
        <v>152</v>
      </c>
      <c r="C14" s="13"/>
      <c r="D14" s="14">
        <v>1800</v>
      </c>
      <c r="E14" s="1">
        <v>4500</v>
      </c>
      <c r="F14" s="1"/>
      <c r="G14" s="16">
        <f t="shared" si="0"/>
        <v>6300</v>
      </c>
      <c r="H14" s="80">
        <v>4600</v>
      </c>
      <c r="I14" s="16">
        <f t="shared" si="1"/>
        <v>1700</v>
      </c>
      <c r="J14" s="58"/>
    </row>
    <row r="15" spans="1:10" x14ac:dyDescent="0.25">
      <c r="A15" s="1">
        <v>12</v>
      </c>
      <c r="B15" s="119" t="s">
        <v>153</v>
      </c>
      <c r="C15" s="13"/>
      <c r="D15" s="14"/>
      <c r="E15" s="1">
        <v>7000</v>
      </c>
      <c r="F15" s="1"/>
      <c r="G15" s="16">
        <f t="shared" si="0"/>
        <v>7000</v>
      </c>
      <c r="H15" s="80">
        <v>8000</v>
      </c>
      <c r="I15" s="16">
        <f t="shared" si="1"/>
        <v>-1000</v>
      </c>
      <c r="J15" s="58"/>
    </row>
    <row r="16" spans="1:10" x14ac:dyDescent="0.25">
      <c r="A16" s="1">
        <v>13</v>
      </c>
      <c r="B16" s="13" t="s">
        <v>17</v>
      </c>
      <c r="C16" s="58"/>
      <c r="D16" s="14"/>
      <c r="E16" s="1">
        <v>3500</v>
      </c>
      <c r="F16" s="1"/>
      <c r="G16" s="16">
        <f t="shared" si="0"/>
        <v>3500</v>
      </c>
      <c r="H16" s="80">
        <v>7000</v>
      </c>
      <c r="I16" s="16">
        <f t="shared" si="1"/>
        <v>-3500</v>
      </c>
      <c r="J16" s="58"/>
    </row>
    <row r="17" spans="1:10" x14ac:dyDescent="0.25">
      <c r="A17" s="1"/>
      <c r="B17" s="13"/>
      <c r="C17" s="13"/>
      <c r="D17" s="67"/>
      <c r="E17" s="94">
        <f>SUM(E4:E16)</f>
        <v>43500</v>
      </c>
      <c r="F17" s="1"/>
      <c r="G17" s="16">
        <f>SUM(G4:G16)</f>
        <v>49500</v>
      </c>
      <c r="H17" s="68">
        <f>SUM(H4:H16)</f>
        <v>45700</v>
      </c>
      <c r="I17" s="16">
        <f>SUM(I4:I16)</f>
        <v>1300</v>
      </c>
      <c r="J17" s="58"/>
    </row>
    <row r="18" spans="1:10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</row>
    <row r="19" spans="1:10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58"/>
      <c r="G19" s="58"/>
      <c r="H19" s="58"/>
      <c r="I19" s="58"/>
      <c r="J19" s="58"/>
    </row>
    <row r="20" spans="1:10" x14ac:dyDescent="0.25">
      <c r="A20" s="43"/>
      <c r="B20" s="1" t="s">
        <v>126</v>
      </c>
      <c r="C20" s="16">
        <f>E17</f>
        <v>43500</v>
      </c>
      <c r="D20" s="1"/>
      <c r="E20" s="1"/>
      <c r="F20" s="58"/>
      <c r="G20" s="58"/>
      <c r="H20" s="58"/>
      <c r="I20" s="58"/>
      <c r="J20" s="58"/>
    </row>
    <row r="21" spans="1:10" x14ac:dyDescent="0.25">
      <c r="A21" s="43"/>
      <c r="B21" s="1" t="s">
        <v>213</v>
      </c>
      <c r="C21" s="16"/>
      <c r="D21" s="1"/>
      <c r="E21" s="1"/>
      <c r="F21" s="58"/>
      <c r="G21" s="58"/>
      <c r="H21" s="58"/>
      <c r="I21" s="58"/>
      <c r="J21" s="58"/>
    </row>
    <row r="22" spans="1:10" x14ac:dyDescent="0.25">
      <c r="A22" s="43"/>
      <c r="B22" s="1" t="s">
        <v>127</v>
      </c>
      <c r="C22" s="107">
        <v>0.1</v>
      </c>
      <c r="D22" s="16">
        <f>C20*C22</f>
        <v>4350</v>
      </c>
      <c r="E22" s="1"/>
      <c r="F22" s="58"/>
      <c r="G22" s="58"/>
      <c r="H22" s="58"/>
      <c r="I22" s="58"/>
      <c r="J22" s="58"/>
    </row>
    <row r="23" spans="1:10" x14ac:dyDescent="0.25">
      <c r="A23" s="43"/>
      <c r="B23" s="113" t="s">
        <v>188</v>
      </c>
      <c r="C23" s="16">
        <f>C20+C21-D22</f>
        <v>39150</v>
      </c>
      <c r="D23" s="1"/>
      <c r="E23" s="1"/>
      <c r="F23" s="58"/>
      <c r="G23" s="58"/>
      <c r="H23" s="58"/>
      <c r="I23" s="58"/>
      <c r="J23" s="58"/>
    </row>
    <row r="24" spans="1:10" x14ac:dyDescent="0.25">
      <c r="A24" s="118"/>
      <c r="B24" s="69" t="s">
        <v>128</v>
      </c>
      <c r="C24" s="1" t="s">
        <v>206</v>
      </c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1" t="s">
        <v>208</v>
      </c>
      <c r="C25" s="1"/>
      <c r="D25" s="1">
        <v>10610</v>
      </c>
      <c r="E25" s="1"/>
      <c r="F25" s="58"/>
      <c r="G25" s="58"/>
      <c r="H25" s="58"/>
      <c r="I25" s="58"/>
      <c r="J25" s="58"/>
    </row>
    <row r="26" spans="1:10" x14ac:dyDescent="0.25">
      <c r="A26" s="43"/>
      <c r="B26" s="1" t="s">
        <v>209</v>
      </c>
      <c r="C26" s="1"/>
      <c r="D26" s="1">
        <v>1500</v>
      </c>
      <c r="E26" s="1"/>
      <c r="F26" s="58"/>
      <c r="G26" s="58"/>
      <c r="H26" s="58"/>
      <c r="I26" s="58"/>
      <c r="J26" s="58"/>
    </row>
    <row r="27" spans="1:10" s="58" customFormat="1" x14ac:dyDescent="0.25">
      <c r="A27" s="43"/>
      <c r="B27" s="1" t="s">
        <v>210</v>
      </c>
      <c r="C27" s="1"/>
      <c r="D27" s="1">
        <v>3200</v>
      </c>
      <c r="E27" s="1"/>
    </row>
    <row r="28" spans="1:10" x14ac:dyDescent="0.25">
      <c r="A28" s="118"/>
      <c r="B28" s="113" t="s">
        <v>211</v>
      </c>
      <c r="C28" s="1"/>
      <c r="D28" s="1">
        <v>3000</v>
      </c>
      <c r="E28" s="1"/>
      <c r="F28" s="58"/>
      <c r="G28" s="58"/>
      <c r="H28" s="58"/>
      <c r="I28" s="58"/>
      <c r="J28" s="58"/>
    </row>
    <row r="29" spans="1:10" x14ac:dyDescent="0.25">
      <c r="A29" s="118"/>
      <c r="B29" s="110" t="s">
        <v>67</v>
      </c>
      <c r="C29" s="1"/>
      <c r="D29" s="1">
        <v>3000</v>
      </c>
      <c r="E29" s="1"/>
      <c r="F29" s="58"/>
      <c r="G29" s="58"/>
      <c r="H29" s="58"/>
      <c r="I29" s="58"/>
      <c r="J29" s="58"/>
    </row>
    <row r="30" spans="1:10" s="58" customFormat="1" x14ac:dyDescent="0.25">
      <c r="A30" s="118"/>
      <c r="B30" s="1" t="s">
        <v>212</v>
      </c>
      <c r="C30" s="1" t="s">
        <v>207</v>
      </c>
      <c r="D30" s="1">
        <v>13000</v>
      </c>
      <c r="E30" s="1"/>
    </row>
    <row r="31" spans="1:10" s="58" customFormat="1" x14ac:dyDescent="0.25">
      <c r="A31" s="118"/>
      <c r="B31" s="1"/>
      <c r="C31" s="1"/>
      <c r="D31" s="1"/>
      <c r="E31" s="1"/>
    </row>
    <row r="32" spans="1:10" s="58" customFormat="1" x14ac:dyDescent="0.25">
      <c r="A32" s="118"/>
      <c r="B32" s="1"/>
      <c r="C32" s="1"/>
      <c r="D32" s="1"/>
      <c r="E32" s="1"/>
    </row>
    <row r="33" spans="1:10" x14ac:dyDescent="0.25">
      <c r="A33" s="101"/>
      <c r="B33" s="113"/>
      <c r="C33" s="1"/>
      <c r="D33" s="1"/>
      <c r="E33" s="1"/>
      <c r="F33" s="58"/>
      <c r="G33" s="58"/>
      <c r="H33" s="58"/>
      <c r="I33" s="58"/>
      <c r="J33" s="58"/>
    </row>
    <row r="34" spans="1:10" x14ac:dyDescent="0.25">
      <c r="A34" s="58"/>
      <c r="B34" s="69" t="s">
        <v>129</v>
      </c>
      <c r="C34" s="70">
        <f>C23</f>
        <v>39150</v>
      </c>
      <c r="D34" s="70">
        <f>SUM(D25:D33)</f>
        <v>34310</v>
      </c>
      <c r="E34" s="70">
        <f>C34-D34</f>
        <v>4840</v>
      </c>
      <c r="F34" s="58"/>
      <c r="G34" s="58"/>
      <c r="H34" s="58"/>
      <c r="I34" s="58"/>
      <c r="J34" s="58"/>
    </row>
    <row r="35" spans="1:10" x14ac:dyDescent="0.25">
      <c r="A35" s="58"/>
      <c r="B35" s="21"/>
      <c r="C35" s="21" t="s">
        <v>33</v>
      </c>
      <c r="D35" s="21" t="s">
        <v>31</v>
      </c>
      <c r="E35" s="58"/>
      <c r="F35" s="45" t="s">
        <v>92</v>
      </c>
      <c r="G35" s="58"/>
      <c r="H35" s="58"/>
      <c r="I35" s="58"/>
      <c r="J35" s="58"/>
    </row>
    <row r="36" spans="1:10" x14ac:dyDescent="0.25">
      <c r="A36" s="58"/>
      <c r="B36" s="114" t="s">
        <v>160</v>
      </c>
      <c r="C36" s="21" t="s">
        <v>34</v>
      </c>
      <c r="D36" s="21" t="s">
        <v>162</v>
      </c>
      <c r="E36" s="58"/>
      <c r="F36" s="45" t="s">
        <v>161</v>
      </c>
      <c r="G36" s="58"/>
      <c r="H36" s="58"/>
      <c r="I36" s="58"/>
      <c r="J36" s="58"/>
    </row>
    <row r="37" spans="1:10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</row>
  </sheetData>
  <pageMargins left="0.7" right="0.7" top="0.75" bottom="0.75" header="0.3" footer="0.3"/>
  <pageSetup orientation="portrait" horizontalDpi="0" verticalDpi="0" copies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D34" sqref="D34"/>
    </sheetView>
  </sheetViews>
  <sheetFormatPr defaultRowHeight="15" x14ac:dyDescent="0.25"/>
  <cols>
    <col min="1" max="1" width="4.28515625" customWidth="1"/>
    <col min="2" max="2" width="16" customWidth="1"/>
    <col min="9" max="9" width="10.5703125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204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>
        <v>100</v>
      </c>
      <c r="G4" s="16">
        <f>E4+F4</f>
        <v>3100</v>
      </c>
      <c r="H4" s="68"/>
      <c r="I4" s="16">
        <f>G4-H4</f>
        <v>3100</v>
      </c>
      <c r="J4" s="58"/>
    </row>
    <row r="5" spans="1:10" x14ac:dyDescent="0.25">
      <c r="A5" s="1">
        <v>2</v>
      </c>
      <c r="B5" s="1" t="s">
        <v>198</v>
      </c>
      <c r="C5" s="13"/>
      <c r="D5" s="14"/>
      <c r="E5" s="1">
        <v>3000</v>
      </c>
      <c r="F5" s="1">
        <v>100</v>
      </c>
      <c r="G5" s="16">
        <f>E5+F5</f>
        <v>3100</v>
      </c>
      <c r="H5" s="68"/>
      <c r="I5" s="16">
        <f t="shared" ref="I5:I16" si="0">G5-H5</f>
        <v>3100</v>
      </c>
      <c r="J5" s="58"/>
    </row>
    <row r="6" spans="1:10" x14ac:dyDescent="0.25">
      <c r="A6" s="1">
        <v>3</v>
      </c>
      <c r="B6" s="119" t="s">
        <v>253</v>
      </c>
      <c r="C6" s="13" t="s">
        <v>273</v>
      </c>
      <c r="D6" s="14">
        <v>0</v>
      </c>
      <c r="E6" s="1">
        <v>3000</v>
      </c>
      <c r="F6" s="1">
        <v>100</v>
      </c>
      <c r="G6" s="16">
        <f>C6+D6+E6+F6</f>
        <v>6100</v>
      </c>
      <c r="H6" s="80">
        <v>6000</v>
      </c>
      <c r="I6" s="16">
        <f t="shared" si="0"/>
        <v>100</v>
      </c>
      <c r="J6" s="58"/>
    </row>
    <row r="7" spans="1:10" x14ac:dyDescent="0.25">
      <c r="A7" s="1">
        <v>4</v>
      </c>
      <c r="B7" s="1" t="s">
        <v>272</v>
      </c>
      <c r="C7" s="13"/>
      <c r="D7" s="14">
        <v>0</v>
      </c>
      <c r="E7" s="1">
        <v>3000</v>
      </c>
      <c r="F7" s="1">
        <v>100</v>
      </c>
      <c r="G7" s="16">
        <f t="shared" ref="G7:G16" si="1">E7+F7</f>
        <v>3100</v>
      </c>
      <c r="H7" s="80">
        <v>3100</v>
      </c>
      <c r="I7" s="16"/>
      <c r="J7" s="58" t="s">
        <v>191</v>
      </c>
    </row>
    <row r="8" spans="1:10" x14ac:dyDescent="0.25">
      <c r="A8" s="1">
        <v>5</v>
      </c>
      <c r="B8" s="13" t="s">
        <v>205</v>
      </c>
      <c r="C8" s="58"/>
      <c r="D8" s="14"/>
      <c r="E8" s="1">
        <v>3000</v>
      </c>
      <c r="F8" s="1">
        <v>100</v>
      </c>
      <c r="G8" s="16">
        <f t="shared" si="1"/>
        <v>3100</v>
      </c>
      <c r="H8" s="80">
        <v>3100</v>
      </c>
      <c r="I8" s="16"/>
      <c r="J8" s="58"/>
    </row>
    <row r="9" spans="1:10" x14ac:dyDescent="0.25">
      <c r="A9" s="1">
        <v>6</v>
      </c>
      <c r="B9" s="13" t="s">
        <v>195</v>
      </c>
      <c r="C9" s="13"/>
      <c r="D9" s="14">
        <v>0</v>
      </c>
      <c r="E9" s="1">
        <v>3000</v>
      </c>
      <c r="F9" s="1">
        <v>100</v>
      </c>
      <c r="G9" s="16">
        <f t="shared" si="1"/>
        <v>3100</v>
      </c>
      <c r="H9" s="80">
        <v>3100</v>
      </c>
      <c r="I9" s="16">
        <f>G9-H9</f>
        <v>0</v>
      </c>
      <c r="J9" s="58"/>
    </row>
    <row r="10" spans="1:10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>
        <v>100</v>
      </c>
      <c r="G10" s="16">
        <f t="shared" si="1"/>
        <v>3100</v>
      </c>
      <c r="H10" s="80">
        <v>3000</v>
      </c>
      <c r="I10" s="16"/>
      <c r="J10" s="58"/>
    </row>
    <row r="11" spans="1:10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>
        <v>100</v>
      </c>
      <c r="G11" s="16">
        <f t="shared" si="1"/>
        <v>3100</v>
      </c>
      <c r="H11" s="68"/>
      <c r="I11" s="16"/>
      <c r="J11" s="58"/>
    </row>
    <row r="12" spans="1:10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>
        <v>100</v>
      </c>
      <c r="G12" s="16">
        <f t="shared" si="1"/>
        <v>3100</v>
      </c>
      <c r="H12" s="80">
        <v>3000</v>
      </c>
      <c r="I12" s="16">
        <v>200</v>
      </c>
      <c r="J12" s="58"/>
    </row>
    <row r="13" spans="1:10" x14ac:dyDescent="0.25">
      <c r="A13" s="1">
        <v>10</v>
      </c>
      <c r="B13" s="79" t="s">
        <v>192</v>
      </c>
      <c r="C13" s="79"/>
      <c r="D13" s="14"/>
      <c r="E13" s="1">
        <v>4500</v>
      </c>
      <c r="F13" s="1">
        <v>100</v>
      </c>
      <c r="G13" s="16">
        <f t="shared" si="1"/>
        <v>4600</v>
      </c>
      <c r="H13" s="80">
        <v>4000</v>
      </c>
      <c r="I13" s="16">
        <f t="shared" si="0"/>
        <v>600</v>
      </c>
      <c r="J13" s="58"/>
    </row>
    <row r="14" spans="1:10" x14ac:dyDescent="0.25">
      <c r="A14" s="1">
        <v>11</v>
      </c>
      <c r="B14" s="79" t="s">
        <v>152</v>
      </c>
      <c r="C14" s="13"/>
      <c r="D14" s="14">
        <v>0</v>
      </c>
      <c r="E14" s="1">
        <v>4500</v>
      </c>
      <c r="F14" s="1">
        <v>100</v>
      </c>
      <c r="G14" s="16">
        <f t="shared" si="1"/>
        <v>4600</v>
      </c>
      <c r="H14" s="80">
        <v>4500</v>
      </c>
      <c r="I14" s="16">
        <f t="shared" si="0"/>
        <v>100</v>
      </c>
      <c r="J14" s="58"/>
    </row>
    <row r="15" spans="1:10" x14ac:dyDescent="0.25">
      <c r="A15" s="1">
        <v>12</v>
      </c>
      <c r="B15" s="119" t="s">
        <v>153</v>
      </c>
      <c r="C15" s="13"/>
      <c r="D15" s="14"/>
      <c r="E15" s="1"/>
      <c r="F15" s="1">
        <v>100</v>
      </c>
      <c r="G15" s="16">
        <f t="shared" si="1"/>
        <v>100</v>
      </c>
      <c r="H15" s="68"/>
      <c r="I15" s="16">
        <f t="shared" si="0"/>
        <v>100</v>
      </c>
      <c r="J15" s="58"/>
    </row>
    <row r="16" spans="1:10" x14ac:dyDescent="0.25">
      <c r="A16" s="1">
        <v>13</v>
      </c>
      <c r="B16" s="13" t="s">
        <v>17</v>
      </c>
      <c r="C16" s="58"/>
      <c r="D16" s="14"/>
      <c r="E16" s="1">
        <v>3500</v>
      </c>
      <c r="F16" s="1">
        <v>100</v>
      </c>
      <c r="G16" s="16">
        <f t="shared" si="1"/>
        <v>3600</v>
      </c>
      <c r="H16" s="80">
        <v>3500</v>
      </c>
      <c r="I16" s="16">
        <f t="shared" si="0"/>
        <v>100</v>
      </c>
      <c r="J16" s="58"/>
    </row>
    <row r="17" spans="1:11" x14ac:dyDescent="0.25">
      <c r="A17" s="1"/>
      <c r="B17" s="13"/>
      <c r="C17" s="13"/>
      <c r="D17" s="67"/>
      <c r="E17" s="94">
        <f>SUM(E4:E16)</f>
        <v>39500</v>
      </c>
      <c r="F17" s="1">
        <f>F4+F5+F6+F7+F8+F9+F10+F11+F12+F13+F14+F15+F16</f>
        <v>1300</v>
      </c>
      <c r="G17" s="16">
        <f>SUM(G4:G16)</f>
        <v>43800</v>
      </c>
      <c r="H17" s="68">
        <f>SUM(H4:H16)</f>
        <v>33300</v>
      </c>
      <c r="I17" s="16">
        <f>SUM(I4:I16)</f>
        <v>7400</v>
      </c>
      <c r="J17" s="58"/>
    </row>
    <row r="18" spans="1:11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</row>
    <row r="19" spans="1:11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106" t="s">
        <v>122</v>
      </c>
      <c r="G19" s="106" t="s">
        <v>123</v>
      </c>
      <c r="H19" s="106" t="s">
        <v>124</v>
      </c>
      <c r="I19" s="106" t="s">
        <v>125</v>
      </c>
      <c r="J19" s="58"/>
    </row>
    <row r="20" spans="1:11" x14ac:dyDescent="0.25">
      <c r="A20" s="43"/>
      <c r="B20" s="1" t="s">
        <v>274</v>
      </c>
      <c r="C20" s="16">
        <f>E17</f>
        <v>39500</v>
      </c>
      <c r="D20" s="1"/>
      <c r="E20" s="1"/>
      <c r="F20" s="1" t="s">
        <v>274</v>
      </c>
      <c r="G20" s="16">
        <f>E18</f>
        <v>0</v>
      </c>
      <c r="H20" s="1"/>
      <c r="I20" s="1"/>
      <c r="J20" s="58"/>
    </row>
    <row r="21" spans="1:11" x14ac:dyDescent="0.25">
      <c r="A21" s="43"/>
      <c r="B21" s="1" t="s">
        <v>282</v>
      </c>
      <c r="C21" s="16">
        <v>5840</v>
      </c>
      <c r="D21" s="1"/>
      <c r="E21" s="1"/>
      <c r="F21" s="1" t="s">
        <v>275</v>
      </c>
      <c r="G21" s="16">
        <v>5840</v>
      </c>
      <c r="H21" s="1"/>
      <c r="I21" s="1"/>
      <c r="J21" s="58"/>
    </row>
    <row r="22" spans="1:11" x14ac:dyDescent="0.25">
      <c r="A22" s="43"/>
      <c r="B22" s="1" t="s">
        <v>127</v>
      </c>
      <c r="C22" s="107">
        <v>0.1</v>
      </c>
      <c r="D22" s="16">
        <f>C20*C22</f>
        <v>3950</v>
      </c>
      <c r="E22" s="1"/>
      <c r="F22" s="1" t="s">
        <v>127</v>
      </c>
      <c r="G22" s="107">
        <v>0.1</v>
      </c>
      <c r="H22" s="16">
        <f>G20*G22</f>
        <v>0</v>
      </c>
      <c r="I22" s="1"/>
      <c r="J22" s="58"/>
    </row>
    <row r="23" spans="1:11" x14ac:dyDescent="0.25">
      <c r="A23" s="43"/>
      <c r="B23" s="113" t="s">
        <v>188</v>
      </c>
      <c r="C23" s="16">
        <f>C20+C21-D22</f>
        <v>41390</v>
      </c>
      <c r="D23" s="1"/>
      <c r="E23" s="1"/>
      <c r="F23" s="113" t="s">
        <v>188</v>
      </c>
      <c r="G23" s="16">
        <f>G20+G21-H22</f>
        <v>5840</v>
      </c>
      <c r="H23" s="1"/>
      <c r="I23" s="1"/>
      <c r="J23" s="58"/>
    </row>
    <row r="24" spans="1:11" x14ac:dyDescent="0.25">
      <c r="A24" s="118"/>
      <c r="B24" s="69" t="s">
        <v>128</v>
      </c>
      <c r="C24" s="1" t="s">
        <v>206</v>
      </c>
      <c r="D24" s="1"/>
      <c r="E24" s="1"/>
      <c r="F24" s="69" t="s">
        <v>128</v>
      </c>
      <c r="G24" s="1" t="s">
        <v>206</v>
      </c>
      <c r="H24" s="1"/>
      <c r="I24" s="1"/>
      <c r="J24" s="58"/>
      <c r="K24">
        <v>16000</v>
      </c>
    </row>
    <row r="25" spans="1:11" x14ac:dyDescent="0.25">
      <c r="A25" s="118"/>
      <c r="B25" s="1" t="s">
        <v>276</v>
      </c>
      <c r="C25" s="1"/>
      <c r="D25" s="1">
        <v>5840</v>
      </c>
      <c r="E25" s="1"/>
      <c r="F25" s="1" t="s">
        <v>276</v>
      </c>
      <c r="G25" s="1"/>
      <c r="H25" s="1">
        <v>5840</v>
      </c>
      <c r="I25" s="1"/>
      <c r="J25" s="58"/>
    </row>
    <row r="26" spans="1:11" x14ac:dyDescent="0.25">
      <c r="A26" s="43"/>
      <c r="B26" s="1" t="s">
        <v>277</v>
      </c>
      <c r="C26" s="1"/>
      <c r="D26" s="1">
        <v>10500</v>
      </c>
      <c r="E26" s="1"/>
      <c r="F26" s="1" t="s">
        <v>277</v>
      </c>
      <c r="G26" s="1"/>
      <c r="H26" s="1">
        <v>10500</v>
      </c>
      <c r="I26" s="1"/>
      <c r="J26" s="58"/>
    </row>
    <row r="27" spans="1:11" x14ac:dyDescent="0.25">
      <c r="A27" s="43"/>
      <c r="B27" s="1" t="s">
        <v>278</v>
      </c>
      <c r="C27" s="1"/>
      <c r="D27" s="1">
        <v>2320</v>
      </c>
      <c r="E27" s="1"/>
      <c r="F27" s="1" t="s">
        <v>278</v>
      </c>
      <c r="G27" s="1"/>
      <c r="H27" s="1">
        <v>2320</v>
      </c>
      <c r="I27" s="1"/>
      <c r="J27" s="58"/>
    </row>
    <row r="28" spans="1:11" x14ac:dyDescent="0.25">
      <c r="A28" s="118"/>
      <c r="B28" s="113" t="s">
        <v>279</v>
      </c>
      <c r="C28" s="1"/>
      <c r="D28" s="1">
        <v>8000</v>
      </c>
      <c r="E28" s="1"/>
      <c r="F28" s="113" t="s">
        <v>279</v>
      </c>
      <c r="G28" s="1"/>
      <c r="H28" s="1">
        <v>8000</v>
      </c>
      <c r="I28" s="1"/>
      <c r="J28" s="58"/>
    </row>
    <row r="29" spans="1:11" s="58" customFormat="1" x14ac:dyDescent="0.25">
      <c r="A29" s="118"/>
      <c r="B29" s="113" t="s">
        <v>281</v>
      </c>
      <c r="C29" s="1"/>
      <c r="D29" s="1">
        <v>3550</v>
      </c>
      <c r="E29" s="1"/>
      <c r="F29" s="113" t="s">
        <v>281</v>
      </c>
      <c r="G29" s="1"/>
      <c r="H29" s="1">
        <v>3550</v>
      </c>
      <c r="I29" s="1"/>
    </row>
    <row r="30" spans="1:11" x14ac:dyDescent="0.25">
      <c r="A30" s="118"/>
      <c r="B30" s="1" t="s">
        <v>280</v>
      </c>
      <c r="C30" s="1"/>
      <c r="D30" s="1">
        <v>1230</v>
      </c>
      <c r="E30" s="1"/>
      <c r="F30" s="1" t="s">
        <v>283</v>
      </c>
      <c r="G30" s="1"/>
      <c r="H30" s="1">
        <v>1230</v>
      </c>
      <c r="I30" s="1"/>
      <c r="J30" s="58"/>
    </row>
    <row r="31" spans="1:11" x14ac:dyDescent="0.25">
      <c r="A31" s="118"/>
      <c r="B31" s="1" t="s">
        <v>280</v>
      </c>
      <c r="C31" s="1"/>
      <c r="D31" s="1">
        <v>1500</v>
      </c>
      <c r="E31" s="1"/>
      <c r="F31" s="1" t="s">
        <v>280</v>
      </c>
      <c r="G31" s="1"/>
      <c r="H31" s="1">
        <v>1500</v>
      </c>
      <c r="I31" s="1"/>
      <c r="J31" s="58"/>
    </row>
    <row r="32" spans="1:11" x14ac:dyDescent="0.25">
      <c r="A32" s="118"/>
      <c r="B32" s="1" t="s">
        <v>285</v>
      </c>
      <c r="C32" s="1"/>
      <c r="D32" s="1">
        <v>2000</v>
      </c>
      <c r="E32" s="1"/>
      <c r="F32" s="1"/>
      <c r="G32" s="1"/>
      <c r="H32" s="1"/>
      <c r="I32" s="1"/>
      <c r="J32" s="58"/>
    </row>
    <row r="33" spans="1:10" x14ac:dyDescent="0.25">
      <c r="A33" s="118"/>
      <c r="B33" s="1" t="s">
        <v>302</v>
      </c>
      <c r="C33" s="1"/>
      <c r="D33" s="1">
        <v>6450</v>
      </c>
      <c r="E33" s="1"/>
      <c r="F33" s="1"/>
      <c r="G33" s="1"/>
      <c r="H33" s="1"/>
      <c r="I33" s="1"/>
      <c r="J33" s="58"/>
    </row>
    <row r="34" spans="1:10" x14ac:dyDescent="0.25">
      <c r="A34" s="101"/>
      <c r="B34" s="113"/>
      <c r="C34" s="1"/>
      <c r="D34" s="1"/>
      <c r="E34" s="1"/>
      <c r="F34" s="113" t="s">
        <v>284</v>
      </c>
      <c r="G34" s="1"/>
      <c r="H34" s="1"/>
      <c r="I34" s="1"/>
      <c r="J34" s="58"/>
    </row>
    <row r="35" spans="1:10" x14ac:dyDescent="0.25">
      <c r="A35" s="58"/>
      <c r="B35" s="69" t="s">
        <v>129</v>
      </c>
      <c r="C35" s="70">
        <f>C23</f>
        <v>41390</v>
      </c>
      <c r="D35" s="70">
        <f>SUM(D25:D34)</f>
        <v>41390</v>
      </c>
      <c r="E35" s="70">
        <f>C35-D35</f>
        <v>0</v>
      </c>
      <c r="F35" s="69" t="s">
        <v>129</v>
      </c>
      <c r="G35" s="70">
        <f>G23</f>
        <v>5840</v>
      </c>
      <c r="H35" s="70">
        <f>SUM(H25:H34)</f>
        <v>32940</v>
      </c>
      <c r="I35" s="70">
        <f>G35-H35</f>
        <v>-27100</v>
      </c>
      <c r="J35" s="58"/>
    </row>
    <row r="36" spans="1:10" x14ac:dyDescent="0.25">
      <c r="A36" s="58"/>
      <c r="B36" s="21"/>
      <c r="C36" s="21" t="s">
        <v>33</v>
      </c>
      <c r="D36" s="21" t="s">
        <v>31</v>
      </c>
      <c r="E36" s="58"/>
      <c r="F36" s="45" t="s">
        <v>92</v>
      </c>
      <c r="G36" s="58"/>
      <c r="H36" s="58"/>
      <c r="I36" s="58"/>
      <c r="J36" s="58"/>
    </row>
    <row r="37" spans="1:10" x14ac:dyDescent="0.25">
      <c r="A37" s="58"/>
      <c r="B37" s="114" t="s">
        <v>160</v>
      </c>
      <c r="C37" s="21" t="s">
        <v>34</v>
      </c>
      <c r="D37" s="21" t="s">
        <v>162</v>
      </c>
      <c r="E37" s="58"/>
      <c r="F37" s="45" t="s">
        <v>161</v>
      </c>
      <c r="G37" s="58"/>
      <c r="H37" s="58"/>
      <c r="I37" s="58"/>
      <c r="J37" s="58"/>
    </row>
    <row r="38" spans="1:10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I37"/>
    </sheetView>
  </sheetViews>
  <sheetFormatPr defaultRowHeight="12.75" customHeight="1" x14ac:dyDescent="0.25"/>
  <cols>
    <col min="1" max="1" width="6.42578125" style="121" customWidth="1"/>
    <col min="2" max="2" width="17.42578125" style="121" customWidth="1"/>
    <col min="3" max="4" width="9.140625" style="121"/>
    <col min="5" max="5" width="10" style="121" customWidth="1"/>
    <col min="6" max="6" width="15.85546875" style="121" customWidth="1"/>
    <col min="7" max="7" width="9.7109375" style="121" customWidth="1"/>
    <col min="8" max="8" width="8.85546875" style="121" customWidth="1"/>
    <col min="9" max="9" width="11.140625" style="121" customWidth="1"/>
    <col min="10" max="16384" width="9.140625" style="121"/>
  </cols>
  <sheetData>
    <row r="1" spans="1:9" ht="24" customHeight="1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</row>
    <row r="2" spans="1:9" ht="19.5" customHeight="1" x14ac:dyDescent="0.25">
      <c r="A2" s="33" t="s">
        <v>286</v>
      </c>
      <c r="B2" s="35"/>
      <c r="C2" s="35"/>
      <c r="D2" s="34"/>
      <c r="E2" s="34"/>
      <c r="F2" s="34"/>
      <c r="G2" s="34"/>
      <c r="H2" s="34"/>
      <c r="I2" s="58"/>
    </row>
    <row r="3" spans="1:9" ht="12.75" customHeight="1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</row>
    <row r="4" spans="1:9" ht="12.75" customHeight="1" x14ac:dyDescent="0.25">
      <c r="A4" s="1">
        <v>1</v>
      </c>
      <c r="B4" s="126" t="s">
        <v>52</v>
      </c>
      <c r="C4" s="58"/>
      <c r="D4" s="14">
        <v>0</v>
      </c>
      <c r="E4" s="1">
        <v>3000</v>
      </c>
      <c r="F4" s="1">
        <v>100</v>
      </c>
      <c r="G4" s="16">
        <f>E4+F4</f>
        <v>3100</v>
      </c>
      <c r="H4" s="80">
        <v>3000</v>
      </c>
      <c r="I4" s="16">
        <f>G4-H4</f>
        <v>100</v>
      </c>
    </row>
    <row r="5" spans="1:9" ht="12.75" customHeight="1" x14ac:dyDescent="0.25">
      <c r="A5" s="1">
        <v>2</v>
      </c>
      <c r="B5" s="127" t="s">
        <v>288</v>
      </c>
      <c r="C5" s="13"/>
      <c r="D5" s="14"/>
      <c r="E5" s="1">
        <v>3000</v>
      </c>
      <c r="F5" s="1">
        <v>100</v>
      </c>
      <c r="G5" s="16">
        <f>E5+F5</f>
        <v>3100</v>
      </c>
      <c r="H5" s="80"/>
      <c r="I5" s="16">
        <f t="shared" ref="I5:I16" si="0">G5-H5</f>
        <v>3100</v>
      </c>
    </row>
    <row r="6" spans="1:9" ht="12.75" customHeight="1" x14ac:dyDescent="0.25">
      <c r="A6" s="1">
        <v>3</v>
      </c>
      <c r="B6" s="128" t="s">
        <v>253</v>
      </c>
      <c r="C6" s="13"/>
      <c r="D6" s="14">
        <v>0</v>
      </c>
      <c r="E6" s="1">
        <v>3000</v>
      </c>
      <c r="F6" s="1">
        <v>100</v>
      </c>
      <c r="G6" s="16">
        <f>C6+D6+E6+F6</f>
        <v>3100</v>
      </c>
      <c r="H6" s="80">
        <v>3100</v>
      </c>
      <c r="I6" s="16">
        <f t="shared" si="0"/>
        <v>0</v>
      </c>
    </row>
    <row r="7" spans="1:9" ht="12.75" customHeight="1" x14ac:dyDescent="0.25">
      <c r="A7" s="1">
        <v>4</v>
      </c>
      <c r="B7" s="127" t="s">
        <v>272</v>
      </c>
      <c r="C7" s="13"/>
      <c r="D7" s="14">
        <v>0</v>
      </c>
      <c r="E7" s="1">
        <v>3000</v>
      </c>
      <c r="F7" s="1">
        <v>100</v>
      </c>
      <c r="G7" s="16">
        <f t="shared" ref="G7:G16" si="1">E7+F7</f>
        <v>3100</v>
      </c>
      <c r="H7" s="80">
        <v>3000</v>
      </c>
      <c r="I7" s="16">
        <f t="shared" si="0"/>
        <v>100</v>
      </c>
    </row>
    <row r="8" spans="1:9" ht="12.75" customHeight="1" x14ac:dyDescent="0.25">
      <c r="A8" s="1">
        <v>5</v>
      </c>
      <c r="B8" s="126" t="s">
        <v>205</v>
      </c>
      <c r="C8" s="58"/>
      <c r="D8" s="14"/>
      <c r="E8" s="1">
        <v>3000</v>
      </c>
      <c r="F8" s="1">
        <v>100</v>
      </c>
      <c r="G8" s="16">
        <f t="shared" si="1"/>
        <v>3100</v>
      </c>
      <c r="H8" s="80">
        <v>3100</v>
      </c>
      <c r="I8" s="16">
        <f t="shared" si="0"/>
        <v>0</v>
      </c>
    </row>
    <row r="9" spans="1:9" ht="12.75" customHeight="1" x14ac:dyDescent="0.25">
      <c r="A9" s="1">
        <v>6</v>
      </c>
      <c r="B9" s="126" t="s">
        <v>195</v>
      </c>
      <c r="C9" s="13"/>
      <c r="D9" s="14">
        <v>0</v>
      </c>
      <c r="E9" s="1">
        <v>3000</v>
      </c>
      <c r="F9" s="1">
        <v>100</v>
      </c>
      <c r="G9" s="16">
        <f t="shared" si="1"/>
        <v>3100</v>
      </c>
      <c r="H9" s="80"/>
      <c r="I9" s="16">
        <f t="shared" si="0"/>
        <v>3100</v>
      </c>
    </row>
    <row r="10" spans="1:9" ht="12.75" customHeight="1" x14ac:dyDescent="0.25">
      <c r="A10" s="1">
        <v>7</v>
      </c>
      <c r="B10" s="128" t="s">
        <v>183</v>
      </c>
      <c r="C10" s="13"/>
      <c r="D10" s="14">
        <v>0</v>
      </c>
      <c r="E10" s="1">
        <v>3000</v>
      </c>
      <c r="F10" s="1">
        <v>100</v>
      </c>
      <c r="G10" s="16">
        <f t="shared" si="1"/>
        <v>3100</v>
      </c>
      <c r="H10" s="80">
        <v>4500</v>
      </c>
      <c r="I10" s="16">
        <f t="shared" si="0"/>
        <v>-1400</v>
      </c>
    </row>
    <row r="11" spans="1:9" ht="12.75" customHeight="1" x14ac:dyDescent="0.25">
      <c r="A11" s="1">
        <v>8</v>
      </c>
      <c r="B11" s="126" t="s">
        <v>150</v>
      </c>
      <c r="C11" s="58"/>
      <c r="D11" s="14">
        <v>0</v>
      </c>
      <c r="E11" s="1">
        <v>3000</v>
      </c>
      <c r="F11" s="1">
        <v>100</v>
      </c>
      <c r="G11" s="16">
        <f t="shared" si="1"/>
        <v>3100</v>
      </c>
      <c r="H11" s="80">
        <v>3000</v>
      </c>
      <c r="I11" s="16">
        <f t="shared" si="0"/>
        <v>100</v>
      </c>
    </row>
    <row r="12" spans="1:9" ht="12.75" customHeight="1" x14ac:dyDescent="0.25">
      <c r="A12" s="1">
        <v>9</v>
      </c>
      <c r="B12" s="126" t="s">
        <v>113</v>
      </c>
      <c r="C12" s="79"/>
      <c r="D12" s="14">
        <v>0</v>
      </c>
      <c r="E12" s="1">
        <v>3000</v>
      </c>
      <c r="F12" s="1">
        <v>100</v>
      </c>
      <c r="G12" s="16">
        <f t="shared" si="1"/>
        <v>3100</v>
      </c>
      <c r="H12" s="80">
        <v>3000</v>
      </c>
      <c r="I12" s="16">
        <f t="shared" si="0"/>
        <v>100</v>
      </c>
    </row>
    <row r="13" spans="1:9" ht="12.75" customHeight="1" x14ac:dyDescent="0.25">
      <c r="A13" s="1">
        <v>10</v>
      </c>
      <c r="B13" s="129" t="s">
        <v>192</v>
      </c>
      <c r="C13" s="79"/>
      <c r="D13" s="14"/>
      <c r="E13" s="1">
        <v>4500</v>
      </c>
      <c r="F13" s="1">
        <v>100</v>
      </c>
      <c r="G13" s="16">
        <f t="shared" si="1"/>
        <v>4600</v>
      </c>
      <c r="H13" s="80"/>
      <c r="I13" s="16">
        <f t="shared" si="0"/>
        <v>4600</v>
      </c>
    </row>
    <row r="14" spans="1:9" ht="12.75" customHeight="1" x14ac:dyDescent="0.25">
      <c r="A14" s="1">
        <v>11</v>
      </c>
      <c r="B14" s="129" t="s">
        <v>152</v>
      </c>
      <c r="C14" s="13"/>
      <c r="D14" s="14">
        <v>0</v>
      </c>
      <c r="E14" s="1">
        <v>4500</v>
      </c>
      <c r="F14" s="1">
        <v>100</v>
      </c>
      <c r="G14" s="16">
        <f t="shared" si="1"/>
        <v>4600</v>
      </c>
      <c r="H14" s="80">
        <v>3500</v>
      </c>
      <c r="I14" s="16">
        <f t="shared" si="0"/>
        <v>1100</v>
      </c>
    </row>
    <row r="15" spans="1:9" ht="12.75" customHeight="1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 t="shared" si="1"/>
        <v>7100</v>
      </c>
      <c r="H15" s="80">
        <v>3100</v>
      </c>
      <c r="I15" s="16">
        <f t="shared" si="0"/>
        <v>4000</v>
      </c>
    </row>
    <row r="16" spans="1:9" ht="12.75" customHeight="1" x14ac:dyDescent="0.25">
      <c r="A16" s="1">
        <v>13</v>
      </c>
      <c r="B16" s="126" t="s">
        <v>17</v>
      </c>
      <c r="C16" s="58"/>
      <c r="D16" s="14"/>
      <c r="E16" s="1">
        <v>3500</v>
      </c>
      <c r="F16" s="1">
        <v>100</v>
      </c>
      <c r="G16" s="16">
        <f t="shared" si="1"/>
        <v>3600</v>
      </c>
      <c r="H16" s="80"/>
      <c r="I16" s="16">
        <f t="shared" si="0"/>
        <v>3600</v>
      </c>
    </row>
    <row r="17" spans="1:9" ht="12.75" customHeight="1" x14ac:dyDescent="0.25">
      <c r="A17" s="1"/>
      <c r="B17" s="13"/>
      <c r="C17" s="13"/>
      <c r="D17" s="67"/>
      <c r="E17" s="94">
        <f>SUM(E4:E16)</f>
        <v>46500</v>
      </c>
      <c r="F17" s="1">
        <f>F4+F5+F6+F7+F8+F9+F10+F11+F12+F13+F14+F15+F16</f>
        <v>1300</v>
      </c>
      <c r="G17" s="16">
        <f>SUM(G4:G16)</f>
        <v>47800</v>
      </c>
      <c r="H17" s="80">
        <f>SUM(H4:H16)</f>
        <v>29300</v>
      </c>
      <c r="I17" s="16">
        <f>SUM(I4:I16)</f>
        <v>18500</v>
      </c>
    </row>
    <row r="18" spans="1:9" ht="17.25" customHeight="1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</row>
    <row r="19" spans="1:9" ht="19.5" customHeight="1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106" t="s">
        <v>122</v>
      </c>
      <c r="G19" s="106" t="s">
        <v>123</v>
      </c>
      <c r="H19" s="106" t="s">
        <v>124</v>
      </c>
      <c r="I19" s="106" t="s">
        <v>125</v>
      </c>
    </row>
    <row r="20" spans="1:9" ht="12.75" customHeight="1" x14ac:dyDescent="0.25">
      <c r="A20" s="43"/>
      <c r="B20" s="1" t="s">
        <v>274</v>
      </c>
      <c r="C20" s="16">
        <f>E17</f>
        <v>46500</v>
      </c>
      <c r="D20" s="1"/>
      <c r="E20" s="1"/>
      <c r="F20" s="1" t="s">
        <v>274</v>
      </c>
      <c r="G20" s="16">
        <f>H17</f>
        <v>29300</v>
      </c>
      <c r="H20" s="1"/>
      <c r="I20" s="1"/>
    </row>
    <row r="21" spans="1:9" ht="12.75" customHeight="1" x14ac:dyDescent="0.25">
      <c r="A21" s="43"/>
      <c r="B21" s="1" t="s">
        <v>282</v>
      </c>
      <c r="C21" s="16">
        <v>0</v>
      </c>
      <c r="D21" s="1"/>
      <c r="E21" s="1"/>
      <c r="F21" s="1" t="s">
        <v>296</v>
      </c>
      <c r="G21" s="16">
        <v>6450</v>
      </c>
      <c r="H21" s="1"/>
      <c r="I21" s="1"/>
    </row>
    <row r="22" spans="1:9" ht="12.75" customHeight="1" x14ac:dyDescent="0.25">
      <c r="A22" s="43"/>
      <c r="B22" s="1" t="s">
        <v>127</v>
      </c>
      <c r="C22" s="107">
        <v>0.1</v>
      </c>
      <c r="D22" s="16">
        <f>C20*C22</f>
        <v>4650</v>
      </c>
      <c r="E22" s="1"/>
      <c r="F22" s="1" t="s">
        <v>127</v>
      </c>
      <c r="G22" s="107">
        <v>0.1</v>
      </c>
      <c r="H22" s="16">
        <f>G20*G22</f>
        <v>2930</v>
      </c>
      <c r="I22" s="1"/>
    </row>
    <row r="23" spans="1:9" ht="12.75" customHeight="1" x14ac:dyDescent="0.25">
      <c r="A23" s="43"/>
      <c r="B23" s="113" t="s">
        <v>188</v>
      </c>
      <c r="C23" s="16">
        <f>C20+C21-D22</f>
        <v>41850</v>
      </c>
      <c r="D23" s="1"/>
      <c r="E23" s="1"/>
      <c r="F23" s="113" t="s">
        <v>188</v>
      </c>
      <c r="G23" s="16">
        <f>G20+G21-H22</f>
        <v>32820</v>
      </c>
      <c r="H23" s="1"/>
      <c r="I23" s="1"/>
    </row>
    <row r="24" spans="1:9" ht="12.75" customHeight="1" x14ac:dyDescent="0.25">
      <c r="A24" s="118"/>
      <c r="B24" s="69" t="s">
        <v>128</v>
      </c>
      <c r="C24" s="1" t="s">
        <v>206</v>
      </c>
      <c r="D24" s="1"/>
      <c r="E24" s="1"/>
      <c r="F24" s="69" t="s">
        <v>128</v>
      </c>
      <c r="G24" s="1" t="s">
        <v>206</v>
      </c>
      <c r="H24" s="1"/>
      <c r="I24" s="1"/>
    </row>
    <row r="25" spans="1:9" ht="12.75" customHeight="1" x14ac:dyDescent="0.25">
      <c r="A25" s="118"/>
      <c r="B25" s="1" t="s">
        <v>301</v>
      </c>
      <c r="C25" s="1"/>
      <c r="D25" s="1">
        <v>11000</v>
      </c>
      <c r="E25" s="1"/>
      <c r="F25" s="1" t="s">
        <v>297</v>
      </c>
      <c r="G25" s="1"/>
      <c r="H25" s="1">
        <v>11000</v>
      </c>
      <c r="I25" s="1"/>
    </row>
    <row r="26" spans="1:9" ht="12.75" customHeight="1" x14ac:dyDescent="0.25">
      <c r="A26" s="43"/>
      <c r="B26" s="1" t="s">
        <v>307</v>
      </c>
      <c r="C26" s="1"/>
      <c r="D26" s="1">
        <v>7000</v>
      </c>
      <c r="E26" s="1"/>
      <c r="F26" s="1" t="s">
        <v>277</v>
      </c>
      <c r="G26" s="1"/>
      <c r="H26" s="1">
        <v>1500</v>
      </c>
      <c r="I26" s="1"/>
    </row>
    <row r="27" spans="1:9" ht="12.75" customHeight="1" x14ac:dyDescent="0.25">
      <c r="A27" s="43"/>
      <c r="B27" s="1" t="s">
        <v>300</v>
      </c>
      <c r="C27" s="1"/>
      <c r="D27" s="1">
        <v>1500</v>
      </c>
      <c r="E27" s="1"/>
      <c r="F27" s="1" t="s">
        <v>300</v>
      </c>
      <c r="G27" s="1"/>
      <c r="H27" s="1">
        <v>1500</v>
      </c>
      <c r="I27" s="1"/>
    </row>
    <row r="28" spans="1:9" ht="12.75" customHeight="1" x14ac:dyDescent="0.25">
      <c r="A28" s="43"/>
      <c r="B28" s="1" t="s">
        <v>298</v>
      </c>
      <c r="C28" s="1"/>
      <c r="D28" s="1">
        <v>15110</v>
      </c>
      <c r="E28" s="1"/>
      <c r="F28" s="1" t="s">
        <v>298</v>
      </c>
      <c r="G28" s="1"/>
      <c r="H28" s="1">
        <v>15110</v>
      </c>
      <c r="I28" s="1"/>
    </row>
    <row r="29" spans="1:9" ht="12.75" customHeight="1" x14ac:dyDescent="0.25">
      <c r="A29" s="118"/>
      <c r="B29" s="113" t="s">
        <v>299</v>
      </c>
      <c r="C29" s="1"/>
      <c r="D29" s="1">
        <v>2000</v>
      </c>
      <c r="E29" s="1"/>
      <c r="F29" s="113" t="s">
        <v>299</v>
      </c>
      <c r="G29" s="1"/>
      <c r="H29" s="1">
        <v>2000</v>
      </c>
      <c r="I29" s="1"/>
    </row>
    <row r="30" spans="1:9" ht="12.75" customHeight="1" x14ac:dyDescent="0.25">
      <c r="A30" s="118"/>
      <c r="B30" s="1" t="s">
        <v>303</v>
      </c>
      <c r="C30" s="1"/>
      <c r="D30" s="1">
        <v>3000</v>
      </c>
      <c r="E30" s="1"/>
      <c r="F30" s="1"/>
      <c r="G30" s="1"/>
      <c r="H30" s="1"/>
      <c r="I30" s="1"/>
    </row>
    <row r="31" spans="1:9" ht="12.75" customHeight="1" x14ac:dyDescent="0.25">
      <c r="A31" s="118"/>
      <c r="B31" s="1" t="s">
        <v>304</v>
      </c>
      <c r="C31" s="1"/>
      <c r="D31" s="1">
        <v>4500</v>
      </c>
      <c r="E31" s="1"/>
      <c r="F31" s="1"/>
      <c r="G31" s="1"/>
      <c r="H31" s="1"/>
      <c r="I31" s="1"/>
    </row>
    <row r="32" spans="1:9" ht="12.75" customHeight="1" x14ac:dyDescent="0.25">
      <c r="A32" s="118"/>
      <c r="B32" s="1" t="s">
        <v>305</v>
      </c>
      <c r="C32" s="1"/>
      <c r="D32" s="1">
        <v>2500</v>
      </c>
      <c r="E32" s="1"/>
      <c r="F32" s="1"/>
      <c r="G32" s="1"/>
      <c r="H32" s="1"/>
      <c r="I32" s="1"/>
    </row>
    <row r="33" spans="1:9" ht="12.75" customHeight="1" x14ac:dyDescent="0.25">
      <c r="A33" s="118"/>
      <c r="B33" s="1" t="s">
        <v>306</v>
      </c>
      <c r="C33" s="1"/>
      <c r="D33" s="1">
        <v>3000</v>
      </c>
      <c r="E33" s="1"/>
      <c r="F33" s="1"/>
      <c r="G33" s="1"/>
      <c r="H33" s="1"/>
      <c r="I33" s="1"/>
    </row>
    <row r="34" spans="1:9" ht="12.75" customHeight="1" x14ac:dyDescent="0.25">
      <c r="A34" s="101"/>
      <c r="B34" s="113" t="s">
        <v>308</v>
      </c>
      <c r="C34" s="1"/>
      <c r="D34" s="1">
        <v>3500</v>
      </c>
      <c r="E34" s="1"/>
      <c r="F34" s="113" t="s">
        <v>284</v>
      </c>
      <c r="G34" s="1"/>
      <c r="H34" s="1"/>
      <c r="I34" s="1"/>
    </row>
    <row r="35" spans="1:9" ht="12.75" customHeight="1" x14ac:dyDescent="0.25">
      <c r="A35" s="58"/>
      <c r="B35" s="69" t="s">
        <v>129</v>
      </c>
      <c r="C35" s="70">
        <f>C23</f>
        <v>41850</v>
      </c>
      <c r="D35" s="70">
        <f>SUM(D25:D34)</f>
        <v>53110</v>
      </c>
      <c r="E35" s="70">
        <f>C35-D35</f>
        <v>-11260</v>
      </c>
      <c r="F35" s="69" t="s">
        <v>129</v>
      </c>
      <c r="G35" s="70">
        <f>G23</f>
        <v>32820</v>
      </c>
      <c r="H35" s="70">
        <f>SUM(H25:H34)</f>
        <v>31110</v>
      </c>
      <c r="I35" s="70">
        <f>G35-H35</f>
        <v>1710</v>
      </c>
    </row>
    <row r="36" spans="1:9" ht="12.75" customHeight="1" x14ac:dyDescent="0.25">
      <c r="A36" s="58"/>
      <c r="B36" s="21"/>
      <c r="C36" s="21" t="s">
        <v>33</v>
      </c>
      <c r="D36" s="21" t="s">
        <v>31</v>
      </c>
      <c r="E36" s="58"/>
      <c r="F36" s="45" t="s">
        <v>92</v>
      </c>
      <c r="G36" s="58"/>
      <c r="H36" s="58"/>
      <c r="I36" s="58"/>
    </row>
    <row r="37" spans="1:9" ht="12.75" customHeight="1" x14ac:dyDescent="0.25">
      <c r="A37" s="58"/>
      <c r="B37" s="114" t="s">
        <v>160</v>
      </c>
      <c r="C37" s="21" t="s">
        <v>34</v>
      </c>
      <c r="D37" s="21" t="s">
        <v>162</v>
      </c>
      <c r="E37" s="58"/>
      <c r="F37" s="45" t="s">
        <v>161</v>
      </c>
      <c r="G37" s="58"/>
      <c r="H37" s="58"/>
      <c r="I37" s="5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E92"/>
  <sheetViews>
    <sheetView topLeftCell="A10" workbookViewId="0">
      <selection sqref="A1:XFD1048576"/>
    </sheetView>
  </sheetViews>
  <sheetFormatPr defaultRowHeight="12.75" customHeight="1" x14ac:dyDescent="0.25"/>
  <cols>
    <col min="1" max="1" width="1.140625" style="121" customWidth="1"/>
    <col min="2" max="3" width="0.5703125" style="121" customWidth="1"/>
    <col min="4" max="4" width="3.42578125" style="121" customWidth="1"/>
    <col min="5" max="5" width="2.28515625" style="121" customWidth="1"/>
    <col min="6" max="7" width="1.140625" style="121" customWidth="1"/>
    <col min="8" max="9" width="3.42578125" style="121" customWidth="1"/>
    <col min="10" max="10" width="1.28515625" style="121" customWidth="1"/>
    <col min="11" max="11" width="2.140625" style="121" customWidth="1"/>
    <col min="12" max="12" width="1.140625" style="121" customWidth="1"/>
    <col min="13" max="13" width="2.28515625" style="121" customWidth="1"/>
    <col min="14" max="15" width="0.5703125" style="121" customWidth="1"/>
    <col min="16" max="16" width="1.140625" style="121" customWidth="1"/>
    <col min="17" max="17" width="0.7109375" style="121" customWidth="1"/>
    <col min="18" max="18" width="3.85546875" style="121" customWidth="1"/>
    <col min="19" max="19" width="4.5703125" style="121" customWidth="1"/>
    <col min="20" max="20" width="3" style="121" customWidth="1"/>
    <col min="21" max="21" width="2.7109375" style="121" customWidth="1"/>
    <col min="22" max="23" width="1.140625" style="121" customWidth="1"/>
    <col min="24" max="24" width="5.7109375" style="121" customWidth="1"/>
    <col min="25" max="25" width="1.140625" style="121" customWidth="1"/>
    <col min="26" max="26" width="0.7109375" style="121" customWidth="1"/>
    <col min="27" max="27" width="6.140625" style="121" customWidth="1"/>
    <col min="28" max="28" width="2.28515625" style="121" customWidth="1"/>
    <col min="29" max="29" width="1.140625" style="121" customWidth="1"/>
    <col min="30" max="30" width="2.42578125" style="121" customWidth="1"/>
    <col min="31" max="31" width="1" style="121" customWidth="1"/>
    <col min="32" max="33" width="1.140625" style="121" customWidth="1"/>
    <col min="34" max="34" width="3.85546875" style="121" customWidth="1"/>
    <col min="35" max="35" width="0.7109375" style="121" customWidth="1"/>
    <col min="36" max="36" width="1.140625" style="121" customWidth="1"/>
    <col min="37" max="37" width="1.5703125" style="121" customWidth="1"/>
    <col min="38" max="38" width="0.7109375" style="121" customWidth="1"/>
    <col min="39" max="39" width="1.140625" style="121" customWidth="1"/>
    <col min="40" max="40" width="3.5703125" style="121" customWidth="1"/>
    <col min="41" max="41" width="1" style="121" customWidth="1"/>
    <col min="42" max="42" width="3.42578125" style="121" customWidth="1"/>
    <col min="43" max="43" width="1.140625" style="121" customWidth="1"/>
    <col min="44" max="44" width="2.85546875" style="121" customWidth="1"/>
    <col min="45" max="45" width="0.5703125" style="121" customWidth="1"/>
    <col min="46" max="46" width="0.7109375" style="121" customWidth="1"/>
    <col min="47" max="47" width="1.5703125" style="121" customWidth="1"/>
    <col min="48" max="48" width="6.85546875" style="121" customWidth="1"/>
    <col min="49" max="49" width="1.140625" style="121" customWidth="1"/>
    <col min="50" max="51" width="0.5703125" style="121" customWidth="1"/>
    <col min="52" max="52" width="1.28515625" style="121" customWidth="1"/>
    <col min="53" max="53" width="1" style="121" customWidth="1"/>
    <col min="54" max="54" width="5.7109375" style="121" customWidth="1"/>
    <col min="55" max="56" width="0.5703125" style="121" customWidth="1"/>
    <col min="57" max="58" width="1.85546875" style="121" customWidth="1"/>
    <col min="59" max="59" width="3" style="121" customWidth="1"/>
    <col min="60" max="60" width="3.42578125" style="121" customWidth="1"/>
    <col min="61" max="61" width="1.140625" style="121" customWidth="1"/>
    <col min="62" max="62" width="3.42578125" style="121" customWidth="1"/>
    <col min="63" max="63" width="2.28515625" style="121" customWidth="1"/>
    <col min="64" max="64" width="1.7109375" style="121" customWidth="1"/>
    <col min="65" max="65" width="1" style="121" customWidth="1"/>
    <col min="66" max="66" width="0.7109375" style="121" customWidth="1"/>
    <col min="67" max="67" width="2.28515625" style="121" customWidth="1"/>
    <col min="68" max="68" width="1.140625" style="121" customWidth="1"/>
    <col min="69" max="69" width="2.28515625" style="121" customWidth="1"/>
    <col min="70" max="71" width="1.140625" style="121" customWidth="1"/>
    <col min="72" max="72" width="0.7109375" style="121" customWidth="1"/>
    <col min="73" max="73" width="2.85546875" style="121" customWidth="1"/>
    <col min="74" max="74" width="3.85546875" style="121" customWidth="1"/>
    <col min="75" max="77" width="0.5703125" style="121" customWidth="1"/>
    <col min="78" max="78" width="4.5703125" style="121" customWidth="1"/>
    <col min="79" max="79" width="1.140625" style="121" customWidth="1"/>
    <col min="80" max="80" width="1" style="121" customWidth="1"/>
    <col min="81" max="81" width="1.28515625" style="121" customWidth="1"/>
    <col min="82" max="256" width="6.85546875" style="121" customWidth="1"/>
    <col min="257" max="257" width="1.140625" style="121" customWidth="1"/>
    <col min="258" max="259" width="0.5703125" style="121" customWidth="1"/>
    <col min="260" max="260" width="3.42578125" style="121" customWidth="1"/>
    <col min="261" max="261" width="2.28515625" style="121" customWidth="1"/>
    <col min="262" max="263" width="1.140625" style="121" customWidth="1"/>
    <col min="264" max="265" width="3.42578125" style="121" customWidth="1"/>
    <col min="266" max="266" width="1.28515625" style="121" customWidth="1"/>
    <col min="267" max="267" width="2.140625" style="121" customWidth="1"/>
    <col min="268" max="268" width="1.140625" style="121" customWidth="1"/>
    <col min="269" max="269" width="2.28515625" style="121" customWidth="1"/>
    <col min="270" max="271" width="0.5703125" style="121" customWidth="1"/>
    <col min="272" max="272" width="1.140625" style="121" customWidth="1"/>
    <col min="273" max="273" width="0.7109375" style="121" customWidth="1"/>
    <col min="274" max="274" width="3.85546875" style="121" customWidth="1"/>
    <col min="275" max="275" width="4.5703125" style="121" customWidth="1"/>
    <col min="276" max="276" width="3" style="121" customWidth="1"/>
    <col min="277" max="277" width="2.7109375" style="121" customWidth="1"/>
    <col min="278" max="279" width="1.140625" style="121" customWidth="1"/>
    <col min="280" max="280" width="5.7109375" style="121" customWidth="1"/>
    <col min="281" max="281" width="1.140625" style="121" customWidth="1"/>
    <col min="282" max="282" width="0.7109375" style="121" customWidth="1"/>
    <col min="283" max="283" width="6.140625" style="121" customWidth="1"/>
    <col min="284" max="284" width="2.28515625" style="121" customWidth="1"/>
    <col min="285" max="285" width="1.140625" style="121" customWidth="1"/>
    <col min="286" max="286" width="2.42578125" style="121" customWidth="1"/>
    <col min="287" max="287" width="1" style="121" customWidth="1"/>
    <col min="288" max="289" width="1.140625" style="121" customWidth="1"/>
    <col min="290" max="290" width="3.85546875" style="121" customWidth="1"/>
    <col min="291" max="291" width="0.7109375" style="121" customWidth="1"/>
    <col min="292" max="292" width="1.140625" style="121" customWidth="1"/>
    <col min="293" max="293" width="1.5703125" style="121" customWidth="1"/>
    <col min="294" max="294" width="0.7109375" style="121" customWidth="1"/>
    <col min="295" max="295" width="1.140625" style="121" customWidth="1"/>
    <col min="296" max="296" width="3.5703125" style="121" customWidth="1"/>
    <col min="297" max="297" width="1" style="121" customWidth="1"/>
    <col min="298" max="298" width="3.42578125" style="121" customWidth="1"/>
    <col min="299" max="299" width="1.140625" style="121" customWidth="1"/>
    <col min="300" max="300" width="2.85546875" style="121" customWidth="1"/>
    <col min="301" max="301" width="0.5703125" style="121" customWidth="1"/>
    <col min="302" max="302" width="0.7109375" style="121" customWidth="1"/>
    <col min="303" max="303" width="1.5703125" style="121" customWidth="1"/>
    <col min="304" max="304" width="6.85546875" style="121" customWidth="1"/>
    <col min="305" max="305" width="1.140625" style="121" customWidth="1"/>
    <col min="306" max="307" width="0.5703125" style="121" customWidth="1"/>
    <col min="308" max="308" width="1.28515625" style="121" customWidth="1"/>
    <col min="309" max="309" width="1" style="121" customWidth="1"/>
    <col min="310" max="310" width="5.7109375" style="121" customWidth="1"/>
    <col min="311" max="312" width="0.5703125" style="121" customWidth="1"/>
    <col min="313" max="314" width="1.85546875" style="121" customWidth="1"/>
    <col min="315" max="315" width="3" style="121" customWidth="1"/>
    <col min="316" max="316" width="3.42578125" style="121" customWidth="1"/>
    <col min="317" max="317" width="1.140625" style="121" customWidth="1"/>
    <col min="318" max="318" width="3.42578125" style="121" customWidth="1"/>
    <col min="319" max="319" width="2.28515625" style="121" customWidth="1"/>
    <col min="320" max="320" width="1.7109375" style="121" customWidth="1"/>
    <col min="321" max="321" width="1" style="121" customWidth="1"/>
    <col min="322" max="322" width="0.7109375" style="121" customWidth="1"/>
    <col min="323" max="323" width="2.28515625" style="121" customWidth="1"/>
    <col min="324" max="324" width="1.140625" style="121" customWidth="1"/>
    <col min="325" max="325" width="2.28515625" style="121" customWidth="1"/>
    <col min="326" max="327" width="1.140625" style="121" customWidth="1"/>
    <col min="328" max="328" width="0.7109375" style="121" customWidth="1"/>
    <col min="329" max="329" width="2.85546875" style="121" customWidth="1"/>
    <col min="330" max="330" width="3.85546875" style="121" customWidth="1"/>
    <col min="331" max="333" width="0.5703125" style="121" customWidth="1"/>
    <col min="334" max="334" width="4.5703125" style="121" customWidth="1"/>
    <col min="335" max="335" width="1.140625" style="121" customWidth="1"/>
    <col min="336" max="336" width="1" style="121" customWidth="1"/>
    <col min="337" max="337" width="1.28515625" style="121" customWidth="1"/>
    <col min="338" max="512" width="6.85546875" style="121" customWidth="1"/>
    <col min="513" max="513" width="1.140625" style="121" customWidth="1"/>
    <col min="514" max="515" width="0.5703125" style="121" customWidth="1"/>
    <col min="516" max="516" width="3.42578125" style="121" customWidth="1"/>
    <col min="517" max="517" width="2.28515625" style="121" customWidth="1"/>
    <col min="518" max="519" width="1.140625" style="121" customWidth="1"/>
    <col min="520" max="521" width="3.42578125" style="121" customWidth="1"/>
    <col min="522" max="522" width="1.28515625" style="121" customWidth="1"/>
    <col min="523" max="523" width="2.140625" style="121" customWidth="1"/>
    <col min="524" max="524" width="1.140625" style="121" customWidth="1"/>
    <col min="525" max="525" width="2.28515625" style="121" customWidth="1"/>
    <col min="526" max="527" width="0.5703125" style="121" customWidth="1"/>
    <col min="528" max="528" width="1.140625" style="121" customWidth="1"/>
    <col min="529" max="529" width="0.7109375" style="121" customWidth="1"/>
    <col min="530" max="530" width="3.85546875" style="121" customWidth="1"/>
    <col min="531" max="531" width="4.5703125" style="121" customWidth="1"/>
    <col min="532" max="532" width="3" style="121" customWidth="1"/>
    <col min="533" max="533" width="2.7109375" style="121" customWidth="1"/>
    <col min="534" max="535" width="1.140625" style="121" customWidth="1"/>
    <col min="536" max="536" width="5.7109375" style="121" customWidth="1"/>
    <col min="537" max="537" width="1.140625" style="121" customWidth="1"/>
    <col min="538" max="538" width="0.7109375" style="121" customWidth="1"/>
    <col min="539" max="539" width="6.140625" style="121" customWidth="1"/>
    <col min="540" max="540" width="2.28515625" style="121" customWidth="1"/>
    <col min="541" max="541" width="1.140625" style="121" customWidth="1"/>
    <col min="542" max="542" width="2.42578125" style="121" customWidth="1"/>
    <col min="543" max="543" width="1" style="121" customWidth="1"/>
    <col min="544" max="545" width="1.140625" style="121" customWidth="1"/>
    <col min="546" max="546" width="3.85546875" style="121" customWidth="1"/>
    <col min="547" max="547" width="0.7109375" style="121" customWidth="1"/>
    <col min="548" max="548" width="1.140625" style="121" customWidth="1"/>
    <col min="549" max="549" width="1.5703125" style="121" customWidth="1"/>
    <col min="550" max="550" width="0.7109375" style="121" customWidth="1"/>
    <col min="551" max="551" width="1.140625" style="121" customWidth="1"/>
    <col min="552" max="552" width="3.5703125" style="121" customWidth="1"/>
    <col min="553" max="553" width="1" style="121" customWidth="1"/>
    <col min="554" max="554" width="3.42578125" style="121" customWidth="1"/>
    <col min="555" max="555" width="1.140625" style="121" customWidth="1"/>
    <col min="556" max="556" width="2.85546875" style="121" customWidth="1"/>
    <col min="557" max="557" width="0.5703125" style="121" customWidth="1"/>
    <col min="558" max="558" width="0.7109375" style="121" customWidth="1"/>
    <col min="559" max="559" width="1.5703125" style="121" customWidth="1"/>
    <col min="560" max="560" width="6.85546875" style="121" customWidth="1"/>
    <col min="561" max="561" width="1.140625" style="121" customWidth="1"/>
    <col min="562" max="563" width="0.5703125" style="121" customWidth="1"/>
    <col min="564" max="564" width="1.28515625" style="121" customWidth="1"/>
    <col min="565" max="565" width="1" style="121" customWidth="1"/>
    <col min="566" max="566" width="5.7109375" style="121" customWidth="1"/>
    <col min="567" max="568" width="0.5703125" style="121" customWidth="1"/>
    <col min="569" max="570" width="1.85546875" style="121" customWidth="1"/>
    <col min="571" max="571" width="3" style="121" customWidth="1"/>
    <col min="572" max="572" width="3.42578125" style="121" customWidth="1"/>
    <col min="573" max="573" width="1.140625" style="121" customWidth="1"/>
    <col min="574" max="574" width="3.42578125" style="121" customWidth="1"/>
    <col min="575" max="575" width="2.28515625" style="121" customWidth="1"/>
    <col min="576" max="576" width="1.7109375" style="121" customWidth="1"/>
    <col min="577" max="577" width="1" style="121" customWidth="1"/>
    <col min="578" max="578" width="0.7109375" style="121" customWidth="1"/>
    <col min="579" max="579" width="2.28515625" style="121" customWidth="1"/>
    <col min="580" max="580" width="1.140625" style="121" customWidth="1"/>
    <col min="581" max="581" width="2.28515625" style="121" customWidth="1"/>
    <col min="582" max="583" width="1.140625" style="121" customWidth="1"/>
    <col min="584" max="584" width="0.7109375" style="121" customWidth="1"/>
    <col min="585" max="585" width="2.85546875" style="121" customWidth="1"/>
    <col min="586" max="586" width="3.85546875" style="121" customWidth="1"/>
    <col min="587" max="589" width="0.5703125" style="121" customWidth="1"/>
    <col min="590" max="590" width="4.5703125" style="121" customWidth="1"/>
    <col min="591" max="591" width="1.140625" style="121" customWidth="1"/>
    <col min="592" max="592" width="1" style="121" customWidth="1"/>
    <col min="593" max="593" width="1.28515625" style="121" customWidth="1"/>
    <col min="594" max="768" width="6.85546875" style="121" customWidth="1"/>
    <col min="769" max="769" width="1.140625" style="121" customWidth="1"/>
    <col min="770" max="771" width="0.5703125" style="121" customWidth="1"/>
    <col min="772" max="772" width="3.42578125" style="121" customWidth="1"/>
    <col min="773" max="773" width="2.28515625" style="121" customWidth="1"/>
    <col min="774" max="775" width="1.140625" style="121" customWidth="1"/>
    <col min="776" max="777" width="3.42578125" style="121" customWidth="1"/>
    <col min="778" max="778" width="1.28515625" style="121" customWidth="1"/>
    <col min="779" max="779" width="2.140625" style="121" customWidth="1"/>
    <col min="780" max="780" width="1.140625" style="121" customWidth="1"/>
    <col min="781" max="781" width="2.28515625" style="121" customWidth="1"/>
    <col min="782" max="783" width="0.5703125" style="121" customWidth="1"/>
    <col min="784" max="784" width="1.140625" style="121" customWidth="1"/>
    <col min="785" max="785" width="0.7109375" style="121" customWidth="1"/>
    <col min="786" max="786" width="3.85546875" style="121" customWidth="1"/>
    <col min="787" max="787" width="4.5703125" style="121" customWidth="1"/>
    <col min="788" max="788" width="3" style="121" customWidth="1"/>
    <col min="789" max="789" width="2.7109375" style="121" customWidth="1"/>
    <col min="790" max="791" width="1.140625" style="121" customWidth="1"/>
    <col min="792" max="792" width="5.7109375" style="121" customWidth="1"/>
    <col min="793" max="793" width="1.140625" style="121" customWidth="1"/>
    <col min="794" max="794" width="0.7109375" style="121" customWidth="1"/>
    <col min="795" max="795" width="6.140625" style="121" customWidth="1"/>
    <col min="796" max="796" width="2.28515625" style="121" customWidth="1"/>
    <col min="797" max="797" width="1.140625" style="121" customWidth="1"/>
    <col min="798" max="798" width="2.42578125" style="121" customWidth="1"/>
    <col min="799" max="799" width="1" style="121" customWidth="1"/>
    <col min="800" max="801" width="1.140625" style="121" customWidth="1"/>
    <col min="802" max="802" width="3.85546875" style="121" customWidth="1"/>
    <col min="803" max="803" width="0.7109375" style="121" customWidth="1"/>
    <col min="804" max="804" width="1.140625" style="121" customWidth="1"/>
    <col min="805" max="805" width="1.5703125" style="121" customWidth="1"/>
    <col min="806" max="806" width="0.7109375" style="121" customWidth="1"/>
    <col min="807" max="807" width="1.140625" style="121" customWidth="1"/>
    <col min="808" max="808" width="3.5703125" style="121" customWidth="1"/>
    <col min="809" max="809" width="1" style="121" customWidth="1"/>
    <col min="810" max="810" width="3.42578125" style="121" customWidth="1"/>
    <col min="811" max="811" width="1.140625" style="121" customWidth="1"/>
    <col min="812" max="812" width="2.85546875" style="121" customWidth="1"/>
    <col min="813" max="813" width="0.5703125" style="121" customWidth="1"/>
    <col min="814" max="814" width="0.7109375" style="121" customWidth="1"/>
    <col min="815" max="815" width="1.5703125" style="121" customWidth="1"/>
    <col min="816" max="816" width="6.85546875" style="121" customWidth="1"/>
    <col min="817" max="817" width="1.140625" style="121" customWidth="1"/>
    <col min="818" max="819" width="0.5703125" style="121" customWidth="1"/>
    <col min="820" max="820" width="1.28515625" style="121" customWidth="1"/>
    <col min="821" max="821" width="1" style="121" customWidth="1"/>
    <col min="822" max="822" width="5.7109375" style="121" customWidth="1"/>
    <col min="823" max="824" width="0.5703125" style="121" customWidth="1"/>
    <col min="825" max="826" width="1.85546875" style="121" customWidth="1"/>
    <col min="827" max="827" width="3" style="121" customWidth="1"/>
    <col min="828" max="828" width="3.42578125" style="121" customWidth="1"/>
    <col min="829" max="829" width="1.140625" style="121" customWidth="1"/>
    <col min="830" max="830" width="3.42578125" style="121" customWidth="1"/>
    <col min="831" max="831" width="2.28515625" style="121" customWidth="1"/>
    <col min="832" max="832" width="1.7109375" style="121" customWidth="1"/>
    <col min="833" max="833" width="1" style="121" customWidth="1"/>
    <col min="834" max="834" width="0.7109375" style="121" customWidth="1"/>
    <col min="835" max="835" width="2.28515625" style="121" customWidth="1"/>
    <col min="836" max="836" width="1.140625" style="121" customWidth="1"/>
    <col min="837" max="837" width="2.28515625" style="121" customWidth="1"/>
    <col min="838" max="839" width="1.140625" style="121" customWidth="1"/>
    <col min="840" max="840" width="0.7109375" style="121" customWidth="1"/>
    <col min="841" max="841" width="2.85546875" style="121" customWidth="1"/>
    <col min="842" max="842" width="3.85546875" style="121" customWidth="1"/>
    <col min="843" max="845" width="0.5703125" style="121" customWidth="1"/>
    <col min="846" max="846" width="4.5703125" style="121" customWidth="1"/>
    <col min="847" max="847" width="1.140625" style="121" customWidth="1"/>
    <col min="848" max="848" width="1" style="121" customWidth="1"/>
    <col min="849" max="849" width="1.28515625" style="121" customWidth="1"/>
    <col min="850" max="1024" width="6.85546875" style="121" customWidth="1"/>
    <col min="1025" max="1025" width="1.140625" style="121" customWidth="1"/>
    <col min="1026" max="1027" width="0.5703125" style="121" customWidth="1"/>
    <col min="1028" max="1028" width="3.42578125" style="121" customWidth="1"/>
    <col min="1029" max="1029" width="2.28515625" style="121" customWidth="1"/>
    <col min="1030" max="1031" width="1.140625" style="121" customWidth="1"/>
    <col min="1032" max="1033" width="3.42578125" style="121" customWidth="1"/>
    <col min="1034" max="1034" width="1.28515625" style="121" customWidth="1"/>
    <col min="1035" max="1035" width="2.140625" style="121" customWidth="1"/>
    <col min="1036" max="1036" width="1.140625" style="121" customWidth="1"/>
    <col min="1037" max="1037" width="2.28515625" style="121" customWidth="1"/>
    <col min="1038" max="1039" width="0.5703125" style="121" customWidth="1"/>
    <col min="1040" max="1040" width="1.140625" style="121" customWidth="1"/>
    <col min="1041" max="1041" width="0.7109375" style="121" customWidth="1"/>
    <col min="1042" max="1042" width="3.85546875" style="121" customWidth="1"/>
    <col min="1043" max="1043" width="4.5703125" style="121" customWidth="1"/>
    <col min="1044" max="1044" width="3" style="121" customWidth="1"/>
    <col min="1045" max="1045" width="2.7109375" style="121" customWidth="1"/>
    <col min="1046" max="1047" width="1.140625" style="121" customWidth="1"/>
    <col min="1048" max="1048" width="5.7109375" style="121" customWidth="1"/>
    <col min="1049" max="1049" width="1.140625" style="121" customWidth="1"/>
    <col min="1050" max="1050" width="0.7109375" style="121" customWidth="1"/>
    <col min="1051" max="1051" width="6.140625" style="121" customWidth="1"/>
    <col min="1052" max="1052" width="2.28515625" style="121" customWidth="1"/>
    <col min="1053" max="1053" width="1.140625" style="121" customWidth="1"/>
    <col min="1054" max="1054" width="2.42578125" style="121" customWidth="1"/>
    <col min="1055" max="1055" width="1" style="121" customWidth="1"/>
    <col min="1056" max="1057" width="1.140625" style="121" customWidth="1"/>
    <col min="1058" max="1058" width="3.85546875" style="121" customWidth="1"/>
    <col min="1059" max="1059" width="0.7109375" style="121" customWidth="1"/>
    <col min="1060" max="1060" width="1.140625" style="121" customWidth="1"/>
    <col min="1061" max="1061" width="1.5703125" style="121" customWidth="1"/>
    <col min="1062" max="1062" width="0.7109375" style="121" customWidth="1"/>
    <col min="1063" max="1063" width="1.140625" style="121" customWidth="1"/>
    <col min="1064" max="1064" width="3.5703125" style="121" customWidth="1"/>
    <col min="1065" max="1065" width="1" style="121" customWidth="1"/>
    <col min="1066" max="1066" width="3.42578125" style="121" customWidth="1"/>
    <col min="1067" max="1067" width="1.140625" style="121" customWidth="1"/>
    <col min="1068" max="1068" width="2.85546875" style="121" customWidth="1"/>
    <col min="1069" max="1069" width="0.5703125" style="121" customWidth="1"/>
    <col min="1070" max="1070" width="0.7109375" style="121" customWidth="1"/>
    <col min="1071" max="1071" width="1.5703125" style="121" customWidth="1"/>
    <col min="1072" max="1072" width="6.85546875" style="121" customWidth="1"/>
    <col min="1073" max="1073" width="1.140625" style="121" customWidth="1"/>
    <col min="1074" max="1075" width="0.5703125" style="121" customWidth="1"/>
    <col min="1076" max="1076" width="1.28515625" style="121" customWidth="1"/>
    <col min="1077" max="1077" width="1" style="121" customWidth="1"/>
    <col min="1078" max="1078" width="5.7109375" style="121" customWidth="1"/>
    <col min="1079" max="1080" width="0.5703125" style="121" customWidth="1"/>
    <col min="1081" max="1082" width="1.85546875" style="121" customWidth="1"/>
    <col min="1083" max="1083" width="3" style="121" customWidth="1"/>
    <col min="1084" max="1084" width="3.42578125" style="121" customWidth="1"/>
    <col min="1085" max="1085" width="1.140625" style="121" customWidth="1"/>
    <col min="1086" max="1086" width="3.42578125" style="121" customWidth="1"/>
    <col min="1087" max="1087" width="2.28515625" style="121" customWidth="1"/>
    <col min="1088" max="1088" width="1.7109375" style="121" customWidth="1"/>
    <col min="1089" max="1089" width="1" style="121" customWidth="1"/>
    <col min="1090" max="1090" width="0.7109375" style="121" customWidth="1"/>
    <col min="1091" max="1091" width="2.28515625" style="121" customWidth="1"/>
    <col min="1092" max="1092" width="1.140625" style="121" customWidth="1"/>
    <col min="1093" max="1093" width="2.28515625" style="121" customWidth="1"/>
    <col min="1094" max="1095" width="1.140625" style="121" customWidth="1"/>
    <col min="1096" max="1096" width="0.7109375" style="121" customWidth="1"/>
    <col min="1097" max="1097" width="2.85546875" style="121" customWidth="1"/>
    <col min="1098" max="1098" width="3.85546875" style="121" customWidth="1"/>
    <col min="1099" max="1101" width="0.5703125" style="121" customWidth="1"/>
    <col min="1102" max="1102" width="4.5703125" style="121" customWidth="1"/>
    <col min="1103" max="1103" width="1.140625" style="121" customWidth="1"/>
    <col min="1104" max="1104" width="1" style="121" customWidth="1"/>
    <col min="1105" max="1105" width="1.28515625" style="121" customWidth="1"/>
    <col min="1106" max="1280" width="6.85546875" style="121" customWidth="1"/>
    <col min="1281" max="1281" width="1.140625" style="121" customWidth="1"/>
    <col min="1282" max="1283" width="0.5703125" style="121" customWidth="1"/>
    <col min="1284" max="1284" width="3.42578125" style="121" customWidth="1"/>
    <col min="1285" max="1285" width="2.28515625" style="121" customWidth="1"/>
    <col min="1286" max="1287" width="1.140625" style="121" customWidth="1"/>
    <col min="1288" max="1289" width="3.42578125" style="121" customWidth="1"/>
    <col min="1290" max="1290" width="1.28515625" style="121" customWidth="1"/>
    <col min="1291" max="1291" width="2.140625" style="121" customWidth="1"/>
    <col min="1292" max="1292" width="1.140625" style="121" customWidth="1"/>
    <col min="1293" max="1293" width="2.28515625" style="121" customWidth="1"/>
    <col min="1294" max="1295" width="0.5703125" style="121" customWidth="1"/>
    <col min="1296" max="1296" width="1.140625" style="121" customWidth="1"/>
    <col min="1297" max="1297" width="0.7109375" style="121" customWidth="1"/>
    <col min="1298" max="1298" width="3.85546875" style="121" customWidth="1"/>
    <col min="1299" max="1299" width="4.5703125" style="121" customWidth="1"/>
    <col min="1300" max="1300" width="3" style="121" customWidth="1"/>
    <col min="1301" max="1301" width="2.7109375" style="121" customWidth="1"/>
    <col min="1302" max="1303" width="1.140625" style="121" customWidth="1"/>
    <col min="1304" max="1304" width="5.7109375" style="121" customWidth="1"/>
    <col min="1305" max="1305" width="1.140625" style="121" customWidth="1"/>
    <col min="1306" max="1306" width="0.7109375" style="121" customWidth="1"/>
    <col min="1307" max="1307" width="6.140625" style="121" customWidth="1"/>
    <col min="1308" max="1308" width="2.28515625" style="121" customWidth="1"/>
    <col min="1309" max="1309" width="1.140625" style="121" customWidth="1"/>
    <col min="1310" max="1310" width="2.42578125" style="121" customWidth="1"/>
    <col min="1311" max="1311" width="1" style="121" customWidth="1"/>
    <col min="1312" max="1313" width="1.140625" style="121" customWidth="1"/>
    <col min="1314" max="1314" width="3.85546875" style="121" customWidth="1"/>
    <col min="1315" max="1315" width="0.7109375" style="121" customWidth="1"/>
    <col min="1316" max="1316" width="1.140625" style="121" customWidth="1"/>
    <col min="1317" max="1317" width="1.5703125" style="121" customWidth="1"/>
    <col min="1318" max="1318" width="0.7109375" style="121" customWidth="1"/>
    <col min="1319" max="1319" width="1.140625" style="121" customWidth="1"/>
    <col min="1320" max="1320" width="3.5703125" style="121" customWidth="1"/>
    <col min="1321" max="1321" width="1" style="121" customWidth="1"/>
    <col min="1322" max="1322" width="3.42578125" style="121" customWidth="1"/>
    <col min="1323" max="1323" width="1.140625" style="121" customWidth="1"/>
    <col min="1324" max="1324" width="2.85546875" style="121" customWidth="1"/>
    <col min="1325" max="1325" width="0.5703125" style="121" customWidth="1"/>
    <col min="1326" max="1326" width="0.7109375" style="121" customWidth="1"/>
    <col min="1327" max="1327" width="1.5703125" style="121" customWidth="1"/>
    <col min="1328" max="1328" width="6.85546875" style="121" customWidth="1"/>
    <col min="1329" max="1329" width="1.140625" style="121" customWidth="1"/>
    <col min="1330" max="1331" width="0.5703125" style="121" customWidth="1"/>
    <col min="1332" max="1332" width="1.28515625" style="121" customWidth="1"/>
    <col min="1333" max="1333" width="1" style="121" customWidth="1"/>
    <col min="1334" max="1334" width="5.7109375" style="121" customWidth="1"/>
    <col min="1335" max="1336" width="0.5703125" style="121" customWidth="1"/>
    <col min="1337" max="1338" width="1.85546875" style="121" customWidth="1"/>
    <col min="1339" max="1339" width="3" style="121" customWidth="1"/>
    <col min="1340" max="1340" width="3.42578125" style="121" customWidth="1"/>
    <col min="1341" max="1341" width="1.140625" style="121" customWidth="1"/>
    <col min="1342" max="1342" width="3.42578125" style="121" customWidth="1"/>
    <col min="1343" max="1343" width="2.28515625" style="121" customWidth="1"/>
    <col min="1344" max="1344" width="1.7109375" style="121" customWidth="1"/>
    <col min="1345" max="1345" width="1" style="121" customWidth="1"/>
    <col min="1346" max="1346" width="0.7109375" style="121" customWidth="1"/>
    <col min="1347" max="1347" width="2.28515625" style="121" customWidth="1"/>
    <col min="1348" max="1348" width="1.140625" style="121" customWidth="1"/>
    <col min="1349" max="1349" width="2.28515625" style="121" customWidth="1"/>
    <col min="1350" max="1351" width="1.140625" style="121" customWidth="1"/>
    <col min="1352" max="1352" width="0.7109375" style="121" customWidth="1"/>
    <col min="1353" max="1353" width="2.85546875" style="121" customWidth="1"/>
    <col min="1354" max="1354" width="3.85546875" style="121" customWidth="1"/>
    <col min="1355" max="1357" width="0.5703125" style="121" customWidth="1"/>
    <col min="1358" max="1358" width="4.5703125" style="121" customWidth="1"/>
    <col min="1359" max="1359" width="1.140625" style="121" customWidth="1"/>
    <col min="1360" max="1360" width="1" style="121" customWidth="1"/>
    <col min="1361" max="1361" width="1.28515625" style="121" customWidth="1"/>
    <col min="1362" max="1536" width="6.85546875" style="121" customWidth="1"/>
    <col min="1537" max="1537" width="1.140625" style="121" customWidth="1"/>
    <col min="1538" max="1539" width="0.5703125" style="121" customWidth="1"/>
    <col min="1540" max="1540" width="3.42578125" style="121" customWidth="1"/>
    <col min="1541" max="1541" width="2.28515625" style="121" customWidth="1"/>
    <col min="1542" max="1543" width="1.140625" style="121" customWidth="1"/>
    <col min="1544" max="1545" width="3.42578125" style="121" customWidth="1"/>
    <col min="1546" max="1546" width="1.28515625" style="121" customWidth="1"/>
    <col min="1547" max="1547" width="2.140625" style="121" customWidth="1"/>
    <col min="1548" max="1548" width="1.140625" style="121" customWidth="1"/>
    <col min="1549" max="1549" width="2.28515625" style="121" customWidth="1"/>
    <col min="1550" max="1551" width="0.5703125" style="121" customWidth="1"/>
    <col min="1552" max="1552" width="1.140625" style="121" customWidth="1"/>
    <col min="1553" max="1553" width="0.7109375" style="121" customWidth="1"/>
    <col min="1554" max="1554" width="3.85546875" style="121" customWidth="1"/>
    <col min="1555" max="1555" width="4.5703125" style="121" customWidth="1"/>
    <col min="1556" max="1556" width="3" style="121" customWidth="1"/>
    <col min="1557" max="1557" width="2.7109375" style="121" customWidth="1"/>
    <col min="1558" max="1559" width="1.140625" style="121" customWidth="1"/>
    <col min="1560" max="1560" width="5.7109375" style="121" customWidth="1"/>
    <col min="1561" max="1561" width="1.140625" style="121" customWidth="1"/>
    <col min="1562" max="1562" width="0.7109375" style="121" customWidth="1"/>
    <col min="1563" max="1563" width="6.140625" style="121" customWidth="1"/>
    <col min="1564" max="1564" width="2.28515625" style="121" customWidth="1"/>
    <col min="1565" max="1565" width="1.140625" style="121" customWidth="1"/>
    <col min="1566" max="1566" width="2.42578125" style="121" customWidth="1"/>
    <col min="1567" max="1567" width="1" style="121" customWidth="1"/>
    <col min="1568" max="1569" width="1.140625" style="121" customWidth="1"/>
    <col min="1570" max="1570" width="3.85546875" style="121" customWidth="1"/>
    <col min="1571" max="1571" width="0.7109375" style="121" customWidth="1"/>
    <col min="1572" max="1572" width="1.140625" style="121" customWidth="1"/>
    <col min="1573" max="1573" width="1.5703125" style="121" customWidth="1"/>
    <col min="1574" max="1574" width="0.7109375" style="121" customWidth="1"/>
    <col min="1575" max="1575" width="1.140625" style="121" customWidth="1"/>
    <col min="1576" max="1576" width="3.5703125" style="121" customWidth="1"/>
    <col min="1577" max="1577" width="1" style="121" customWidth="1"/>
    <col min="1578" max="1578" width="3.42578125" style="121" customWidth="1"/>
    <col min="1579" max="1579" width="1.140625" style="121" customWidth="1"/>
    <col min="1580" max="1580" width="2.85546875" style="121" customWidth="1"/>
    <col min="1581" max="1581" width="0.5703125" style="121" customWidth="1"/>
    <col min="1582" max="1582" width="0.7109375" style="121" customWidth="1"/>
    <col min="1583" max="1583" width="1.5703125" style="121" customWidth="1"/>
    <col min="1584" max="1584" width="6.85546875" style="121" customWidth="1"/>
    <col min="1585" max="1585" width="1.140625" style="121" customWidth="1"/>
    <col min="1586" max="1587" width="0.5703125" style="121" customWidth="1"/>
    <col min="1588" max="1588" width="1.28515625" style="121" customWidth="1"/>
    <col min="1589" max="1589" width="1" style="121" customWidth="1"/>
    <col min="1590" max="1590" width="5.7109375" style="121" customWidth="1"/>
    <col min="1591" max="1592" width="0.5703125" style="121" customWidth="1"/>
    <col min="1593" max="1594" width="1.85546875" style="121" customWidth="1"/>
    <col min="1595" max="1595" width="3" style="121" customWidth="1"/>
    <col min="1596" max="1596" width="3.42578125" style="121" customWidth="1"/>
    <col min="1597" max="1597" width="1.140625" style="121" customWidth="1"/>
    <col min="1598" max="1598" width="3.42578125" style="121" customWidth="1"/>
    <col min="1599" max="1599" width="2.28515625" style="121" customWidth="1"/>
    <col min="1600" max="1600" width="1.7109375" style="121" customWidth="1"/>
    <col min="1601" max="1601" width="1" style="121" customWidth="1"/>
    <col min="1602" max="1602" width="0.7109375" style="121" customWidth="1"/>
    <col min="1603" max="1603" width="2.28515625" style="121" customWidth="1"/>
    <col min="1604" max="1604" width="1.140625" style="121" customWidth="1"/>
    <col min="1605" max="1605" width="2.28515625" style="121" customWidth="1"/>
    <col min="1606" max="1607" width="1.140625" style="121" customWidth="1"/>
    <col min="1608" max="1608" width="0.7109375" style="121" customWidth="1"/>
    <col min="1609" max="1609" width="2.85546875" style="121" customWidth="1"/>
    <col min="1610" max="1610" width="3.85546875" style="121" customWidth="1"/>
    <col min="1611" max="1613" width="0.5703125" style="121" customWidth="1"/>
    <col min="1614" max="1614" width="4.5703125" style="121" customWidth="1"/>
    <col min="1615" max="1615" width="1.140625" style="121" customWidth="1"/>
    <col min="1616" max="1616" width="1" style="121" customWidth="1"/>
    <col min="1617" max="1617" width="1.28515625" style="121" customWidth="1"/>
    <col min="1618" max="1792" width="6.85546875" style="121" customWidth="1"/>
    <col min="1793" max="1793" width="1.140625" style="121" customWidth="1"/>
    <col min="1794" max="1795" width="0.5703125" style="121" customWidth="1"/>
    <col min="1796" max="1796" width="3.42578125" style="121" customWidth="1"/>
    <col min="1797" max="1797" width="2.28515625" style="121" customWidth="1"/>
    <col min="1798" max="1799" width="1.140625" style="121" customWidth="1"/>
    <col min="1800" max="1801" width="3.42578125" style="121" customWidth="1"/>
    <col min="1802" max="1802" width="1.28515625" style="121" customWidth="1"/>
    <col min="1803" max="1803" width="2.140625" style="121" customWidth="1"/>
    <col min="1804" max="1804" width="1.140625" style="121" customWidth="1"/>
    <col min="1805" max="1805" width="2.28515625" style="121" customWidth="1"/>
    <col min="1806" max="1807" width="0.5703125" style="121" customWidth="1"/>
    <col min="1808" max="1808" width="1.140625" style="121" customWidth="1"/>
    <col min="1809" max="1809" width="0.7109375" style="121" customWidth="1"/>
    <col min="1810" max="1810" width="3.85546875" style="121" customWidth="1"/>
    <col min="1811" max="1811" width="4.5703125" style="121" customWidth="1"/>
    <col min="1812" max="1812" width="3" style="121" customWidth="1"/>
    <col min="1813" max="1813" width="2.7109375" style="121" customWidth="1"/>
    <col min="1814" max="1815" width="1.140625" style="121" customWidth="1"/>
    <col min="1816" max="1816" width="5.7109375" style="121" customWidth="1"/>
    <col min="1817" max="1817" width="1.140625" style="121" customWidth="1"/>
    <col min="1818" max="1818" width="0.7109375" style="121" customWidth="1"/>
    <col min="1819" max="1819" width="6.140625" style="121" customWidth="1"/>
    <col min="1820" max="1820" width="2.28515625" style="121" customWidth="1"/>
    <col min="1821" max="1821" width="1.140625" style="121" customWidth="1"/>
    <col min="1822" max="1822" width="2.42578125" style="121" customWidth="1"/>
    <col min="1823" max="1823" width="1" style="121" customWidth="1"/>
    <col min="1824" max="1825" width="1.140625" style="121" customWidth="1"/>
    <col min="1826" max="1826" width="3.85546875" style="121" customWidth="1"/>
    <col min="1827" max="1827" width="0.7109375" style="121" customWidth="1"/>
    <col min="1828" max="1828" width="1.140625" style="121" customWidth="1"/>
    <col min="1829" max="1829" width="1.5703125" style="121" customWidth="1"/>
    <col min="1830" max="1830" width="0.7109375" style="121" customWidth="1"/>
    <col min="1831" max="1831" width="1.140625" style="121" customWidth="1"/>
    <col min="1832" max="1832" width="3.5703125" style="121" customWidth="1"/>
    <col min="1833" max="1833" width="1" style="121" customWidth="1"/>
    <col min="1834" max="1834" width="3.42578125" style="121" customWidth="1"/>
    <col min="1835" max="1835" width="1.140625" style="121" customWidth="1"/>
    <col min="1836" max="1836" width="2.85546875" style="121" customWidth="1"/>
    <col min="1837" max="1837" width="0.5703125" style="121" customWidth="1"/>
    <col min="1838" max="1838" width="0.7109375" style="121" customWidth="1"/>
    <col min="1839" max="1839" width="1.5703125" style="121" customWidth="1"/>
    <col min="1840" max="1840" width="6.85546875" style="121" customWidth="1"/>
    <col min="1841" max="1841" width="1.140625" style="121" customWidth="1"/>
    <col min="1842" max="1843" width="0.5703125" style="121" customWidth="1"/>
    <col min="1844" max="1844" width="1.28515625" style="121" customWidth="1"/>
    <col min="1845" max="1845" width="1" style="121" customWidth="1"/>
    <col min="1846" max="1846" width="5.7109375" style="121" customWidth="1"/>
    <col min="1847" max="1848" width="0.5703125" style="121" customWidth="1"/>
    <col min="1849" max="1850" width="1.85546875" style="121" customWidth="1"/>
    <col min="1851" max="1851" width="3" style="121" customWidth="1"/>
    <col min="1852" max="1852" width="3.42578125" style="121" customWidth="1"/>
    <col min="1853" max="1853" width="1.140625" style="121" customWidth="1"/>
    <col min="1854" max="1854" width="3.42578125" style="121" customWidth="1"/>
    <col min="1855" max="1855" width="2.28515625" style="121" customWidth="1"/>
    <col min="1856" max="1856" width="1.7109375" style="121" customWidth="1"/>
    <col min="1857" max="1857" width="1" style="121" customWidth="1"/>
    <col min="1858" max="1858" width="0.7109375" style="121" customWidth="1"/>
    <col min="1859" max="1859" width="2.28515625" style="121" customWidth="1"/>
    <col min="1860" max="1860" width="1.140625" style="121" customWidth="1"/>
    <col min="1861" max="1861" width="2.28515625" style="121" customWidth="1"/>
    <col min="1862" max="1863" width="1.140625" style="121" customWidth="1"/>
    <col min="1864" max="1864" width="0.7109375" style="121" customWidth="1"/>
    <col min="1865" max="1865" width="2.85546875" style="121" customWidth="1"/>
    <col min="1866" max="1866" width="3.85546875" style="121" customWidth="1"/>
    <col min="1867" max="1869" width="0.5703125" style="121" customWidth="1"/>
    <col min="1870" max="1870" width="4.5703125" style="121" customWidth="1"/>
    <col min="1871" max="1871" width="1.140625" style="121" customWidth="1"/>
    <col min="1872" max="1872" width="1" style="121" customWidth="1"/>
    <col min="1873" max="1873" width="1.28515625" style="121" customWidth="1"/>
    <col min="1874" max="2048" width="6.85546875" style="121" customWidth="1"/>
    <col min="2049" max="2049" width="1.140625" style="121" customWidth="1"/>
    <col min="2050" max="2051" width="0.5703125" style="121" customWidth="1"/>
    <col min="2052" max="2052" width="3.42578125" style="121" customWidth="1"/>
    <col min="2053" max="2053" width="2.28515625" style="121" customWidth="1"/>
    <col min="2054" max="2055" width="1.140625" style="121" customWidth="1"/>
    <col min="2056" max="2057" width="3.42578125" style="121" customWidth="1"/>
    <col min="2058" max="2058" width="1.28515625" style="121" customWidth="1"/>
    <col min="2059" max="2059" width="2.140625" style="121" customWidth="1"/>
    <col min="2060" max="2060" width="1.140625" style="121" customWidth="1"/>
    <col min="2061" max="2061" width="2.28515625" style="121" customWidth="1"/>
    <col min="2062" max="2063" width="0.5703125" style="121" customWidth="1"/>
    <col min="2064" max="2064" width="1.140625" style="121" customWidth="1"/>
    <col min="2065" max="2065" width="0.7109375" style="121" customWidth="1"/>
    <col min="2066" max="2066" width="3.85546875" style="121" customWidth="1"/>
    <col min="2067" max="2067" width="4.5703125" style="121" customWidth="1"/>
    <col min="2068" max="2068" width="3" style="121" customWidth="1"/>
    <col min="2069" max="2069" width="2.7109375" style="121" customWidth="1"/>
    <col min="2070" max="2071" width="1.140625" style="121" customWidth="1"/>
    <col min="2072" max="2072" width="5.7109375" style="121" customWidth="1"/>
    <col min="2073" max="2073" width="1.140625" style="121" customWidth="1"/>
    <col min="2074" max="2074" width="0.7109375" style="121" customWidth="1"/>
    <col min="2075" max="2075" width="6.140625" style="121" customWidth="1"/>
    <col min="2076" max="2076" width="2.28515625" style="121" customWidth="1"/>
    <col min="2077" max="2077" width="1.140625" style="121" customWidth="1"/>
    <col min="2078" max="2078" width="2.42578125" style="121" customWidth="1"/>
    <col min="2079" max="2079" width="1" style="121" customWidth="1"/>
    <col min="2080" max="2081" width="1.140625" style="121" customWidth="1"/>
    <col min="2082" max="2082" width="3.85546875" style="121" customWidth="1"/>
    <col min="2083" max="2083" width="0.7109375" style="121" customWidth="1"/>
    <col min="2084" max="2084" width="1.140625" style="121" customWidth="1"/>
    <col min="2085" max="2085" width="1.5703125" style="121" customWidth="1"/>
    <col min="2086" max="2086" width="0.7109375" style="121" customWidth="1"/>
    <col min="2087" max="2087" width="1.140625" style="121" customWidth="1"/>
    <col min="2088" max="2088" width="3.5703125" style="121" customWidth="1"/>
    <col min="2089" max="2089" width="1" style="121" customWidth="1"/>
    <col min="2090" max="2090" width="3.42578125" style="121" customWidth="1"/>
    <col min="2091" max="2091" width="1.140625" style="121" customWidth="1"/>
    <col min="2092" max="2092" width="2.85546875" style="121" customWidth="1"/>
    <col min="2093" max="2093" width="0.5703125" style="121" customWidth="1"/>
    <col min="2094" max="2094" width="0.7109375" style="121" customWidth="1"/>
    <col min="2095" max="2095" width="1.5703125" style="121" customWidth="1"/>
    <col min="2096" max="2096" width="6.85546875" style="121" customWidth="1"/>
    <col min="2097" max="2097" width="1.140625" style="121" customWidth="1"/>
    <col min="2098" max="2099" width="0.5703125" style="121" customWidth="1"/>
    <col min="2100" max="2100" width="1.28515625" style="121" customWidth="1"/>
    <col min="2101" max="2101" width="1" style="121" customWidth="1"/>
    <col min="2102" max="2102" width="5.7109375" style="121" customWidth="1"/>
    <col min="2103" max="2104" width="0.5703125" style="121" customWidth="1"/>
    <col min="2105" max="2106" width="1.85546875" style="121" customWidth="1"/>
    <col min="2107" max="2107" width="3" style="121" customWidth="1"/>
    <col min="2108" max="2108" width="3.42578125" style="121" customWidth="1"/>
    <col min="2109" max="2109" width="1.140625" style="121" customWidth="1"/>
    <col min="2110" max="2110" width="3.42578125" style="121" customWidth="1"/>
    <col min="2111" max="2111" width="2.28515625" style="121" customWidth="1"/>
    <col min="2112" max="2112" width="1.7109375" style="121" customWidth="1"/>
    <col min="2113" max="2113" width="1" style="121" customWidth="1"/>
    <col min="2114" max="2114" width="0.7109375" style="121" customWidth="1"/>
    <col min="2115" max="2115" width="2.28515625" style="121" customWidth="1"/>
    <col min="2116" max="2116" width="1.140625" style="121" customWidth="1"/>
    <col min="2117" max="2117" width="2.28515625" style="121" customWidth="1"/>
    <col min="2118" max="2119" width="1.140625" style="121" customWidth="1"/>
    <col min="2120" max="2120" width="0.7109375" style="121" customWidth="1"/>
    <col min="2121" max="2121" width="2.85546875" style="121" customWidth="1"/>
    <col min="2122" max="2122" width="3.85546875" style="121" customWidth="1"/>
    <col min="2123" max="2125" width="0.5703125" style="121" customWidth="1"/>
    <col min="2126" max="2126" width="4.5703125" style="121" customWidth="1"/>
    <col min="2127" max="2127" width="1.140625" style="121" customWidth="1"/>
    <col min="2128" max="2128" width="1" style="121" customWidth="1"/>
    <col min="2129" max="2129" width="1.28515625" style="121" customWidth="1"/>
    <col min="2130" max="2304" width="6.85546875" style="121" customWidth="1"/>
    <col min="2305" max="2305" width="1.140625" style="121" customWidth="1"/>
    <col min="2306" max="2307" width="0.5703125" style="121" customWidth="1"/>
    <col min="2308" max="2308" width="3.42578125" style="121" customWidth="1"/>
    <col min="2309" max="2309" width="2.28515625" style="121" customWidth="1"/>
    <col min="2310" max="2311" width="1.140625" style="121" customWidth="1"/>
    <col min="2312" max="2313" width="3.42578125" style="121" customWidth="1"/>
    <col min="2314" max="2314" width="1.28515625" style="121" customWidth="1"/>
    <col min="2315" max="2315" width="2.140625" style="121" customWidth="1"/>
    <col min="2316" max="2316" width="1.140625" style="121" customWidth="1"/>
    <col min="2317" max="2317" width="2.28515625" style="121" customWidth="1"/>
    <col min="2318" max="2319" width="0.5703125" style="121" customWidth="1"/>
    <col min="2320" max="2320" width="1.140625" style="121" customWidth="1"/>
    <col min="2321" max="2321" width="0.7109375" style="121" customWidth="1"/>
    <col min="2322" max="2322" width="3.85546875" style="121" customWidth="1"/>
    <col min="2323" max="2323" width="4.5703125" style="121" customWidth="1"/>
    <col min="2324" max="2324" width="3" style="121" customWidth="1"/>
    <col min="2325" max="2325" width="2.7109375" style="121" customWidth="1"/>
    <col min="2326" max="2327" width="1.140625" style="121" customWidth="1"/>
    <col min="2328" max="2328" width="5.7109375" style="121" customWidth="1"/>
    <col min="2329" max="2329" width="1.140625" style="121" customWidth="1"/>
    <col min="2330" max="2330" width="0.7109375" style="121" customWidth="1"/>
    <col min="2331" max="2331" width="6.140625" style="121" customWidth="1"/>
    <col min="2332" max="2332" width="2.28515625" style="121" customWidth="1"/>
    <col min="2333" max="2333" width="1.140625" style="121" customWidth="1"/>
    <col min="2334" max="2334" width="2.42578125" style="121" customWidth="1"/>
    <col min="2335" max="2335" width="1" style="121" customWidth="1"/>
    <col min="2336" max="2337" width="1.140625" style="121" customWidth="1"/>
    <col min="2338" max="2338" width="3.85546875" style="121" customWidth="1"/>
    <col min="2339" max="2339" width="0.7109375" style="121" customWidth="1"/>
    <col min="2340" max="2340" width="1.140625" style="121" customWidth="1"/>
    <col min="2341" max="2341" width="1.5703125" style="121" customWidth="1"/>
    <col min="2342" max="2342" width="0.7109375" style="121" customWidth="1"/>
    <col min="2343" max="2343" width="1.140625" style="121" customWidth="1"/>
    <col min="2344" max="2344" width="3.5703125" style="121" customWidth="1"/>
    <col min="2345" max="2345" width="1" style="121" customWidth="1"/>
    <col min="2346" max="2346" width="3.42578125" style="121" customWidth="1"/>
    <col min="2347" max="2347" width="1.140625" style="121" customWidth="1"/>
    <col min="2348" max="2348" width="2.85546875" style="121" customWidth="1"/>
    <col min="2349" max="2349" width="0.5703125" style="121" customWidth="1"/>
    <col min="2350" max="2350" width="0.7109375" style="121" customWidth="1"/>
    <col min="2351" max="2351" width="1.5703125" style="121" customWidth="1"/>
    <col min="2352" max="2352" width="6.85546875" style="121" customWidth="1"/>
    <col min="2353" max="2353" width="1.140625" style="121" customWidth="1"/>
    <col min="2354" max="2355" width="0.5703125" style="121" customWidth="1"/>
    <col min="2356" max="2356" width="1.28515625" style="121" customWidth="1"/>
    <col min="2357" max="2357" width="1" style="121" customWidth="1"/>
    <col min="2358" max="2358" width="5.7109375" style="121" customWidth="1"/>
    <col min="2359" max="2360" width="0.5703125" style="121" customWidth="1"/>
    <col min="2361" max="2362" width="1.85546875" style="121" customWidth="1"/>
    <col min="2363" max="2363" width="3" style="121" customWidth="1"/>
    <col min="2364" max="2364" width="3.42578125" style="121" customWidth="1"/>
    <col min="2365" max="2365" width="1.140625" style="121" customWidth="1"/>
    <col min="2366" max="2366" width="3.42578125" style="121" customWidth="1"/>
    <col min="2367" max="2367" width="2.28515625" style="121" customWidth="1"/>
    <col min="2368" max="2368" width="1.7109375" style="121" customWidth="1"/>
    <col min="2369" max="2369" width="1" style="121" customWidth="1"/>
    <col min="2370" max="2370" width="0.7109375" style="121" customWidth="1"/>
    <col min="2371" max="2371" width="2.28515625" style="121" customWidth="1"/>
    <col min="2372" max="2372" width="1.140625" style="121" customWidth="1"/>
    <col min="2373" max="2373" width="2.28515625" style="121" customWidth="1"/>
    <col min="2374" max="2375" width="1.140625" style="121" customWidth="1"/>
    <col min="2376" max="2376" width="0.7109375" style="121" customWidth="1"/>
    <col min="2377" max="2377" width="2.85546875" style="121" customWidth="1"/>
    <col min="2378" max="2378" width="3.85546875" style="121" customWidth="1"/>
    <col min="2379" max="2381" width="0.5703125" style="121" customWidth="1"/>
    <col min="2382" max="2382" width="4.5703125" style="121" customWidth="1"/>
    <col min="2383" max="2383" width="1.140625" style="121" customWidth="1"/>
    <col min="2384" max="2384" width="1" style="121" customWidth="1"/>
    <col min="2385" max="2385" width="1.28515625" style="121" customWidth="1"/>
    <col min="2386" max="2560" width="6.85546875" style="121" customWidth="1"/>
    <col min="2561" max="2561" width="1.140625" style="121" customWidth="1"/>
    <col min="2562" max="2563" width="0.5703125" style="121" customWidth="1"/>
    <col min="2564" max="2564" width="3.42578125" style="121" customWidth="1"/>
    <col min="2565" max="2565" width="2.28515625" style="121" customWidth="1"/>
    <col min="2566" max="2567" width="1.140625" style="121" customWidth="1"/>
    <col min="2568" max="2569" width="3.42578125" style="121" customWidth="1"/>
    <col min="2570" max="2570" width="1.28515625" style="121" customWidth="1"/>
    <col min="2571" max="2571" width="2.140625" style="121" customWidth="1"/>
    <col min="2572" max="2572" width="1.140625" style="121" customWidth="1"/>
    <col min="2573" max="2573" width="2.28515625" style="121" customWidth="1"/>
    <col min="2574" max="2575" width="0.5703125" style="121" customWidth="1"/>
    <col min="2576" max="2576" width="1.140625" style="121" customWidth="1"/>
    <col min="2577" max="2577" width="0.7109375" style="121" customWidth="1"/>
    <col min="2578" max="2578" width="3.85546875" style="121" customWidth="1"/>
    <col min="2579" max="2579" width="4.5703125" style="121" customWidth="1"/>
    <col min="2580" max="2580" width="3" style="121" customWidth="1"/>
    <col min="2581" max="2581" width="2.7109375" style="121" customWidth="1"/>
    <col min="2582" max="2583" width="1.140625" style="121" customWidth="1"/>
    <col min="2584" max="2584" width="5.7109375" style="121" customWidth="1"/>
    <col min="2585" max="2585" width="1.140625" style="121" customWidth="1"/>
    <col min="2586" max="2586" width="0.7109375" style="121" customWidth="1"/>
    <col min="2587" max="2587" width="6.140625" style="121" customWidth="1"/>
    <col min="2588" max="2588" width="2.28515625" style="121" customWidth="1"/>
    <col min="2589" max="2589" width="1.140625" style="121" customWidth="1"/>
    <col min="2590" max="2590" width="2.42578125" style="121" customWidth="1"/>
    <col min="2591" max="2591" width="1" style="121" customWidth="1"/>
    <col min="2592" max="2593" width="1.140625" style="121" customWidth="1"/>
    <col min="2594" max="2594" width="3.85546875" style="121" customWidth="1"/>
    <col min="2595" max="2595" width="0.7109375" style="121" customWidth="1"/>
    <col min="2596" max="2596" width="1.140625" style="121" customWidth="1"/>
    <col min="2597" max="2597" width="1.5703125" style="121" customWidth="1"/>
    <col min="2598" max="2598" width="0.7109375" style="121" customWidth="1"/>
    <col min="2599" max="2599" width="1.140625" style="121" customWidth="1"/>
    <col min="2600" max="2600" width="3.5703125" style="121" customWidth="1"/>
    <col min="2601" max="2601" width="1" style="121" customWidth="1"/>
    <col min="2602" max="2602" width="3.42578125" style="121" customWidth="1"/>
    <col min="2603" max="2603" width="1.140625" style="121" customWidth="1"/>
    <col min="2604" max="2604" width="2.85546875" style="121" customWidth="1"/>
    <col min="2605" max="2605" width="0.5703125" style="121" customWidth="1"/>
    <col min="2606" max="2606" width="0.7109375" style="121" customWidth="1"/>
    <col min="2607" max="2607" width="1.5703125" style="121" customWidth="1"/>
    <col min="2608" max="2608" width="6.85546875" style="121" customWidth="1"/>
    <col min="2609" max="2609" width="1.140625" style="121" customWidth="1"/>
    <col min="2610" max="2611" width="0.5703125" style="121" customWidth="1"/>
    <col min="2612" max="2612" width="1.28515625" style="121" customWidth="1"/>
    <col min="2613" max="2613" width="1" style="121" customWidth="1"/>
    <col min="2614" max="2614" width="5.7109375" style="121" customWidth="1"/>
    <col min="2615" max="2616" width="0.5703125" style="121" customWidth="1"/>
    <col min="2617" max="2618" width="1.85546875" style="121" customWidth="1"/>
    <col min="2619" max="2619" width="3" style="121" customWidth="1"/>
    <col min="2620" max="2620" width="3.42578125" style="121" customWidth="1"/>
    <col min="2621" max="2621" width="1.140625" style="121" customWidth="1"/>
    <col min="2622" max="2622" width="3.42578125" style="121" customWidth="1"/>
    <col min="2623" max="2623" width="2.28515625" style="121" customWidth="1"/>
    <col min="2624" max="2624" width="1.7109375" style="121" customWidth="1"/>
    <col min="2625" max="2625" width="1" style="121" customWidth="1"/>
    <col min="2626" max="2626" width="0.7109375" style="121" customWidth="1"/>
    <col min="2627" max="2627" width="2.28515625" style="121" customWidth="1"/>
    <col min="2628" max="2628" width="1.140625" style="121" customWidth="1"/>
    <col min="2629" max="2629" width="2.28515625" style="121" customWidth="1"/>
    <col min="2630" max="2631" width="1.140625" style="121" customWidth="1"/>
    <col min="2632" max="2632" width="0.7109375" style="121" customWidth="1"/>
    <col min="2633" max="2633" width="2.85546875" style="121" customWidth="1"/>
    <col min="2634" max="2634" width="3.85546875" style="121" customWidth="1"/>
    <col min="2635" max="2637" width="0.5703125" style="121" customWidth="1"/>
    <col min="2638" max="2638" width="4.5703125" style="121" customWidth="1"/>
    <col min="2639" max="2639" width="1.140625" style="121" customWidth="1"/>
    <col min="2640" max="2640" width="1" style="121" customWidth="1"/>
    <col min="2641" max="2641" width="1.28515625" style="121" customWidth="1"/>
    <col min="2642" max="2816" width="6.85546875" style="121" customWidth="1"/>
    <col min="2817" max="2817" width="1.140625" style="121" customWidth="1"/>
    <col min="2818" max="2819" width="0.5703125" style="121" customWidth="1"/>
    <col min="2820" max="2820" width="3.42578125" style="121" customWidth="1"/>
    <col min="2821" max="2821" width="2.28515625" style="121" customWidth="1"/>
    <col min="2822" max="2823" width="1.140625" style="121" customWidth="1"/>
    <col min="2824" max="2825" width="3.42578125" style="121" customWidth="1"/>
    <col min="2826" max="2826" width="1.28515625" style="121" customWidth="1"/>
    <col min="2827" max="2827" width="2.140625" style="121" customWidth="1"/>
    <col min="2828" max="2828" width="1.140625" style="121" customWidth="1"/>
    <col min="2829" max="2829" width="2.28515625" style="121" customWidth="1"/>
    <col min="2830" max="2831" width="0.5703125" style="121" customWidth="1"/>
    <col min="2832" max="2832" width="1.140625" style="121" customWidth="1"/>
    <col min="2833" max="2833" width="0.7109375" style="121" customWidth="1"/>
    <col min="2834" max="2834" width="3.85546875" style="121" customWidth="1"/>
    <col min="2835" max="2835" width="4.5703125" style="121" customWidth="1"/>
    <col min="2836" max="2836" width="3" style="121" customWidth="1"/>
    <col min="2837" max="2837" width="2.7109375" style="121" customWidth="1"/>
    <col min="2838" max="2839" width="1.140625" style="121" customWidth="1"/>
    <col min="2840" max="2840" width="5.7109375" style="121" customWidth="1"/>
    <col min="2841" max="2841" width="1.140625" style="121" customWidth="1"/>
    <col min="2842" max="2842" width="0.7109375" style="121" customWidth="1"/>
    <col min="2843" max="2843" width="6.140625" style="121" customWidth="1"/>
    <col min="2844" max="2844" width="2.28515625" style="121" customWidth="1"/>
    <col min="2845" max="2845" width="1.140625" style="121" customWidth="1"/>
    <col min="2846" max="2846" width="2.42578125" style="121" customWidth="1"/>
    <col min="2847" max="2847" width="1" style="121" customWidth="1"/>
    <col min="2848" max="2849" width="1.140625" style="121" customWidth="1"/>
    <col min="2850" max="2850" width="3.85546875" style="121" customWidth="1"/>
    <col min="2851" max="2851" width="0.7109375" style="121" customWidth="1"/>
    <col min="2852" max="2852" width="1.140625" style="121" customWidth="1"/>
    <col min="2853" max="2853" width="1.5703125" style="121" customWidth="1"/>
    <col min="2854" max="2854" width="0.7109375" style="121" customWidth="1"/>
    <col min="2855" max="2855" width="1.140625" style="121" customWidth="1"/>
    <col min="2856" max="2856" width="3.5703125" style="121" customWidth="1"/>
    <col min="2857" max="2857" width="1" style="121" customWidth="1"/>
    <col min="2858" max="2858" width="3.42578125" style="121" customWidth="1"/>
    <col min="2859" max="2859" width="1.140625" style="121" customWidth="1"/>
    <col min="2860" max="2860" width="2.85546875" style="121" customWidth="1"/>
    <col min="2861" max="2861" width="0.5703125" style="121" customWidth="1"/>
    <col min="2862" max="2862" width="0.7109375" style="121" customWidth="1"/>
    <col min="2863" max="2863" width="1.5703125" style="121" customWidth="1"/>
    <col min="2864" max="2864" width="6.85546875" style="121" customWidth="1"/>
    <col min="2865" max="2865" width="1.140625" style="121" customWidth="1"/>
    <col min="2866" max="2867" width="0.5703125" style="121" customWidth="1"/>
    <col min="2868" max="2868" width="1.28515625" style="121" customWidth="1"/>
    <col min="2869" max="2869" width="1" style="121" customWidth="1"/>
    <col min="2870" max="2870" width="5.7109375" style="121" customWidth="1"/>
    <col min="2871" max="2872" width="0.5703125" style="121" customWidth="1"/>
    <col min="2873" max="2874" width="1.85546875" style="121" customWidth="1"/>
    <col min="2875" max="2875" width="3" style="121" customWidth="1"/>
    <col min="2876" max="2876" width="3.42578125" style="121" customWidth="1"/>
    <col min="2877" max="2877" width="1.140625" style="121" customWidth="1"/>
    <col min="2878" max="2878" width="3.42578125" style="121" customWidth="1"/>
    <col min="2879" max="2879" width="2.28515625" style="121" customWidth="1"/>
    <col min="2880" max="2880" width="1.7109375" style="121" customWidth="1"/>
    <col min="2881" max="2881" width="1" style="121" customWidth="1"/>
    <col min="2882" max="2882" width="0.7109375" style="121" customWidth="1"/>
    <col min="2883" max="2883" width="2.28515625" style="121" customWidth="1"/>
    <col min="2884" max="2884" width="1.140625" style="121" customWidth="1"/>
    <col min="2885" max="2885" width="2.28515625" style="121" customWidth="1"/>
    <col min="2886" max="2887" width="1.140625" style="121" customWidth="1"/>
    <col min="2888" max="2888" width="0.7109375" style="121" customWidth="1"/>
    <col min="2889" max="2889" width="2.85546875" style="121" customWidth="1"/>
    <col min="2890" max="2890" width="3.85546875" style="121" customWidth="1"/>
    <col min="2891" max="2893" width="0.5703125" style="121" customWidth="1"/>
    <col min="2894" max="2894" width="4.5703125" style="121" customWidth="1"/>
    <col min="2895" max="2895" width="1.140625" style="121" customWidth="1"/>
    <col min="2896" max="2896" width="1" style="121" customWidth="1"/>
    <col min="2897" max="2897" width="1.28515625" style="121" customWidth="1"/>
    <col min="2898" max="3072" width="6.85546875" style="121" customWidth="1"/>
    <col min="3073" max="3073" width="1.140625" style="121" customWidth="1"/>
    <col min="3074" max="3075" width="0.5703125" style="121" customWidth="1"/>
    <col min="3076" max="3076" width="3.42578125" style="121" customWidth="1"/>
    <col min="3077" max="3077" width="2.28515625" style="121" customWidth="1"/>
    <col min="3078" max="3079" width="1.140625" style="121" customWidth="1"/>
    <col min="3080" max="3081" width="3.42578125" style="121" customWidth="1"/>
    <col min="3082" max="3082" width="1.28515625" style="121" customWidth="1"/>
    <col min="3083" max="3083" width="2.140625" style="121" customWidth="1"/>
    <col min="3084" max="3084" width="1.140625" style="121" customWidth="1"/>
    <col min="3085" max="3085" width="2.28515625" style="121" customWidth="1"/>
    <col min="3086" max="3087" width="0.5703125" style="121" customWidth="1"/>
    <col min="3088" max="3088" width="1.140625" style="121" customWidth="1"/>
    <col min="3089" max="3089" width="0.7109375" style="121" customWidth="1"/>
    <col min="3090" max="3090" width="3.85546875" style="121" customWidth="1"/>
    <col min="3091" max="3091" width="4.5703125" style="121" customWidth="1"/>
    <col min="3092" max="3092" width="3" style="121" customWidth="1"/>
    <col min="3093" max="3093" width="2.7109375" style="121" customWidth="1"/>
    <col min="3094" max="3095" width="1.140625" style="121" customWidth="1"/>
    <col min="3096" max="3096" width="5.7109375" style="121" customWidth="1"/>
    <col min="3097" max="3097" width="1.140625" style="121" customWidth="1"/>
    <col min="3098" max="3098" width="0.7109375" style="121" customWidth="1"/>
    <col min="3099" max="3099" width="6.140625" style="121" customWidth="1"/>
    <col min="3100" max="3100" width="2.28515625" style="121" customWidth="1"/>
    <col min="3101" max="3101" width="1.140625" style="121" customWidth="1"/>
    <col min="3102" max="3102" width="2.42578125" style="121" customWidth="1"/>
    <col min="3103" max="3103" width="1" style="121" customWidth="1"/>
    <col min="3104" max="3105" width="1.140625" style="121" customWidth="1"/>
    <col min="3106" max="3106" width="3.85546875" style="121" customWidth="1"/>
    <col min="3107" max="3107" width="0.7109375" style="121" customWidth="1"/>
    <col min="3108" max="3108" width="1.140625" style="121" customWidth="1"/>
    <col min="3109" max="3109" width="1.5703125" style="121" customWidth="1"/>
    <col min="3110" max="3110" width="0.7109375" style="121" customWidth="1"/>
    <col min="3111" max="3111" width="1.140625" style="121" customWidth="1"/>
    <col min="3112" max="3112" width="3.5703125" style="121" customWidth="1"/>
    <col min="3113" max="3113" width="1" style="121" customWidth="1"/>
    <col min="3114" max="3114" width="3.42578125" style="121" customWidth="1"/>
    <col min="3115" max="3115" width="1.140625" style="121" customWidth="1"/>
    <col min="3116" max="3116" width="2.85546875" style="121" customWidth="1"/>
    <col min="3117" max="3117" width="0.5703125" style="121" customWidth="1"/>
    <col min="3118" max="3118" width="0.7109375" style="121" customWidth="1"/>
    <col min="3119" max="3119" width="1.5703125" style="121" customWidth="1"/>
    <col min="3120" max="3120" width="6.85546875" style="121" customWidth="1"/>
    <col min="3121" max="3121" width="1.140625" style="121" customWidth="1"/>
    <col min="3122" max="3123" width="0.5703125" style="121" customWidth="1"/>
    <col min="3124" max="3124" width="1.28515625" style="121" customWidth="1"/>
    <col min="3125" max="3125" width="1" style="121" customWidth="1"/>
    <col min="3126" max="3126" width="5.7109375" style="121" customWidth="1"/>
    <col min="3127" max="3128" width="0.5703125" style="121" customWidth="1"/>
    <col min="3129" max="3130" width="1.85546875" style="121" customWidth="1"/>
    <col min="3131" max="3131" width="3" style="121" customWidth="1"/>
    <col min="3132" max="3132" width="3.42578125" style="121" customWidth="1"/>
    <col min="3133" max="3133" width="1.140625" style="121" customWidth="1"/>
    <col min="3134" max="3134" width="3.42578125" style="121" customWidth="1"/>
    <col min="3135" max="3135" width="2.28515625" style="121" customWidth="1"/>
    <col min="3136" max="3136" width="1.7109375" style="121" customWidth="1"/>
    <col min="3137" max="3137" width="1" style="121" customWidth="1"/>
    <col min="3138" max="3138" width="0.7109375" style="121" customWidth="1"/>
    <col min="3139" max="3139" width="2.28515625" style="121" customWidth="1"/>
    <col min="3140" max="3140" width="1.140625" style="121" customWidth="1"/>
    <col min="3141" max="3141" width="2.28515625" style="121" customWidth="1"/>
    <col min="3142" max="3143" width="1.140625" style="121" customWidth="1"/>
    <col min="3144" max="3144" width="0.7109375" style="121" customWidth="1"/>
    <col min="3145" max="3145" width="2.85546875" style="121" customWidth="1"/>
    <col min="3146" max="3146" width="3.85546875" style="121" customWidth="1"/>
    <col min="3147" max="3149" width="0.5703125" style="121" customWidth="1"/>
    <col min="3150" max="3150" width="4.5703125" style="121" customWidth="1"/>
    <col min="3151" max="3151" width="1.140625" style="121" customWidth="1"/>
    <col min="3152" max="3152" width="1" style="121" customWidth="1"/>
    <col min="3153" max="3153" width="1.28515625" style="121" customWidth="1"/>
    <col min="3154" max="3328" width="6.85546875" style="121" customWidth="1"/>
    <col min="3329" max="3329" width="1.140625" style="121" customWidth="1"/>
    <col min="3330" max="3331" width="0.5703125" style="121" customWidth="1"/>
    <col min="3332" max="3332" width="3.42578125" style="121" customWidth="1"/>
    <col min="3333" max="3333" width="2.28515625" style="121" customWidth="1"/>
    <col min="3334" max="3335" width="1.140625" style="121" customWidth="1"/>
    <col min="3336" max="3337" width="3.42578125" style="121" customWidth="1"/>
    <col min="3338" max="3338" width="1.28515625" style="121" customWidth="1"/>
    <col min="3339" max="3339" width="2.140625" style="121" customWidth="1"/>
    <col min="3340" max="3340" width="1.140625" style="121" customWidth="1"/>
    <col min="3341" max="3341" width="2.28515625" style="121" customWidth="1"/>
    <col min="3342" max="3343" width="0.5703125" style="121" customWidth="1"/>
    <col min="3344" max="3344" width="1.140625" style="121" customWidth="1"/>
    <col min="3345" max="3345" width="0.7109375" style="121" customWidth="1"/>
    <col min="3346" max="3346" width="3.85546875" style="121" customWidth="1"/>
    <col min="3347" max="3347" width="4.5703125" style="121" customWidth="1"/>
    <col min="3348" max="3348" width="3" style="121" customWidth="1"/>
    <col min="3349" max="3349" width="2.7109375" style="121" customWidth="1"/>
    <col min="3350" max="3351" width="1.140625" style="121" customWidth="1"/>
    <col min="3352" max="3352" width="5.7109375" style="121" customWidth="1"/>
    <col min="3353" max="3353" width="1.140625" style="121" customWidth="1"/>
    <col min="3354" max="3354" width="0.7109375" style="121" customWidth="1"/>
    <col min="3355" max="3355" width="6.140625" style="121" customWidth="1"/>
    <col min="3356" max="3356" width="2.28515625" style="121" customWidth="1"/>
    <col min="3357" max="3357" width="1.140625" style="121" customWidth="1"/>
    <col min="3358" max="3358" width="2.42578125" style="121" customWidth="1"/>
    <col min="3359" max="3359" width="1" style="121" customWidth="1"/>
    <col min="3360" max="3361" width="1.140625" style="121" customWidth="1"/>
    <col min="3362" max="3362" width="3.85546875" style="121" customWidth="1"/>
    <col min="3363" max="3363" width="0.7109375" style="121" customWidth="1"/>
    <col min="3364" max="3364" width="1.140625" style="121" customWidth="1"/>
    <col min="3365" max="3365" width="1.5703125" style="121" customWidth="1"/>
    <col min="3366" max="3366" width="0.7109375" style="121" customWidth="1"/>
    <col min="3367" max="3367" width="1.140625" style="121" customWidth="1"/>
    <col min="3368" max="3368" width="3.5703125" style="121" customWidth="1"/>
    <col min="3369" max="3369" width="1" style="121" customWidth="1"/>
    <col min="3370" max="3370" width="3.42578125" style="121" customWidth="1"/>
    <col min="3371" max="3371" width="1.140625" style="121" customWidth="1"/>
    <col min="3372" max="3372" width="2.85546875" style="121" customWidth="1"/>
    <col min="3373" max="3373" width="0.5703125" style="121" customWidth="1"/>
    <col min="3374" max="3374" width="0.7109375" style="121" customWidth="1"/>
    <col min="3375" max="3375" width="1.5703125" style="121" customWidth="1"/>
    <col min="3376" max="3376" width="6.85546875" style="121" customWidth="1"/>
    <col min="3377" max="3377" width="1.140625" style="121" customWidth="1"/>
    <col min="3378" max="3379" width="0.5703125" style="121" customWidth="1"/>
    <col min="3380" max="3380" width="1.28515625" style="121" customWidth="1"/>
    <col min="3381" max="3381" width="1" style="121" customWidth="1"/>
    <col min="3382" max="3382" width="5.7109375" style="121" customWidth="1"/>
    <col min="3383" max="3384" width="0.5703125" style="121" customWidth="1"/>
    <col min="3385" max="3386" width="1.85546875" style="121" customWidth="1"/>
    <col min="3387" max="3387" width="3" style="121" customWidth="1"/>
    <col min="3388" max="3388" width="3.42578125" style="121" customWidth="1"/>
    <col min="3389" max="3389" width="1.140625" style="121" customWidth="1"/>
    <col min="3390" max="3390" width="3.42578125" style="121" customWidth="1"/>
    <col min="3391" max="3391" width="2.28515625" style="121" customWidth="1"/>
    <col min="3392" max="3392" width="1.7109375" style="121" customWidth="1"/>
    <col min="3393" max="3393" width="1" style="121" customWidth="1"/>
    <col min="3394" max="3394" width="0.7109375" style="121" customWidth="1"/>
    <col min="3395" max="3395" width="2.28515625" style="121" customWidth="1"/>
    <col min="3396" max="3396" width="1.140625" style="121" customWidth="1"/>
    <col min="3397" max="3397" width="2.28515625" style="121" customWidth="1"/>
    <col min="3398" max="3399" width="1.140625" style="121" customWidth="1"/>
    <col min="3400" max="3400" width="0.7109375" style="121" customWidth="1"/>
    <col min="3401" max="3401" width="2.85546875" style="121" customWidth="1"/>
    <col min="3402" max="3402" width="3.85546875" style="121" customWidth="1"/>
    <col min="3403" max="3405" width="0.5703125" style="121" customWidth="1"/>
    <col min="3406" max="3406" width="4.5703125" style="121" customWidth="1"/>
    <col min="3407" max="3407" width="1.140625" style="121" customWidth="1"/>
    <col min="3408" max="3408" width="1" style="121" customWidth="1"/>
    <col min="3409" max="3409" width="1.28515625" style="121" customWidth="1"/>
    <col min="3410" max="3584" width="6.85546875" style="121" customWidth="1"/>
    <col min="3585" max="3585" width="1.140625" style="121" customWidth="1"/>
    <col min="3586" max="3587" width="0.5703125" style="121" customWidth="1"/>
    <col min="3588" max="3588" width="3.42578125" style="121" customWidth="1"/>
    <col min="3589" max="3589" width="2.28515625" style="121" customWidth="1"/>
    <col min="3590" max="3591" width="1.140625" style="121" customWidth="1"/>
    <col min="3592" max="3593" width="3.42578125" style="121" customWidth="1"/>
    <col min="3594" max="3594" width="1.28515625" style="121" customWidth="1"/>
    <col min="3595" max="3595" width="2.140625" style="121" customWidth="1"/>
    <col min="3596" max="3596" width="1.140625" style="121" customWidth="1"/>
    <col min="3597" max="3597" width="2.28515625" style="121" customWidth="1"/>
    <col min="3598" max="3599" width="0.5703125" style="121" customWidth="1"/>
    <col min="3600" max="3600" width="1.140625" style="121" customWidth="1"/>
    <col min="3601" max="3601" width="0.7109375" style="121" customWidth="1"/>
    <col min="3602" max="3602" width="3.85546875" style="121" customWidth="1"/>
    <col min="3603" max="3603" width="4.5703125" style="121" customWidth="1"/>
    <col min="3604" max="3604" width="3" style="121" customWidth="1"/>
    <col min="3605" max="3605" width="2.7109375" style="121" customWidth="1"/>
    <col min="3606" max="3607" width="1.140625" style="121" customWidth="1"/>
    <col min="3608" max="3608" width="5.7109375" style="121" customWidth="1"/>
    <col min="3609" max="3609" width="1.140625" style="121" customWidth="1"/>
    <col min="3610" max="3610" width="0.7109375" style="121" customWidth="1"/>
    <col min="3611" max="3611" width="6.140625" style="121" customWidth="1"/>
    <col min="3612" max="3612" width="2.28515625" style="121" customWidth="1"/>
    <col min="3613" max="3613" width="1.140625" style="121" customWidth="1"/>
    <col min="3614" max="3614" width="2.42578125" style="121" customWidth="1"/>
    <col min="3615" max="3615" width="1" style="121" customWidth="1"/>
    <col min="3616" max="3617" width="1.140625" style="121" customWidth="1"/>
    <col min="3618" max="3618" width="3.85546875" style="121" customWidth="1"/>
    <col min="3619" max="3619" width="0.7109375" style="121" customWidth="1"/>
    <col min="3620" max="3620" width="1.140625" style="121" customWidth="1"/>
    <col min="3621" max="3621" width="1.5703125" style="121" customWidth="1"/>
    <col min="3622" max="3622" width="0.7109375" style="121" customWidth="1"/>
    <col min="3623" max="3623" width="1.140625" style="121" customWidth="1"/>
    <col min="3624" max="3624" width="3.5703125" style="121" customWidth="1"/>
    <col min="3625" max="3625" width="1" style="121" customWidth="1"/>
    <col min="3626" max="3626" width="3.42578125" style="121" customWidth="1"/>
    <col min="3627" max="3627" width="1.140625" style="121" customWidth="1"/>
    <col min="3628" max="3628" width="2.85546875" style="121" customWidth="1"/>
    <col min="3629" max="3629" width="0.5703125" style="121" customWidth="1"/>
    <col min="3630" max="3630" width="0.7109375" style="121" customWidth="1"/>
    <col min="3631" max="3631" width="1.5703125" style="121" customWidth="1"/>
    <col min="3632" max="3632" width="6.85546875" style="121" customWidth="1"/>
    <col min="3633" max="3633" width="1.140625" style="121" customWidth="1"/>
    <col min="3634" max="3635" width="0.5703125" style="121" customWidth="1"/>
    <col min="3636" max="3636" width="1.28515625" style="121" customWidth="1"/>
    <col min="3637" max="3637" width="1" style="121" customWidth="1"/>
    <col min="3638" max="3638" width="5.7109375" style="121" customWidth="1"/>
    <col min="3639" max="3640" width="0.5703125" style="121" customWidth="1"/>
    <col min="3641" max="3642" width="1.85546875" style="121" customWidth="1"/>
    <col min="3643" max="3643" width="3" style="121" customWidth="1"/>
    <col min="3644" max="3644" width="3.42578125" style="121" customWidth="1"/>
    <col min="3645" max="3645" width="1.140625" style="121" customWidth="1"/>
    <col min="3646" max="3646" width="3.42578125" style="121" customWidth="1"/>
    <col min="3647" max="3647" width="2.28515625" style="121" customWidth="1"/>
    <col min="3648" max="3648" width="1.7109375" style="121" customWidth="1"/>
    <col min="3649" max="3649" width="1" style="121" customWidth="1"/>
    <col min="3650" max="3650" width="0.7109375" style="121" customWidth="1"/>
    <col min="3651" max="3651" width="2.28515625" style="121" customWidth="1"/>
    <col min="3652" max="3652" width="1.140625" style="121" customWidth="1"/>
    <col min="3653" max="3653" width="2.28515625" style="121" customWidth="1"/>
    <col min="3654" max="3655" width="1.140625" style="121" customWidth="1"/>
    <col min="3656" max="3656" width="0.7109375" style="121" customWidth="1"/>
    <col min="3657" max="3657" width="2.85546875" style="121" customWidth="1"/>
    <col min="3658" max="3658" width="3.85546875" style="121" customWidth="1"/>
    <col min="3659" max="3661" width="0.5703125" style="121" customWidth="1"/>
    <col min="3662" max="3662" width="4.5703125" style="121" customWidth="1"/>
    <col min="3663" max="3663" width="1.140625" style="121" customWidth="1"/>
    <col min="3664" max="3664" width="1" style="121" customWidth="1"/>
    <col min="3665" max="3665" width="1.28515625" style="121" customWidth="1"/>
    <col min="3666" max="3840" width="6.85546875" style="121" customWidth="1"/>
    <col min="3841" max="3841" width="1.140625" style="121" customWidth="1"/>
    <col min="3842" max="3843" width="0.5703125" style="121" customWidth="1"/>
    <col min="3844" max="3844" width="3.42578125" style="121" customWidth="1"/>
    <col min="3845" max="3845" width="2.28515625" style="121" customWidth="1"/>
    <col min="3846" max="3847" width="1.140625" style="121" customWidth="1"/>
    <col min="3848" max="3849" width="3.42578125" style="121" customWidth="1"/>
    <col min="3850" max="3850" width="1.28515625" style="121" customWidth="1"/>
    <col min="3851" max="3851" width="2.140625" style="121" customWidth="1"/>
    <col min="3852" max="3852" width="1.140625" style="121" customWidth="1"/>
    <col min="3853" max="3853" width="2.28515625" style="121" customWidth="1"/>
    <col min="3854" max="3855" width="0.5703125" style="121" customWidth="1"/>
    <col min="3856" max="3856" width="1.140625" style="121" customWidth="1"/>
    <col min="3857" max="3857" width="0.7109375" style="121" customWidth="1"/>
    <col min="3858" max="3858" width="3.85546875" style="121" customWidth="1"/>
    <col min="3859" max="3859" width="4.5703125" style="121" customWidth="1"/>
    <col min="3860" max="3860" width="3" style="121" customWidth="1"/>
    <col min="3861" max="3861" width="2.7109375" style="121" customWidth="1"/>
    <col min="3862" max="3863" width="1.140625" style="121" customWidth="1"/>
    <col min="3864" max="3864" width="5.7109375" style="121" customWidth="1"/>
    <col min="3865" max="3865" width="1.140625" style="121" customWidth="1"/>
    <col min="3866" max="3866" width="0.7109375" style="121" customWidth="1"/>
    <col min="3867" max="3867" width="6.140625" style="121" customWidth="1"/>
    <col min="3868" max="3868" width="2.28515625" style="121" customWidth="1"/>
    <col min="3869" max="3869" width="1.140625" style="121" customWidth="1"/>
    <col min="3870" max="3870" width="2.42578125" style="121" customWidth="1"/>
    <col min="3871" max="3871" width="1" style="121" customWidth="1"/>
    <col min="3872" max="3873" width="1.140625" style="121" customWidth="1"/>
    <col min="3874" max="3874" width="3.85546875" style="121" customWidth="1"/>
    <col min="3875" max="3875" width="0.7109375" style="121" customWidth="1"/>
    <col min="3876" max="3876" width="1.140625" style="121" customWidth="1"/>
    <col min="3877" max="3877" width="1.5703125" style="121" customWidth="1"/>
    <col min="3878" max="3878" width="0.7109375" style="121" customWidth="1"/>
    <col min="3879" max="3879" width="1.140625" style="121" customWidth="1"/>
    <col min="3880" max="3880" width="3.5703125" style="121" customWidth="1"/>
    <col min="3881" max="3881" width="1" style="121" customWidth="1"/>
    <col min="3882" max="3882" width="3.42578125" style="121" customWidth="1"/>
    <col min="3883" max="3883" width="1.140625" style="121" customWidth="1"/>
    <col min="3884" max="3884" width="2.85546875" style="121" customWidth="1"/>
    <col min="3885" max="3885" width="0.5703125" style="121" customWidth="1"/>
    <col min="3886" max="3886" width="0.7109375" style="121" customWidth="1"/>
    <col min="3887" max="3887" width="1.5703125" style="121" customWidth="1"/>
    <col min="3888" max="3888" width="6.85546875" style="121" customWidth="1"/>
    <col min="3889" max="3889" width="1.140625" style="121" customWidth="1"/>
    <col min="3890" max="3891" width="0.5703125" style="121" customWidth="1"/>
    <col min="3892" max="3892" width="1.28515625" style="121" customWidth="1"/>
    <col min="3893" max="3893" width="1" style="121" customWidth="1"/>
    <col min="3894" max="3894" width="5.7109375" style="121" customWidth="1"/>
    <col min="3895" max="3896" width="0.5703125" style="121" customWidth="1"/>
    <col min="3897" max="3898" width="1.85546875" style="121" customWidth="1"/>
    <col min="3899" max="3899" width="3" style="121" customWidth="1"/>
    <col min="3900" max="3900" width="3.42578125" style="121" customWidth="1"/>
    <col min="3901" max="3901" width="1.140625" style="121" customWidth="1"/>
    <col min="3902" max="3902" width="3.42578125" style="121" customWidth="1"/>
    <col min="3903" max="3903" width="2.28515625" style="121" customWidth="1"/>
    <col min="3904" max="3904" width="1.7109375" style="121" customWidth="1"/>
    <col min="3905" max="3905" width="1" style="121" customWidth="1"/>
    <col min="3906" max="3906" width="0.7109375" style="121" customWidth="1"/>
    <col min="3907" max="3907" width="2.28515625" style="121" customWidth="1"/>
    <col min="3908" max="3908" width="1.140625" style="121" customWidth="1"/>
    <col min="3909" max="3909" width="2.28515625" style="121" customWidth="1"/>
    <col min="3910" max="3911" width="1.140625" style="121" customWidth="1"/>
    <col min="3912" max="3912" width="0.7109375" style="121" customWidth="1"/>
    <col min="3913" max="3913" width="2.85546875" style="121" customWidth="1"/>
    <col min="3914" max="3914" width="3.85546875" style="121" customWidth="1"/>
    <col min="3915" max="3917" width="0.5703125" style="121" customWidth="1"/>
    <col min="3918" max="3918" width="4.5703125" style="121" customWidth="1"/>
    <col min="3919" max="3919" width="1.140625" style="121" customWidth="1"/>
    <col min="3920" max="3920" width="1" style="121" customWidth="1"/>
    <col min="3921" max="3921" width="1.28515625" style="121" customWidth="1"/>
    <col min="3922" max="4096" width="6.85546875" style="121" customWidth="1"/>
    <col min="4097" max="4097" width="1.140625" style="121" customWidth="1"/>
    <col min="4098" max="4099" width="0.5703125" style="121" customWidth="1"/>
    <col min="4100" max="4100" width="3.42578125" style="121" customWidth="1"/>
    <col min="4101" max="4101" width="2.28515625" style="121" customWidth="1"/>
    <col min="4102" max="4103" width="1.140625" style="121" customWidth="1"/>
    <col min="4104" max="4105" width="3.42578125" style="121" customWidth="1"/>
    <col min="4106" max="4106" width="1.28515625" style="121" customWidth="1"/>
    <col min="4107" max="4107" width="2.140625" style="121" customWidth="1"/>
    <col min="4108" max="4108" width="1.140625" style="121" customWidth="1"/>
    <col min="4109" max="4109" width="2.28515625" style="121" customWidth="1"/>
    <col min="4110" max="4111" width="0.5703125" style="121" customWidth="1"/>
    <col min="4112" max="4112" width="1.140625" style="121" customWidth="1"/>
    <col min="4113" max="4113" width="0.7109375" style="121" customWidth="1"/>
    <col min="4114" max="4114" width="3.85546875" style="121" customWidth="1"/>
    <col min="4115" max="4115" width="4.5703125" style="121" customWidth="1"/>
    <col min="4116" max="4116" width="3" style="121" customWidth="1"/>
    <col min="4117" max="4117" width="2.7109375" style="121" customWidth="1"/>
    <col min="4118" max="4119" width="1.140625" style="121" customWidth="1"/>
    <col min="4120" max="4120" width="5.7109375" style="121" customWidth="1"/>
    <col min="4121" max="4121" width="1.140625" style="121" customWidth="1"/>
    <col min="4122" max="4122" width="0.7109375" style="121" customWidth="1"/>
    <col min="4123" max="4123" width="6.140625" style="121" customWidth="1"/>
    <col min="4124" max="4124" width="2.28515625" style="121" customWidth="1"/>
    <col min="4125" max="4125" width="1.140625" style="121" customWidth="1"/>
    <col min="4126" max="4126" width="2.42578125" style="121" customWidth="1"/>
    <col min="4127" max="4127" width="1" style="121" customWidth="1"/>
    <col min="4128" max="4129" width="1.140625" style="121" customWidth="1"/>
    <col min="4130" max="4130" width="3.85546875" style="121" customWidth="1"/>
    <col min="4131" max="4131" width="0.7109375" style="121" customWidth="1"/>
    <col min="4132" max="4132" width="1.140625" style="121" customWidth="1"/>
    <col min="4133" max="4133" width="1.5703125" style="121" customWidth="1"/>
    <col min="4134" max="4134" width="0.7109375" style="121" customWidth="1"/>
    <col min="4135" max="4135" width="1.140625" style="121" customWidth="1"/>
    <col min="4136" max="4136" width="3.5703125" style="121" customWidth="1"/>
    <col min="4137" max="4137" width="1" style="121" customWidth="1"/>
    <col min="4138" max="4138" width="3.42578125" style="121" customWidth="1"/>
    <col min="4139" max="4139" width="1.140625" style="121" customWidth="1"/>
    <col min="4140" max="4140" width="2.85546875" style="121" customWidth="1"/>
    <col min="4141" max="4141" width="0.5703125" style="121" customWidth="1"/>
    <col min="4142" max="4142" width="0.7109375" style="121" customWidth="1"/>
    <col min="4143" max="4143" width="1.5703125" style="121" customWidth="1"/>
    <col min="4144" max="4144" width="6.85546875" style="121" customWidth="1"/>
    <col min="4145" max="4145" width="1.140625" style="121" customWidth="1"/>
    <col min="4146" max="4147" width="0.5703125" style="121" customWidth="1"/>
    <col min="4148" max="4148" width="1.28515625" style="121" customWidth="1"/>
    <col min="4149" max="4149" width="1" style="121" customWidth="1"/>
    <col min="4150" max="4150" width="5.7109375" style="121" customWidth="1"/>
    <col min="4151" max="4152" width="0.5703125" style="121" customWidth="1"/>
    <col min="4153" max="4154" width="1.85546875" style="121" customWidth="1"/>
    <col min="4155" max="4155" width="3" style="121" customWidth="1"/>
    <col min="4156" max="4156" width="3.42578125" style="121" customWidth="1"/>
    <col min="4157" max="4157" width="1.140625" style="121" customWidth="1"/>
    <col min="4158" max="4158" width="3.42578125" style="121" customWidth="1"/>
    <col min="4159" max="4159" width="2.28515625" style="121" customWidth="1"/>
    <col min="4160" max="4160" width="1.7109375" style="121" customWidth="1"/>
    <col min="4161" max="4161" width="1" style="121" customWidth="1"/>
    <col min="4162" max="4162" width="0.7109375" style="121" customWidth="1"/>
    <col min="4163" max="4163" width="2.28515625" style="121" customWidth="1"/>
    <col min="4164" max="4164" width="1.140625" style="121" customWidth="1"/>
    <col min="4165" max="4165" width="2.28515625" style="121" customWidth="1"/>
    <col min="4166" max="4167" width="1.140625" style="121" customWidth="1"/>
    <col min="4168" max="4168" width="0.7109375" style="121" customWidth="1"/>
    <col min="4169" max="4169" width="2.85546875" style="121" customWidth="1"/>
    <col min="4170" max="4170" width="3.85546875" style="121" customWidth="1"/>
    <col min="4171" max="4173" width="0.5703125" style="121" customWidth="1"/>
    <col min="4174" max="4174" width="4.5703125" style="121" customWidth="1"/>
    <col min="4175" max="4175" width="1.140625" style="121" customWidth="1"/>
    <col min="4176" max="4176" width="1" style="121" customWidth="1"/>
    <col min="4177" max="4177" width="1.28515625" style="121" customWidth="1"/>
    <col min="4178" max="4352" width="6.85546875" style="121" customWidth="1"/>
    <col min="4353" max="4353" width="1.140625" style="121" customWidth="1"/>
    <col min="4354" max="4355" width="0.5703125" style="121" customWidth="1"/>
    <col min="4356" max="4356" width="3.42578125" style="121" customWidth="1"/>
    <col min="4357" max="4357" width="2.28515625" style="121" customWidth="1"/>
    <col min="4358" max="4359" width="1.140625" style="121" customWidth="1"/>
    <col min="4360" max="4361" width="3.42578125" style="121" customWidth="1"/>
    <col min="4362" max="4362" width="1.28515625" style="121" customWidth="1"/>
    <col min="4363" max="4363" width="2.140625" style="121" customWidth="1"/>
    <col min="4364" max="4364" width="1.140625" style="121" customWidth="1"/>
    <col min="4365" max="4365" width="2.28515625" style="121" customWidth="1"/>
    <col min="4366" max="4367" width="0.5703125" style="121" customWidth="1"/>
    <col min="4368" max="4368" width="1.140625" style="121" customWidth="1"/>
    <col min="4369" max="4369" width="0.7109375" style="121" customWidth="1"/>
    <col min="4370" max="4370" width="3.85546875" style="121" customWidth="1"/>
    <col min="4371" max="4371" width="4.5703125" style="121" customWidth="1"/>
    <col min="4372" max="4372" width="3" style="121" customWidth="1"/>
    <col min="4373" max="4373" width="2.7109375" style="121" customWidth="1"/>
    <col min="4374" max="4375" width="1.140625" style="121" customWidth="1"/>
    <col min="4376" max="4376" width="5.7109375" style="121" customWidth="1"/>
    <col min="4377" max="4377" width="1.140625" style="121" customWidth="1"/>
    <col min="4378" max="4378" width="0.7109375" style="121" customWidth="1"/>
    <col min="4379" max="4379" width="6.140625" style="121" customWidth="1"/>
    <col min="4380" max="4380" width="2.28515625" style="121" customWidth="1"/>
    <col min="4381" max="4381" width="1.140625" style="121" customWidth="1"/>
    <col min="4382" max="4382" width="2.42578125" style="121" customWidth="1"/>
    <col min="4383" max="4383" width="1" style="121" customWidth="1"/>
    <col min="4384" max="4385" width="1.140625" style="121" customWidth="1"/>
    <col min="4386" max="4386" width="3.85546875" style="121" customWidth="1"/>
    <col min="4387" max="4387" width="0.7109375" style="121" customWidth="1"/>
    <col min="4388" max="4388" width="1.140625" style="121" customWidth="1"/>
    <col min="4389" max="4389" width="1.5703125" style="121" customWidth="1"/>
    <col min="4390" max="4390" width="0.7109375" style="121" customWidth="1"/>
    <col min="4391" max="4391" width="1.140625" style="121" customWidth="1"/>
    <col min="4392" max="4392" width="3.5703125" style="121" customWidth="1"/>
    <col min="4393" max="4393" width="1" style="121" customWidth="1"/>
    <col min="4394" max="4394" width="3.42578125" style="121" customWidth="1"/>
    <col min="4395" max="4395" width="1.140625" style="121" customWidth="1"/>
    <col min="4396" max="4396" width="2.85546875" style="121" customWidth="1"/>
    <col min="4397" max="4397" width="0.5703125" style="121" customWidth="1"/>
    <col min="4398" max="4398" width="0.7109375" style="121" customWidth="1"/>
    <col min="4399" max="4399" width="1.5703125" style="121" customWidth="1"/>
    <col min="4400" max="4400" width="6.85546875" style="121" customWidth="1"/>
    <col min="4401" max="4401" width="1.140625" style="121" customWidth="1"/>
    <col min="4402" max="4403" width="0.5703125" style="121" customWidth="1"/>
    <col min="4404" max="4404" width="1.28515625" style="121" customWidth="1"/>
    <col min="4405" max="4405" width="1" style="121" customWidth="1"/>
    <col min="4406" max="4406" width="5.7109375" style="121" customWidth="1"/>
    <col min="4407" max="4408" width="0.5703125" style="121" customWidth="1"/>
    <col min="4409" max="4410" width="1.85546875" style="121" customWidth="1"/>
    <col min="4411" max="4411" width="3" style="121" customWidth="1"/>
    <col min="4412" max="4412" width="3.42578125" style="121" customWidth="1"/>
    <col min="4413" max="4413" width="1.140625" style="121" customWidth="1"/>
    <col min="4414" max="4414" width="3.42578125" style="121" customWidth="1"/>
    <col min="4415" max="4415" width="2.28515625" style="121" customWidth="1"/>
    <col min="4416" max="4416" width="1.7109375" style="121" customWidth="1"/>
    <col min="4417" max="4417" width="1" style="121" customWidth="1"/>
    <col min="4418" max="4418" width="0.7109375" style="121" customWidth="1"/>
    <col min="4419" max="4419" width="2.28515625" style="121" customWidth="1"/>
    <col min="4420" max="4420" width="1.140625" style="121" customWidth="1"/>
    <col min="4421" max="4421" width="2.28515625" style="121" customWidth="1"/>
    <col min="4422" max="4423" width="1.140625" style="121" customWidth="1"/>
    <col min="4424" max="4424" width="0.7109375" style="121" customWidth="1"/>
    <col min="4425" max="4425" width="2.85546875" style="121" customWidth="1"/>
    <col min="4426" max="4426" width="3.85546875" style="121" customWidth="1"/>
    <col min="4427" max="4429" width="0.5703125" style="121" customWidth="1"/>
    <col min="4430" max="4430" width="4.5703125" style="121" customWidth="1"/>
    <col min="4431" max="4431" width="1.140625" style="121" customWidth="1"/>
    <col min="4432" max="4432" width="1" style="121" customWidth="1"/>
    <col min="4433" max="4433" width="1.28515625" style="121" customWidth="1"/>
    <col min="4434" max="4608" width="6.85546875" style="121" customWidth="1"/>
    <col min="4609" max="4609" width="1.140625" style="121" customWidth="1"/>
    <col min="4610" max="4611" width="0.5703125" style="121" customWidth="1"/>
    <col min="4612" max="4612" width="3.42578125" style="121" customWidth="1"/>
    <col min="4613" max="4613" width="2.28515625" style="121" customWidth="1"/>
    <col min="4614" max="4615" width="1.140625" style="121" customWidth="1"/>
    <col min="4616" max="4617" width="3.42578125" style="121" customWidth="1"/>
    <col min="4618" max="4618" width="1.28515625" style="121" customWidth="1"/>
    <col min="4619" max="4619" width="2.140625" style="121" customWidth="1"/>
    <col min="4620" max="4620" width="1.140625" style="121" customWidth="1"/>
    <col min="4621" max="4621" width="2.28515625" style="121" customWidth="1"/>
    <col min="4622" max="4623" width="0.5703125" style="121" customWidth="1"/>
    <col min="4624" max="4624" width="1.140625" style="121" customWidth="1"/>
    <col min="4625" max="4625" width="0.7109375" style="121" customWidth="1"/>
    <col min="4626" max="4626" width="3.85546875" style="121" customWidth="1"/>
    <col min="4627" max="4627" width="4.5703125" style="121" customWidth="1"/>
    <col min="4628" max="4628" width="3" style="121" customWidth="1"/>
    <col min="4629" max="4629" width="2.7109375" style="121" customWidth="1"/>
    <col min="4630" max="4631" width="1.140625" style="121" customWidth="1"/>
    <col min="4632" max="4632" width="5.7109375" style="121" customWidth="1"/>
    <col min="4633" max="4633" width="1.140625" style="121" customWidth="1"/>
    <col min="4634" max="4634" width="0.7109375" style="121" customWidth="1"/>
    <col min="4635" max="4635" width="6.140625" style="121" customWidth="1"/>
    <col min="4636" max="4636" width="2.28515625" style="121" customWidth="1"/>
    <col min="4637" max="4637" width="1.140625" style="121" customWidth="1"/>
    <col min="4638" max="4638" width="2.42578125" style="121" customWidth="1"/>
    <col min="4639" max="4639" width="1" style="121" customWidth="1"/>
    <col min="4640" max="4641" width="1.140625" style="121" customWidth="1"/>
    <col min="4642" max="4642" width="3.85546875" style="121" customWidth="1"/>
    <col min="4643" max="4643" width="0.7109375" style="121" customWidth="1"/>
    <col min="4644" max="4644" width="1.140625" style="121" customWidth="1"/>
    <col min="4645" max="4645" width="1.5703125" style="121" customWidth="1"/>
    <col min="4646" max="4646" width="0.7109375" style="121" customWidth="1"/>
    <col min="4647" max="4647" width="1.140625" style="121" customWidth="1"/>
    <col min="4648" max="4648" width="3.5703125" style="121" customWidth="1"/>
    <col min="4649" max="4649" width="1" style="121" customWidth="1"/>
    <col min="4650" max="4650" width="3.42578125" style="121" customWidth="1"/>
    <col min="4651" max="4651" width="1.140625" style="121" customWidth="1"/>
    <col min="4652" max="4652" width="2.85546875" style="121" customWidth="1"/>
    <col min="4653" max="4653" width="0.5703125" style="121" customWidth="1"/>
    <col min="4654" max="4654" width="0.7109375" style="121" customWidth="1"/>
    <col min="4655" max="4655" width="1.5703125" style="121" customWidth="1"/>
    <col min="4656" max="4656" width="6.85546875" style="121" customWidth="1"/>
    <col min="4657" max="4657" width="1.140625" style="121" customWidth="1"/>
    <col min="4658" max="4659" width="0.5703125" style="121" customWidth="1"/>
    <col min="4660" max="4660" width="1.28515625" style="121" customWidth="1"/>
    <col min="4661" max="4661" width="1" style="121" customWidth="1"/>
    <col min="4662" max="4662" width="5.7109375" style="121" customWidth="1"/>
    <col min="4663" max="4664" width="0.5703125" style="121" customWidth="1"/>
    <col min="4665" max="4666" width="1.85546875" style="121" customWidth="1"/>
    <col min="4667" max="4667" width="3" style="121" customWidth="1"/>
    <col min="4668" max="4668" width="3.42578125" style="121" customWidth="1"/>
    <col min="4669" max="4669" width="1.140625" style="121" customWidth="1"/>
    <col min="4670" max="4670" width="3.42578125" style="121" customWidth="1"/>
    <col min="4671" max="4671" width="2.28515625" style="121" customWidth="1"/>
    <col min="4672" max="4672" width="1.7109375" style="121" customWidth="1"/>
    <col min="4673" max="4673" width="1" style="121" customWidth="1"/>
    <col min="4674" max="4674" width="0.7109375" style="121" customWidth="1"/>
    <col min="4675" max="4675" width="2.28515625" style="121" customWidth="1"/>
    <col min="4676" max="4676" width="1.140625" style="121" customWidth="1"/>
    <col min="4677" max="4677" width="2.28515625" style="121" customWidth="1"/>
    <col min="4678" max="4679" width="1.140625" style="121" customWidth="1"/>
    <col min="4680" max="4680" width="0.7109375" style="121" customWidth="1"/>
    <col min="4681" max="4681" width="2.85546875" style="121" customWidth="1"/>
    <col min="4682" max="4682" width="3.85546875" style="121" customWidth="1"/>
    <col min="4683" max="4685" width="0.5703125" style="121" customWidth="1"/>
    <col min="4686" max="4686" width="4.5703125" style="121" customWidth="1"/>
    <col min="4687" max="4687" width="1.140625" style="121" customWidth="1"/>
    <col min="4688" max="4688" width="1" style="121" customWidth="1"/>
    <col min="4689" max="4689" width="1.28515625" style="121" customWidth="1"/>
    <col min="4690" max="4864" width="6.85546875" style="121" customWidth="1"/>
    <col min="4865" max="4865" width="1.140625" style="121" customWidth="1"/>
    <col min="4866" max="4867" width="0.5703125" style="121" customWidth="1"/>
    <col min="4868" max="4868" width="3.42578125" style="121" customWidth="1"/>
    <col min="4869" max="4869" width="2.28515625" style="121" customWidth="1"/>
    <col min="4870" max="4871" width="1.140625" style="121" customWidth="1"/>
    <col min="4872" max="4873" width="3.42578125" style="121" customWidth="1"/>
    <col min="4874" max="4874" width="1.28515625" style="121" customWidth="1"/>
    <col min="4875" max="4875" width="2.140625" style="121" customWidth="1"/>
    <col min="4876" max="4876" width="1.140625" style="121" customWidth="1"/>
    <col min="4877" max="4877" width="2.28515625" style="121" customWidth="1"/>
    <col min="4878" max="4879" width="0.5703125" style="121" customWidth="1"/>
    <col min="4880" max="4880" width="1.140625" style="121" customWidth="1"/>
    <col min="4881" max="4881" width="0.7109375" style="121" customWidth="1"/>
    <col min="4882" max="4882" width="3.85546875" style="121" customWidth="1"/>
    <col min="4883" max="4883" width="4.5703125" style="121" customWidth="1"/>
    <col min="4884" max="4884" width="3" style="121" customWidth="1"/>
    <col min="4885" max="4885" width="2.7109375" style="121" customWidth="1"/>
    <col min="4886" max="4887" width="1.140625" style="121" customWidth="1"/>
    <col min="4888" max="4888" width="5.7109375" style="121" customWidth="1"/>
    <col min="4889" max="4889" width="1.140625" style="121" customWidth="1"/>
    <col min="4890" max="4890" width="0.7109375" style="121" customWidth="1"/>
    <col min="4891" max="4891" width="6.140625" style="121" customWidth="1"/>
    <col min="4892" max="4892" width="2.28515625" style="121" customWidth="1"/>
    <col min="4893" max="4893" width="1.140625" style="121" customWidth="1"/>
    <col min="4894" max="4894" width="2.42578125" style="121" customWidth="1"/>
    <col min="4895" max="4895" width="1" style="121" customWidth="1"/>
    <col min="4896" max="4897" width="1.140625" style="121" customWidth="1"/>
    <col min="4898" max="4898" width="3.85546875" style="121" customWidth="1"/>
    <col min="4899" max="4899" width="0.7109375" style="121" customWidth="1"/>
    <col min="4900" max="4900" width="1.140625" style="121" customWidth="1"/>
    <col min="4901" max="4901" width="1.5703125" style="121" customWidth="1"/>
    <col min="4902" max="4902" width="0.7109375" style="121" customWidth="1"/>
    <col min="4903" max="4903" width="1.140625" style="121" customWidth="1"/>
    <col min="4904" max="4904" width="3.5703125" style="121" customWidth="1"/>
    <col min="4905" max="4905" width="1" style="121" customWidth="1"/>
    <col min="4906" max="4906" width="3.42578125" style="121" customWidth="1"/>
    <col min="4907" max="4907" width="1.140625" style="121" customWidth="1"/>
    <col min="4908" max="4908" width="2.85546875" style="121" customWidth="1"/>
    <col min="4909" max="4909" width="0.5703125" style="121" customWidth="1"/>
    <col min="4910" max="4910" width="0.7109375" style="121" customWidth="1"/>
    <col min="4911" max="4911" width="1.5703125" style="121" customWidth="1"/>
    <col min="4912" max="4912" width="6.85546875" style="121" customWidth="1"/>
    <col min="4913" max="4913" width="1.140625" style="121" customWidth="1"/>
    <col min="4914" max="4915" width="0.5703125" style="121" customWidth="1"/>
    <col min="4916" max="4916" width="1.28515625" style="121" customWidth="1"/>
    <col min="4917" max="4917" width="1" style="121" customWidth="1"/>
    <col min="4918" max="4918" width="5.7109375" style="121" customWidth="1"/>
    <col min="4919" max="4920" width="0.5703125" style="121" customWidth="1"/>
    <col min="4921" max="4922" width="1.85546875" style="121" customWidth="1"/>
    <col min="4923" max="4923" width="3" style="121" customWidth="1"/>
    <col min="4924" max="4924" width="3.42578125" style="121" customWidth="1"/>
    <col min="4925" max="4925" width="1.140625" style="121" customWidth="1"/>
    <col min="4926" max="4926" width="3.42578125" style="121" customWidth="1"/>
    <col min="4927" max="4927" width="2.28515625" style="121" customWidth="1"/>
    <col min="4928" max="4928" width="1.7109375" style="121" customWidth="1"/>
    <col min="4929" max="4929" width="1" style="121" customWidth="1"/>
    <col min="4930" max="4930" width="0.7109375" style="121" customWidth="1"/>
    <col min="4931" max="4931" width="2.28515625" style="121" customWidth="1"/>
    <col min="4932" max="4932" width="1.140625" style="121" customWidth="1"/>
    <col min="4933" max="4933" width="2.28515625" style="121" customWidth="1"/>
    <col min="4934" max="4935" width="1.140625" style="121" customWidth="1"/>
    <col min="4936" max="4936" width="0.7109375" style="121" customWidth="1"/>
    <col min="4937" max="4937" width="2.85546875" style="121" customWidth="1"/>
    <col min="4938" max="4938" width="3.85546875" style="121" customWidth="1"/>
    <col min="4939" max="4941" width="0.5703125" style="121" customWidth="1"/>
    <col min="4942" max="4942" width="4.5703125" style="121" customWidth="1"/>
    <col min="4943" max="4943" width="1.140625" style="121" customWidth="1"/>
    <col min="4944" max="4944" width="1" style="121" customWidth="1"/>
    <col min="4945" max="4945" width="1.28515625" style="121" customWidth="1"/>
    <col min="4946" max="5120" width="6.85546875" style="121" customWidth="1"/>
    <col min="5121" max="5121" width="1.140625" style="121" customWidth="1"/>
    <col min="5122" max="5123" width="0.5703125" style="121" customWidth="1"/>
    <col min="5124" max="5124" width="3.42578125" style="121" customWidth="1"/>
    <col min="5125" max="5125" width="2.28515625" style="121" customWidth="1"/>
    <col min="5126" max="5127" width="1.140625" style="121" customWidth="1"/>
    <col min="5128" max="5129" width="3.42578125" style="121" customWidth="1"/>
    <col min="5130" max="5130" width="1.28515625" style="121" customWidth="1"/>
    <col min="5131" max="5131" width="2.140625" style="121" customWidth="1"/>
    <col min="5132" max="5132" width="1.140625" style="121" customWidth="1"/>
    <col min="5133" max="5133" width="2.28515625" style="121" customWidth="1"/>
    <col min="5134" max="5135" width="0.5703125" style="121" customWidth="1"/>
    <col min="5136" max="5136" width="1.140625" style="121" customWidth="1"/>
    <col min="5137" max="5137" width="0.7109375" style="121" customWidth="1"/>
    <col min="5138" max="5138" width="3.85546875" style="121" customWidth="1"/>
    <col min="5139" max="5139" width="4.5703125" style="121" customWidth="1"/>
    <col min="5140" max="5140" width="3" style="121" customWidth="1"/>
    <col min="5141" max="5141" width="2.7109375" style="121" customWidth="1"/>
    <col min="5142" max="5143" width="1.140625" style="121" customWidth="1"/>
    <col min="5144" max="5144" width="5.7109375" style="121" customWidth="1"/>
    <col min="5145" max="5145" width="1.140625" style="121" customWidth="1"/>
    <col min="5146" max="5146" width="0.7109375" style="121" customWidth="1"/>
    <col min="5147" max="5147" width="6.140625" style="121" customWidth="1"/>
    <col min="5148" max="5148" width="2.28515625" style="121" customWidth="1"/>
    <col min="5149" max="5149" width="1.140625" style="121" customWidth="1"/>
    <col min="5150" max="5150" width="2.42578125" style="121" customWidth="1"/>
    <col min="5151" max="5151" width="1" style="121" customWidth="1"/>
    <col min="5152" max="5153" width="1.140625" style="121" customWidth="1"/>
    <col min="5154" max="5154" width="3.85546875" style="121" customWidth="1"/>
    <col min="5155" max="5155" width="0.7109375" style="121" customWidth="1"/>
    <col min="5156" max="5156" width="1.140625" style="121" customWidth="1"/>
    <col min="5157" max="5157" width="1.5703125" style="121" customWidth="1"/>
    <col min="5158" max="5158" width="0.7109375" style="121" customWidth="1"/>
    <col min="5159" max="5159" width="1.140625" style="121" customWidth="1"/>
    <col min="5160" max="5160" width="3.5703125" style="121" customWidth="1"/>
    <col min="5161" max="5161" width="1" style="121" customWidth="1"/>
    <col min="5162" max="5162" width="3.42578125" style="121" customWidth="1"/>
    <col min="5163" max="5163" width="1.140625" style="121" customWidth="1"/>
    <col min="5164" max="5164" width="2.85546875" style="121" customWidth="1"/>
    <col min="5165" max="5165" width="0.5703125" style="121" customWidth="1"/>
    <col min="5166" max="5166" width="0.7109375" style="121" customWidth="1"/>
    <col min="5167" max="5167" width="1.5703125" style="121" customWidth="1"/>
    <col min="5168" max="5168" width="6.85546875" style="121" customWidth="1"/>
    <col min="5169" max="5169" width="1.140625" style="121" customWidth="1"/>
    <col min="5170" max="5171" width="0.5703125" style="121" customWidth="1"/>
    <col min="5172" max="5172" width="1.28515625" style="121" customWidth="1"/>
    <col min="5173" max="5173" width="1" style="121" customWidth="1"/>
    <col min="5174" max="5174" width="5.7109375" style="121" customWidth="1"/>
    <col min="5175" max="5176" width="0.5703125" style="121" customWidth="1"/>
    <col min="5177" max="5178" width="1.85546875" style="121" customWidth="1"/>
    <col min="5179" max="5179" width="3" style="121" customWidth="1"/>
    <col min="5180" max="5180" width="3.42578125" style="121" customWidth="1"/>
    <col min="5181" max="5181" width="1.140625" style="121" customWidth="1"/>
    <col min="5182" max="5182" width="3.42578125" style="121" customWidth="1"/>
    <col min="5183" max="5183" width="2.28515625" style="121" customWidth="1"/>
    <col min="5184" max="5184" width="1.7109375" style="121" customWidth="1"/>
    <col min="5185" max="5185" width="1" style="121" customWidth="1"/>
    <col min="5186" max="5186" width="0.7109375" style="121" customWidth="1"/>
    <col min="5187" max="5187" width="2.28515625" style="121" customWidth="1"/>
    <col min="5188" max="5188" width="1.140625" style="121" customWidth="1"/>
    <col min="5189" max="5189" width="2.28515625" style="121" customWidth="1"/>
    <col min="5190" max="5191" width="1.140625" style="121" customWidth="1"/>
    <col min="5192" max="5192" width="0.7109375" style="121" customWidth="1"/>
    <col min="5193" max="5193" width="2.85546875" style="121" customWidth="1"/>
    <col min="5194" max="5194" width="3.85546875" style="121" customWidth="1"/>
    <col min="5195" max="5197" width="0.5703125" style="121" customWidth="1"/>
    <col min="5198" max="5198" width="4.5703125" style="121" customWidth="1"/>
    <col min="5199" max="5199" width="1.140625" style="121" customWidth="1"/>
    <col min="5200" max="5200" width="1" style="121" customWidth="1"/>
    <col min="5201" max="5201" width="1.28515625" style="121" customWidth="1"/>
    <col min="5202" max="5376" width="6.85546875" style="121" customWidth="1"/>
    <col min="5377" max="5377" width="1.140625" style="121" customWidth="1"/>
    <col min="5378" max="5379" width="0.5703125" style="121" customWidth="1"/>
    <col min="5380" max="5380" width="3.42578125" style="121" customWidth="1"/>
    <col min="5381" max="5381" width="2.28515625" style="121" customWidth="1"/>
    <col min="5382" max="5383" width="1.140625" style="121" customWidth="1"/>
    <col min="5384" max="5385" width="3.42578125" style="121" customWidth="1"/>
    <col min="5386" max="5386" width="1.28515625" style="121" customWidth="1"/>
    <col min="5387" max="5387" width="2.140625" style="121" customWidth="1"/>
    <col min="5388" max="5388" width="1.140625" style="121" customWidth="1"/>
    <col min="5389" max="5389" width="2.28515625" style="121" customWidth="1"/>
    <col min="5390" max="5391" width="0.5703125" style="121" customWidth="1"/>
    <col min="5392" max="5392" width="1.140625" style="121" customWidth="1"/>
    <col min="5393" max="5393" width="0.7109375" style="121" customWidth="1"/>
    <col min="5394" max="5394" width="3.85546875" style="121" customWidth="1"/>
    <col min="5395" max="5395" width="4.5703125" style="121" customWidth="1"/>
    <col min="5396" max="5396" width="3" style="121" customWidth="1"/>
    <col min="5397" max="5397" width="2.7109375" style="121" customWidth="1"/>
    <col min="5398" max="5399" width="1.140625" style="121" customWidth="1"/>
    <col min="5400" max="5400" width="5.7109375" style="121" customWidth="1"/>
    <col min="5401" max="5401" width="1.140625" style="121" customWidth="1"/>
    <col min="5402" max="5402" width="0.7109375" style="121" customWidth="1"/>
    <col min="5403" max="5403" width="6.140625" style="121" customWidth="1"/>
    <col min="5404" max="5404" width="2.28515625" style="121" customWidth="1"/>
    <col min="5405" max="5405" width="1.140625" style="121" customWidth="1"/>
    <col min="5406" max="5406" width="2.42578125" style="121" customWidth="1"/>
    <col min="5407" max="5407" width="1" style="121" customWidth="1"/>
    <col min="5408" max="5409" width="1.140625" style="121" customWidth="1"/>
    <col min="5410" max="5410" width="3.85546875" style="121" customWidth="1"/>
    <col min="5411" max="5411" width="0.7109375" style="121" customWidth="1"/>
    <col min="5412" max="5412" width="1.140625" style="121" customWidth="1"/>
    <col min="5413" max="5413" width="1.5703125" style="121" customWidth="1"/>
    <col min="5414" max="5414" width="0.7109375" style="121" customWidth="1"/>
    <col min="5415" max="5415" width="1.140625" style="121" customWidth="1"/>
    <col min="5416" max="5416" width="3.5703125" style="121" customWidth="1"/>
    <col min="5417" max="5417" width="1" style="121" customWidth="1"/>
    <col min="5418" max="5418" width="3.42578125" style="121" customWidth="1"/>
    <col min="5419" max="5419" width="1.140625" style="121" customWidth="1"/>
    <col min="5420" max="5420" width="2.85546875" style="121" customWidth="1"/>
    <col min="5421" max="5421" width="0.5703125" style="121" customWidth="1"/>
    <col min="5422" max="5422" width="0.7109375" style="121" customWidth="1"/>
    <col min="5423" max="5423" width="1.5703125" style="121" customWidth="1"/>
    <col min="5424" max="5424" width="6.85546875" style="121" customWidth="1"/>
    <col min="5425" max="5425" width="1.140625" style="121" customWidth="1"/>
    <col min="5426" max="5427" width="0.5703125" style="121" customWidth="1"/>
    <col min="5428" max="5428" width="1.28515625" style="121" customWidth="1"/>
    <col min="5429" max="5429" width="1" style="121" customWidth="1"/>
    <col min="5430" max="5430" width="5.7109375" style="121" customWidth="1"/>
    <col min="5431" max="5432" width="0.5703125" style="121" customWidth="1"/>
    <col min="5433" max="5434" width="1.85546875" style="121" customWidth="1"/>
    <col min="5435" max="5435" width="3" style="121" customWidth="1"/>
    <col min="5436" max="5436" width="3.42578125" style="121" customWidth="1"/>
    <col min="5437" max="5437" width="1.140625" style="121" customWidth="1"/>
    <col min="5438" max="5438" width="3.42578125" style="121" customWidth="1"/>
    <col min="5439" max="5439" width="2.28515625" style="121" customWidth="1"/>
    <col min="5440" max="5440" width="1.7109375" style="121" customWidth="1"/>
    <col min="5441" max="5441" width="1" style="121" customWidth="1"/>
    <col min="5442" max="5442" width="0.7109375" style="121" customWidth="1"/>
    <col min="5443" max="5443" width="2.28515625" style="121" customWidth="1"/>
    <col min="5444" max="5444" width="1.140625" style="121" customWidth="1"/>
    <col min="5445" max="5445" width="2.28515625" style="121" customWidth="1"/>
    <col min="5446" max="5447" width="1.140625" style="121" customWidth="1"/>
    <col min="5448" max="5448" width="0.7109375" style="121" customWidth="1"/>
    <col min="5449" max="5449" width="2.85546875" style="121" customWidth="1"/>
    <col min="5450" max="5450" width="3.85546875" style="121" customWidth="1"/>
    <col min="5451" max="5453" width="0.5703125" style="121" customWidth="1"/>
    <col min="5454" max="5454" width="4.5703125" style="121" customWidth="1"/>
    <col min="5455" max="5455" width="1.140625" style="121" customWidth="1"/>
    <col min="5456" max="5456" width="1" style="121" customWidth="1"/>
    <col min="5457" max="5457" width="1.28515625" style="121" customWidth="1"/>
    <col min="5458" max="5632" width="6.85546875" style="121" customWidth="1"/>
    <col min="5633" max="5633" width="1.140625" style="121" customWidth="1"/>
    <col min="5634" max="5635" width="0.5703125" style="121" customWidth="1"/>
    <col min="5636" max="5636" width="3.42578125" style="121" customWidth="1"/>
    <col min="5637" max="5637" width="2.28515625" style="121" customWidth="1"/>
    <col min="5638" max="5639" width="1.140625" style="121" customWidth="1"/>
    <col min="5640" max="5641" width="3.42578125" style="121" customWidth="1"/>
    <col min="5642" max="5642" width="1.28515625" style="121" customWidth="1"/>
    <col min="5643" max="5643" width="2.140625" style="121" customWidth="1"/>
    <col min="5644" max="5644" width="1.140625" style="121" customWidth="1"/>
    <col min="5645" max="5645" width="2.28515625" style="121" customWidth="1"/>
    <col min="5646" max="5647" width="0.5703125" style="121" customWidth="1"/>
    <col min="5648" max="5648" width="1.140625" style="121" customWidth="1"/>
    <col min="5649" max="5649" width="0.7109375" style="121" customWidth="1"/>
    <col min="5650" max="5650" width="3.85546875" style="121" customWidth="1"/>
    <col min="5651" max="5651" width="4.5703125" style="121" customWidth="1"/>
    <col min="5652" max="5652" width="3" style="121" customWidth="1"/>
    <col min="5653" max="5653" width="2.7109375" style="121" customWidth="1"/>
    <col min="5654" max="5655" width="1.140625" style="121" customWidth="1"/>
    <col min="5656" max="5656" width="5.7109375" style="121" customWidth="1"/>
    <col min="5657" max="5657" width="1.140625" style="121" customWidth="1"/>
    <col min="5658" max="5658" width="0.7109375" style="121" customWidth="1"/>
    <col min="5659" max="5659" width="6.140625" style="121" customWidth="1"/>
    <col min="5660" max="5660" width="2.28515625" style="121" customWidth="1"/>
    <col min="5661" max="5661" width="1.140625" style="121" customWidth="1"/>
    <col min="5662" max="5662" width="2.42578125" style="121" customWidth="1"/>
    <col min="5663" max="5663" width="1" style="121" customWidth="1"/>
    <col min="5664" max="5665" width="1.140625" style="121" customWidth="1"/>
    <col min="5666" max="5666" width="3.85546875" style="121" customWidth="1"/>
    <col min="5667" max="5667" width="0.7109375" style="121" customWidth="1"/>
    <col min="5668" max="5668" width="1.140625" style="121" customWidth="1"/>
    <col min="5669" max="5669" width="1.5703125" style="121" customWidth="1"/>
    <col min="5670" max="5670" width="0.7109375" style="121" customWidth="1"/>
    <col min="5671" max="5671" width="1.140625" style="121" customWidth="1"/>
    <col min="5672" max="5672" width="3.5703125" style="121" customWidth="1"/>
    <col min="5673" max="5673" width="1" style="121" customWidth="1"/>
    <col min="5674" max="5674" width="3.42578125" style="121" customWidth="1"/>
    <col min="5675" max="5675" width="1.140625" style="121" customWidth="1"/>
    <col min="5676" max="5676" width="2.85546875" style="121" customWidth="1"/>
    <col min="5677" max="5677" width="0.5703125" style="121" customWidth="1"/>
    <col min="5678" max="5678" width="0.7109375" style="121" customWidth="1"/>
    <col min="5679" max="5679" width="1.5703125" style="121" customWidth="1"/>
    <col min="5680" max="5680" width="6.85546875" style="121" customWidth="1"/>
    <col min="5681" max="5681" width="1.140625" style="121" customWidth="1"/>
    <col min="5682" max="5683" width="0.5703125" style="121" customWidth="1"/>
    <col min="5684" max="5684" width="1.28515625" style="121" customWidth="1"/>
    <col min="5685" max="5685" width="1" style="121" customWidth="1"/>
    <col min="5686" max="5686" width="5.7109375" style="121" customWidth="1"/>
    <col min="5687" max="5688" width="0.5703125" style="121" customWidth="1"/>
    <col min="5689" max="5690" width="1.85546875" style="121" customWidth="1"/>
    <col min="5691" max="5691" width="3" style="121" customWidth="1"/>
    <col min="5692" max="5692" width="3.42578125" style="121" customWidth="1"/>
    <col min="5693" max="5693" width="1.140625" style="121" customWidth="1"/>
    <col min="5694" max="5694" width="3.42578125" style="121" customWidth="1"/>
    <col min="5695" max="5695" width="2.28515625" style="121" customWidth="1"/>
    <col min="5696" max="5696" width="1.7109375" style="121" customWidth="1"/>
    <col min="5697" max="5697" width="1" style="121" customWidth="1"/>
    <col min="5698" max="5698" width="0.7109375" style="121" customWidth="1"/>
    <col min="5699" max="5699" width="2.28515625" style="121" customWidth="1"/>
    <col min="5700" max="5700" width="1.140625" style="121" customWidth="1"/>
    <col min="5701" max="5701" width="2.28515625" style="121" customWidth="1"/>
    <col min="5702" max="5703" width="1.140625" style="121" customWidth="1"/>
    <col min="5704" max="5704" width="0.7109375" style="121" customWidth="1"/>
    <col min="5705" max="5705" width="2.85546875" style="121" customWidth="1"/>
    <col min="5706" max="5706" width="3.85546875" style="121" customWidth="1"/>
    <col min="5707" max="5709" width="0.5703125" style="121" customWidth="1"/>
    <col min="5710" max="5710" width="4.5703125" style="121" customWidth="1"/>
    <col min="5711" max="5711" width="1.140625" style="121" customWidth="1"/>
    <col min="5712" max="5712" width="1" style="121" customWidth="1"/>
    <col min="5713" max="5713" width="1.28515625" style="121" customWidth="1"/>
    <col min="5714" max="5888" width="6.85546875" style="121" customWidth="1"/>
    <col min="5889" max="5889" width="1.140625" style="121" customWidth="1"/>
    <col min="5890" max="5891" width="0.5703125" style="121" customWidth="1"/>
    <col min="5892" max="5892" width="3.42578125" style="121" customWidth="1"/>
    <col min="5893" max="5893" width="2.28515625" style="121" customWidth="1"/>
    <col min="5894" max="5895" width="1.140625" style="121" customWidth="1"/>
    <col min="5896" max="5897" width="3.42578125" style="121" customWidth="1"/>
    <col min="5898" max="5898" width="1.28515625" style="121" customWidth="1"/>
    <col min="5899" max="5899" width="2.140625" style="121" customWidth="1"/>
    <col min="5900" max="5900" width="1.140625" style="121" customWidth="1"/>
    <col min="5901" max="5901" width="2.28515625" style="121" customWidth="1"/>
    <col min="5902" max="5903" width="0.5703125" style="121" customWidth="1"/>
    <col min="5904" max="5904" width="1.140625" style="121" customWidth="1"/>
    <col min="5905" max="5905" width="0.7109375" style="121" customWidth="1"/>
    <col min="5906" max="5906" width="3.85546875" style="121" customWidth="1"/>
    <col min="5907" max="5907" width="4.5703125" style="121" customWidth="1"/>
    <col min="5908" max="5908" width="3" style="121" customWidth="1"/>
    <col min="5909" max="5909" width="2.7109375" style="121" customWidth="1"/>
    <col min="5910" max="5911" width="1.140625" style="121" customWidth="1"/>
    <col min="5912" max="5912" width="5.7109375" style="121" customWidth="1"/>
    <col min="5913" max="5913" width="1.140625" style="121" customWidth="1"/>
    <col min="5914" max="5914" width="0.7109375" style="121" customWidth="1"/>
    <col min="5915" max="5915" width="6.140625" style="121" customWidth="1"/>
    <col min="5916" max="5916" width="2.28515625" style="121" customWidth="1"/>
    <col min="5917" max="5917" width="1.140625" style="121" customWidth="1"/>
    <col min="5918" max="5918" width="2.42578125" style="121" customWidth="1"/>
    <col min="5919" max="5919" width="1" style="121" customWidth="1"/>
    <col min="5920" max="5921" width="1.140625" style="121" customWidth="1"/>
    <col min="5922" max="5922" width="3.85546875" style="121" customWidth="1"/>
    <col min="5923" max="5923" width="0.7109375" style="121" customWidth="1"/>
    <col min="5924" max="5924" width="1.140625" style="121" customWidth="1"/>
    <col min="5925" max="5925" width="1.5703125" style="121" customWidth="1"/>
    <col min="5926" max="5926" width="0.7109375" style="121" customWidth="1"/>
    <col min="5927" max="5927" width="1.140625" style="121" customWidth="1"/>
    <col min="5928" max="5928" width="3.5703125" style="121" customWidth="1"/>
    <col min="5929" max="5929" width="1" style="121" customWidth="1"/>
    <col min="5930" max="5930" width="3.42578125" style="121" customWidth="1"/>
    <col min="5931" max="5931" width="1.140625" style="121" customWidth="1"/>
    <col min="5932" max="5932" width="2.85546875" style="121" customWidth="1"/>
    <col min="5933" max="5933" width="0.5703125" style="121" customWidth="1"/>
    <col min="5934" max="5934" width="0.7109375" style="121" customWidth="1"/>
    <col min="5935" max="5935" width="1.5703125" style="121" customWidth="1"/>
    <col min="5936" max="5936" width="6.85546875" style="121" customWidth="1"/>
    <col min="5937" max="5937" width="1.140625" style="121" customWidth="1"/>
    <col min="5938" max="5939" width="0.5703125" style="121" customWidth="1"/>
    <col min="5940" max="5940" width="1.28515625" style="121" customWidth="1"/>
    <col min="5941" max="5941" width="1" style="121" customWidth="1"/>
    <col min="5942" max="5942" width="5.7109375" style="121" customWidth="1"/>
    <col min="5943" max="5944" width="0.5703125" style="121" customWidth="1"/>
    <col min="5945" max="5946" width="1.85546875" style="121" customWidth="1"/>
    <col min="5947" max="5947" width="3" style="121" customWidth="1"/>
    <col min="5948" max="5948" width="3.42578125" style="121" customWidth="1"/>
    <col min="5949" max="5949" width="1.140625" style="121" customWidth="1"/>
    <col min="5950" max="5950" width="3.42578125" style="121" customWidth="1"/>
    <col min="5951" max="5951" width="2.28515625" style="121" customWidth="1"/>
    <col min="5952" max="5952" width="1.7109375" style="121" customWidth="1"/>
    <col min="5953" max="5953" width="1" style="121" customWidth="1"/>
    <col min="5954" max="5954" width="0.7109375" style="121" customWidth="1"/>
    <col min="5955" max="5955" width="2.28515625" style="121" customWidth="1"/>
    <col min="5956" max="5956" width="1.140625" style="121" customWidth="1"/>
    <col min="5957" max="5957" width="2.28515625" style="121" customWidth="1"/>
    <col min="5958" max="5959" width="1.140625" style="121" customWidth="1"/>
    <col min="5960" max="5960" width="0.7109375" style="121" customWidth="1"/>
    <col min="5961" max="5961" width="2.85546875" style="121" customWidth="1"/>
    <col min="5962" max="5962" width="3.85546875" style="121" customWidth="1"/>
    <col min="5963" max="5965" width="0.5703125" style="121" customWidth="1"/>
    <col min="5966" max="5966" width="4.5703125" style="121" customWidth="1"/>
    <col min="5967" max="5967" width="1.140625" style="121" customWidth="1"/>
    <col min="5968" max="5968" width="1" style="121" customWidth="1"/>
    <col min="5969" max="5969" width="1.28515625" style="121" customWidth="1"/>
    <col min="5970" max="6144" width="6.85546875" style="121" customWidth="1"/>
    <col min="6145" max="6145" width="1.140625" style="121" customWidth="1"/>
    <col min="6146" max="6147" width="0.5703125" style="121" customWidth="1"/>
    <col min="6148" max="6148" width="3.42578125" style="121" customWidth="1"/>
    <col min="6149" max="6149" width="2.28515625" style="121" customWidth="1"/>
    <col min="6150" max="6151" width="1.140625" style="121" customWidth="1"/>
    <col min="6152" max="6153" width="3.42578125" style="121" customWidth="1"/>
    <col min="6154" max="6154" width="1.28515625" style="121" customWidth="1"/>
    <col min="6155" max="6155" width="2.140625" style="121" customWidth="1"/>
    <col min="6156" max="6156" width="1.140625" style="121" customWidth="1"/>
    <col min="6157" max="6157" width="2.28515625" style="121" customWidth="1"/>
    <col min="6158" max="6159" width="0.5703125" style="121" customWidth="1"/>
    <col min="6160" max="6160" width="1.140625" style="121" customWidth="1"/>
    <col min="6161" max="6161" width="0.7109375" style="121" customWidth="1"/>
    <col min="6162" max="6162" width="3.85546875" style="121" customWidth="1"/>
    <col min="6163" max="6163" width="4.5703125" style="121" customWidth="1"/>
    <col min="6164" max="6164" width="3" style="121" customWidth="1"/>
    <col min="6165" max="6165" width="2.7109375" style="121" customWidth="1"/>
    <col min="6166" max="6167" width="1.140625" style="121" customWidth="1"/>
    <col min="6168" max="6168" width="5.7109375" style="121" customWidth="1"/>
    <col min="6169" max="6169" width="1.140625" style="121" customWidth="1"/>
    <col min="6170" max="6170" width="0.7109375" style="121" customWidth="1"/>
    <col min="6171" max="6171" width="6.140625" style="121" customWidth="1"/>
    <col min="6172" max="6172" width="2.28515625" style="121" customWidth="1"/>
    <col min="6173" max="6173" width="1.140625" style="121" customWidth="1"/>
    <col min="6174" max="6174" width="2.42578125" style="121" customWidth="1"/>
    <col min="6175" max="6175" width="1" style="121" customWidth="1"/>
    <col min="6176" max="6177" width="1.140625" style="121" customWidth="1"/>
    <col min="6178" max="6178" width="3.85546875" style="121" customWidth="1"/>
    <col min="6179" max="6179" width="0.7109375" style="121" customWidth="1"/>
    <col min="6180" max="6180" width="1.140625" style="121" customWidth="1"/>
    <col min="6181" max="6181" width="1.5703125" style="121" customWidth="1"/>
    <col min="6182" max="6182" width="0.7109375" style="121" customWidth="1"/>
    <col min="6183" max="6183" width="1.140625" style="121" customWidth="1"/>
    <col min="6184" max="6184" width="3.5703125" style="121" customWidth="1"/>
    <col min="6185" max="6185" width="1" style="121" customWidth="1"/>
    <col min="6186" max="6186" width="3.42578125" style="121" customWidth="1"/>
    <col min="6187" max="6187" width="1.140625" style="121" customWidth="1"/>
    <col min="6188" max="6188" width="2.85546875" style="121" customWidth="1"/>
    <col min="6189" max="6189" width="0.5703125" style="121" customWidth="1"/>
    <col min="6190" max="6190" width="0.7109375" style="121" customWidth="1"/>
    <col min="6191" max="6191" width="1.5703125" style="121" customWidth="1"/>
    <col min="6192" max="6192" width="6.85546875" style="121" customWidth="1"/>
    <col min="6193" max="6193" width="1.140625" style="121" customWidth="1"/>
    <col min="6194" max="6195" width="0.5703125" style="121" customWidth="1"/>
    <col min="6196" max="6196" width="1.28515625" style="121" customWidth="1"/>
    <col min="6197" max="6197" width="1" style="121" customWidth="1"/>
    <col min="6198" max="6198" width="5.7109375" style="121" customWidth="1"/>
    <col min="6199" max="6200" width="0.5703125" style="121" customWidth="1"/>
    <col min="6201" max="6202" width="1.85546875" style="121" customWidth="1"/>
    <col min="6203" max="6203" width="3" style="121" customWidth="1"/>
    <col min="6204" max="6204" width="3.42578125" style="121" customWidth="1"/>
    <col min="6205" max="6205" width="1.140625" style="121" customWidth="1"/>
    <col min="6206" max="6206" width="3.42578125" style="121" customWidth="1"/>
    <col min="6207" max="6207" width="2.28515625" style="121" customWidth="1"/>
    <col min="6208" max="6208" width="1.7109375" style="121" customWidth="1"/>
    <col min="6209" max="6209" width="1" style="121" customWidth="1"/>
    <col min="6210" max="6210" width="0.7109375" style="121" customWidth="1"/>
    <col min="6211" max="6211" width="2.28515625" style="121" customWidth="1"/>
    <col min="6212" max="6212" width="1.140625" style="121" customWidth="1"/>
    <col min="6213" max="6213" width="2.28515625" style="121" customWidth="1"/>
    <col min="6214" max="6215" width="1.140625" style="121" customWidth="1"/>
    <col min="6216" max="6216" width="0.7109375" style="121" customWidth="1"/>
    <col min="6217" max="6217" width="2.85546875" style="121" customWidth="1"/>
    <col min="6218" max="6218" width="3.85546875" style="121" customWidth="1"/>
    <col min="6219" max="6221" width="0.5703125" style="121" customWidth="1"/>
    <col min="6222" max="6222" width="4.5703125" style="121" customWidth="1"/>
    <col min="6223" max="6223" width="1.140625" style="121" customWidth="1"/>
    <col min="6224" max="6224" width="1" style="121" customWidth="1"/>
    <col min="6225" max="6225" width="1.28515625" style="121" customWidth="1"/>
    <col min="6226" max="6400" width="6.85546875" style="121" customWidth="1"/>
    <col min="6401" max="6401" width="1.140625" style="121" customWidth="1"/>
    <col min="6402" max="6403" width="0.5703125" style="121" customWidth="1"/>
    <col min="6404" max="6404" width="3.42578125" style="121" customWidth="1"/>
    <col min="6405" max="6405" width="2.28515625" style="121" customWidth="1"/>
    <col min="6406" max="6407" width="1.140625" style="121" customWidth="1"/>
    <col min="6408" max="6409" width="3.42578125" style="121" customWidth="1"/>
    <col min="6410" max="6410" width="1.28515625" style="121" customWidth="1"/>
    <col min="6411" max="6411" width="2.140625" style="121" customWidth="1"/>
    <col min="6412" max="6412" width="1.140625" style="121" customWidth="1"/>
    <col min="6413" max="6413" width="2.28515625" style="121" customWidth="1"/>
    <col min="6414" max="6415" width="0.5703125" style="121" customWidth="1"/>
    <col min="6416" max="6416" width="1.140625" style="121" customWidth="1"/>
    <col min="6417" max="6417" width="0.7109375" style="121" customWidth="1"/>
    <col min="6418" max="6418" width="3.85546875" style="121" customWidth="1"/>
    <col min="6419" max="6419" width="4.5703125" style="121" customWidth="1"/>
    <col min="6420" max="6420" width="3" style="121" customWidth="1"/>
    <col min="6421" max="6421" width="2.7109375" style="121" customWidth="1"/>
    <col min="6422" max="6423" width="1.140625" style="121" customWidth="1"/>
    <col min="6424" max="6424" width="5.7109375" style="121" customWidth="1"/>
    <col min="6425" max="6425" width="1.140625" style="121" customWidth="1"/>
    <col min="6426" max="6426" width="0.7109375" style="121" customWidth="1"/>
    <col min="6427" max="6427" width="6.140625" style="121" customWidth="1"/>
    <col min="6428" max="6428" width="2.28515625" style="121" customWidth="1"/>
    <col min="6429" max="6429" width="1.140625" style="121" customWidth="1"/>
    <col min="6430" max="6430" width="2.42578125" style="121" customWidth="1"/>
    <col min="6431" max="6431" width="1" style="121" customWidth="1"/>
    <col min="6432" max="6433" width="1.140625" style="121" customWidth="1"/>
    <col min="6434" max="6434" width="3.85546875" style="121" customWidth="1"/>
    <col min="6435" max="6435" width="0.7109375" style="121" customWidth="1"/>
    <col min="6436" max="6436" width="1.140625" style="121" customWidth="1"/>
    <col min="6437" max="6437" width="1.5703125" style="121" customWidth="1"/>
    <col min="6438" max="6438" width="0.7109375" style="121" customWidth="1"/>
    <col min="6439" max="6439" width="1.140625" style="121" customWidth="1"/>
    <col min="6440" max="6440" width="3.5703125" style="121" customWidth="1"/>
    <col min="6441" max="6441" width="1" style="121" customWidth="1"/>
    <col min="6442" max="6442" width="3.42578125" style="121" customWidth="1"/>
    <col min="6443" max="6443" width="1.140625" style="121" customWidth="1"/>
    <col min="6444" max="6444" width="2.85546875" style="121" customWidth="1"/>
    <col min="6445" max="6445" width="0.5703125" style="121" customWidth="1"/>
    <col min="6446" max="6446" width="0.7109375" style="121" customWidth="1"/>
    <col min="6447" max="6447" width="1.5703125" style="121" customWidth="1"/>
    <col min="6448" max="6448" width="6.85546875" style="121" customWidth="1"/>
    <col min="6449" max="6449" width="1.140625" style="121" customWidth="1"/>
    <col min="6450" max="6451" width="0.5703125" style="121" customWidth="1"/>
    <col min="6452" max="6452" width="1.28515625" style="121" customWidth="1"/>
    <col min="6453" max="6453" width="1" style="121" customWidth="1"/>
    <col min="6454" max="6454" width="5.7109375" style="121" customWidth="1"/>
    <col min="6455" max="6456" width="0.5703125" style="121" customWidth="1"/>
    <col min="6457" max="6458" width="1.85546875" style="121" customWidth="1"/>
    <col min="6459" max="6459" width="3" style="121" customWidth="1"/>
    <col min="6460" max="6460" width="3.42578125" style="121" customWidth="1"/>
    <col min="6461" max="6461" width="1.140625" style="121" customWidth="1"/>
    <col min="6462" max="6462" width="3.42578125" style="121" customWidth="1"/>
    <col min="6463" max="6463" width="2.28515625" style="121" customWidth="1"/>
    <col min="6464" max="6464" width="1.7109375" style="121" customWidth="1"/>
    <col min="6465" max="6465" width="1" style="121" customWidth="1"/>
    <col min="6466" max="6466" width="0.7109375" style="121" customWidth="1"/>
    <col min="6467" max="6467" width="2.28515625" style="121" customWidth="1"/>
    <col min="6468" max="6468" width="1.140625" style="121" customWidth="1"/>
    <col min="6469" max="6469" width="2.28515625" style="121" customWidth="1"/>
    <col min="6470" max="6471" width="1.140625" style="121" customWidth="1"/>
    <col min="6472" max="6472" width="0.7109375" style="121" customWidth="1"/>
    <col min="6473" max="6473" width="2.85546875" style="121" customWidth="1"/>
    <col min="6474" max="6474" width="3.85546875" style="121" customWidth="1"/>
    <col min="6475" max="6477" width="0.5703125" style="121" customWidth="1"/>
    <col min="6478" max="6478" width="4.5703125" style="121" customWidth="1"/>
    <col min="6479" max="6479" width="1.140625" style="121" customWidth="1"/>
    <col min="6480" max="6480" width="1" style="121" customWidth="1"/>
    <col min="6481" max="6481" width="1.28515625" style="121" customWidth="1"/>
    <col min="6482" max="6656" width="6.85546875" style="121" customWidth="1"/>
    <col min="6657" max="6657" width="1.140625" style="121" customWidth="1"/>
    <col min="6658" max="6659" width="0.5703125" style="121" customWidth="1"/>
    <col min="6660" max="6660" width="3.42578125" style="121" customWidth="1"/>
    <col min="6661" max="6661" width="2.28515625" style="121" customWidth="1"/>
    <col min="6662" max="6663" width="1.140625" style="121" customWidth="1"/>
    <col min="6664" max="6665" width="3.42578125" style="121" customWidth="1"/>
    <col min="6666" max="6666" width="1.28515625" style="121" customWidth="1"/>
    <col min="6667" max="6667" width="2.140625" style="121" customWidth="1"/>
    <col min="6668" max="6668" width="1.140625" style="121" customWidth="1"/>
    <col min="6669" max="6669" width="2.28515625" style="121" customWidth="1"/>
    <col min="6670" max="6671" width="0.5703125" style="121" customWidth="1"/>
    <col min="6672" max="6672" width="1.140625" style="121" customWidth="1"/>
    <col min="6673" max="6673" width="0.7109375" style="121" customWidth="1"/>
    <col min="6674" max="6674" width="3.85546875" style="121" customWidth="1"/>
    <col min="6675" max="6675" width="4.5703125" style="121" customWidth="1"/>
    <col min="6676" max="6676" width="3" style="121" customWidth="1"/>
    <col min="6677" max="6677" width="2.7109375" style="121" customWidth="1"/>
    <col min="6678" max="6679" width="1.140625" style="121" customWidth="1"/>
    <col min="6680" max="6680" width="5.7109375" style="121" customWidth="1"/>
    <col min="6681" max="6681" width="1.140625" style="121" customWidth="1"/>
    <col min="6682" max="6682" width="0.7109375" style="121" customWidth="1"/>
    <col min="6683" max="6683" width="6.140625" style="121" customWidth="1"/>
    <col min="6684" max="6684" width="2.28515625" style="121" customWidth="1"/>
    <col min="6685" max="6685" width="1.140625" style="121" customWidth="1"/>
    <col min="6686" max="6686" width="2.42578125" style="121" customWidth="1"/>
    <col min="6687" max="6687" width="1" style="121" customWidth="1"/>
    <col min="6688" max="6689" width="1.140625" style="121" customWidth="1"/>
    <col min="6690" max="6690" width="3.85546875" style="121" customWidth="1"/>
    <col min="6691" max="6691" width="0.7109375" style="121" customWidth="1"/>
    <col min="6692" max="6692" width="1.140625" style="121" customWidth="1"/>
    <col min="6693" max="6693" width="1.5703125" style="121" customWidth="1"/>
    <col min="6694" max="6694" width="0.7109375" style="121" customWidth="1"/>
    <col min="6695" max="6695" width="1.140625" style="121" customWidth="1"/>
    <col min="6696" max="6696" width="3.5703125" style="121" customWidth="1"/>
    <col min="6697" max="6697" width="1" style="121" customWidth="1"/>
    <col min="6698" max="6698" width="3.42578125" style="121" customWidth="1"/>
    <col min="6699" max="6699" width="1.140625" style="121" customWidth="1"/>
    <col min="6700" max="6700" width="2.85546875" style="121" customWidth="1"/>
    <col min="6701" max="6701" width="0.5703125" style="121" customWidth="1"/>
    <col min="6702" max="6702" width="0.7109375" style="121" customWidth="1"/>
    <col min="6703" max="6703" width="1.5703125" style="121" customWidth="1"/>
    <col min="6704" max="6704" width="6.85546875" style="121" customWidth="1"/>
    <col min="6705" max="6705" width="1.140625" style="121" customWidth="1"/>
    <col min="6706" max="6707" width="0.5703125" style="121" customWidth="1"/>
    <col min="6708" max="6708" width="1.28515625" style="121" customWidth="1"/>
    <col min="6709" max="6709" width="1" style="121" customWidth="1"/>
    <col min="6710" max="6710" width="5.7109375" style="121" customWidth="1"/>
    <col min="6711" max="6712" width="0.5703125" style="121" customWidth="1"/>
    <col min="6713" max="6714" width="1.85546875" style="121" customWidth="1"/>
    <col min="6715" max="6715" width="3" style="121" customWidth="1"/>
    <col min="6716" max="6716" width="3.42578125" style="121" customWidth="1"/>
    <col min="6717" max="6717" width="1.140625" style="121" customWidth="1"/>
    <col min="6718" max="6718" width="3.42578125" style="121" customWidth="1"/>
    <col min="6719" max="6719" width="2.28515625" style="121" customWidth="1"/>
    <col min="6720" max="6720" width="1.7109375" style="121" customWidth="1"/>
    <col min="6721" max="6721" width="1" style="121" customWidth="1"/>
    <col min="6722" max="6722" width="0.7109375" style="121" customWidth="1"/>
    <col min="6723" max="6723" width="2.28515625" style="121" customWidth="1"/>
    <col min="6724" max="6724" width="1.140625" style="121" customWidth="1"/>
    <col min="6725" max="6725" width="2.28515625" style="121" customWidth="1"/>
    <col min="6726" max="6727" width="1.140625" style="121" customWidth="1"/>
    <col min="6728" max="6728" width="0.7109375" style="121" customWidth="1"/>
    <col min="6729" max="6729" width="2.85546875" style="121" customWidth="1"/>
    <col min="6730" max="6730" width="3.85546875" style="121" customWidth="1"/>
    <col min="6731" max="6733" width="0.5703125" style="121" customWidth="1"/>
    <col min="6734" max="6734" width="4.5703125" style="121" customWidth="1"/>
    <col min="6735" max="6735" width="1.140625" style="121" customWidth="1"/>
    <col min="6736" max="6736" width="1" style="121" customWidth="1"/>
    <col min="6737" max="6737" width="1.28515625" style="121" customWidth="1"/>
    <col min="6738" max="6912" width="6.85546875" style="121" customWidth="1"/>
    <col min="6913" max="6913" width="1.140625" style="121" customWidth="1"/>
    <col min="6914" max="6915" width="0.5703125" style="121" customWidth="1"/>
    <col min="6916" max="6916" width="3.42578125" style="121" customWidth="1"/>
    <col min="6917" max="6917" width="2.28515625" style="121" customWidth="1"/>
    <col min="6918" max="6919" width="1.140625" style="121" customWidth="1"/>
    <col min="6920" max="6921" width="3.42578125" style="121" customWidth="1"/>
    <col min="6922" max="6922" width="1.28515625" style="121" customWidth="1"/>
    <col min="6923" max="6923" width="2.140625" style="121" customWidth="1"/>
    <col min="6924" max="6924" width="1.140625" style="121" customWidth="1"/>
    <col min="6925" max="6925" width="2.28515625" style="121" customWidth="1"/>
    <col min="6926" max="6927" width="0.5703125" style="121" customWidth="1"/>
    <col min="6928" max="6928" width="1.140625" style="121" customWidth="1"/>
    <col min="6929" max="6929" width="0.7109375" style="121" customWidth="1"/>
    <col min="6930" max="6930" width="3.85546875" style="121" customWidth="1"/>
    <col min="6931" max="6931" width="4.5703125" style="121" customWidth="1"/>
    <col min="6932" max="6932" width="3" style="121" customWidth="1"/>
    <col min="6933" max="6933" width="2.7109375" style="121" customWidth="1"/>
    <col min="6934" max="6935" width="1.140625" style="121" customWidth="1"/>
    <col min="6936" max="6936" width="5.7109375" style="121" customWidth="1"/>
    <col min="6937" max="6937" width="1.140625" style="121" customWidth="1"/>
    <col min="6938" max="6938" width="0.7109375" style="121" customWidth="1"/>
    <col min="6939" max="6939" width="6.140625" style="121" customWidth="1"/>
    <col min="6940" max="6940" width="2.28515625" style="121" customWidth="1"/>
    <col min="6941" max="6941" width="1.140625" style="121" customWidth="1"/>
    <col min="6942" max="6942" width="2.42578125" style="121" customWidth="1"/>
    <col min="6943" max="6943" width="1" style="121" customWidth="1"/>
    <col min="6944" max="6945" width="1.140625" style="121" customWidth="1"/>
    <col min="6946" max="6946" width="3.85546875" style="121" customWidth="1"/>
    <col min="6947" max="6947" width="0.7109375" style="121" customWidth="1"/>
    <col min="6948" max="6948" width="1.140625" style="121" customWidth="1"/>
    <col min="6949" max="6949" width="1.5703125" style="121" customWidth="1"/>
    <col min="6950" max="6950" width="0.7109375" style="121" customWidth="1"/>
    <col min="6951" max="6951" width="1.140625" style="121" customWidth="1"/>
    <col min="6952" max="6952" width="3.5703125" style="121" customWidth="1"/>
    <col min="6953" max="6953" width="1" style="121" customWidth="1"/>
    <col min="6954" max="6954" width="3.42578125" style="121" customWidth="1"/>
    <col min="6955" max="6955" width="1.140625" style="121" customWidth="1"/>
    <col min="6956" max="6956" width="2.85546875" style="121" customWidth="1"/>
    <col min="6957" max="6957" width="0.5703125" style="121" customWidth="1"/>
    <col min="6958" max="6958" width="0.7109375" style="121" customWidth="1"/>
    <col min="6959" max="6959" width="1.5703125" style="121" customWidth="1"/>
    <col min="6960" max="6960" width="6.85546875" style="121" customWidth="1"/>
    <col min="6961" max="6961" width="1.140625" style="121" customWidth="1"/>
    <col min="6962" max="6963" width="0.5703125" style="121" customWidth="1"/>
    <col min="6964" max="6964" width="1.28515625" style="121" customWidth="1"/>
    <col min="6965" max="6965" width="1" style="121" customWidth="1"/>
    <col min="6966" max="6966" width="5.7109375" style="121" customWidth="1"/>
    <col min="6967" max="6968" width="0.5703125" style="121" customWidth="1"/>
    <col min="6969" max="6970" width="1.85546875" style="121" customWidth="1"/>
    <col min="6971" max="6971" width="3" style="121" customWidth="1"/>
    <col min="6972" max="6972" width="3.42578125" style="121" customWidth="1"/>
    <col min="6973" max="6973" width="1.140625" style="121" customWidth="1"/>
    <col min="6974" max="6974" width="3.42578125" style="121" customWidth="1"/>
    <col min="6975" max="6975" width="2.28515625" style="121" customWidth="1"/>
    <col min="6976" max="6976" width="1.7109375" style="121" customWidth="1"/>
    <col min="6977" max="6977" width="1" style="121" customWidth="1"/>
    <col min="6978" max="6978" width="0.7109375" style="121" customWidth="1"/>
    <col min="6979" max="6979" width="2.28515625" style="121" customWidth="1"/>
    <col min="6980" max="6980" width="1.140625" style="121" customWidth="1"/>
    <col min="6981" max="6981" width="2.28515625" style="121" customWidth="1"/>
    <col min="6982" max="6983" width="1.140625" style="121" customWidth="1"/>
    <col min="6984" max="6984" width="0.7109375" style="121" customWidth="1"/>
    <col min="6985" max="6985" width="2.85546875" style="121" customWidth="1"/>
    <col min="6986" max="6986" width="3.85546875" style="121" customWidth="1"/>
    <col min="6987" max="6989" width="0.5703125" style="121" customWidth="1"/>
    <col min="6990" max="6990" width="4.5703125" style="121" customWidth="1"/>
    <col min="6991" max="6991" width="1.140625" style="121" customWidth="1"/>
    <col min="6992" max="6992" width="1" style="121" customWidth="1"/>
    <col min="6993" max="6993" width="1.28515625" style="121" customWidth="1"/>
    <col min="6994" max="7168" width="6.85546875" style="121" customWidth="1"/>
    <col min="7169" max="7169" width="1.140625" style="121" customWidth="1"/>
    <col min="7170" max="7171" width="0.5703125" style="121" customWidth="1"/>
    <col min="7172" max="7172" width="3.42578125" style="121" customWidth="1"/>
    <col min="7173" max="7173" width="2.28515625" style="121" customWidth="1"/>
    <col min="7174" max="7175" width="1.140625" style="121" customWidth="1"/>
    <col min="7176" max="7177" width="3.42578125" style="121" customWidth="1"/>
    <col min="7178" max="7178" width="1.28515625" style="121" customWidth="1"/>
    <col min="7179" max="7179" width="2.140625" style="121" customWidth="1"/>
    <col min="7180" max="7180" width="1.140625" style="121" customWidth="1"/>
    <col min="7181" max="7181" width="2.28515625" style="121" customWidth="1"/>
    <col min="7182" max="7183" width="0.5703125" style="121" customWidth="1"/>
    <col min="7184" max="7184" width="1.140625" style="121" customWidth="1"/>
    <col min="7185" max="7185" width="0.7109375" style="121" customWidth="1"/>
    <col min="7186" max="7186" width="3.85546875" style="121" customWidth="1"/>
    <col min="7187" max="7187" width="4.5703125" style="121" customWidth="1"/>
    <col min="7188" max="7188" width="3" style="121" customWidth="1"/>
    <col min="7189" max="7189" width="2.7109375" style="121" customWidth="1"/>
    <col min="7190" max="7191" width="1.140625" style="121" customWidth="1"/>
    <col min="7192" max="7192" width="5.7109375" style="121" customWidth="1"/>
    <col min="7193" max="7193" width="1.140625" style="121" customWidth="1"/>
    <col min="7194" max="7194" width="0.7109375" style="121" customWidth="1"/>
    <col min="7195" max="7195" width="6.140625" style="121" customWidth="1"/>
    <col min="7196" max="7196" width="2.28515625" style="121" customWidth="1"/>
    <col min="7197" max="7197" width="1.140625" style="121" customWidth="1"/>
    <col min="7198" max="7198" width="2.42578125" style="121" customWidth="1"/>
    <col min="7199" max="7199" width="1" style="121" customWidth="1"/>
    <col min="7200" max="7201" width="1.140625" style="121" customWidth="1"/>
    <col min="7202" max="7202" width="3.85546875" style="121" customWidth="1"/>
    <col min="7203" max="7203" width="0.7109375" style="121" customWidth="1"/>
    <col min="7204" max="7204" width="1.140625" style="121" customWidth="1"/>
    <col min="7205" max="7205" width="1.5703125" style="121" customWidth="1"/>
    <col min="7206" max="7206" width="0.7109375" style="121" customWidth="1"/>
    <col min="7207" max="7207" width="1.140625" style="121" customWidth="1"/>
    <col min="7208" max="7208" width="3.5703125" style="121" customWidth="1"/>
    <col min="7209" max="7209" width="1" style="121" customWidth="1"/>
    <col min="7210" max="7210" width="3.42578125" style="121" customWidth="1"/>
    <col min="7211" max="7211" width="1.140625" style="121" customWidth="1"/>
    <col min="7212" max="7212" width="2.85546875" style="121" customWidth="1"/>
    <col min="7213" max="7213" width="0.5703125" style="121" customWidth="1"/>
    <col min="7214" max="7214" width="0.7109375" style="121" customWidth="1"/>
    <col min="7215" max="7215" width="1.5703125" style="121" customWidth="1"/>
    <col min="7216" max="7216" width="6.85546875" style="121" customWidth="1"/>
    <col min="7217" max="7217" width="1.140625" style="121" customWidth="1"/>
    <col min="7218" max="7219" width="0.5703125" style="121" customWidth="1"/>
    <col min="7220" max="7220" width="1.28515625" style="121" customWidth="1"/>
    <col min="7221" max="7221" width="1" style="121" customWidth="1"/>
    <col min="7222" max="7222" width="5.7109375" style="121" customWidth="1"/>
    <col min="7223" max="7224" width="0.5703125" style="121" customWidth="1"/>
    <col min="7225" max="7226" width="1.85546875" style="121" customWidth="1"/>
    <col min="7227" max="7227" width="3" style="121" customWidth="1"/>
    <col min="7228" max="7228" width="3.42578125" style="121" customWidth="1"/>
    <col min="7229" max="7229" width="1.140625" style="121" customWidth="1"/>
    <col min="7230" max="7230" width="3.42578125" style="121" customWidth="1"/>
    <col min="7231" max="7231" width="2.28515625" style="121" customWidth="1"/>
    <col min="7232" max="7232" width="1.7109375" style="121" customWidth="1"/>
    <col min="7233" max="7233" width="1" style="121" customWidth="1"/>
    <col min="7234" max="7234" width="0.7109375" style="121" customWidth="1"/>
    <col min="7235" max="7235" width="2.28515625" style="121" customWidth="1"/>
    <col min="7236" max="7236" width="1.140625" style="121" customWidth="1"/>
    <col min="7237" max="7237" width="2.28515625" style="121" customWidth="1"/>
    <col min="7238" max="7239" width="1.140625" style="121" customWidth="1"/>
    <col min="7240" max="7240" width="0.7109375" style="121" customWidth="1"/>
    <col min="7241" max="7241" width="2.85546875" style="121" customWidth="1"/>
    <col min="7242" max="7242" width="3.85546875" style="121" customWidth="1"/>
    <col min="7243" max="7245" width="0.5703125" style="121" customWidth="1"/>
    <col min="7246" max="7246" width="4.5703125" style="121" customWidth="1"/>
    <col min="7247" max="7247" width="1.140625" style="121" customWidth="1"/>
    <col min="7248" max="7248" width="1" style="121" customWidth="1"/>
    <col min="7249" max="7249" width="1.28515625" style="121" customWidth="1"/>
    <col min="7250" max="7424" width="6.85546875" style="121" customWidth="1"/>
    <col min="7425" max="7425" width="1.140625" style="121" customWidth="1"/>
    <col min="7426" max="7427" width="0.5703125" style="121" customWidth="1"/>
    <col min="7428" max="7428" width="3.42578125" style="121" customWidth="1"/>
    <col min="7429" max="7429" width="2.28515625" style="121" customWidth="1"/>
    <col min="7430" max="7431" width="1.140625" style="121" customWidth="1"/>
    <col min="7432" max="7433" width="3.42578125" style="121" customWidth="1"/>
    <col min="7434" max="7434" width="1.28515625" style="121" customWidth="1"/>
    <col min="7435" max="7435" width="2.140625" style="121" customWidth="1"/>
    <col min="7436" max="7436" width="1.140625" style="121" customWidth="1"/>
    <col min="7437" max="7437" width="2.28515625" style="121" customWidth="1"/>
    <col min="7438" max="7439" width="0.5703125" style="121" customWidth="1"/>
    <col min="7440" max="7440" width="1.140625" style="121" customWidth="1"/>
    <col min="7441" max="7441" width="0.7109375" style="121" customWidth="1"/>
    <col min="7442" max="7442" width="3.85546875" style="121" customWidth="1"/>
    <col min="7443" max="7443" width="4.5703125" style="121" customWidth="1"/>
    <col min="7444" max="7444" width="3" style="121" customWidth="1"/>
    <col min="7445" max="7445" width="2.7109375" style="121" customWidth="1"/>
    <col min="7446" max="7447" width="1.140625" style="121" customWidth="1"/>
    <col min="7448" max="7448" width="5.7109375" style="121" customWidth="1"/>
    <col min="7449" max="7449" width="1.140625" style="121" customWidth="1"/>
    <col min="7450" max="7450" width="0.7109375" style="121" customWidth="1"/>
    <col min="7451" max="7451" width="6.140625" style="121" customWidth="1"/>
    <col min="7452" max="7452" width="2.28515625" style="121" customWidth="1"/>
    <col min="7453" max="7453" width="1.140625" style="121" customWidth="1"/>
    <col min="7454" max="7454" width="2.42578125" style="121" customWidth="1"/>
    <col min="7455" max="7455" width="1" style="121" customWidth="1"/>
    <col min="7456" max="7457" width="1.140625" style="121" customWidth="1"/>
    <col min="7458" max="7458" width="3.85546875" style="121" customWidth="1"/>
    <col min="7459" max="7459" width="0.7109375" style="121" customWidth="1"/>
    <col min="7460" max="7460" width="1.140625" style="121" customWidth="1"/>
    <col min="7461" max="7461" width="1.5703125" style="121" customWidth="1"/>
    <col min="7462" max="7462" width="0.7109375" style="121" customWidth="1"/>
    <col min="7463" max="7463" width="1.140625" style="121" customWidth="1"/>
    <col min="7464" max="7464" width="3.5703125" style="121" customWidth="1"/>
    <col min="7465" max="7465" width="1" style="121" customWidth="1"/>
    <col min="7466" max="7466" width="3.42578125" style="121" customWidth="1"/>
    <col min="7467" max="7467" width="1.140625" style="121" customWidth="1"/>
    <col min="7468" max="7468" width="2.85546875" style="121" customWidth="1"/>
    <col min="7469" max="7469" width="0.5703125" style="121" customWidth="1"/>
    <col min="7470" max="7470" width="0.7109375" style="121" customWidth="1"/>
    <col min="7471" max="7471" width="1.5703125" style="121" customWidth="1"/>
    <col min="7472" max="7472" width="6.85546875" style="121" customWidth="1"/>
    <col min="7473" max="7473" width="1.140625" style="121" customWidth="1"/>
    <col min="7474" max="7475" width="0.5703125" style="121" customWidth="1"/>
    <col min="7476" max="7476" width="1.28515625" style="121" customWidth="1"/>
    <col min="7477" max="7477" width="1" style="121" customWidth="1"/>
    <col min="7478" max="7478" width="5.7109375" style="121" customWidth="1"/>
    <col min="7479" max="7480" width="0.5703125" style="121" customWidth="1"/>
    <col min="7481" max="7482" width="1.85546875" style="121" customWidth="1"/>
    <col min="7483" max="7483" width="3" style="121" customWidth="1"/>
    <col min="7484" max="7484" width="3.42578125" style="121" customWidth="1"/>
    <col min="7485" max="7485" width="1.140625" style="121" customWidth="1"/>
    <col min="7486" max="7486" width="3.42578125" style="121" customWidth="1"/>
    <col min="7487" max="7487" width="2.28515625" style="121" customWidth="1"/>
    <col min="7488" max="7488" width="1.7109375" style="121" customWidth="1"/>
    <col min="7489" max="7489" width="1" style="121" customWidth="1"/>
    <col min="7490" max="7490" width="0.7109375" style="121" customWidth="1"/>
    <col min="7491" max="7491" width="2.28515625" style="121" customWidth="1"/>
    <col min="7492" max="7492" width="1.140625" style="121" customWidth="1"/>
    <col min="7493" max="7493" width="2.28515625" style="121" customWidth="1"/>
    <col min="7494" max="7495" width="1.140625" style="121" customWidth="1"/>
    <col min="7496" max="7496" width="0.7109375" style="121" customWidth="1"/>
    <col min="7497" max="7497" width="2.85546875" style="121" customWidth="1"/>
    <col min="7498" max="7498" width="3.85546875" style="121" customWidth="1"/>
    <col min="7499" max="7501" width="0.5703125" style="121" customWidth="1"/>
    <col min="7502" max="7502" width="4.5703125" style="121" customWidth="1"/>
    <col min="7503" max="7503" width="1.140625" style="121" customWidth="1"/>
    <col min="7504" max="7504" width="1" style="121" customWidth="1"/>
    <col min="7505" max="7505" width="1.28515625" style="121" customWidth="1"/>
    <col min="7506" max="7680" width="6.85546875" style="121" customWidth="1"/>
    <col min="7681" max="7681" width="1.140625" style="121" customWidth="1"/>
    <col min="7682" max="7683" width="0.5703125" style="121" customWidth="1"/>
    <col min="7684" max="7684" width="3.42578125" style="121" customWidth="1"/>
    <col min="7685" max="7685" width="2.28515625" style="121" customWidth="1"/>
    <col min="7686" max="7687" width="1.140625" style="121" customWidth="1"/>
    <col min="7688" max="7689" width="3.42578125" style="121" customWidth="1"/>
    <col min="7690" max="7690" width="1.28515625" style="121" customWidth="1"/>
    <col min="7691" max="7691" width="2.140625" style="121" customWidth="1"/>
    <col min="7692" max="7692" width="1.140625" style="121" customWidth="1"/>
    <col min="7693" max="7693" width="2.28515625" style="121" customWidth="1"/>
    <col min="7694" max="7695" width="0.5703125" style="121" customWidth="1"/>
    <col min="7696" max="7696" width="1.140625" style="121" customWidth="1"/>
    <col min="7697" max="7697" width="0.7109375" style="121" customWidth="1"/>
    <col min="7698" max="7698" width="3.85546875" style="121" customWidth="1"/>
    <col min="7699" max="7699" width="4.5703125" style="121" customWidth="1"/>
    <col min="7700" max="7700" width="3" style="121" customWidth="1"/>
    <col min="7701" max="7701" width="2.7109375" style="121" customWidth="1"/>
    <col min="7702" max="7703" width="1.140625" style="121" customWidth="1"/>
    <col min="7704" max="7704" width="5.7109375" style="121" customWidth="1"/>
    <col min="7705" max="7705" width="1.140625" style="121" customWidth="1"/>
    <col min="7706" max="7706" width="0.7109375" style="121" customWidth="1"/>
    <col min="7707" max="7707" width="6.140625" style="121" customWidth="1"/>
    <col min="7708" max="7708" width="2.28515625" style="121" customWidth="1"/>
    <col min="7709" max="7709" width="1.140625" style="121" customWidth="1"/>
    <col min="7710" max="7710" width="2.42578125" style="121" customWidth="1"/>
    <col min="7711" max="7711" width="1" style="121" customWidth="1"/>
    <col min="7712" max="7713" width="1.140625" style="121" customWidth="1"/>
    <col min="7714" max="7714" width="3.85546875" style="121" customWidth="1"/>
    <col min="7715" max="7715" width="0.7109375" style="121" customWidth="1"/>
    <col min="7716" max="7716" width="1.140625" style="121" customWidth="1"/>
    <col min="7717" max="7717" width="1.5703125" style="121" customWidth="1"/>
    <col min="7718" max="7718" width="0.7109375" style="121" customWidth="1"/>
    <col min="7719" max="7719" width="1.140625" style="121" customWidth="1"/>
    <col min="7720" max="7720" width="3.5703125" style="121" customWidth="1"/>
    <col min="7721" max="7721" width="1" style="121" customWidth="1"/>
    <col min="7722" max="7722" width="3.42578125" style="121" customWidth="1"/>
    <col min="7723" max="7723" width="1.140625" style="121" customWidth="1"/>
    <col min="7724" max="7724" width="2.85546875" style="121" customWidth="1"/>
    <col min="7725" max="7725" width="0.5703125" style="121" customWidth="1"/>
    <col min="7726" max="7726" width="0.7109375" style="121" customWidth="1"/>
    <col min="7727" max="7727" width="1.5703125" style="121" customWidth="1"/>
    <col min="7728" max="7728" width="6.85546875" style="121" customWidth="1"/>
    <col min="7729" max="7729" width="1.140625" style="121" customWidth="1"/>
    <col min="7730" max="7731" width="0.5703125" style="121" customWidth="1"/>
    <col min="7732" max="7732" width="1.28515625" style="121" customWidth="1"/>
    <col min="7733" max="7733" width="1" style="121" customWidth="1"/>
    <col min="7734" max="7734" width="5.7109375" style="121" customWidth="1"/>
    <col min="7735" max="7736" width="0.5703125" style="121" customWidth="1"/>
    <col min="7737" max="7738" width="1.85546875" style="121" customWidth="1"/>
    <col min="7739" max="7739" width="3" style="121" customWidth="1"/>
    <col min="7740" max="7740" width="3.42578125" style="121" customWidth="1"/>
    <col min="7741" max="7741" width="1.140625" style="121" customWidth="1"/>
    <col min="7742" max="7742" width="3.42578125" style="121" customWidth="1"/>
    <col min="7743" max="7743" width="2.28515625" style="121" customWidth="1"/>
    <col min="7744" max="7744" width="1.7109375" style="121" customWidth="1"/>
    <col min="7745" max="7745" width="1" style="121" customWidth="1"/>
    <col min="7746" max="7746" width="0.7109375" style="121" customWidth="1"/>
    <col min="7747" max="7747" width="2.28515625" style="121" customWidth="1"/>
    <col min="7748" max="7748" width="1.140625" style="121" customWidth="1"/>
    <col min="7749" max="7749" width="2.28515625" style="121" customWidth="1"/>
    <col min="7750" max="7751" width="1.140625" style="121" customWidth="1"/>
    <col min="7752" max="7752" width="0.7109375" style="121" customWidth="1"/>
    <col min="7753" max="7753" width="2.85546875" style="121" customWidth="1"/>
    <col min="7754" max="7754" width="3.85546875" style="121" customWidth="1"/>
    <col min="7755" max="7757" width="0.5703125" style="121" customWidth="1"/>
    <col min="7758" max="7758" width="4.5703125" style="121" customWidth="1"/>
    <col min="7759" max="7759" width="1.140625" style="121" customWidth="1"/>
    <col min="7760" max="7760" width="1" style="121" customWidth="1"/>
    <col min="7761" max="7761" width="1.28515625" style="121" customWidth="1"/>
    <col min="7762" max="7936" width="6.85546875" style="121" customWidth="1"/>
    <col min="7937" max="7937" width="1.140625" style="121" customWidth="1"/>
    <col min="7938" max="7939" width="0.5703125" style="121" customWidth="1"/>
    <col min="7940" max="7940" width="3.42578125" style="121" customWidth="1"/>
    <col min="7941" max="7941" width="2.28515625" style="121" customWidth="1"/>
    <col min="7942" max="7943" width="1.140625" style="121" customWidth="1"/>
    <col min="7944" max="7945" width="3.42578125" style="121" customWidth="1"/>
    <col min="7946" max="7946" width="1.28515625" style="121" customWidth="1"/>
    <col min="7947" max="7947" width="2.140625" style="121" customWidth="1"/>
    <col min="7948" max="7948" width="1.140625" style="121" customWidth="1"/>
    <col min="7949" max="7949" width="2.28515625" style="121" customWidth="1"/>
    <col min="7950" max="7951" width="0.5703125" style="121" customWidth="1"/>
    <col min="7952" max="7952" width="1.140625" style="121" customWidth="1"/>
    <col min="7953" max="7953" width="0.7109375" style="121" customWidth="1"/>
    <col min="7954" max="7954" width="3.85546875" style="121" customWidth="1"/>
    <col min="7955" max="7955" width="4.5703125" style="121" customWidth="1"/>
    <col min="7956" max="7956" width="3" style="121" customWidth="1"/>
    <col min="7957" max="7957" width="2.7109375" style="121" customWidth="1"/>
    <col min="7958" max="7959" width="1.140625" style="121" customWidth="1"/>
    <col min="7960" max="7960" width="5.7109375" style="121" customWidth="1"/>
    <col min="7961" max="7961" width="1.140625" style="121" customWidth="1"/>
    <col min="7962" max="7962" width="0.7109375" style="121" customWidth="1"/>
    <col min="7963" max="7963" width="6.140625" style="121" customWidth="1"/>
    <col min="7964" max="7964" width="2.28515625" style="121" customWidth="1"/>
    <col min="7965" max="7965" width="1.140625" style="121" customWidth="1"/>
    <col min="7966" max="7966" width="2.42578125" style="121" customWidth="1"/>
    <col min="7967" max="7967" width="1" style="121" customWidth="1"/>
    <col min="7968" max="7969" width="1.140625" style="121" customWidth="1"/>
    <col min="7970" max="7970" width="3.85546875" style="121" customWidth="1"/>
    <col min="7971" max="7971" width="0.7109375" style="121" customWidth="1"/>
    <col min="7972" max="7972" width="1.140625" style="121" customWidth="1"/>
    <col min="7973" max="7973" width="1.5703125" style="121" customWidth="1"/>
    <col min="7974" max="7974" width="0.7109375" style="121" customWidth="1"/>
    <col min="7975" max="7975" width="1.140625" style="121" customWidth="1"/>
    <col min="7976" max="7976" width="3.5703125" style="121" customWidth="1"/>
    <col min="7977" max="7977" width="1" style="121" customWidth="1"/>
    <col min="7978" max="7978" width="3.42578125" style="121" customWidth="1"/>
    <col min="7979" max="7979" width="1.140625" style="121" customWidth="1"/>
    <col min="7980" max="7980" width="2.85546875" style="121" customWidth="1"/>
    <col min="7981" max="7981" width="0.5703125" style="121" customWidth="1"/>
    <col min="7982" max="7982" width="0.7109375" style="121" customWidth="1"/>
    <col min="7983" max="7983" width="1.5703125" style="121" customWidth="1"/>
    <col min="7984" max="7984" width="6.85546875" style="121" customWidth="1"/>
    <col min="7985" max="7985" width="1.140625" style="121" customWidth="1"/>
    <col min="7986" max="7987" width="0.5703125" style="121" customWidth="1"/>
    <col min="7988" max="7988" width="1.28515625" style="121" customWidth="1"/>
    <col min="7989" max="7989" width="1" style="121" customWidth="1"/>
    <col min="7990" max="7990" width="5.7109375" style="121" customWidth="1"/>
    <col min="7991" max="7992" width="0.5703125" style="121" customWidth="1"/>
    <col min="7993" max="7994" width="1.85546875" style="121" customWidth="1"/>
    <col min="7995" max="7995" width="3" style="121" customWidth="1"/>
    <col min="7996" max="7996" width="3.42578125" style="121" customWidth="1"/>
    <col min="7997" max="7997" width="1.140625" style="121" customWidth="1"/>
    <col min="7998" max="7998" width="3.42578125" style="121" customWidth="1"/>
    <col min="7999" max="7999" width="2.28515625" style="121" customWidth="1"/>
    <col min="8000" max="8000" width="1.7109375" style="121" customWidth="1"/>
    <col min="8001" max="8001" width="1" style="121" customWidth="1"/>
    <col min="8002" max="8002" width="0.7109375" style="121" customWidth="1"/>
    <col min="8003" max="8003" width="2.28515625" style="121" customWidth="1"/>
    <col min="8004" max="8004" width="1.140625" style="121" customWidth="1"/>
    <col min="8005" max="8005" width="2.28515625" style="121" customWidth="1"/>
    <col min="8006" max="8007" width="1.140625" style="121" customWidth="1"/>
    <col min="8008" max="8008" width="0.7109375" style="121" customWidth="1"/>
    <col min="8009" max="8009" width="2.85546875" style="121" customWidth="1"/>
    <col min="8010" max="8010" width="3.85546875" style="121" customWidth="1"/>
    <col min="8011" max="8013" width="0.5703125" style="121" customWidth="1"/>
    <col min="8014" max="8014" width="4.5703125" style="121" customWidth="1"/>
    <col min="8015" max="8015" width="1.140625" style="121" customWidth="1"/>
    <col min="8016" max="8016" width="1" style="121" customWidth="1"/>
    <col min="8017" max="8017" width="1.28515625" style="121" customWidth="1"/>
    <col min="8018" max="8192" width="6.85546875" style="121" customWidth="1"/>
    <col min="8193" max="8193" width="1.140625" style="121" customWidth="1"/>
    <col min="8194" max="8195" width="0.5703125" style="121" customWidth="1"/>
    <col min="8196" max="8196" width="3.42578125" style="121" customWidth="1"/>
    <col min="8197" max="8197" width="2.28515625" style="121" customWidth="1"/>
    <col min="8198" max="8199" width="1.140625" style="121" customWidth="1"/>
    <col min="8200" max="8201" width="3.42578125" style="121" customWidth="1"/>
    <col min="8202" max="8202" width="1.28515625" style="121" customWidth="1"/>
    <col min="8203" max="8203" width="2.140625" style="121" customWidth="1"/>
    <col min="8204" max="8204" width="1.140625" style="121" customWidth="1"/>
    <col min="8205" max="8205" width="2.28515625" style="121" customWidth="1"/>
    <col min="8206" max="8207" width="0.5703125" style="121" customWidth="1"/>
    <col min="8208" max="8208" width="1.140625" style="121" customWidth="1"/>
    <col min="8209" max="8209" width="0.7109375" style="121" customWidth="1"/>
    <col min="8210" max="8210" width="3.85546875" style="121" customWidth="1"/>
    <col min="8211" max="8211" width="4.5703125" style="121" customWidth="1"/>
    <col min="8212" max="8212" width="3" style="121" customWidth="1"/>
    <col min="8213" max="8213" width="2.7109375" style="121" customWidth="1"/>
    <col min="8214" max="8215" width="1.140625" style="121" customWidth="1"/>
    <col min="8216" max="8216" width="5.7109375" style="121" customWidth="1"/>
    <col min="8217" max="8217" width="1.140625" style="121" customWidth="1"/>
    <col min="8218" max="8218" width="0.7109375" style="121" customWidth="1"/>
    <col min="8219" max="8219" width="6.140625" style="121" customWidth="1"/>
    <col min="8220" max="8220" width="2.28515625" style="121" customWidth="1"/>
    <col min="8221" max="8221" width="1.140625" style="121" customWidth="1"/>
    <col min="8222" max="8222" width="2.42578125" style="121" customWidth="1"/>
    <col min="8223" max="8223" width="1" style="121" customWidth="1"/>
    <col min="8224" max="8225" width="1.140625" style="121" customWidth="1"/>
    <col min="8226" max="8226" width="3.85546875" style="121" customWidth="1"/>
    <col min="8227" max="8227" width="0.7109375" style="121" customWidth="1"/>
    <col min="8228" max="8228" width="1.140625" style="121" customWidth="1"/>
    <col min="8229" max="8229" width="1.5703125" style="121" customWidth="1"/>
    <col min="8230" max="8230" width="0.7109375" style="121" customWidth="1"/>
    <col min="8231" max="8231" width="1.140625" style="121" customWidth="1"/>
    <col min="8232" max="8232" width="3.5703125" style="121" customWidth="1"/>
    <col min="8233" max="8233" width="1" style="121" customWidth="1"/>
    <col min="8234" max="8234" width="3.42578125" style="121" customWidth="1"/>
    <col min="8235" max="8235" width="1.140625" style="121" customWidth="1"/>
    <col min="8236" max="8236" width="2.85546875" style="121" customWidth="1"/>
    <col min="8237" max="8237" width="0.5703125" style="121" customWidth="1"/>
    <col min="8238" max="8238" width="0.7109375" style="121" customWidth="1"/>
    <col min="8239" max="8239" width="1.5703125" style="121" customWidth="1"/>
    <col min="8240" max="8240" width="6.85546875" style="121" customWidth="1"/>
    <col min="8241" max="8241" width="1.140625" style="121" customWidth="1"/>
    <col min="8242" max="8243" width="0.5703125" style="121" customWidth="1"/>
    <col min="8244" max="8244" width="1.28515625" style="121" customWidth="1"/>
    <col min="8245" max="8245" width="1" style="121" customWidth="1"/>
    <col min="8246" max="8246" width="5.7109375" style="121" customWidth="1"/>
    <col min="8247" max="8248" width="0.5703125" style="121" customWidth="1"/>
    <col min="8249" max="8250" width="1.85546875" style="121" customWidth="1"/>
    <col min="8251" max="8251" width="3" style="121" customWidth="1"/>
    <col min="8252" max="8252" width="3.42578125" style="121" customWidth="1"/>
    <col min="8253" max="8253" width="1.140625" style="121" customWidth="1"/>
    <col min="8254" max="8254" width="3.42578125" style="121" customWidth="1"/>
    <col min="8255" max="8255" width="2.28515625" style="121" customWidth="1"/>
    <col min="8256" max="8256" width="1.7109375" style="121" customWidth="1"/>
    <col min="8257" max="8257" width="1" style="121" customWidth="1"/>
    <col min="8258" max="8258" width="0.7109375" style="121" customWidth="1"/>
    <col min="8259" max="8259" width="2.28515625" style="121" customWidth="1"/>
    <col min="8260" max="8260" width="1.140625" style="121" customWidth="1"/>
    <col min="8261" max="8261" width="2.28515625" style="121" customWidth="1"/>
    <col min="8262" max="8263" width="1.140625" style="121" customWidth="1"/>
    <col min="8264" max="8264" width="0.7109375" style="121" customWidth="1"/>
    <col min="8265" max="8265" width="2.85546875" style="121" customWidth="1"/>
    <col min="8266" max="8266" width="3.85546875" style="121" customWidth="1"/>
    <col min="8267" max="8269" width="0.5703125" style="121" customWidth="1"/>
    <col min="8270" max="8270" width="4.5703125" style="121" customWidth="1"/>
    <col min="8271" max="8271" width="1.140625" style="121" customWidth="1"/>
    <col min="8272" max="8272" width="1" style="121" customWidth="1"/>
    <col min="8273" max="8273" width="1.28515625" style="121" customWidth="1"/>
    <col min="8274" max="8448" width="6.85546875" style="121" customWidth="1"/>
    <col min="8449" max="8449" width="1.140625" style="121" customWidth="1"/>
    <col min="8450" max="8451" width="0.5703125" style="121" customWidth="1"/>
    <col min="8452" max="8452" width="3.42578125" style="121" customWidth="1"/>
    <col min="8453" max="8453" width="2.28515625" style="121" customWidth="1"/>
    <col min="8454" max="8455" width="1.140625" style="121" customWidth="1"/>
    <col min="8456" max="8457" width="3.42578125" style="121" customWidth="1"/>
    <col min="8458" max="8458" width="1.28515625" style="121" customWidth="1"/>
    <col min="8459" max="8459" width="2.140625" style="121" customWidth="1"/>
    <col min="8460" max="8460" width="1.140625" style="121" customWidth="1"/>
    <col min="8461" max="8461" width="2.28515625" style="121" customWidth="1"/>
    <col min="8462" max="8463" width="0.5703125" style="121" customWidth="1"/>
    <col min="8464" max="8464" width="1.140625" style="121" customWidth="1"/>
    <col min="8465" max="8465" width="0.7109375" style="121" customWidth="1"/>
    <col min="8466" max="8466" width="3.85546875" style="121" customWidth="1"/>
    <col min="8467" max="8467" width="4.5703125" style="121" customWidth="1"/>
    <col min="8468" max="8468" width="3" style="121" customWidth="1"/>
    <col min="8469" max="8469" width="2.7109375" style="121" customWidth="1"/>
    <col min="8470" max="8471" width="1.140625" style="121" customWidth="1"/>
    <col min="8472" max="8472" width="5.7109375" style="121" customWidth="1"/>
    <col min="8473" max="8473" width="1.140625" style="121" customWidth="1"/>
    <col min="8474" max="8474" width="0.7109375" style="121" customWidth="1"/>
    <col min="8475" max="8475" width="6.140625" style="121" customWidth="1"/>
    <col min="8476" max="8476" width="2.28515625" style="121" customWidth="1"/>
    <col min="8477" max="8477" width="1.140625" style="121" customWidth="1"/>
    <col min="8478" max="8478" width="2.42578125" style="121" customWidth="1"/>
    <col min="8479" max="8479" width="1" style="121" customWidth="1"/>
    <col min="8480" max="8481" width="1.140625" style="121" customWidth="1"/>
    <col min="8482" max="8482" width="3.85546875" style="121" customWidth="1"/>
    <col min="8483" max="8483" width="0.7109375" style="121" customWidth="1"/>
    <col min="8484" max="8484" width="1.140625" style="121" customWidth="1"/>
    <col min="8485" max="8485" width="1.5703125" style="121" customWidth="1"/>
    <col min="8486" max="8486" width="0.7109375" style="121" customWidth="1"/>
    <col min="8487" max="8487" width="1.140625" style="121" customWidth="1"/>
    <col min="8488" max="8488" width="3.5703125" style="121" customWidth="1"/>
    <col min="8489" max="8489" width="1" style="121" customWidth="1"/>
    <col min="8490" max="8490" width="3.42578125" style="121" customWidth="1"/>
    <col min="8491" max="8491" width="1.140625" style="121" customWidth="1"/>
    <col min="8492" max="8492" width="2.85546875" style="121" customWidth="1"/>
    <col min="8493" max="8493" width="0.5703125" style="121" customWidth="1"/>
    <col min="8494" max="8494" width="0.7109375" style="121" customWidth="1"/>
    <col min="8495" max="8495" width="1.5703125" style="121" customWidth="1"/>
    <col min="8496" max="8496" width="6.85546875" style="121" customWidth="1"/>
    <col min="8497" max="8497" width="1.140625" style="121" customWidth="1"/>
    <col min="8498" max="8499" width="0.5703125" style="121" customWidth="1"/>
    <col min="8500" max="8500" width="1.28515625" style="121" customWidth="1"/>
    <col min="8501" max="8501" width="1" style="121" customWidth="1"/>
    <col min="8502" max="8502" width="5.7109375" style="121" customWidth="1"/>
    <col min="8503" max="8504" width="0.5703125" style="121" customWidth="1"/>
    <col min="8505" max="8506" width="1.85546875" style="121" customWidth="1"/>
    <col min="8507" max="8507" width="3" style="121" customWidth="1"/>
    <col min="8508" max="8508" width="3.42578125" style="121" customWidth="1"/>
    <col min="8509" max="8509" width="1.140625" style="121" customWidth="1"/>
    <col min="8510" max="8510" width="3.42578125" style="121" customWidth="1"/>
    <col min="8511" max="8511" width="2.28515625" style="121" customWidth="1"/>
    <col min="8512" max="8512" width="1.7109375" style="121" customWidth="1"/>
    <col min="8513" max="8513" width="1" style="121" customWidth="1"/>
    <col min="8514" max="8514" width="0.7109375" style="121" customWidth="1"/>
    <col min="8515" max="8515" width="2.28515625" style="121" customWidth="1"/>
    <col min="8516" max="8516" width="1.140625" style="121" customWidth="1"/>
    <col min="8517" max="8517" width="2.28515625" style="121" customWidth="1"/>
    <col min="8518" max="8519" width="1.140625" style="121" customWidth="1"/>
    <col min="8520" max="8520" width="0.7109375" style="121" customWidth="1"/>
    <col min="8521" max="8521" width="2.85546875" style="121" customWidth="1"/>
    <col min="8522" max="8522" width="3.85546875" style="121" customWidth="1"/>
    <col min="8523" max="8525" width="0.5703125" style="121" customWidth="1"/>
    <col min="8526" max="8526" width="4.5703125" style="121" customWidth="1"/>
    <col min="8527" max="8527" width="1.140625" style="121" customWidth="1"/>
    <col min="8528" max="8528" width="1" style="121" customWidth="1"/>
    <col min="8529" max="8529" width="1.28515625" style="121" customWidth="1"/>
    <col min="8530" max="8704" width="6.85546875" style="121" customWidth="1"/>
    <col min="8705" max="8705" width="1.140625" style="121" customWidth="1"/>
    <col min="8706" max="8707" width="0.5703125" style="121" customWidth="1"/>
    <col min="8708" max="8708" width="3.42578125" style="121" customWidth="1"/>
    <col min="8709" max="8709" width="2.28515625" style="121" customWidth="1"/>
    <col min="8710" max="8711" width="1.140625" style="121" customWidth="1"/>
    <col min="8712" max="8713" width="3.42578125" style="121" customWidth="1"/>
    <col min="8714" max="8714" width="1.28515625" style="121" customWidth="1"/>
    <col min="8715" max="8715" width="2.140625" style="121" customWidth="1"/>
    <col min="8716" max="8716" width="1.140625" style="121" customWidth="1"/>
    <col min="8717" max="8717" width="2.28515625" style="121" customWidth="1"/>
    <col min="8718" max="8719" width="0.5703125" style="121" customWidth="1"/>
    <col min="8720" max="8720" width="1.140625" style="121" customWidth="1"/>
    <col min="8721" max="8721" width="0.7109375" style="121" customWidth="1"/>
    <col min="8722" max="8722" width="3.85546875" style="121" customWidth="1"/>
    <col min="8723" max="8723" width="4.5703125" style="121" customWidth="1"/>
    <col min="8724" max="8724" width="3" style="121" customWidth="1"/>
    <col min="8725" max="8725" width="2.7109375" style="121" customWidth="1"/>
    <col min="8726" max="8727" width="1.140625" style="121" customWidth="1"/>
    <col min="8728" max="8728" width="5.7109375" style="121" customWidth="1"/>
    <col min="8729" max="8729" width="1.140625" style="121" customWidth="1"/>
    <col min="8730" max="8730" width="0.7109375" style="121" customWidth="1"/>
    <col min="8731" max="8731" width="6.140625" style="121" customWidth="1"/>
    <col min="8732" max="8732" width="2.28515625" style="121" customWidth="1"/>
    <col min="8733" max="8733" width="1.140625" style="121" customWidth="1"/>
    <col min="8734" max="8734" width="2.42578125" style="121" customWidth="1"/>
    <col min="8735" max="8735" width="1" style="121" customWidth="1"/>
    <col min="8736" max="8737" width="1.140625" style="121" customWidth="1"/>
    <col min="8738" max="8738" width="3.85546875" style="121" customWidth="1"/>
    <col min="8739" max="8739" width="0.7109375" style="121" customWidth="1"/>
    <col min="8740" max="8740" width="1.140625" style="121" customWidth="1"/>
    <col min="8741" max="8741" width="1.5703125" style="121" customWidth="1"/>
    <col min="8742" max="8742" width="0.7109375" style="121" customWidth="1"/>
    <col min="8743" max="8743" width="1.140625" style="121" customWidth="1"/>
    <col min="8744" max="8744" width="3.5703125" style="121" customWidth="1"/>
    <col min="8745" max="8745" width="1" style="121" customWidth="1"/>
    <col min="8746" max="8746" width="3.42578125" style="121" customWidth="1"/>
    <col min="8747" max="8747" width="1.140625" style="121" customWidth="1"/>
    <col min="8748" max="8748" width="2.85546875" style="121" customWidth="1"/>
    <col min="8749" max="8749" width="0.5703125" style="121" customWidth="1"/>
    <col min="8750" max="8750" width="0.7109375" style="121" customWidth="1"/>
    <col min="8751" max="8751" width="1.5703125" style="121" customWidth="1"/>
    <col min="8752" max="8752" width="6.85546875" style="121" customWidth="1"/>
    <col min="8753" max="8753" width="1.140625" style="121" customWidth="1"/>
    <col min="8754" max="8755" width="0.5703125" style="121" customWidth="1"/>
    <col min="8756" max="8756" width="1.28515625" style="121" customWidth="1"/>
    <col min="8757" max="8757" width="1" style="121" customWidth="1"/>
    <col min="8758" max="8758" width="5.7109375" style="121" customWidth="1"/>
    <col min="8759" max="8760" width="0.5703125" style="121" customWidth="1"/>
    <col min="8761" max="8762" width="1.85546875" style="121" customWidth="1"/>
    <col min="8763" max="8763" width="3" style="121" customWidth="1"/>
    <col min="8764" max="8764" width="3.42578125" style="121" customWidth="1"/>
    <col min="8765" max="8765" width="1.140625" style="121" customWidth="1"/>
    <col min="8766" max="8766" width="3.42578125" style="121" customWidth="1"/>
    <col min="8767" max="8767" width="2.28515625" style="121" customWidth="1"/>
    <col min="8768" max="8768" width="1.7109375" style="121" customWidth="1"/>
    <col min="8769" max="8769" width="1" style="121" customWidth="1"/>
    <col min="8770" max="8770" width="0.7109375" style="121" customWidth="1"/>
    <col min="8771" max="8771" width="2.28515625" style="121" customWidth="1"/>
    <col min="8772" max="8772" width="1.140625" style="121" customWidth="1"/>
    <col min="8773" max="8773" width="2.28515625" style="121" customWidth="1"/>
    <col min="8774" max="8775" width="1.140625" style="121" customWidth="1"/>
    <col min="8776" max="8776" width="0.7109375" style="121" customWidth="1"/>
    <col min="8777" max="8777" width="2.85546875" style="121" customWidth="1"/>
    <col min="8778" max="8778" width="3.85546875" style="121" customWidth="1"/>
    <col min="8779" max="8781" width="0.5703125" style="121" customWidth="1"/>
    <col min="8782" max="8782" width="4.5703125" style="121" customWidth="1"/>
    <col min="8783" max="8783" width="1.140625" style="121" customWidth="1"/>
    <col min="8784" max="8784" width="1" style="121" customWidth="1"/>
    <col min="8785" max="8785" width="1.28515625" style="121" customWidth="1"/>
    <col min="8786" max="8960" width="6.85546875" style="121" customWidth="1"/>
    <col min="8961" max="8961" width="1.140625" style="121" customWidth="1"/>
    <col min="8962" max="8963" width="0.5703125" style="121" customWidth="1"/>
    <col min="8964" max="8964" width="3.42578125" style="121" customWidth="1"/>
    <col min="8965" max="8965" width="2.28515625" style="121" customWidth="1"/>
    <col min="8966" max="8967" width="1.140625" style="121" customWidth="1"/>
    <col min="8968" max="8969" width="3.42578125" style="121" customWidth="1"/>
    <col min="8970" max="8970" width="1.28515625" style="121" customWidth="1"/>
    <col min="8971" max="8971" width="2.140625" style="121" customWidth="1"/>
    <col min="8972" max="8972" width="1.140625" style="121" customWidth="1"/>
    <col min="8973" max="8973" width="2.28515625" style="121" customWidth="1"/>
    <col min="8974" max="8975" width="0.5703125" style="121" customWidth="1"/>
    <col min="8976" max="8976" width="1.140625" style="121" customWidth="1"/>
    <col min="8977" max="8977" width="0.7109375" style="121" customWidth="1"/>
    <col min="8978" max="8978" width="3.85546875" style="121" customWidth="1"/>
    <col min="8979" max="8979" width="4.5703125" style="121" customWidth="1"/>
    <col min="8980" max="8980" width="3" style="121" customWidth="1"/>
    <col min="8981" max="8981" width="2.7109375" style="121" customWidth="1"/>
    <col min="8982" max="8983" width="1.140625" style="121" customWidth="1"/>
    <col min="8984" max="8984" width="5.7109375" style="121" customWidth="1"/>
    <col min="8985" max="8985" width="1.140625" style="121" customWidth="1"/>
    <col min="8986" max="8986" width="0.7109375" style="121" customWidth="1"/>
    <col min="8987" max="8987" width="6.140625" style="121" customWidth="1"/>
    <col min="8988" max="8988" width="2.28515625" style="121" customWidth="1"/>
    <col min="8989" max="8989" width="1.140625" style="121" customWidth="1"/>
    <col min="8990" max="8990" width="2.42578125" style="121" customWidth="1"/>
    <col min="8991" max="8991" width="1" style="121" customWidth="1"/>
    <col min="8992" max="8993" width="1.140625" style="121" customWidth="1"/>
    <col min="8994" max="8994" width="3.85546875" style="121" customWidth="1"/>
    <col min="8995" max="8995" width="0.7109375" style="121" customWidth="1"/>
    <col min="8996" max="8996" width="1.140625" style="121" customWidth="1"/>
    <col min="8997" max="8997" width="1.5703125" style="121" customWidth="1"/>
    <col min="8998" max="8998" width="0.7109375" style="121" customWidth="1"/>
    <col min="8999" max="8999" width="1.140625" style="121" customWidth="1"/>
    <col min="9000" max="9000" width="3.5703125" style="121" customWidth="1"/>
    <col min="9001" max="9001" width="1" style="121" customWidth="1"/>
    <col min="9002" max="9002" width="3.42578125" style="121" customWidth="1"/>
    <col min="9003" max="9003" width="1.140625" style="121" customWidth="1"/>
    <col min="9004" max="9004" width="2.85546875" style="121" customWidth="1"/>
    <col min="9005" max="9005" width="0.5703125" style="121" customWidth="1"/>
    <col min="9006" max="9006" width="0.7109375" style="121" customWidth="1"/>
    <col min="9007" max="9007" width="1.5703125" style="121" customWidth="1"/>
    <col min="9008" max="9008" width="6.85546875" style="121" customWidth="1"/>
    <col min="9009" max="9009" width="1.140625" style="121" customWidth="1"/>
    <col min="9010" max="9011" width="0.5703125" style="121" customWidth="1"/>
    <col min="9012" max="9012" width="1.28515625" style="121" customWidth="1"/>
    <col min="9013" max="9013" width="1" style="121" customWidth="1"/>
    <col min="9014" max="9014" width="5.7109375" style="121" customWidth="1"/>
    <col min="9015" max="9016" width="0.5703125" style="121" customWidth="1"/>
    <col min="9017" max="9018" width="1.85546875" style="121" customWidth="1"/>
    <col min="9019" max="9019" width="3" style="121" customWidth="1"/>
    <col min="9020" max="9020" width="3.42578125" style="121" customWidth="1"/>
    <col min="9021" max="9021" width="1.140625" style="121" customWidth="1"/>
    <col min="9022" max="9022" width="3.42578125" style="121" customWidth="1"/>
    <col min="9023" max="9023" width="2.28515625" style="121" customWidth="1"/>
    <col min="9024" max="9024" width="1.7109375" style="121" customWidth="1"/>
    <col min="9025" max="9025" width="1" style="121" customWidth="1"/>
    <col min="9026" max="9026" width="0.7109375" style="121" customWidth="1"/>
    <col min="9027" max="9027" width="2.28515625" style="121" customWidth="1"/>
    <col min="9028" max="9028" width="1.140625" style="121" customWidth="1"/>
    <col min="9029" max="9029" width="2.28515625" style="121" customWidth="1"/>
    <col min="9030" max="9031" width="1.140625" style="121" customWidth="1"/>
    <col min="9032" max="9032" width="0.7109375" style="121" customWidth="1"/>
    <col min="9033" max="9033" width="2.85546875" style="121" customWidth="1"/>
    <col min="9034" max="9034" width="3.85546875" style="121" customWidth="1"/>
    <col min="9035" max="9037" width="0.5703125" style="121" customWidth="1"/>
    <col min="9038" max="9038" width="4.5703125" style="121" customWidth="1"/>
    <col min="9039" max="9039" width="1.140625" style="121" customWidth="1"/>
    <col min="9040" max="9040" width="1" style="121" customWidth="1"/>
    <col min="9041" max="9041" width="1.28515625" style="121" customWidth="1"/>
    <col min="9042" max="9216" width="6.85546875" style="121" customWidth="1"/>
    <col min="9217" max="9217" width="1.140625" style="121" customWidth="1"/>
    <col min="9218" max="9219" width="0.5703125" style="121" customWidth="1"/>
    <col min="9220" max="9220" width="3.42578125" style="121" customWidth="1"/>
    <col min="9221" max="9221" width="2.28515625" style="121" customWidth="1"/>
    <col min="9222" max="9223" width="1.140625" style="121" customWidth="1"/>
    <col min="9224" max="9225" width="3.42578125" style="121" customWidth="1"/>
    <col min="9226" max="9226" width="1.28515625" style="121" customWidth="1"/>
    <col min="9227" max="9227" width="2.140625" style="121" customWidth="1"/>
    <col min="9228" max="9228" width="1.140625" style="121" customWidth="1"/>
    <col min="9229" max="9229" width="2.28515625" style="121" customWidth="1"/>
    <col min="9230" max="9231" width="0.5703125" style="121" customWidth="1"/>
    <col min="9232" max="9232" width="1.140625" style="121" customWidth="1"/>
    <col min="9233" max="9233" width="0.7109375" style="121" customWidth="1"/>
    <col min="9234" max="9234" width="3.85546875" style="121" customWidth="1"/>
    <col min="9235" max="9235" width="4.5703125" style="121" customWidth="1"/>
    <col min="9236" max="9236" width="3" style="121" customWidth="1"/>
    <col min="9237" max="9237" width="2.7109375" style="121" customWidth="1"/>
    <col min="9238" max="9239" width="1.140625" style="121" customWidth="1"/>
    <col min="9240" max="9240" width="5.7109375" style="121" customWidth="1"/>
    <col min="9241" max="9241" width="1.140625" style="121" customWidth="1"/>
    <col min="9242" max="9242" width="0.7109375" style="121" customWidth="1"/>
    <col min="9243" max="9243" width="6.140625" style="121" customWidth="1"/>
    <col min="9244" max="9244" width="2.28515625" style="121" customWidth="1"/>
    <col min="9245" max="9245" width="1.140625" style="121" customWidth="1"/>
    <col min="9246" max="9246" width="2.42578125" style="121" customWidth="1"/>
    <col min="9247" max="9247" width="1" style="121" customWidth="1"/>
    <col min="9248" max="9249" width="1.140625" style="121" customWidth="1"/>
    <col min="9250" max="9250" width="3.85546875" style="121" customWidth="1"/>
    <col min="9251" max="9251" width="0.7109375" style="121" customWidth="1"/>
    <col min="9252" max="9252" width="1.140625" style="121" customWidth="1"/>
    <col min="9253" max="9253" width="1.5703125" style="121" customWidth="1"/>
    <col min="9254" max="9254" width="0.7109375" style="121" customWidth="1"/>
    <col min="9255" max="9255" width="1.140625" style="121" customWidth="1"/>
    <col min="9256" max="9256" width="3.5703125" style="121" customWidth="1"/>
    <col min="9257" max="9257" width="1" style="121" customWidth="1"/>
    <col min="9258" max="9258" width="3.42578125" style="121" customWidth="1"/>
    <col min="9259" max="9259" width="1.140625" style="121" customWidth="1"/>
    <col min="9260" max="9260" width="2.85546875" style="121" customWidth="1"/>
    <col min="9261" max="9261" width="0.5703125" style="121" customWidth="1"/>
    <col min="9262" max="9262" width="0.7109375" style="121" customWidth="1"/>
    <col min="9263" max="9263" width="1.5703125" style="121" customWidth="1"/>
    <col min="9264" max="9264" width="6.85546875" style="121" customWidth="1"/>
    <col min="9265" max="9265" width="1.140625" style="121" customWidth="1"/>
    <col min="9266" max="9267" width="0.5703125" style="121" customWidth="1"/>
    <col min="9268" max="9268" width="1.28515625" style="121" customWidth="1"/>
    <col min="9269" max="9269" width="1" style="121" customWidth="1"/>
    <col min="9270" max="9270" width="5.7109375" style="121" customWidth="1"/>
    <col min="9271" max="9272" width="0.5703125" style="121" customWidth="1"/>
    <col min="9273" max="9274" width="1.85546875" style="121" customWidth="1"/>
    <col min="9275" max="9275" width="3" style="121" customWidth="1"/>
    <col min="9276" max="9276" width="3.42578125" style="121" customWidth="1"/>
    <col min="9277" max="9277" width="1.140625" style="121" customWidth="1"/>
    <col min="9278" max="9278" width="3.42578125" style="121" customWidth="1"/>
    <col min="9279" max="9279" width="2.28515625" style="121" customWidth="1"/>
    <col min="9280" max="9280" width="1.7109375" style="121" customWidth="1"/>
    <col min="9281" max="9281" width="1" style="121" customWidth="1"/>
    <col min="9282" max="9282" width="0.7109375" style="121" customWidth="1"/>
    <col min="9283" max="9283" width="2.28515625" style="121" customWidth="1"/>
    <col min="9284" max="9284" width="1.140625" style="121" customWidth="1"/>
    <col min="9285" max="9285" width="2.28515625" style="121" customWidth="1"/>
    <col min="9286" max="9287" width="1.140625" style="121" customWidth="1"/>
    <col min="9288" max="9288" width="0.7109375" style="121" customWidth="1"/>
    <col min="9289" max="9289" width="2.85546875" style="121" customWidth="1"/>
    <col min="9290" max="9290" width="3.85546875" style="121" customWidth="1"/>
    <col min="9291" max="9293" width="0.5703125" style="121" customWidth="1"/>
    <col min="9294" max="9294" width="4.5703125" style="121" customWidth="1"/>
    <col min="9295" max="9295" width="1.140625" style="121" customWidth="1"/>
    <col min="9296" max="9296" width="1" style="121" customWidth="1"/>
    <col min="9297" max="9297" width="1.28515625" style="121" customWidth="1"/>
    <col min="9298" max="9472" width="6.85546875" style="121" customWidth="1"/>
    <col min="9473" max="9473" width="1.140625" style="121" customWidth="1"/>
    <col min="9474" max="9475" width="0.5703125" style="121" customWidth="1"/>
    <col min="9476" max="9476" width="3.42578125" style="121" customWidth="1"/>
    <col min="9477" max="9477" width="2.28515625" style="121" customWidth="1"/>
    <col min="9478" max="9479" width="1.140625" style="121" customWidth="1"/>
    <col min="9480" max="9481" width="3.42578125" style="121" customWidth="1"/>
    <col min="9482" max="9482" width="1.28515625" style="121" customWidth="1"/>
    <col min="9483" max="9483" width="2.140625" style="121" customWidth="1"/>
    <col min="9484" max="9484" width="1.140625" style="121" customWidth="1"/>
    <col min="9485" max="9485" width="2.28515625" style="121" customWidth="1"/>
    <col min="9486" max="9487" width="0.5703125" style="121" customWidth="1"/>
    <col min="9488" max="9488" width="1.140625" style="121" customWidth="1"/>
    <col min="9489" max="9489" width="0.7109375" style="121" customWidth="1"/>
    <col min="9490" max="9490" width="3.85546875" style="121" customWidth="1"/>
    <col min="9491" max="9491" width="4.5703125" style="121" customWidth="1"/>
    <col min="9492" max="9492" width="3" style="121" customWidth="1"/>
    <col min="9493" max="9493" width="2.7109375" style="121" customWidth="1"/>
    <col min="9494" max="9495" width="1.140625" style="121" customWidth="1"/>
    <col min="9496" max="9496" width="5.7109375" style="121" customWidth="1"/>
    <col min="9497" max="9497" width="1.140625" style="121" customWidth="1"/>
    <col min="9498" max="9498" width="0.7109375" style="121" customWidth="1"/>
    <col min="9499" max="9499" width="6.140625" style="121" customWidth="1"/>
    <col min="9500" max="9500" width="2.28515625" style="121" customWidth="1"/>
    <col min="9501" max="9501" width="1.140625" style="121" customWidth="1"/>
    <col min="9502" max="9502" width="2.42578125" style="121" customWidth="1"/>
    <col min="9503" max="9503" width="1" style="121" customWidth="1"/>
    <col min="9504" max="9505" width="1.140625" style="121" customWidth="1"/>
    <col min="9506" max="9506" width="3.85546875" style="121" customWidth="1"/>
    <col min="9507" max="9507" width="0.7109375" style="121" customWidth="1"/>
    <col min="9508" max="9508" width="1.140625" style="121" customWidth="1"/>
    <col min="9509" max="9509" width="1.5703125" style="121" customWidth="1"/>
    <col min="9510" max="9510" width="0.7109375" style="121" customWidth="1"/>
    <col min="9511" max="9511" width="1.140625" style="121" customWidth="1"/>
    <col min="9512" max="9512" width="3.5703125" style="121" customWidth="1"/>
    <col min="9513" max="9513" width="1" style="121" customWidth="1"/>
    <col min="9514" max="9514" width="3.42578125" style="121" customWidth="1"/>
    <col min="9515" max="9515" width="1.140625" style="121" customWidth="1"/>
    <col min="9516" max="9516" width="2.85546875" style="121" customWidth="1"/>
    <col min="9517" max="9517" width="0.5703125" style="121" customWidth="1"/>
    <col min="9518" max="9518" width="0.7109375" style="121" customWidth="1"/>
    <col min="9519" max="9519" width="1.5703125" style="121" customWidth="1"/>
    <col min="9520" max="9520" width="6.85546875" style="121" customWidth="1"/>
    <col min="9521" max="9521" width="1.140625" style="121" customWidth="1"/>
    <col min="9522" max="9523" width="0.5703125" style="121" customWidth="1"/>
    <col min="9524" max="9524" width="1.28515625" style="121" customWidth="1"/>
    <col min="9525" max="9525" width="1" style="121" customWidth="1"/>
    <col min="9526" max="9526" width="5.7109375" style="121" customWidth="1"/>
    <col min="9527" max="9528" width="0.5703125" style="121" customWidth="1"/>
    <col min="9529" max="9530" width="1.85546875" style="121" customWidth="1"/>
    <col min="9531" max="9531" width="3" style="121" customWidth="1"/>
    <col min="9532" max="9532" width="3.42578125" style="121" customWidth="1"/>
    <col min="9533" max="9533" width="1.140625" style="121" customWidth="1"/>
    <col min="9534" max="9534" width="3.42578125" style="121" customWidth="1"/>
    <col min="9535" max="9535" width="2.28515625" style="121" customWidth="1"/>
    <col min="9536" max="9536" width="1.7109375" style="121" customWidth="1"/>
    <col min="9537" max="9537" width="1" style="121" customWidth="1"/>
    <col min="9538" max="9538" width="0.7109375" style="121" customWidth="1"/>
    <col min="9539" max="9539" width="2.28515625" style="121" customWidth="1"/>
    <col min="9540" max="9540" width="1.140625" style="121" customWidth="1"/>
    <col min="9541" max="9541" width="2.28515625" style="121" customWidth="1"/>
    <col min="9542" max="9543" width="1.140625" style="121" customWidth="1"/>
    <col min="9544" max="9544" width="0.7109375" style="121" customWidth="1"/>
    <col min="9545" max="9545" width="2.85546875" style="121" customWidth="1"/>
    <col min="9546" max="9546" width="3.85546875" style="121" customWidth="1"/>
    <col min="9547" max="9549" width="0.5703125" style="121" customWidth="1"/>
    <col min="9550" max="9550" width="4.5703125" style="121" customWidth="1"/>
    <col min="9551" max="9551" width="1.140625" style="121" customWidth="1"/>
    <col min="9552" max="9552" width="1" style="121" customWidth="1"/>
    <col min="9553" max="9553" width="1.28515625" style="121" customWidth="1"/>
    <col min="9554" max="9728" width="6.85546875" style="121" customWidth="1"/>
    <col min="9729" max="9729" width="1.140625" style="121" customWidth="1"/>
    <col min="9730" max="9731" width="0.5703125" style="121" customWidth="1"/>
    <col min="9732" max="9732" width="3.42578125" style="121" customWidth="1"/>
    <col min="9733" max="9733" width="2.28515625" style="121" customWidth="1"/>
    <col min="9734" max="9735" width="1.140625" style="121" customWidth="1"/>
    <col min="9736" max="9737" width="3.42578125" style="121" customWidth="1"/>
    <col min="9738" max="9738" width="1.28515625" style="121" customWidth="1"/>
    <col min="9739" max="9739" width="2.140625" style="121" customWidth="1"/>
    <col min="9740" max="9740" width="1.140625" style="121" customWidth="1"/>
    <col min="9741" max="9741" width="2.28515625" style="121" customWidth="1"/>
    <col min="9742" max="9743" width="0.5703125" style="121" customWidth="1"/>
    <col min="9744" max="9744" width="1.140625" style="121" customWidth="1"/>
    <col min="9745" max="9745" width="0.7109375" style="121" customWidth="1"/>
    <col min="9746" max="9746" width="3.85546875" style="121" customWidth="1"/>
    <col min="9747" max="9747" width="4.5703125" style="121" customWidth="1"/>
    <col min="9748" max="9748" width="3" style="121" customWidth="1"/>
    <col min="9749" max="9749" width="2.7109375" style="121" customWidth="1"/>
    <col min="9750" max="9751" width="1.140625" style="121" customWidth="1"/>
    <col min="9752" max="9752" width="5.7109375" style="121" customWidth="1"/>
    <col min="9753" max="9753" width="1.140625" style="121" customWidth="1"/>
    <col min="9754" max="9754" width="0.7109375" style="121" customWidth="1"/>
    <col min="9755" max="9755" width="6.140625" style="121" customWidth="1"/>
    <col min="9756" max="9756" width="2.28515625" style="121" customWidth="1"/>
    <col min="9757" max="9757" width="1.140625" style="121" customWidth="1"/>
    <col min="9758" max="9758" width="2.42578125" style="121" customWidth="1"/>
    <col min="9759" max="9759" width="1" style="121" customWidth="1"/>
    <col min="9760" max="9761" width="1.140625" style="121" customWidth="1"/>
    <col min="9762" max="9762" width="3.85546875" style="121" customWidth="1"/>
    <col min="9763" max="9763" width="0.7109375" style="121" customWidth="1"/>
    <col min="9764" max="9764" width="1.140625" style="121" customWidth="1"/>
    <col min="9765" max="9765" width="1.5703125" style="121" customWidth="1"/>
    <col min="9766" max="9766" width="0.7109375" style="121" customWidth="1"/>
    <col min="9767" max="9767" width="1.140625" style="121" customWidth="1"/>
    <col min="9768" max="9768" width="3.5703125" style="121" customWidth="1"/>
    <col min="9769" max="9769" width="1" style="121" customWidth="1"/>
    <col min="9770" max="9770" width="3.42578125" style="121" customWidth="1"/>
    <col min="9771" max="9771" width="1.140625" style="121" customWidth="1"/>
    <col min="9772" max="9772" width="2.85546875" style="121" customWidth="1"/>
    <col min="9773" max="9773" width="0.5703125" style="121" customWidth="1"/>
    <col min="9774" max="9774" width="0.7109375" style="121" customWidth="1"/>
    <col min="9775" max="9775" width="1.5703125" style="121" customWidth="1"/>
    <col min="9776" max="9776" width="6.85546875" style="121" customWidth="1"/>
    <col min="9777" max="9777" width="1.140625" style="121" customWidth="1"/>
    <col min="9778" max="9779" width="0.5703125" style="121" customWidth="1"/>
    <col min="9780" max="9780" width="1.28515625" style="121" customWidth="1"/>
    <col min="9781" max="9781" width="1" style="121" customWidth="1"/>
    <col min="9782" max="9782" width="5.7109375" style="121" customWidth="1"/>
    <col min="9783" max="9784" width="0.5703125" style="121" customWidth="1"/>
    <col min="9785" max="9786" width="1.85546875" style="121" customWidth="1"/>
    <col min="9787" max="9787" width="3" style="121" customWidth="1"/>
    <col min="9788" max="9788" width="3.42578125" style="121" customWidth="1"/>
    <col min="9789" max="9789" width="1.140625" style="121" customWidth="1"/>
    <col min="9790" max="9790" width="3.42578125" style="121" customWidth="1"/>
    <col min="9791" max="9791" width="2.28515625" style="121" customWidth="1"/>
    <col min="9792" max="9792" width="1.7109375" style="121" customWidth="1"/>
    <col min="9793" max="9793" width="1" style="121" customWidth="1"/>
    <col min="9794" max="9794" width="0.7109375" style="121" customWidth="1"/>
    <col min="9795" max="9795" width="2.28515625" style="121" customWidth="1"/>
    <col min="9796" max="9796" width="1.140625" style="121" customWidth="1"/>
    <col min="9797" max="9797" width="2.28515625" style="121" customWidth="1"/>
    <col min="9798" max="9799" width="1.140625" style="121" customWidth="1"/>
    <col min="9800" max="9800" width="0.7109375" style="121" customWidth="1"/>
    <col min="9801" max="9801" width="2.85546875" style="121" customWidth="1"/>
    <col min="9802" max="9802" width="3.85546875" style="121" customWidth="1"/>
    <col min="9803" max="9805" width="0.5703125" style="121" customWidth="1"/>
    <col min="9806" max="9806" width="4.5703125" style="121" customWidth="1"/>
    <col min="9807" max="9807" width="1.140625" style="121" customWidth="1"/>
    <col min="9808" max="9808" width="1" style="121" customWidth="1"/>
    <col min="9809" max="9809" width="1.28515625" style="121" customWidth="1"/>
    <col min="9810" max="9984" width="6.85546875" style="121" customWidth="1"/>
    <col min="9985" max="9985" width="1.140625" style="121" customWidth="1"/>
    <col min="9986" max="9987" width="0.5703125" style="121" customWidth="1"/>
    <col min="9988" max="9988" width="3.42578125" style="121" customWidth="1"/>
    <col min="9989" max="9989" width="2.28515625" style="121" customWidth="1"/>
    <col min="9990" max="9991" width="1.140625" style="121" customWidth="1"/>
    <col min="9992" max="9993" width="3.42578125" style="121" customWidth="1"/>
    <col min="9994" max="9994" width="1.28515625" style="121" customWidth="1"/>
    <col min="9995" max="9995" width="2.140625" style="121" customWidth="1"/>
    <col min="9996" max="9996" width="1.140625" style="121" customWidth="1"/>
    <col min="9997" max="9997" width="2.28515625" style="121" customWidth="1"/>
    <col min="9998" max="9999" width="0.5703125" style="121" customWidth="1"/>
    <col min="10000" max="10000" width="1.140625" style="121" customWidth="1"/>
    <col min="10001" max="10001" width="0.7109375" style="121" customWidth="1"/>
    <col min="10002" max="10002" width="3.85546875" style="121" customWidth="1"/>
    <col min="10003" max="10003" width="4.5703125" style="121" customWidth="1"/>
    <col min="10004" max="10004" width="3" style="121" customWidth="1"/>
    <col min="10005" max="10005" width="2.7109375" style="121" customWidth="1"/>
    <col min="10006" max="10007" width="1.140625" style="121" customWidth="1"/>
    <col min="10008" max="10008" width="5.7109375" style="121" customWidth="1"/>
    <col min="10009" max="10009" width="1.140625" style="121" customWidth="1"/>
    <col min="10010" max="10010" width="0.7109375" style="121" customWidth="1"/>
    <col min="10011" max="10011" width="6.140625" style="121" customWidth="1"/>
    <col min="10012" max="10012" width="2.28515625" style="121" customWidth="1"/>
    <col min="10013" max="10013" width="1.140625" style="121" customWidth="1"/>
    <col min="10014" max="10014" width="2.42578125" style="121" customWidth="1"/>
    <col min="10015" max="10015" width="1" style="121" customWidth="1"/>
    <col min="10016" max="10017" width="1.140625" style="121" customWidth="1"/>
    <col min="10018" max="10018" width="3.85546875" style="121" customWidth="1"/>
    <col min="10019" max="10019" width="0.7109375" style="121" customWidth="1"/>
    <col min="10020" max="10020" width="1.140625" style="121" customWidth="1"/>
    <col min="10021" max="10021" width="1.5703125" style="121" customWidth="1"/>
    <col min="10022" max="10022" width="0.7109375" style="121" customWidth="1"/>
    <col min="10023" max="10023" width="1.140625" style="121" customWidth="1"/>
    <col min="10024" max="10024" width="3.5703125" style="121" customWidth="1"/>
    <col min="10025" max="10025" width="1" style="121" customWidth="1"/>
    <col min="10026" max="10026" width="3.42578125" style="121" customWidth="1"/>
    <col min="10027" max="10027" width="1.140625" style="121" customWidth="1"/>
    <col min="10028" max="10028" width="2.85546875" style="121" customWidth="1"/>
    <col min="10029" max="10029" width="0.5703125" style="121" customWidth="1"/>
    <col min="10030" max="10030" width="0.7109375" style="121" customWidth="1"/>
    <col min="10031" max="10031" width="1.5703125" style="121" customWidth="1"/>
    <col min="10032" max="10032" width="6.85546875" style="121" customWidth="1"/>
    <col min="10033" max="10033" width="1.140625" style="121" customWidth="1"/>
    <col min="10034" max="10035" width="0.5703125" style="121" customWidth="1"/>
    <col min="10036" max="10036" width="1.28515625" style="121" customWidth="1"/>
    <col min="10037" max="10037" width="1" style="121" customWidth="1"/>
    <col min="10038" max="10038" width="5.7109375" style="121" customWidth="1"/>
    <col min="10039" max="10040" width="0.5703125" style="121" customWidth="1"/>
    <col min="10041" max="10042" width="1.85546875" style="121" customWidth="1"/>
    <col min="10043" max="10043" width="3" style="121" customWidth="1"/>
    <col min="10044" max="10044" width="3.42578125" style="121" customWidth="1"/>
    <col min="10045" max="10045" width="1.140625" style="121" customWidth="1"/>
    <col min="10046" max="10046" width="3.42578125" style="121" customWidth="1"/>
    <col min="10047" max="10047" width="2.28515625" style="121" customWidth="1"/>
    <col min="10048" max="10048" width="1.7109375" style="121" customWidth="1"/>
    <col min="10049" max="10049" width="1" style="121" customWidth="1"/>
    <col min="10050" max="10050" width="0.7109375" style="121" customWidth="1"/>
    <col min="10051" max="10051" width="2.28515625" style="121" customWidth="1"/>
    <col min="10052" max="10052" width="1.140625" style="121" customWidth="1"/>
    <col min="10053" max="10053" width="2.28515625" style="121" customWidth="1"/>
    <col min="10054" max="10055" width="1.140625" style="121" customWidth="1"/>
    <col min="10056" max="10056" width="0.7109375" style="121" customWidth="1"/>
    <col min="10057" max="10057" width="2.85546875" style="121" customWidth="1"/>
    <col min="10058" max="10058" width="3.85546875" style="121" customWidth="1"/>
    <col min="10059" max="10061" width="0.5703125" style="121" customWidth="1"/>
    <col min="10062" max="10062" width="4.5703125" style="121" customWidth="1"/>
    <col min="10063" max="10063" width="1.140625" style="121" customWidth="1"/>
    <col min="10064" max="10064" width="1" style="121" customWidth="1"/>
    <col min="10065" max="10065" width="1.28515625" style="121" customWidth="1"/>
    <col min="10066" max="10240" width="6.85546875" style="121" customWidth="1"/>
    <col min="10241" max="10241" width="1.140625" style="121" customWidth="1"/>
    <col min="10242" max="10243" width="0.5703125" style="121" customWidth="1"/>
    <col min="10244" max="10244" width="3.42578125" style="121" customWidth="1"/>
    <col min="10245" max="10245" width="2.28515625" style="121" customWidth="1"/>
    <col min="10246" max="10247" width="1.140625" style="121" customWidth="1"/>
    <col min="10248" max="10249" width="3.42578125" style="121" customWidth="1"/>
    <col min="10250" max="10250" width="1.28515625" style="121" customWidth="1"/>
    <col min="10251" max="10251" width="2.140625" style="121" customWidth="1"/>
    <col min="10252" max="10252" width="1.140625" style="121" customWidth="1"/>
    <col min="10253" max="10253" width="2.28515625" style="121" customWidth="1"/>
    <col min="10254" max="10255" width="0.5703125" style="121" customWidth="1"/>
    <col min="10256" max="10256" width="1.140625" style="121" customWidth="1"/>
    <col min="10257" max="10257" width="0.7109375" style="121" customWidth="1"/>
    <col min="10258" max="10258" width="3.85546875" style="121" customWidth="1"/>
    <col min="10259" max="10259" width="4.5703125" style="121" customWidth="1"/>
    <col min="10260" max="10260" width="3" style="121" customWidth="1"/>
    <col min="10261" max="10261" width="2.7109375" style="121" customWidth="1"/>
    <col min="10262" max="10263" width="1.140625" style="121" customWidth="1"/>
    <col min="10264" max="10264" width="5.7109375" style="121" customWidth="1"/>
    <col min="10265" max="10265" width="1.140625" style="121" customWidth="1"/>
    <col min="10266" max="10266" width="0.7109375" style="121" customWidth="1"/>
    <col min="10267" max="10267" width="6.140625" style="121" customWidth="1"/>
    <col min="10268" max="10268" width="2.28515625" style="121" customWidth="1"/>
    <col min="10269" max="10269" width="1.140625" style="121" customWidth="1"/>
    <col min="10270" max="10270" width="2.42578125" style="121" customWidth="1"/>
    <col min="10271" max="10271" width="1" style="121" customWidth="1"/>
    <col min="10272" max="10273" width="1.140625" style="121" customWidth="1"/>
    <col min="10274" max="10274" width="3.85546875" style="121" customWidth="1"/>
    <col min="10275" max="10275" width="0.7109375" style="121" customWidth="1"/>
    <col min="10276" max="10276" width="1.140625" style="121" customWidth="1"/>
    <col min="10277" max="10277" width="1.5703125" style="121" customWidth="1"/>
    <col min="10278" max="10278" width="0.7109375" style="121" customWidth="1"/>
    <col min="10279" max="10279" width="1.140625" style="121" customWidth="1"/>
    <col min="10280" max="10280" width="3.5703125" style="121" customWidth="1"/>
    <col min="10281" max="10281" width="1" style="121" customWidth="1"/>
    <col min="10282" max="10282" width="3.42578125" style="121" customWidth="1"/>
    <col min="10283" max="10283" width="1.140625" style="121" customWidth="1"/>
    <col min="10284" max="10284" width="2.85546875" style="121" customWidth="1"/>
    <col min="10285" max="10285" width="0.5703125" style="121" customWidth="1"/>
    <col min="10286" max="10286" width="0.7109375" style="121" customWidth="1"/>
    <col min="10287" max="10287" width="1.5703125" style="121" customWidth="1"/>
    <col min="10288" max="10288" width="6.85546875" style="121" customWidth="1"/>
    <col min="10289" max="10289" width="1.140625" style="121" customWidth="1"/>
    <col min="10290" max="10291" width="0.5703125" style="121" customWidth="1"/>
    <col min="10292" max="10292" width="1.28515625" style="121" customWidth="1"/>
    <col min="10293" max="10293" width="1" style="121" customWidth="1"/>
    <col min="10294" max="10294" width="5.7109375" style="121" customWidth="1"/>
    <col min="10295" max="10296" width="0.5703125" style="121" customWidth="1"/>
    <col min="10297" max="10298" width="1.85546875" style="121" customWidth="1"/>
    <col min="10299" max="10299" width="3" style="121" customWidth="1"/>
    <col min="10300" max="10300" width="3.42578125" style="121" customWidth="1"/>
    <col min="10301" max="10301" width="1.140625" style="121" customWidth="1"/>
    <col min="10302" max="10302" width="3.42578125" style="121" customWidth="1"/>
    <col min="10303" max="10303" width="2.28515625" style="121" customWidth="1"/>
    <col min="10304" max="10304" width="1.7109375" style="121" customWidth="1"/>
    <col min="10305" max="10305" width="1" style="121" customWidth="1"/>
    <col min="10306" max="10306" width="0.7109375" style="121" customWidth="1"/>
    <col min="10307" max="10307" width="2.28515625" style="121" customWidth="1"/>
    <col min="10308" max="10308" width="1.140625" style="121" customWidth="1"/>
    <col min="10309" max="10309" width="2.28515625" style="121" customWidth="1"/>
    <col min="10310" max="10311" width="1.140625" style="121" customWidth="1"/>
    <col min="10312" max="10312" width="0.7109375" style="121" customWidth="1"/>
    <col min="10313" max="10313" width="2.85546875" style="121" customWidth="1"/>
    <col min="10314" max="10314" width="3.85546875" style="121" customWidth="1"/>
    <col min="10315" max="10317" width="0.5703125" style="121" customWidth="1"/>
    <col min="10318" max="10318" width="4.5703125" style="121" customWidth="1"/>
    <col min="10319" max="10319" width="1.140625" style="121" customWidth="1"/>
    <col min="10320" max="10320" width="1" style="121" customWidth="1"/>
    <col min="10321" max="10321" width="1.28515625" style="121" customWidth="1"/>
    <col min="10322" max="10496" width="6.85546875" style="121" customWidth="1"/>
    <col min="10497" max="10497" width="1.140625" style="121" customWidth="1"/>
    <col min="10498" max="10499" width="0.5703125" style="121" customWidth="1"/>
    <col min="10500" max="10500" width="3.42578125" style="121" customWidth="1"/>
    <col min="10501" max="10501" width="2.28515625" style="121" customWidth="1"/>
    <col min="10502" max="10503" width="1.140625" style="121" customWidth="1"/>
    <col min="10504" max="10505" width="3.42578125" style="121" customWidth="1"/>
    <col min="10506" max="10506" width="1.28515625" style="121" customWidth="1"/>
    <col min="10507" max="10507" width="2.140625" style="121" customWidth="1"/>
    <col min="10508" max="10508" width="1.140625" style="121" customWidth="1"/>
    <col min="10509" max="10509" width="2.28515625" style="121" customWidth="1"/>
    <col min="10510" max="10511" width="0.5703125" style="121" customWidth="1"/>
    <col min="10512" max="10512" width="1.140625" style="121" customWidth="1"/>
    <col min="10513" max="10513" width="0.7109375" style="121" customWidth="1"/>
    <col min="10514" max="10514" width="3.85546875" style="121" customWidth="1"/>
    <col min="10515" max="10515" width="4.5703125" style="121" customWidth="1"/>
    <col min="10516" max="10516" width="3" style="121" customWidth="1"/>
    <col min="10517" max="10517" width="2.7109375" style="121" customWidth="1"/>
    <col min="10518" max="10519" width="1.140625" style="121" customWidth="1"/>
    <col min="10520" max="10520" width="5.7109375" style="121" customWidth="1"/>
    <col min="10521" max="10521" width="1.140625" style="121" customWidth="1"/>
    <col min="10522" max="10522" width="0.7109375" style="121" customWidth="1"/>
    <col min="10523" max="10523" width="6.140625" style="121" customWidth="1"/>
    <col min="10524" max="10524" width="2.28515625" style="121" customWidth="1"/>
    <col min="10525" max="10525" width="1.140625" style="121" customWidth="1"/>
    <col min="10526" max="10526" width="2.42578125" style="121" customWidth="1"/>
    <col min="10527" max="10527" width="1" style="121" customWidth="1"/>
    <col min="10528" max="10529" width="1.140625" style="121" customWidth="1"/>
    <col min="10530" max="10530" width="3.85546875" style="121" customWidth="1"/>
    <col min="10531" max="10531" width="0.7109375" style="121" customWidth="1"/>
    <col min="10532" max="10532" width="1.140625" style="121" customWidth="1"/>
    <col min="10533" max="10533" width="1.5703125" style="121" customWidth="1"/>
    <col min="10534" max="10534" width="0.7109375" style="121" customWidth="1"/>
    <col min="10535" max="10535" width="1.140625" style="121" customWidth="1"/>
    <col min="10536" max="10536" width="3.5703125" style="121" customWidth="1"/>
    <col min="10537" max="10537" width="1" style="121" customWidth="1"/>
    <col min="10538" max="10538" width="3.42578125" style="121" customWidth="1"/>
    <col min="10539" max="10539" width="1.140625" style="121" customWidth="1"/>
    <col min="10540" max="10540" width="2.85546875" style="121" customWidth="1"/>
    <col min="10541" max="10541" width="0.5703125" style="121" customWidth="1"/>
    <col min="10542" max="10542" width="0.7109375" style="121" customWidth="1"/>
    <col min="10543" max="10543" width="1.5703125" style="121" customWidth="1"/>
    <col min="10544" max="10544" width="6.85546875" style="121" customWidth="1"/>
    <col min="10545" max="10545" width="1.140625" style="121" customWidth="1"/>
    <col min="10546" max="10547" width="0.5703125" style="121" customWidth="1"/>
    <col min="10548" max="10548" width="1.28515625" style="121" customWidth="1"/>
    <col min="10549" max="10549" width="1" style="121" customWidth="1"/>
    <col min="10550" max="10550" width="5.7109375" style="121" customWidth="1"/>
    <col min="10551" max="10552" width="0.5703125" style="121" customWidth="1"/>
    <col min="10553" max="10554" width="1.85546875" style="121" customWidth="1"/>
    <col min="10555" max="10555" width="3" style="121" customWidth="1"/>
    <col min="10556" max="10556" width="3.42578125" style="121" customWidth="1"/>
    <col min="10557" max="10557" width="1.140625" style="121" customWidth="1"/>
    <col min="10558" max="10558" width="3.42578125" style="121" customWidth="1"/>
    <col min="10559" max="10559" width="2.28515625" style="121" customWidth="1"/>
    <col min="10560" max="10560" width="1.7109375" style="121" customWidth="1"/>
    <col min="10561" max="10561" width="1" style="121" customWidth="1"/>
    <col min="10562" max="10562" width="0.7109375" style="121" customWidth="1"/>
    <col min="10563" max="10563" width="2.28515625" style="121" customWidth="1"/>
    <col min="10564" max="10564" width="1.140625" style="121" customWidth="1"/>
    <col min="10565" max="10565" width="2.28515625" style="121" customWidth="1"/>
    <col min="10566" max="10567" width="1.140625" style="121" customWidth="1"/>
    <col min="10568" max="10568" width="0.7109375" style="121" customWidth="1"/>
    <col min="10569" max="10569" width="2.85546875" style="121" customWidth="1"/>
    <col min="10570" max="10570" width="3.85546875" style="121" customWidth="1"/>
    <col min="10571" max="10573" width="0.5703125" style="121" customWidth="1"/>
    <col min="10574" max="10574" width="4.5703125" style="121" customWidth="1"/>
    <col min="10575" max="10575" width="1.140625" style="121" customWidth="1"/>
    <col min="10576" max="10576" width="1" style="121" customWidth="1"/>
    <col min="10577" max="10577" width="1.28515625" style="121" customWidth="1"/>
    <col min="10578" max="10752" width="6.85546875" style="121" customWidth="1"/>
    <col min="10753" max="10753" width="1.140625" style="121" customWidth="1"/>
    <col min="10754" max="10755" width="0.5703125" style="121" customWidth="1"/>
    <col min="10756" max="10756" width="3.42578125" style="121" customWidth="1"/>
    <col min="10757" max="10757" width="2.28515625" style="121" customWidth="1"/>
    <col min="10758" max="10759" width="1.140625" style="121" customWidth="1"/>
    <col min="10760" max="10761" width="3.42578125" style="121" customWidth="1"/>
    <col min="10762" max="10762" width="1.28515625" style="121" customWidth="1"/>
    <col min="10763" max="10763" width="2.140625" style="121" customWidth="1"/>
    <col min="10764" max="10764" width="1.140625" style="121" customWidth="1"/>
    <col min="10765" max="10765" width="2.28515625" style="121" customWidth="1"/>
    <col min="10766" max="10767" width="0.5703125" style="121" customWidth="1"/>
    <col min="10768" max="10768" width="1.140625" style="121" customWidth="1"/>
    <col min="10769" max="10769" width="0.7109375" style="121" customWidth="1"/>
    <col min="10770" max="10770" width="3.85546875" style="121" customWidth="1"/>
    <col min="10771" max="10771" width="4.5703125" style="121" customWidth="1"/>
    <col min="10772" max="10772" width="3" style="121" customWidth="1"/>
    <col min="10773" max="10773" width="2.7109375" style="121" customWidth="1"/>
    <col min="10774" max="10775" width="1.140625" style="121" customWidth="1"/>
    <col min="10776" max="10776" width="5.7109375" style="121" customWidth="1"/>
    <col min="10777" max="10777" width="1.140625" style="121" customWidth="1"/>
    <col min="10778" max="10778" width="0.7109375" style="121" customWidth="1"/>
    <col min="10779" max="10779" width="6.140625" style="121" customWidth="1"/>
    <col min="10780" max="10780" width="2.28515625" style="121" customWidth="1"/>
    <col min="10781" max="10781" width="1.140625" style="121" customWidth="1"/>
    <col min="10782" max="10782" width="2.42578125" style="121" customWidth="1"/>
    <col min="10783" max="10783" width="1" style="121" customWidth="1"/>
    <col min="10784" max="10785" width="1.140625" style="121" customWidth="1"/>
    <col min="10786" max="10786" width="3.85546875" style="121" customWidth="1"/>
    <col min="10787" max="10787" width="0.7109375" style="121" customWidth="1"/>
    <col min="10788" max="10788" width="1.140625" style="121" customWidth="1"/>
    <col min="10789" max="10789" width="1.5703125" style="121" customWidth="1"/>
    <col min="10790" max="10790" width="0.7109375" style="121" customWidth="1"/>
    <col min="10791" max="10791" width="1.140625" style="121" customWidth="1"/>
    <col min="10792" max="10792" width="3.5703125" style="121" customWidth="1"/>
    <col min="10793" max="10793" width="1" style="121" customWidth="1"/>
    <col min="10794" max="10794" width="3.42578125" style="121" customWidth="1"/>
    <col min="10795" max="10795" width="1.140625" style="121" customWidth="1"/>
    <col min="10796" max="10796" width="2.85546875" style="121" customWidth="1"/>
    <col min="10797" max="10797" width="0.5703125" style="121" customWidth="1"/>
    <col min="10798" max="10798" width="0.7109375" style="121" customWidth="1"/>
    <col min="10799" max="10799" width="1.5703125" style="121" customWidth="1"/>
    <col min="10800" max="10800" width="6.85546875" style="121" customWidth="1"/>
    <col min="10801" max="10801" width="1.140625" style="121" customWidth="1"/>
    <col min="10802" max="10803" width="0.5703125" style="121" customWidth="1"/>
    <col min="10804" max="10804" width="1.28515625" style="121" customWidth="1"/>
    <col min="10805" max="10805" width="1" style="121" customWidth="1"/>
    <col min="10806" max="10806" width="5.7109375" style="121" customWidth="1"/>
    <col min="10807" max="10808" width="0.5703125" style="121" customWidth="1"/>
    <col min="10809" max="10810" width="1.85546875" style="121" customWidth="1"/>
    <col min="10811" max="10811" width="3" style="121" customWidth="1"/>
    <col min="10812" max="10812" width="3.42578125" style="121" customWidth="1"/>
    <col min="10813" max="10813" width="1.140625" style="121" customWidth="1"/>
    <col min="10814" max="10814" width="3.42578125" style="121" customWidth="1"/>
    <col min="10815" max="10815" width="2.28515625" style="121" customWidth="1"/>
    <col min="10816" max="10816" width="1.7109375" style="121" customWidth="1"/>
    <col min="10817" max="10817" width="1" style="121" customWidth="1"/>
    <col min="10818" max="10818" width="0.7109375" style="121" customWidth="1"/>
    <col min="10819" max="10819" width="2.28515625" style="121" customWidth="1"/>
    <col min="10820" max="10820" width="1.140625" style="121" customWidth="1"/>
    <col min="10821" max="10821" width="2.28515625" style="121" customWidth="1"/>
    <col min="10822" max="10823" width="1.140625" style="121" customWidth="1"/>
    <col min="10824" max="10824" width="0.7109375" style="121" customWidth="1"/>
    <col min="10825" max="10825" width="2.85546875" style="121" customWidth="1"/>
    <col min="10826" max="10826" width="3.85546875" style="121" customWidth="1"/>
    <col min="10827" max="10829" width="0.5703125" style="121" customWidth="1"/>
    <col min="10830" max="10830" width="4.5703125" style="121" customWidth="1"/>
    <col min="10831" max="10831" width="1.140625" style="121" customWidth="1"/>
    <col min="10832" max="10832" width="1" style="121" customWidth="1"/>
    <col min="10833" max="10833" width="1.28515625" style="121" customWidth="1"/>
    <col min="10834" max="11008" width="6.85546875" style="121" customWidth="1"/>
    <col min="11009" max="11009" width="1.140625" style="121" customWidth="1"/>
    <col min="11010" max="11011" width="0.5703125" style="121" customWidth="1"/>
    <col min="11012" max="11012" width="3.42578125" style="121" customWidth="1"/>
    <col min="11013" max="11013" width="2.28515625" style="121" customWidth="1"/>
    <col min="11014" max="11015" width="1.140625" style="121" customWidth="1"/>
    <col min="11016" max="11017" width="3.42578125" style="121" customWidth="1"/>
    <col min="11018" max="11018" width="1.28515625" style="121" customWidth="1"/>
    <col min="11019" max="11019" width="2.140625" style="121" customWidth="1"/>
    <col min="11020" max="11020" width="1.140625" style="121" customWidth="1"/>
    <col min="11021" max="11021" width="2.28515625" style="121" customWidth="1"/>
    <col min="11022" max="11023" width="0.5703125" style="121" customWidth="1"/>
    <col min="11024" max="11024" width="1.140625" style="121" customWidth="1"/>
    <col min="11025" max="11025" width="0.7109375" style="121" customWidth="1"/>
    <col min="11026" max="11026" width="3.85546875" style="121" customWidth="1"/>
    <col min="11027" max="11027" width="4.5703125" style="121" customWidth="1"/>
    <col min="11028" max="11028" width="3" style="121" customWidth="1"/>
    <col min="11029" max="11029" width="2.7109375" style="121" customWidth="1"/>
    <col min="11030" max="11031" width="1.140625" style="121" customWidth="1"/>
    <col min="11032" max="11032" width="5.7109375" style="121" customWidth="1"/>
    <col min="11033" max="11033" width="1.140625" style="121" customWidth="1"/>
    <col min="11034" max="11034" width="0.7109375" style="121" customWidth="1"/>
    <col min="11035" max="11035" width="6.140625" style="121" customWidth="1"/>
    <col min="11036" max="11036" width="2.28515625" style="121" customWidth="1"/>
    <col min="11037" max="11037" width="1.140625" style="121" customWidth="1"/>
    <col min="11038" max="11038" width="2.42578125" style="121" customWidth="1"/>
    <col min="11039" max="11039" width="1" style="121" customWidth="1"/>
    <col min="11040" max="11041" width="1.140625" style="121" customWidth="1"/>
    <col min="11042" max="11042" width="3.85546875" style="121" customWidth="1"/>
    <col min="11043" max="11043" width="0.7109375" style="121" customWidth="1"/>
    <col min="11044" max="11044" width="1.140625" style="121" customWidth="1"/>
    <col min="11045" max="11045" width="1.5703125" style="121" customWidth="1"/>
    <col min="11046" max="11046" width="0.7109375" style="121" customWidth="1"/>
    <col min="11047" max="11047" width="1.140625" style="121" customWidth="1"/>
    <col min="11048" max="11048" width="3.5703125" style="121" customWidth="1"/>
    <col min="11049" max="11049" width="1" style="121" customWidth="1"/>
    <col min="11050" max="11050" width="3.42578125" style="121" customWidth="1"/>
    <col min="11051" max="11051" width="1.140625" style="121" customWidth="1"/>
    <col min="11052" max="11052" width="2.85546875" style="121" customWidth="1"/>
    <col min="11053" max="11053" width="0.5703125" style="121" customWidth="1"/>
    <col min="11054" max="11054" width="0.7109375" style="121" customWidth="1"/>
    <col min="11055" max="11055" width="1.5703125" style="121" customWidth="1"/>
    <col min="11056" max="11056" width="6.85546875" style="121" customWidth="1"/>
    <col min="11057" max="11057" width="1.140625" style="121" customWidth="1"/>
    <col min="11058" max="11059" width="0.5703125" style="121" customWidth="1"/>
    <col min="11060" max="11060" width="1.28515625" style="121" customWidth="1"/>
    <col min="11061" max="11061" width="1" style="121" customWidth="1"/>
    <col min="11062" max="11062" width="5.7109375" style="121" customWidth="1"/>
    <col min="11063" max="11064" width="0.5703125" style="121" customWidth="1"/>
    <col min="11065" max="11066" width="1.85546875" style="121" customWidth="1"/>
    <col min="11067" max="11067" width="3" style="121" customWidth="1"/>
    <col min="11068" max="11068" width="3.42578125" style="121" customWidth="1"/>
    <col min="11069" max="11069" width="1.140625" style="121" customWidth="1"/>
    <col min="11070" max="11070" width="3.42578125" style="121" customWidth="1"/>
    <col min="11071" max="11071" width="2.28515625" style="121" customWidth="1"/>
    <col min="11072" max="11072" width="1.7109375" style="121" customWidth="1"/>
    <col min="11073" max="11073" width="1" style="121" customWidth="1"/>
    <col min="11074" max="11074" width="0.7109375" style="121" customWidth="1"/>
    <col min="11075" max="11075" width="2.28515625" style="121" customWidth="1"/>
    <col min="11076" max="11076" width="1.140625" style="121" customWidth="1"/>
    <col min="11077" max="11077" width="2.28515625" style="121" customWidth="1"/>
    <col min="11078" max="11079" width="1.140625" style="121" customWidth="1"/>
    <col min="11080" max="11080" width="0.7109375" style="121" customWidth="1"/>
    <col min="11081" max="11081" width="2.85546875" style="121" customWidth="1"/>
    <col min="11082" max="11082" width="3.85546875" style="121" customWidth="1"/>
    <col min="11083" max="11085" width="0.5703125" style="121" customWidth="1"/>
    <col min="11086" max="11086" width="4.5703125" style="121" customWidth="1"/>
    <col min="11087" max="11087" width="1.140625" style="121" customWidth="1"/>
    <col min="11088" max="11088" width="1" style="121" customWidth="1"/>
    <col min="11089" max="11089" width="1.28515625" style="121" customWidth="1"/>
    <col min="11090" max="11264" width="6.85546875" style="121" customWidth="1"/>
    <col min="11265" max="11265" width="1.140625" style="121" customWidth="1"/>
    <col min="11266" max="11267" width="0.5703125" style="121" customWidth="1"/>
    <col min="11268" max="11268" width="3.42578125" style="121" customWidth="1"/>
    <col min="11269" max="11269" width="2.28515625" style="121" customWidth="1"/>
    <col min="11270" max="11271" width="1.140625" style="121" customWidth="1"/>
    <col min="11272" max="11273" width="3.42578125" style="121" customWidth="1"/>
    <col min="11274" max="11274" width="1.28515625" style="121" customWidth="1"/>
    <col min="11275" max="11275" width="2.140625" style="121" customWidth="1"/>
    <col min="11276" max="11276" width="1.140625" style="121" customWidth="1"/>
    <col min="11277" max="11277" width="2.28515625" style="121" customWidth="1"/>
    <col min="11278" max="11279" width="0.5703125" style="121" customWidth="1"/>
    <col min="11280" max="11280" width="1.140625" style="121" customWidth="1"/>
    <col min="11281" max="11281" width="0.7109375" style="121" customWidth="1"/>
    <col min="11282" max="11282" width="3.85546875" style="121" customWidth="1"/>
    <col min="11283" max="11283" width="4.5703125" style="121" customWidth="1"/>
    <col min="11284" max="11284" width="3" style="121" customWidth="1"/>
    <col min="11285" max="11285" width="2.7109375" style="121" customWidth="1"/>
    <col min="11286" max="11287" width="1.140625" style="121" customWidth="1"/>
    <col min="11288" max="11288" width="5.7109375" style="121" customWidth="1"/>
    <col min="11289" max="11289" width="1.140625" style="121" customWidth="1"/>
    <col min="11290" max="11290" width="0.7109375" style="121" customWidth="1"/>
    <col min="11291" max="11291" width="6.140625" style="121" customWidth="1"/>
    <col min="11292" max="11292" width="2.28515625" style="121" customWidth="1"/>
    <col min="11293" max="11293" width="1.140625" style="121" customWidth="1"/>
    <col min="11294" max="11294" width="2.42578125" style="121" customWidth="1"/>
    <col min="11295" max="11295" width="1" style="121" customWidth="1"/>
    <col min="11296" max="11297" width="1.140625" style="121" customWidth="1"/>
    <col min="11298" max="11298" width="3.85546875" style="121" customWidth="1"/>
    <col min="11299" max="11299" width="0.7109375" style="121" customWidth="1"/>
    <col min="11300" max="11300" width="1.140625" style="121" customWidth="1"/>
    <col min="11301" max="11301" width="1.5703125" style="121" customWidth="1"/>
    <col min="11302" max="11302" width="0.7109375" style="121" customWidth="1"/>
    <col min="11303" max="11303" width="1.140625" style="121" customWidth="1"/>
    <col min="11304" max="11304" width="3.5703125" style="121" customWidth="1"/>
    <col min="11305" max="11305" width="1" style="121" customWidth="1"/>
    <col min="11306" max="11306" width="3.42578125" style="121" customWidth="1"/>
    <col min="11307" max="11307" width="1.140625" style="121" customWidth="1"/>
    <col min="11308" max="11308" width="2.85546875" style="121" customWidth="1"/>
    <col min="11309" max="11309" width="0.5703125" style="121" customWidth="1"/>
    <col min="11310" max="11310" width="0.7109375" style="121" customWidth="1"/>
    <col min="11311" max="11311" width="1.5703125" style="121" customWidth="1"/>
    <col min="11312" max="11312" width="6.85546875" style="121" customWidth="1"/>
    <col min="11313" max="11313" width="1.140625" style="121" customWidth="1"/>
    <col min="11314" max="11315" width="0.5703125" style="121" customWidth="1"/>
    <col min="11316" max="11316" width="1.28515625" style="121" customWidth="1"/>
    <col min="11317" max="11317" width="1" style="121" customWidth="1"/>
    <col min="11318" max="11318" width="5.7109375" style="121" customWidth="1"/>
    <col min="11319" max="11320" width="0.5703125" style="121" customWidth="1"/>
    <col min="11321" max="11322" width="1.85546875" style="121" customWidth="1"/>
    <col min="11323" max="11323" width="3" style="121" customWidth="1"/>
    <col min="11324" max="11324" width="3.42578125" style="121" customWidth="1"/>
    <col min="11325" max="11325" width="1.140625" style="121" customWidth="1"/>
    <col min="11326" max="11326" width="3.42578125" style="121" customWidth="1"/>
    <col min="11327" max="11327" width="2.28515625" style="121" customWidth="1"/>
    <col min="11328" max="11328" width="1.7109375" style="121" customWidth="1"/>
    <col min="11329" max="11329" width="1" style="121" customWidth="1"/>
    <col min="11330" max="11330" width="0.7109375" style="121" customWidth="1"/>
    <col min="11331" max="11331" width="2.28515625" style="121" customWidth="1"/>
    <col min="11332" max="11332" width="1.140625" style="121" customWidth="1"/>
    <col min="11333" max="11333" width="2.28515625" style="121" customWidth="1"/>
    <col min="11334" max="11335" width="1.140625" style="121" customWidth="1"/>
    <col min="11336" max="11336" width="0.7109375" style="121" customWidth="1"/>
    <col min="11337" max="11337" width="2.85546875" style="121" customWidth="1"/>
    <col min="11338" max="11338" width="3.85546875" style="121" customWidth="1"/>
    <col min="11339" max="11341" width="0.5703125" style="121" customWidth="1"/>
    <col min="11342" max="11342" width="4.5703125" style="121" customWidth="1"/>
    <col min="11343" max="11343" width="1.140625" style="121" customWidth="1"/>
    <col min="11344" max="11344" width="1" style="121" customWidth="1"/>
    <col min="11345" max="11345" width="1.28515625" style="121" customWidth="1"/>
    <col min="11346" max="11520" width="6.85546875" style="121" customWidth="1"/>
    <col min="11521" max="11521" width="1.140625" style="121" customWidth="1"/>
    <col min="11522" max="11523" width="0.5703125" style="121" customWidth="1"/>
    <col min="11524" max="11524" width="3.42578125" style="121" customWidth="1"/>
    <col min="11525" max="11525" width="2.28515625" style="121" customWidth="1"/>
    <col min="11526" max="11527" width="1.140625" style="121" customWidth="1"/>
    <col min="11528" max="11529" width="3.42578125" style="121" customWidth="1"/>
    <col min="11530" max="11530" width="1.28515625" style="121" customWidth="1"/>
    <col min="11531" max="11531" width="2.140625" style="121" customWidth="1"/>
    <col min="11532" max="11532" width="1.140625" style="121" customWidth="1"/>
    <col min="11533" max="11533" width="2.28515625" style="121" customWidth="1"/>
    <col min="11534" max="11535" width="0.5703125" style="121" customWidth="1"/>
    <col min="11536" max="11536" width="1.140625" style="121" customWidth="1"/>
    <col min="11537" max="11537" width="0.7109375" style="121" customWidth="1"/>
    <col min="11538" max="11538" width="3.85546875" style="121" customWidth="1"/>
    <col min="11539" max="11539" width="4.5703125" style="121" customWidth="1"/>
    <col min="11540" max="11540" width="3" style="121" customWidth="1"/>
    <col min="11541" max="11541" width="2.7109375" style="121" customWidth="1"/>
    <col min="11542" max="11543" width="1.140625" style="121" customWidth="1"/>
    <col min="11544" max="11544" width="5.7109375" style="121" customWidth="1"/>
    <col min="11545" max="11545" width="1.140625" style="121" customWidth="1"/>
    <col min="11546" max="11546" width="0.7109375" style="121" customWidth="1"/>
    <col min="11547" max="11547" width="6.140625" style="121" customWidth="1"/>
    <col min="11548" max="11548" width="2.28515625" style="121" customWidth="1"/>
    <col min="11549" max="11549" width="1.140625" style="121" customWidth="1"/>
    <col min="11550" max="11550" width="2.42578125" style="121" customWidth="1"/>
    <col min="11551" max="11551" width="1" style="121" customWidth="1"/>
    <col min="11552" max="11553" width="1.140625" style="121" customWidth="1"/>
    <col min="11554" max="11554" width="3.85546875" style="121" customWidth="1"/>
    <col min="11555" max="11555" width="0.7109375" style="121" customWidth="1"/>
    <col min="11556" max="11556" width="1.140625" style="121" customWidth="1"/>
    <col min="11557" max="11557" width="1.5703125" style="121" customWidth="1"/>
    <col min="11558" max="11558" width="0.7109375" style="121" customWidth="1"/>
    <col min="11559" max="11559" width="1.140625" style="121" customWidth="1"/>
    <col min="11560" max="11560" width="3.5703125" style="121" customWidth="1"/>
    <col min="11561" max="11561" width="1" style="121" customWidth="1"/>
    <col min="11562" max="11562" width="3.42578125" style="121" customWidth="1"/>
    <col min="11563" max="11563" width="1.140625" style="121" customWidth="1"/>
    <col min="11564" max="11564" width="2.85546875" style="121" customWidth="1"/>
    <col min="11565" max="11565" width="0.5703125" style="121" customWidth="1"/>
    <col min="11566" max="11566" width="0.7109375" style="121" customWidth="1"/>
    <col min="11567" max="11567" width="1.5703125" style="121" customWidth="1"/>
    <col min="11568" max="11568" width="6.85546875" style="121" customWidth="1"/>
    <col min="11569" max="11569" width="1.140625" style="121" customWidth="1"/>
    <col min="11570" max="11571" width="0.5703125" style="121" customWidth="1"/>
    <col min="11572" max="11572" width="1.28515625" style="121" customWidth="1"/>
    <col min="11573" max="11573" width="1" style="121" customWidth="1"/>
    <col min="11574" max="11574" width="5.7109375" style="121" customWidth="1"/>
    <col min="11575" max="11576" width="0.5703125" style="121" customWidth="1"/>
    <col min="11577" max="11578" width="1.85546875" style="121" customWidth="1"/>
    <col min="11579" max="11579" width="3" style="121" customWidth="1"/>
    <col min="11580" max="11580" width="3.42578125" style="121" customWidth="1"/>
    <col min="11581" max="11581" width="1.140625" style="121" customWidth="1"/>
    <col min="11582" max="11582" width="3.42578125" style="121" customWidth="1"/>
    <col min="11583" max="11583" width="2.28515625" style="121" customWidth="1"/>
    <col min="11584" max="11584" width="1.7109375" style="121" customWidth="1"/>
    <col min="11585" max="11585" width="1" style="121" customWidth="1"/>
    <col min="11586" max="11586" width="0.7109375" style="121" customWidth="1"/>
    <col min="11587" max="11587" width="2.28515625" style="121" customWidth="1"/>
    <col min="11588" max="11588" width="1.140625" style="121" customWidth="1"/>
    <col min="11589" max="11589" width="2.28515625" style="121" customWidth="1"/>
    <col min="11590" max="11591" width="1.140625" style="121" customWidth="1"/>
    <col min="11592" max="11592" width="0.7109375" style="121" customWidth="1"/>
    <col min="11593" max="11593" width="2.85546875" style="121" customWidth="1"/>
    <col min="11594" max="11594" width="3.85546875" style="121" customWidth="1"/>
    <col min="11595" max="11597" width="0.5703125" style="121" customWidth="1"/>
    <col min="11598" max="11598" width="4.5703125" style="121" customWidth="1"/>
    <col min="11599" max="11599" width="1.140625" style="121" customWidth="1"/>
    <col min="11600" max="11600" width="1" style="121" customWidth="1"/>
    <col min="11601" max="11601" width="1.28515625" style="121" customWidth="1"/>
    <col min="11602" max="11776" width="6.85546875" style="121" customWidth="1"/>
    <col min="11777" max="11777" width="1.140625" style="121" customWidth="1"/>
    <col min="11778" max="11779" width="0.5703125" style="121" customWidth="1"/>
    <col min="11780" max="11780" width="3.42578125" style="121" customWidth="1"/>
    <col min="11781" max="11781" width="2.28515625" style="121" customWidth="1"/>
    <col min="11782" max="11783" width="1.140625" style="121" customWidth="1"/>
    <col min="11784" max="11785" width="3.42578125" style="121" customWidth="1"/>
    <col min="11786" max="11786" width="1.28515625" style="121" customWidth="1"/>
    <col min="11787" max="11787" width="2.140625" style="121" customWidth="1"/>
    <col min="11788" max="11788" width="1.140625" style="121" customWidth="1"/>
    <col min="11789" max="11789" width="2.28515625" style="121" customWidth="1"/>
    <col min="11790" max="11791" width="0.5703125" style="121" customWidth="1"/>
    <col min="11792" max="11792" width="1.140625" style="121" customWidth="1"/>
    <col min="11793" max="11793" width="0.7109375" style="121" customWidth="1"/>
    <col min="11794" max="11794" width="3.85546875" style="121" customWidth="1"/>
    <col min="11795" max="11795" width="4.5703125" style="121" customWidth="1"/>
    <col min="11796" max="11796" width="3" style="121" customWidth="1"/>
    <col min="11797" max="11797" width="2.7109375" style="121" customWidth="1"/>
    <col min="11798" max="11799" width="1.140625" style="121" customWidth="1"/>
    <col min="11800" max="11800" width="5.7109375" style="121" customWidth="1"/>
    <col min="11801" max="11801" width="1.140625" style="121" customWidth="1"/>
    <col min="11802" max="11802" width="0.7109375" style="121" customWidth="1"/>
    <col min="11803" max="11803" width="6.140625" style="121" customWidth="1"/>
    <col min="11804" max="11804" width="2.28515625" style="121" customWidth="1"/>
    <col min="11805" max="11805" width="1.140625" style="121" customWidth="1"/>
    <col min="11806" max="11806" width="2.42578125" style="121" customWidth="1"/>
    <col min="11807" max="11807" width="1" style="121" customWidth="1"/>
    <col min="11808" max="11809" width="1.140625" style="121" customWidth="1"/>
    <col min="11810" max="11810" width="3.85546875" style="121" customWidth="1"/>
    <col min="11811" max="11811" width="0.7109375" style="121" customWidth="1"/>
    <col min="11812" max="11812" width="1.140625" style="121" customWidth="1"/>
    <col min="11813" max="11813" width="1.5703125" style="121" customWidth="1"/>
    <col min="11814" max="11814" width="0.7109375" style="121" customWidth="1"/>
    <col min="11815" max="11815" width="1.140625" style="121" customWidth="1"/>
    <col min="11816" max="11816" width="3.5703125" style="121" customWidth="1"/>
    <col min="11817" max="11817" width="1" style="121" customWidth="1"/>
    <col min="11818" max="11818" width="3.42578125" style="121" customWidth="1"/>
    <col min="11819" max="11819" width="1.140625" style="121" customWidth="1"/>
    <col min="11820" max="11820" width="2.85546875" style="121" customWidth="1"/>
    <col min="11821" max="11821" width="0.5703125" style="121" customWidth="1"/>
    <col min="11822" max="11822" width="0.7109375" style="121" customWidth="1"/>
    <col min="11823" max="11823" width="1.5703125" style="121" customWidth="1"/>
    <col min="11824" max="11824" width="6.85546875" style="121" customWidth="1"/>
    <col min="11825" max="11825" width="1.140625" style="121" customWidth="1"/>
    <col min="11826" max="11827" width="0.5703125" style="121" customWidth="1"/>
    <col min="11828" max="11828" width="1.28515625" style="121" customWidth="1"/>
    <col min="11829" max="11829" width="1" style="121" customWidth="1"/>
    <col min="11830" max="11830" width="5.7109375" style="121" customWidth="1"/>
    <col min="11831" max="11832" width="0.5703125" style="121" customWidth="1"/>
    <col min="11833" max="11834" width="1.85546875" style="121" customWidth="1"/>
    <col min="11835" max="11835" width="3" style="121" customWidth="1"/>
    <col min="11836" max="11836" width="3.42578125" style="121" customWidth="1"/>
    <col min="11837" max="11837" width="1.140625" style="121" customWidth="1"/>
    <col min="11838" max="11838" width="3.42578125" style="121" customWidth="1"/>
    <col min="11839" max="11839" width="2.28515625" style="121" customWidth="1"/>
    <col min="11840" max="11840" width="1.7109375" style="121" customWidth="1"/>
    <col min="11841" max="11841" width="1" style="121" customWidth="1"/>
    <col min="11842" max="11842" width="0.7109375" style="121" customWidth="1"/>
    <col min="11843" max="11843" width="2.28515625" style="121" customWidth="1"/>
    <col min="11844" max="11844" width="1.140625" style="121" customWidth="1"/>
    <col min="11845" max="11845" width="2.28515625" style="121" customWidth="1"/>
    <col min="11846" max="11847" width="1.140625" style="121" customWidth="1"/>
    <col min="11848" max="11848" width="0.7109375" style="121" customWidth="1"/>
    <col min="11849" max="11849" width="2.85546875" style="121" customWidth="1"/>
    <col min="11850" max="11850" width="3.85546875" style="121" customWidth="1"/>
    <col min="11851" max="11853" width="0.5703125" style="121" customWidth="1"/>
    <col min="11854" max="11854" width="4.5703125" style="121" customWidth="1"/>
    <col min="11855" max="11855" width="1.140625" style="121" customWidth="1"/>
    <col min="11856" max="11856" width="1" style="121" customWidth="1"/>
    <col min="11857" max="11857" width="1.28515625" style="121" customWidth="1"/>
    <col min="11858" max="12032" width="6.85546875" style="121" customWidth="1"/>
    <col min="12033" max="12033" width="1.140625" style="121" customWidth="1"/>
    <col min="12034" max="12035" width="0.5703125" style="121" customWidth="1"/>
    <col min="12036" max="12036" width="3.42578125" style="121" customWidth="1"/>
    <col min="12037" max="12037" width="2.28515625" style="121" customWidth="1"/>
    <col min="12038" max="12039" width="1.140625" style="121" customWidth="1"/>
    <col min="12040" max="12041" width="3.42578125" style="121" customWidth="1"/>
    <col min="12042" max="12042" width="1.28515625" style="121" customWidth="1"/>
    <col min="12043" max="12043" width="2.140625" style="121" customWidth="1"/>
    <col min="12044" max="12044" width="1.140625" style="121" customWidth="1"/>
    <col min="12045" max="12045" width="2.28515625" style="121" customWidth="1"/>
    <col min="12046" max="12047" width="0.5703125" style="121" customWidth="1"/>
    <col min="12048" max="12048" width="1.140625" style="121" customWidth="1"/>
    <col min="12049" max="12049" width="0.7109375" style="121" customWidth="1"/>
    <col min="12050" max="12050" width="3.85546875" style="121" customWidth="1"/>
    <col min="12051" max="12051" width="4.5703125" style="121" customWidth="1"/>
    <col min="12052" max="12052" width="3" style="121" customWidth="1"/>
    <col min="12053" max="12053" width="2.7109375" style="121" customWidth="1"/>
    <col min="12054" max="12055" width="1.140625" style="121" customWidth="1"/>
    <col min="12056" max="12056" width="5.7109375" style="121" customWidth="1"/>
    <col min="12057" max="12057" width="1.140625" style="121" customWidth="1"/>
    <col min="12058" max="12058" width="0.7109375" style="121" customWidth="1"/>
    <col min="12059" max="12059" width="6.140625" style="121" customWidth="1"/>
    <col min="12060" max="12060" width="2.28515625" style="121" customWidth="1"/>
    <col min="12061" max="12061" width="1.140625" style="121" customWidth="1"/>
    <col min="12062" max="12062" width="2.42578125" style="121" customWidth="1"/>
    <col min="12063" max="12063" width="1" style="121" customWidth="1"/>
    <col min="12064" max="12065" width="1.140625" style="121" customWidth="1"/>
    <col min="12066" max="12066" width="3.85546875" style="121" customWidth="1"/>
    <col min="12067" max="12067" width="0.7109375" style="121" customWidth="1"/>
    <col min="12068" max="12068" width="1.140625" style="121" customWidth="1"/>
    <col min="12069" max="12069" width="1.5703125" style="121" customWidth="1"/>
    <col min="12070" max="12070" width="0.7109375" style="121" customWidth="1"/>
    <col min="12071" max="12071" width="1.140625" style="121" customWidth="1"/>
    <col min="12072" max="12072" width="3.5703125" style="121" customWidth="1"/>
    <col min="12073" max="12073" width="1" style="121" customWidth="1"/>
    <col min="12074" max="12074" width="3.42578125" style="121" customWidth="1"/>
    <col min="12075" max="12075" width="1.140625" style="121" customWidth="1"/>
    <col min="12076" max="12076" width="2.85546875" style="121" customWidth="1"/>
    <col min="12077" max="12077" width="0.5703125" style="121" customWidth="1"/>
    <col min="12078" max="12078" width="0.7109375" style="121" customWidth="1"/>
    <col min="12079" max="12079" width="1.5703125" style="121" customWidth="1"/>
    <col min="12080" max="12080" width="6.85546875" style="121" customWidth="1"/>
    <col min="12081" max="12081" width="1.140625" style="121" customWidth="1"/>
    <col min="12082" max="12083" width="0.5703125" style="121" customWidth="1"/>
    <col min="12084" max="12084" width="1.28515625" style="121" customWidth="1"/>
    <col min="12085" max="12085" width="1" style="121" customWidth="1"/>
    <col min="12086" max="12086" width="5.7109375" style="121" customWidth="1"/>
    <col min="12087" max="12088" width="0.5703125" style="121" customWidth="1"/>
    <col min="12089" max="12090" width="1.85546875" style="121" customWidth="1"/>
    <col min="12091" max="12091" width="3" style="121" customWidth="1"/>
    <col min="12092" max="12092" width="3.42578125" style="121" customWidth="1"/>
    <col min="12093" max="12093" width="1.140625" style="121" customWidth="1"/>
    <col min="12094" max="12094" width="3.42578125" style="121" customWidth="1"/>
    <col min="12095" max="12095" width="2.28515625" style="121" customWidth="1"/>
    <col min="12096" max="12096" width="1.7109375" style="121" customWidth="1"/>
    <col min="12097" max="12097" width="1" style="121" customWidth="1"/>
    <col min="12098" max="12098" width="0.7109375" style="121" customWidth="1"/>
    <col min="12099" max="12099" width="2.28515625" style="121" customWidth="1"/>
    <col min="12100" max="12100" width="1.140625" style="121" customWidth="1"/>
    <col min="12101" max="12101" width="2.28515625" style="121" customWidth="1"/>
    <col min="12102" max="12103" width="1.140625" style="121" customWidth="1"/>
    <col min="12104" max="12104" width="0.7109375" style="121" customWidth="1"/>
    <col min="12105" max="12105" width="2.85546875" style="121" customWidth="1"/>
    <col min="12106" max="12106" width="3.85546875" style="121" customWidth="1"/>
    <col min="12107" max="12109" width="0.5703125" style="121" customWidth="1"/>
    <col min="12110" max="12110" width="4.5703125" style="121" customWidth="1"/>
    <col min="12111" max="12111" width="1.140625" style="121" customWidth="1"/>
    <col min="12112" max="12112" width="1" style="121" customWidth="1"/>
    <col min="12113" max="12113" width="1.28515625" style="121" customWidth="1"/>
    <col min="12114" max="12288" width="6.85546875" style="121" customWidth="1"/>
    <col min="12289" max="12289" width="1.140625" style="121" customWidth="1"/>
    <col min="12290" max="12291" width="0.5703125" style="121" customWidth="1"/>
    <col min="12292" max="12292" width="3.42578125" style="121" customWidth="1"/>
    <col min="12293" max="12293" width="2.28515625" style="121" customWidth="1"/>
    <col min="12294" max="12295" width="1.140625" style="121" customWidth="1"/>
    <col min="12296" max="12297" width="3.42578125" style="121" customWidth="1"/>
    <col min="12298" max="12298" width="1.28515625" style="121" customWidth="1"/>
    <col min="12299" max="12299" width="2.140625" style="121" customWidth="1"/>
    <col min="12300" max="12300" width="1.140625" style="121" customWidth="1"/>
    <col min="12301" max="12301" width="2.28515625" style="121" customWidth="1"/>
    <col min="12302" max="12303" width="0.5703125" style="121" customWidth="1"/>
    <col min="12304" max="12304" width="1.140625" style="121" customWidth="1"/>
    <col min="12305" max="12305" width="0.7109375" style="121" customWidth="1"/>
    <col min="12306" max="12306" width="3.85546875" style="121" customWidth="1"/>
    <col min="12307" max="12307" width="4.5703125" style="121" customWidth="1"/>
    <col min="12308" max="12308" width="3" style="121" customWidth="1"/>
    <col min="12309" max="12309" width="2.7109375" style="121" customWidth="1"/>
    <col min="12310" max="12311" width="1.140625" style="121" customWidth="1"/>
    <col min="12312" max="12312" width="5.7109375" style="121" customWidth="1"/>
    <col min="12313" max="12313" width="1.140625" style="121" customWidth="1"/>
    <col min="12314" max="12314" width="0.7109375" style="121" customWidth="1"/>
    <col min="12315" max="12315" width="6.140625" style="121" customWidth="1"/>
    <col min="12316" max="12316" width="2.28515625" style="121" customWidth="1"/>
    <col min="12317" max="12317" width="1.140625" style="121" customWidth="1"/>
    <col min="12318" max="12318" width="2.42578125" style="121" customWidth="1"/>
    <col min="12319" max="12319" width="1" style="121" customWidth="1"/>
    <col min="12320" max="12321" width="1.140625" style="121" customWidth="1"/>
    <col min="12322" max="12322" width="3.85546875" style="121" customWidth="1"/>
    <col min="12323" max="12323" width="0.7109375" style="121" customWidth="1"/>
    <col min="12324" max="12324" width="1.140625" style="121" customWidth="1"/>
    <col min="12325" max="12325" width="1.5703125" style="121" customWidth="1"/>
    <col min="12326" max="12326" width="0.7109375" style="121" customWidth="1"/>
    <col min="12327" max="12327" width="1.140625" style="121" customWidth="1"/>
    <col min="12328" max="12328" width="3.5703125" style="121" customWidth="1"/>
    <col min="12329" max="12329" width="1" style="121" customWidth="1"/>
    <col min="12330" max="12330" width="3.42578125" style="121" customWidth="1"/>
    <col min="12331" max="12331" width="1.140625" style="121" customWidth="1"/>
    <col min="12332" max="12332" width="2.85546875" style="121" customWidth="1"/>
    <col min="12333" max="12333" width="0.5703125" style="121" customWidth="1"/>
    <col min="12334" max="12334" width="0.7109375" style="121" customWidth="1"/>
    <col min="12335" max="12335" width="1.5703125" style="121" customWidth="1"/>
    <col min="12336" max="12336" width="6.85546875" style="121" customWidth="1"/>
    <col min="12337" max="12337" width="1.140625" style="121" customWidth="1"/>
    <col min="12338" max="12339" width="0.5703125" style="121" customWidth="1"/>
    <col min="12340" max="12340" width="1.28515625" style="121" customWidth="1"/>
    <col min="12341" max="12341" width="1" style="121" customWidth="1"/>
    <col min="12342" max="12342" width="5.7109375" style="121" customWidth="1"/>
    <col min="12343" max="12344" width="0.5703125" style="121" customWidth="1"/>
    <col min="12345" max="12346" width="1.85546875" style="121" customWidth="1"/>
    <col min="12347" max="12347" width="3" style="121" customWidth="1"/>
    <col min="12348" max="12348" width="3.42578125" style="121" customWidth="1"/>
    <col min="12349" max="12349" width="1.140625" style="121" customWidth="1"/>
    <col min="12350" max="12350" width="3.42578125" style="121" customWidth="1"/>
    <col min="12351" max="12351" width="2.28515625" style="121" customWidth="1"/>
    <col min="12352" max="12352" width="1.7109375" style="121" customWidth="1"/>
    <col min="12353" max="12353" width="1" style="121" customWidth="1"/>
    <col min="12354" max="12354" width="0.7109375" style="121" customWidth="1"/>
    <col min="12355" max="12355" width="2.28515625" style="121" customWidth="1"/>
    <col min="12356" max="12356" width="1.140625" style="121" customWidth="1"/>
    <col min="12357" max="12357" width="2.28515625" style="121" customWidth="1"/>
    <col min="12358" max="12359" width="1.140625" style="121" customWidth="1"/>
    <col min="12360" max="12360" width="0.7109375" style="121" customWidth="1"/>
    <col min="12361" max="12361" width="2.85546875" style="121" customWidth="1"/>
    <col min="12362" max="12362" width="3.85546875" style="121" customWidth="1"/>
    <col min="12363" max="12365" width="0.5703125" style="121" customWidth="1"/>
    <col min="12366" max="12366" width="4.5703125" style="121" customWidth="1"/>
    <col min="12367" max="12367" width="1.140625" style="121" customWidth="1"/>
    <col min="12368" max="12368" width="1" style="121" customWidth="1"/>
    <col min="12369" max="12369" width="1.28515625" style="121" customWidth="1"/>
    <col min="12370" max="12544" width="6.85546875" style="121" customWidth="1"/>
    <col min="12545" max="12545" width="1.140625" style="121" customWidth="1"/>
    <col min="12546" max="12547" width="0.5703125" style="121" customWidth="1"/>
    <col min="12548" max="12548" width="3.42578125" style="121" customWidth="1"/>
    <col min="12549" max="12549" width="2.28515625" style="121" customWidth="1"/>
    <col min="12550" max="12551" width="1.140625" style="121" customWidth="1"/>
    <col min="12552" max="12553" width="3.42578125" style="121" customWidth="1"/>
    <col min="12554" max="12554" width="1.28515625" style="121" customWidth="1"/>
    <col min="12555" max="12555" width="2.140625" style="121" customWidth="1"/>
    <col min="12556" max="12556" width="1.140625" style="121" customWidth="1"/>
    <col min="12557" max="12557" width="2.28515625" style="121" customWidth="1"/>
    <col min="12558" max="12559" width="0.5703125" style="121" customWidth="1"/>
    <col min="12560" max="12560" width="1.140625" style="121" customWidth="1"/>
    <col min="12561" max="12561" width="0.7109375" style="121" customWidth="1"/>
    <col min="12562" max="12562" width="3.85546875" style="121" customWidth="1"/>
    <col min="12563" max="12563" width="4.5703125" style="121" customWidth="1"/>
    <col min="12564" max="12564" width="3" style="121" customWidth="1"/>
    <col min="12565" max="12565" width="2.7109375" style="121" customWidth="1"/>
    <col min="12566" max="12567" width="1.140625" style="121" customWidth="1"/>
    <col min="12568" max="12568" width="5.7109375" style="121" customWidth="1"/>
    <col min="12569" max="12569" width="1.140625" style="121" customWidth="1"/>
    <col min="12570" max="12570" width="0.7109375" style="121" customWidth="1"/>
    <col min="12571" max="12571" width="6.140625" style="121" customWidth="1"/>
    <col min="12572" max="12572" width="2.28515625" style="121" customWidth="1"/>
    <col min="12573" max="12573" width="1.140625" style="121" customWidth="1"/>
    <col min="12574" max="12574" width="2.42578125" style="121" customWidth="1"/>
    <col min="12575" max="12575" width="1" style="121" customWidth="1"/>
    <col min="12576" max="12577" width="1.140625" style="121" customWidth="1"/>
    <col min="12578" max="12578" width="3.85546875" style="121" customWidth="1"/>
    <col min="12579" max="12579" width="0.7109375" style="121" customWidth="1"/>
    <col min="12580" max="12580" width="1.140625" style="121" customWidth="1"/>
    <col min="12581" max="12581" width="1.5703125" style="121" customWidth="1"/>
    <col min="12582" max="12582" width="0.7109375" style="121" customWidth="1"/>
    <col min="12583" max="12583" width="1.140625" style="121" customWidth="1"/>
    <col min="12584" max="12584" width="3.5703125" style="121" customWidth="1"/>
    <col min="12585" max="12585" width="1" style="121" customWidth="1"/>
    <col min="12586" max="12586" width="3.42578125" style="121" customWidth="1"/>
    <col min="12587" max="12587" width="1.140625" style="121" customWidth="1"/>
    <col min="12588" max="12588" width="2.85546875" style="121" customWidth="1"/>
    <col min="12589" max="12589" width="0.5703125" style="121" customWidth="1"/>
    <col min="12590" max="12590" width="0.7109375" style="121" customWidth="1"/>
    <col min="12591" max="12591" width="1.5703125" style="121" customWidth="1"/>
    <col min="12592" max="12592" width="6.85546875" style="121" customWidth="1"/>
    <col min="12593" max="12593" width="1.140625" style="121" customWidth="1"/>
    <col min="12594" max="12595" width="0.5703125" style="121" customWidth="1"/>
    <col min="12596" max="12596" width="1.28515625" style="121" customWidth="1"/>
    <col min="12597" max="12597" width="1" style="121" customWidth="1"/>
    <col min="12598" max="12598" width="5.7109375" style="121" customWidth="1"/>
    <col min="12599" max="12600" width="0.5703125" style="121" customWidth="1"/>
    <col min="12601" max="12602" width="1.85546875" style="121" customWidth="1"/>
    <col min="12603" max="12603" width="3" style="121" customWidth="1"/>
    <col min="12604" max="12604" width="3.42578125" style="121" customWidth="1"/>
    <col min="12605" max="12605" width="1.140625" style="121" customWidth="1"/>
    <col min="12606" max="12606" width="3.42578125" style="121" customWidth="1"/>
    <col min="12607" max="12607" width="2.28515625" style="121" customWidth="1"/>
    <col min="12608" max="12608" width="1.7109375" style="121" customWidth="1"/>
    <col min="12609" max="12609" width="1" style="121" customWidth="1"/>
    <col min="12610" max="12610" width="0.7109375" style="121" customWidth="1"/>
    <col min="12611" max="12611" width="2.28515625" style="121" customWidth="1"/>
    <col min="12612" max="12612" width="1.140625" style="121" customWidth="1"/>
    <col min="12613" max="12613" width="2.28515625" style="121" customWidth="1"/>
    <col min="12614" max="12615" width="1.140625" style="121" customWidth="1"/>
    <col min="12616" max="12616" width="0.7109375" style="121" customWidth="1"/>
    <col min="12617" max="12617" width="2.85546875" style="121" customWidth="1"/>
    <col min="12618" max="12618" width="3.85546875" style="121" customWidth="1"/>
    <col min="12619" max="12621" width="0.5703125" style="121" customWidth="1"/>
    <col min="12622" max="12622" width="4.5703125" style="121" customWidth="1"/>
    <col min="12623" max="12623" width="1.140625" style="121" customWidth="1"/>
    <col min="12624" max="12624" width="1" style="121" customWidth="1"/>
    <col min="12625" max="12625" width="1.28515625" style="121" customWidth="1"/>
    <col min="12626" max="12800" width="6.85546875" style="121" customWidth="1"/>
    <col min="12801" max="12801" width="1.140625" style="121" customWidth="1"/>
    <col min="12802" max="12803" width="0.5703125" style="121" customWidth="1"/>
    <col min="12804" max="12804" width="3.42578125" style="121" customWidth="1"/>
    <col min="12805" max="12805" width="2.28515625" style="121" customWidth="1"/>
    <col min="12806" max="12807" width="1.140625" style="121" customWidth="1"/>
    <col min="12808" max="12809" width="3.42578125" style="121" customWidth="1"/>
    <col min="12810" max="12810" width="1.28515625" style="121" customWidth="1"/>
    <col min="12811" max="12811" width="2.140625" style="121" customWidth="1"/>
    <col min="12812" max="12812" width="1.140625" style="121" customWidth="1"/>
    <col min="12813" max="12813" width="2.28515625" style="121" customWidth="1"/>
    <col min="12814" max="12815" width="0.5703125" style="121" customWidth="1"/>
    <col min="12816" max="12816" width="1.140625" style="121" customWidth="1"/>
    <col min="12817" max="12817" width="0.7109375" style="121" customWidth="1"/>
    <col min="12818" max="12818" width="3.85546875" style="121" customWidth="1"/>
    <col min="12819" max="12819" width="4.5703125" style="121" customWidth="1"/>
    <col min="12820" max="12820" width="3" style="121" customWidth="1"/>
    <col min="12821" max="12821" width="2.7109375" style="121" customWidth="1"/>
    <col min="12822" max="12823" width="1.140625" style="121" customWidth="1"/>
    <col min="12824" max="12824" width="5.7109375" style="121" customWidth="1"/>
    <col min="12825" max="12825" width="1.140625" style="121" customWidth="1"/>
    <col min="12826" max="12826" width="0.7109375" style="121" customWidth="1"/>
    <col min="12827" max="12827" width="6.140625" style="121" customWidth="1"/>
    <col min="12828" max="12828" width="2.28515625" style="121" customWidth="1"/>
    <col min="12829" max="12829" width="1.140625" style="121" customWidth="1"/>
    <col min="12830" max="12830" width="2.42578125" style="121" customWidth="1"/>
    <col min="12831" max="12831" width="1" style="121" customWidth="1"/>
    <col min="12832" max="12833" width="1.140625" style="121" customWidth="1"/>
    <col min="12834" max="12834" width="3.85546875" style="121" customWidth="1"/>
    <col min="12835" max="12835" width="0.7109375" style="121" customWidth="1"/>
    <col min="12836" max="12836" width="1.140625" style="121" customWidth="1"/>
    <col min="12837" max="12837" width="1.5703125" style="121" customWidth="1"/>
    <col min="12838" max="12838" width="0.7109375" style="121" customWidth="1"/>
    <col min="12839" max="12839" width="1.140625" style="121" customWidth="1"/>
    <col min="12840" max="12840" width="3.5703125" style="121" customWidth="1"/>
    <col min="12841" max="12841" width="1" style="121" customWidth="1"/>
    <col min="12842" max="12842" width="3.42578125" style="121" customWidth="1"/>
    <col min="12843" max="12843" width="1.140625" style="121" customWidth="1"/>
    <col min="12844" max="12844" width="2.85546875" style="121" customWidth="1"/>
    <col min="12845" max="12845" width="0.5703125" style="121" customWidth="1"/>
    <col min="12846" max="12846" width="0.7109375" style="121" customWidth="1"/>
    <col min="12847" max="12847" width="1.5703125" style="121" customWidth="1"/>
    <col min="12848" max="12848" width="6.85546875" style="121" customWidth="1"/>
    <col min="12849" max="12849" width="1.140625" style="121" customWidth="1"/>
    <col min="12850" max="12851" width="0.5703125" style="121" customWidth="1"/>
    <col min="12852" max="12852" width="1.28515625" style="121" customWidth="1"/>
    <col min="12853" max="12853" width="1" style="121" customWidth="1"/>
    <col min="12854" max="12854" width="5.7109375" style="121" customWidth="1"/>
    <col min="12855" max="12856" width="0.5703125" style="121" customWidth="1"/>
    <col min="12857" max="12858" width="1.85546875" style="121" customWidth="1"/>
    <col min="12859" max="12859" width="3" style="121" customWidth="1"/>
    <col min="12860" max="12860" width="3.42578125" style="121" customWidth="1"/>
    <col min="12861" max="12861" width="1.140625" style="121" customWidth="1"/>
    <col min="12862" max="12862" width="3.42578125" style="121" customWidth="1"/>
    <col min="12863" max="12863" width="2.28515625" style="121" customWidth="1"/>
    <col min="12864" max="12864" width="1.7109375" style="121" customWidth="1"/>
    <col min="12865" max="12865" width="1" style="121" customWidth="1"/>
    <col min="12866" max="12866" width="0.7109375" style="121" customWidth="1"/>
    <col min="12867" max="12867" width="2.28515625" style="121" customWidth="1"/>
    <col min="12868" max="12868" width="1.140625" style="121" customWidth="1"/>
    <col min="12869" max="12869" width="2.28515625" style="121" customWidth="1"/>
    <col min="12870" max="12871" width="1.140625" style="121" customWidth="1"/>
    <col min="12872" max="12872" width="0.7109375" style="121" customWidth="1"/>
    <col min="12873" max="12873" width="2.85546875" style="121" customWidth="1"/>
    <col min="12874" max="12874" width="3.85546875" style="121" customWidth="1"/>
    <col min="12875" max="12877" width="0.5703125" style="121" customWidth="1"/>
    <col min="12878" max="12878" width="4.5703125" style="121" customWidth="1"/>
    <col min="12879" max="12879" width="1.140625" style="121" customWidth="1"/>
    <col min="12880" max="12880" width="1" style="121" customWidth="1"/>
    <col min="12881" max="12881" width="1.28515625" style="121" customWidth="1"/>
    <col min="12882" max="13056" width="6.85546875" style="121" customWidth="1"/>
    <col min="13057" max="13057" width="1.140625" style="121" customWidth="1"/>
    <col min="13058" max="13059" width="0.5703125" style="121" customWidth="1"/>
    <col min="13060" max="13060" width="3.42578125" style="121" customWidth="1"/>
    <col min="13061" max="13061" width="2.28515625" style="121" customWidth="1"/>
    <col min="13062" max="13063" width="1.140625" style="121" customWidth="1"/>
    <col min="13064" max="13065" width="3.42578125" style="121" customWidth="1"/>
    <col min="13066" max="13066" width="1.28515625" style="121" customWidth="1"/>
    <col min="13067" max="13067" width="2.140625" style="121" customWidth="1"/>
    <col min="13068" max="13068" width="1.140625" style="121" customWidth="1"/>
    <col min="13069" max="13069" width="2.28515625" style="121" customWidth="1"/>
    <col min="13070" max="13071" width="0.5703125" style="121" customWidth="1"/>
    <col min="13072" max="13072" width="1.140625" style="121" customWidth="1"/>
    <col min="13073" max="13073" width="0.7109375" style="121" customWidth="1"/>
    <col min="13074" max="13074" width="3.85546875" style="121" customWidth="1"/>
    <col min="13075" max="13075" width="4.5703125" style="121" customWidth="1"/>
    <col min="13076" max="13076" width="3" style="121" customWidth="1"/>
    <col min="13077" max="13077" width="2.7109375" style="121" customWidth="1"/>
    <col min="13078" max="13079" width="1.140625" style="121" customWidth="1"/>
    <col min="13080" max="13080" width="5.7109375" style="121" customWidth="1"/>
    <col min="13081" max="13081" width="1.140625" style="121" customWidth="1"/>
    <col min="13082" max="13082" width="0.7109375" style="121" customWidth="1"/>
    <col min="13083" max="13083" width="6.140625" style="121" customWidth="1"/>
    <col min="13084" max="13084" width="2.28515625" style="121" customWidth="1"/>
    <col min="13085" max="13085" width="1.140625" style="121" customWidth="1"/>
    <col min="13086" max="13086" width="2.42578125" style="121" customWidth="1"/>
    <col min="13087" max="13087" width="1" style="121" customWidth="1"/>
    <col min="13088" max="13089" width="1.140625" style="121" customWidth="1"/>
    <col min="13090" max="13090" width="3.85546875" style="121" customWidth="1"/>
    <col min="13091" max="13091" width="0.7109375" style="121" customWidth="1"/>
    <col min="13092" max="13092" width="1.140625" style="121" customWidth="1"/>
    <col min="13093" max="13093" width="1.5703125" style="121" customWidth="1"/>
    <col min="13094" max="13094" width="0.7109375" style="121" customWidth="1"/>
    <col min="13095" max="13095" width="1.140625" style="121" customWidth="1"/>
    <col min="13096" max="13096" width="3.5703125" style="121" customWidth="1"/>
    <col min="13097" max="13097" width="1" style="121" customWidth="1"/>
    <col min="13098" max="13098" width="3.42578125" style="121" customWidth="1"/>
    <col min="13099" max="13099" width="1.140625" style="121" customWidth="1"/>
    <col min="13100" max="13100" width="2.85546875" style="121" customWidth="1"/>
    <col min="13101" max="13101" width="0.5703125" style="121" customWidth="1"/>
    <col min="13102" max="13102" width="0.7109375" style="121" customWidth="1"/>
    <col min="13103" max="13103" width="1.5703125" style="121" customWidth="1"/>
    <col min="13104" max="13104" width="6.85546875" style="121" customWidth="1"/>
    <col min="13105" max="13105" width="1.140625" style="121" customWidth="1"/>
    <col min="13106" max="13107" width="0.5703125" style="121" customWidth="1"/>
    <col min="13108" max="13108" width="1.28515625" style="121" customWidth="1"/>
    <col min="13109" max="13109" width="1" style="121" customWidth="1"/>
    <col min="13110" max="13110" width="5.7109375" style="121" customWidth="1"/>
    <col min="13111" max="13112" width="0.5703125" style="121" customWidth="1"/>
    <col min="13113" max="13114" width="1.85546875" style="121" customWidth="1"/>
    <col min="13115" max="13115" width="3" style="121" customWidth="1"/>
    <col min="13116" max="13116" width="3.42578125" style="121" customWidth="1"/>
    <col min="13117" max="13117" width="1.140625" style="121" customWidth="1"/>
    <col min="13118" max="13118" width="3.42578125" style="121" customWidth="1"/>
    <col min="13119" max="13119" width="2.28515625" style="121" customWidth="1"/>
    <col min="13120" max="13120" width="1.7109375" style="121" customWidth="1"/>
    <col min="13121" max="13121" width="1" style="121" customWidth="1"/>
    <col min="13122" max="13122" width="0.7109375" style="121" customWidth="1"/>
    <col min="13123" max="13123" width="2.28515625" style="121" customWidth="1"/>
    <col min="13124" max="13124" width="1.140625" style="121" customWidth="1"/>
    <col min="13125" max="13125" width="2.28515625" style="121" customWidth="1"/>
    <col min="13126" max="13127" width="1.140625" style="121" customWidth="1"/>
    <col min="13128" max="13128" width="0.7109375" style="121" customWidth="1"/>
    <col min="13129" max="13129" width="2.85546875" style="121" customWidth="1"/>
    <col min="13130" max="13130" width="3.85546875" style="121" customWidth="1"/>
    <col min="13131" max="13133" width="0.5703125" style="121" customWidth="1"/>
    <col min="13134" max="13134" width="4.5703125" style="121" customWidth="1"/>
    <col min="13135" max="13135" width="1.140625" style="121" customWidth="1"/>
    <col min="13136" max="13136" width="1" style="121" customWidth="1"/>
    <col min="13137" max="13137" width="1.28515625" style="121" customWidth="1"/>
    <col min="13138" max="13312" width="6.85546875" style="121" customWidth="1"/>
    <col min="13313" max="13313" width="1.140625" style="121" customWidth="1"/>
    <col min="13314" max="13315" width="0.5703125" style="121" customWidth="1"/>
    <col min="13316" max="13316" width="3.42578125" style="121" customWidth="1"/>
    <col min="13317" max="13317" width="2.28515625" style="121" customWidth="1"/>
    <col min="13318" max="13319" width="1.140625" style="121" customWidth="1"/>
    <col min="13320" max="13321" width="3.42578125" style="121" customWidth="1"/>
    <col min="13322" max="13322" width="1.28515625" style="121" customWidth="1"/>
    <col min="13323" max="13323" width="2.140625" style="121" customWidth="1"/>
    <col min="13324" max="13324" width="1.140625" style="121" customWidth="1"/>
    <col min="13325" max="13325" width="2.28515625" style="121" customWidth="1"/>
    <col min="13326" max="13327" width="0.5703125" style="121" customWidth="1"/>
    <col min="13328" max="13328" width="1.140625" style="121" customWidth="1"/>
    <col min="13329" max="13329" width="0.7109375" style="121" customWidth="1"/>
    <col min="13330" max="13330" width="3.85546875" style="121" customWidth="1"/>
    <col min="13331" max="13331" width="4.5703125" style="121" customWidth="1"/>
    <col min="13332" max="13332" width="3" style="121" customWidth="1"/>
    <col min="13333" max="13333" width="2.7109375" style="121" customWidth="1"/>
    <col min="13334" max="13335" width="1.140625" style="121" customWidth="1"/>
    <col min="13336" max="13336" width="5.7109375" style="121" customWidth="1"/>
    <col min="13337" max="13337" width="1.140625" style="121" customWidth="1"/>
    <col min="13338" max="13338" width="0.7109375" style="121" customWidth="1"/>
    <col min="13339" max="13339" width="6.140625" style="121" customWidth="1"/>
    <col min="13340" max="13340" width="2.28515625" style="121" customWidth="1"/>
    <col min="13341" max="13341" width="1.140625" style="121" customWidth="1"/>
    <col min="13342" max="13342" width="2.42578125" style="121" customWidth="1"/>
    <col min="13343" max="13343" width="1" style="121" customWidth="1"/>
    <col min="13344" max="13345" width="1.140625" style="121" customWidth="1"/>
    <col min="13346" max="13346" width="3.85546875" style="121" customWidth="1"/>
    <col min="13347" max="13347" width="0.7109375" style="121" customWidth="1"/>
    <col min="13348" max="13348" width="1.140625" style="121" customWidth="1"/>
    <col min="13349" max="13349" width="1.5703125" style="121" customWidth="1"/>
    <col min="13350" max="13350" width="0.7109375" style="121" customWidth="1"/>
    <col min="13351" max="13351" width="1.140625" style="121" customWidth="1"/>
    <col min="13352" max="13352" width="3.5703125" style="121" customWidth="1"/>
    <col min="13353" max="13353" width="1" style="121" customWidth="1"/>
    <col min="13354" max="13354" width="3.42578125" style="121" customWidth="1"/>
    <col min="13355" max="13355" width="1.140625" style="121" customWidth="1"/>
    <col min="13356" max="13356" width="2.85546875" style="121" customWidth="1"/>
    <col min="13357" max="13357" width="0.5703125" style="121" customWidth="1"/>
    <col min="13358" max="13358" width="0.7109375" style="121" customWidth="1"/>
    <col min="13359" max="13359" width="1.5703125" style="121" customWidth="1"/>
    <col min="13360" max="13360" width="6.85546875" style="121" customWidth="1"/>
    <col min="13361" max="13361" width="1.140625" style="121" customWidth="1"/>
    <col min="13362" max="13363" width="0.5703125" style="121" customWidth="1"/>
    <col min="13364" max="13364" width="1.28515625" style="121" customWidth="1"/>
    <col min="13365" max="13365" width="1" style="121" customWidth="1"/>
    <col min="13366" max="13366" width="5.7109375" style="121" customWidth="1"/>
    <col min="13367" max="13368" width="0.5703125" style="121" customWidth="1"/>
    <col min="13369" max="13370" width="1.85546875" style="121" customWidth="1"/>
    <col min="13371" max="13371" width="3" style="121" customWidth="1"/>
    <col min="13372" max="13372" width="3.42578125" style="121" customWidth="1"/>
    <col min="13373" max="13373" width="1.140625" style="121" customWidth="1"/>
    <col min="13374" max="13374" width="3.42578125" style="121" customWidth="1"/>
    <col min="13375" max="13375" width="2.28515625" style="121" customWidth="1"/>
    <col min="13376" max="13376" width="1.7109375" style="121" customWidth="1"/>
    <col min="13377" max="13377" width="1" style="121" customWidth="1"/>
    <col min="13378" max="13378" width="0.7109375" style="121" customWidth="1"/>
    <col min="13379" max="13379" width="2.28515625" style="121" customWidth="1"/>
    <col min="13380" max="13380" width="1.140625" style="121" customWidth="1"/>
    <col min="13381" max="13381" width="2.28515625" style="121" customWidth="1"/>
    <col min="13382" max="13383" width="1.140625" style="121" customWidth="1"/>
    <col min="13384" max="13384" width="0.7109375" style="121" customWidth="1"/>
    <col min="13385" max="13385" width="2.85546875" style="121" customWidth="1"/>
    <col min="13386" max="13386" width="3.85546875" style="121" customWidth="1"/>
    <col min="13387" max="13389" width="0.5703125" style="121" customWidth="1"/>
    <col min="13390" max="13390" width="4.5703125" style="121" customWidth="1"/>
    <col min="13391" max="13391" width="1.140625" style="121" customWidth="1"/>
    <col min="13392" max="13392" width="1" style="121" customWidth="1"/>
    <col min="13393" max="13393" width="1.28515625" style="121" customWidth="1"/>
    <col min="13394" max="13568" width="6.85546875" style="121" customWidth="1"/>
    <col min="13569" max="13569" width="1.140625" style="121" customWidth="1"/>
    <col min="13570" max="13571" width="0.5703125" style="121" customWidth="1"/>
    <col min="13572" max="13572" width="3.42578125" style="121" customWidth="1"/>
    <col min="13573" max="13573" width="2.28515625" style="121" customWidth="1"/>
    <col min="13574" max="13575" width="1.140625" style="121" customWidth="1"/>
    <col min="13576" max="13577" width="3.42578125" style="121" customWidth="1"/>
    <col min="13578" max="13578" width="1.28515625" style="121" customWidth="1"/>
    <col min="13579" max="13579" width="2.140625" style="121" customWidth="1"/>
    <col min="13580" max="13580" width="1.140625" style="121" customWidth="1"/>
    <col min="13581" max="13581" width="2.28515625" style="121" customWidth="1"/>
    <col min="13582" max="13583" width="0.5703125" style="121" customWidth="1"/>
    <col min="13584" max="13584" width="1.140625" style="121" customWidth="1"/>
    <col min="13585" max="13585" width="0.7109375" style="121" customWidth="1"/>
    <col min="13586" max="13586" width="3.85546875" style="121" customWidth="1"/>
    <col min="13587" max="13587" width="4.5703125" style="121" customWidth="1"/>
    <col min="13588" max="13588" width="3" style="121" customWidth="1"/>
    <col min="13589" max="13589" width="2.7109375" style="121" customWidth="1"/>
    <col min="13590" max="13591" width="1.140625" style="121" customWidth="1"/>
    <col min="13592" max="13592" width="5.7109375" style="121" customWidth="1"/>
    <col min="13593" max="13593" width="1.140625" style="121" customWidth="1"/>
    <col min="13594" max="13594" width="0.7109375" style="121" customWidth="1"/>
    <col min="13595" max="13595" width="6.140625" style="121" customWidth="1"/>
    <col min="13596" max="13596" width="2.28515625" style="121" customWidth="1"/>
    <col min="13597" max="13597" width="1.140625" style="121" customWidth="1"/>
    <col min="13598" max="13598" width="2.42578125" style="121" customWidth="1"/>
    <col min="13599" max="13599" width="1" style="121" customWidth="1"/>
    <col min="13600" max="13601" width="1.140625" style="121" customWidth="1"/>
    <col min="13602" max="13602" width="3.85546875" style="121" customWidth="1"/>
    <col min="13603" max="13603" width="0.7109375" style="121" customWidth="1"/>
    <col min="13604" max="13604" width="1.140625" style="121" customWidth="1"/>
    <col min="13605" max="13605" width="1.5703125" style="121" customWidth="1"/>
    <col min="13606" max="13606" width="0.7109375" style="121" customWidth="1"/>
    <col min="13607" max="13607" width="1.140625" style="121" customWidth="1"/>
    <col min="13608" max="13608" width="3.5703125" style="121" customWidth="1"/>
    <col min="13609" max="13609" width="1" style="121" customWidth="1"/>
    <col min="13610" max="13610" width="3.42578125" style="121" customWidth="1"/>
    <col min="13611" max="13611" width="1.140625" style="121" customWidth="1"/>
    <col min="13612" max="13612" width="2.85546875" style="121" customWidth="1"/>
    <col min="13613" max="13613" width="0.5703125" style="121" customWidth="1"/>
    <col min="13614" max="13614" width="0.7109375" style="121" customWidth="1"/>
    <col min="13615" max="13615" width="1.5703125" style="121" customWidth="1"/>
    <col min="13616" max="13616" width="6.85546875" style="121" customWidth="1"/>
    <col min="13617" max="13617" width="1.140625" style="121" customWidth="1"/>
    <col min="13618" max="13619" width="0.5703125" style="121" customWidth="1"/>
    <col min="13620" max="13620" width="1.28515625" style="121" customWidth="1"/>
    <col min="13621" max="13621" width="1" style="121" customWidth="1"/>
    <col min="13622" max="13622" width="5.7109375" style="121" customWidth="1"/>
    <col min="13623" max="13624" width="0.5703125" style="121" customWidth="1"/>
    <col min="13625" max="13626" width="1.85546875" style="121" customWidth="1"/>
    <col min="13627" max="13627" width="3" style="121" customWidth="1"/>
    <col min="13628" max="13628" width="3.42578125" style="121" customWidth="1"/>
    <col min="13629" max="13629" width="1.140625" style="121" customWidth="1"/>
    <col min="13630" max="13630" width="3.42578125" style="121" customWidth="1"/>
    <col min="13631" max="13631" width="2.28515625" style="121" customWidth="1"/>
    <col min="13632" max="13632" width="1.7109375" style="121" customWidth="1"/>
    <col min="13633" max="13633" width="1" style="121" customWidth="1"/>
    <col min="13634" max="13634" width="0.7109375" style="121" customWidth="1"/>
    <col min="13635" max="13635" width="2.28515625" style="121" customWidth="1"/>
    <col min="13636" max="13636" width="1.140625" style="121" customWidth="1"/>
    <col min="13637" max="13637" width="2.28515625" style="121" customWidth="1"/>
    <col min="13638" max="13639" width="1.140625" style="121" customWidth="1"/>
    <col min="13640" max="13640" width="0.7109375" style="121" customWidth="1"/>
    <col min="13641" max="13641" width="2.85546875" style="121" customWidth="1"/>
    <col min="13642" max="13642" width="3.85546875" style="121" customWidth="1"/>
    <col min="13643" max="13645" width="0.5703125" style="121" customWidth="1"/>
    <col min="13646" max="13646" width="4.5703125" style="121" customWidth="1"/>
    <col min="13647" max="13647" width="1.140625" style="121" customWidth="1"/>
    <col min="13648" max="13648" width="1" style="121" customWidth="1"/>
    <col min="13649" max="13649" width="1.28515625" style="121" customWidth="1"/>
    <col min="13650" max="13824" width="6.85546875" style="121" customWidth="1"/>
    <col min="13825" max="13825" width="1.140625" style="121" customWidth="1"/>
    <col min="13826" max="13827" width="0.5703125" style="121" customWidth="1"/>
    <col min="13828" max="13828" width="3.42578125" style="121" customWidth="1"/>
    <col min="13829" max="13829" width="2.28515625" style="121" customWidth="1"/>
    <col min="13830" max="13831" width="1.140625" style="121" customWidth="1"/>
    <col min="13832" max="13833" width="3.42578125" style="121" customWidth="1"/>
    <col min="13834" max="13834" width="1.28515625" style="121" customWidth="1"/>
    <col min="13835" max="13835" width="2.140625" style="121" customWidth="1"/>
    <col min="13836" max="13836" width="1.140625" style="121" customWidth="1"/>
    <col min="13837" max="13837" width="2.28515625" style="121" customWidth="1"/>
    <col min="13838" max="13839" width="0.5703125" style="121" customWidth="1"/>
    <col min="13840" max="13840" width="1.140625" style="121" customWidth="1"/>
    <col min="13841" max="13841" width="0.7109375" style="121" customWidth="1"/>
    <col min="13842" max="13842" width="3.85546875" style="121" customWidth="1"/>
    <col min="13843" max="13843" width="4.5703125" style="121" customWidth="1"/>
    <col min="13844" max="13844" width="3" style="121" customWidth="1"/>
    <col min="13845" max="13845" width="2.7109375" style="121" customWidth="1"/>
    <col min="13846" max="13847" width="1.140625" style="121" customWidth="1"/>
    <col min="13848" max="13848" width="5.7109375" style="121" customWidth="1"/>
    <col min="13849" max="13849" width="1.140625" style="121" customWidth="1"/>
    <col min="13850" max="13850" width="0.7109375" style="121" customWidth="1"/>
    <col min="13851" max="13851" width="6.140625" style="121" customWidth="1"/>
    <col min="13852" max="13852" width="2.28515625" style="121" customWidth="1"/>
    <col min="13853" max="13853" width="1.140625" style="121" customWidth="1"/>
    <col min="13854" max="13854" width="2.42578125" style="121" customWidth="1"/>
    <col min="13855" max="13855" width="1" style="121" customWidth="1"/>
    <col min="13856" max="13857" width="1.140625" style="121" customWidth="1"/>
    <col min="13858" max="13858" width="3.85546875" style="121" customWidth="1"/>
    <col min="13859" max="13859" width="0.7109375" style="121" customWidth="1"/>
    <col min="13860" max="13860" width="1.140625" style="121" customWidth="1"/>
    <col min="13861" max="13861" width="1.5703125" style="121" customWidth="1"/>
    <col min="13862" max="13862" width="0.7109375" style="121" customWidth="1"/>
    <col min="13863" max="13863" width="1.140625" style="121" customWidth="1"/>
    <col min="13864" max="13864" width="3.5703125" style="121" customWidth="1"/>
    <col min="13865" max="13865" width="1" style="121" customWidth="1"/>
    <col min="13866" max="13866" width="3.42578125" style="121" customWidth="1"/>
    <col min="13867" max="13867" width="1.140625" style="121" customWidth="1"/>
    <col min="13868" max="13868" width="2.85546875" style="121" customWidth="1"/>
    <col min="13869" max="13869" width="0.5703125" style="121" customWidth="1"/>
    <col min="13870" max="13870" width="0.7109375" style="121" customWidth="1"/>
    <col min="13871" max="13871" width="1.5703125" style="121" customWidth="1"/>
    <col min="13872" max="13872" width="6.85546875" style="121" customWidth="1"/>
    <col min="13873" max="13873" width="1.140625" style="121" customWidth="1"/>
    <col min="13874" max="13875" width="0.5703125" style="121" customWidth="1"/>
    <col min="13876" max="13876" width="1.28515625" style="121" customWidth="1"/>
    <col min="13877" max="13877" width="1" style="121" customWidth="1"/>
    <col min="13878" max="13878" width="5.7109375" style="121" customWidth="1"/>
    <col min="13879" max="13880" width="0.5703125" style="121" customWidth="1"/>
    <col min="13881" max="13882" width="1.85546875" style="121" customWidth="1"/>
    <col min="13883" max="13883" width="3" style="121" customWidth="1"/>
    <col min="13884" max="13884" width="3.42578125" style="121" customWidth="1"/>
    <col min="13885" max="13885" width="1.140625" style="121" customWidth="1"/>
    <col min="13886" max="13886" width="3.42578125" style="121" customWidth="1"/>
    <col min="13887" max="13887" width="2.28515625" style="121" customWidth="1"/>
    <col min="13888" max="13888" width="1.7109375" style="121" customWidth="1"/>
    <col min="13889" max="13889" width="1" style="121" customWidth="1"/>
    <col min="13890" max="13890" width="0.7109375" style="121" customWidth="1"/>
    <col min="13891" max="13891" width="2.28515625" style="121" customWidth="1"/>
    <col min="13892" max="13892" width="1.140625" style="121" customWidth="1"/>
    <col min="13893" max="13893" width="2.28515625" style="121" customWidth="1"/>
    <col min="13894" max="13895" width="1.140625" style="121" customWidth="1"/>
    <col min="13896" max="13896" width="0.7109375" style="121" customWidth="1"/>
    <col min="13897" max="13897" width="2.85546875" style="121" customWidth="1"/>
    <col min="13898" max="13898" width="3.85546875" style="121" customWidth="1"/>
    <col min="13899" max="13901" width="0.5703125" style="121" customWidth="1"/>
    <col min="13902" max="13902" width="4.5703125" style="121" customWidth="1"/>
    <col min="13903" max="13903" width="1.140625" style="121" customWidth="1"/>
    <col min="13904" max="13904" width="1" style="121" customWidth="1"/>
    <col min="13905" max="13905" width="1.28515625" style="121" customWidth="1"/>
    <col min="13906" max="14080" width="6.85546875" style="121" customWidth="1"/>
    <col min="14081" max="14081" width="1.140625" style="121" customWidth="1"/>
    <col min="14082" max="14083" width="0.5703125" style="121" customWidth="1"/>
    <col min="14084" max="14084" width="3.42578125" style="121" customWidth="1"/>
    <col min="14085" max="14085" width="2.28515625" style="121" customWidth="1"/>
    <col min="14086" max="14087" width="1.140625" style="121" customWidth="1"/>
    <col min="14088" max="14089" width="3.42578125" style="121" customWidth="1"/>
    <col min="14090" max="14090" width="1.28515625" style="121" customWidth="1"/>
    <col min="14091" max="14091" width="2.140625" style="121" customWidth="1"/>
    <col min="14092" max="14092" width="1.140625" style="121" customWidth="1"/>
    <col min="14093" max="14093" width="2.28515625" style="121" customWidth="1"/>
    <col min="14094" max="14095" width="0.5703125" style="121" customWidth="1"/>
    <col min="14096" max="14096" width="1.140625" style="121" customWidth="1"/>
    <col min="14097" max="14097" width="0.7109375" style="121" customWidth="1"/>
    <col min="14098" max="14098" width="3.85546875" style="121" customWidth="1"/>
    <col min="14099" max="14099" width="4.5703125" style="121" customWidth="1"/>
    <col min="14100" max="14100" width="3" style="121" customWidth="1"/>
    <col min="14101" max="14101" width="2.7109375" style="121" customWidth="1"/>
    <col min="14102" max="14103" width="1.140625" style="121" customWidth="1"/>
    <col min="14104" max="14104" width="5.7109375" style="121" customWidth="1"/>
    <col min="14105" max="14105" width="1.140625" style="121" customWidth="1"/>
    <col min="14106" max="14106" width="0.7109375" style="121" customWidth="1"/>
    <col min="14107" max="14107" width="6.140625" style="121" customWidth="1"/>
    <col min="14108" max="14108" width="2.28515625" style="121" customWidth="1"/>
    <col min="14109" max="14109" width="1.140625" style="121" customWidth="1"/>
    <col min="14110" max="14110" width="2.42578125" style="121" customWidth="1"/>
    <col min="14111" max="14111" width="1" style="121" customWidth="1"/>
    <col min="14112" max="14113" width="1.140625" style="121" customWidth="1"/>
    <col min="14114" max="14114" width="3.85546875" style="121" customWidth="1"/>
    <col min="14115" max="14115" width="0.7109375" style="121" customWidth="1"/>
    <col min="14116" max="14116" width="1.140625" style="121" customWidth="1"/>
    <col min="14117" max="14117" width="1.5703125" style="121" customWidth="1"/>
    <col min="14118" max="14118" width="0.7109375" style="121" customWidth="1"/>
    <col min="14119" max="14119" width="1.140625" style="121" customWidth="1"/>
    <col min="14120" max="14120" width="3.5703125" style="121" customWidth="1"/>
    <col min="14121" max="14121" width="1" style="121" customWidth="1"/>
    <col min="14122" max="14122" width="3.42578125" style="121" customWidth="1"/>
    <col min="14123" max="14123" width="1.140625" style="121" customWidth="1"/>
    <col min="14124" max="14124" width="2.85546875" style="121" customWidth="1"/>
    <col min="14125" max="14125" width="0.5703125" style="121" customWidth="1"/>
    <col min="14126" max="14126" width="0.7109375" style="121" customWidth="1"/>
    <col min="14127" max="14127" width="1.5703125" style="121" customWidth="1"/>
    <col min="14128" max="14128" width="6.85546875" style="121" customWidth="1"/>
    <col min="14129" max="14129" width="1.140625" style="121" customWidth="1"/>
    <col min="14130" max="14131" width="0.5703125" style="121" customWidth="1"/>
    <col min="14132" max="14132" width="1.28515625" style="121" customWidth="1"/>
    <col min="14133" max="14133" width="1" style="121" customWidth="1"/>
    <col min="14134" max="14134" width="5.7109375" style="121" customWidth="1"/>
    <col min="14135" max="14136" width="0.5703125" style="121" customWidth="1"/>
    <col min="14137" max="14138" width="1.85546875" style="121" customWidth="1"/>
    <col min="14139" max="14139" width="3" style="121" customWidth="1"/>
    <col min="14140" max="14140" width="3.42578125" style="121" customWidth="1"/>
    <col min="14141" max="14141" width="1.140625" style="121" customWidth="1"/>
    <col min="14142" max="14142" width="3.42578125" style="121" customWidth="1"/>
    <col min="14143" max="14143" width="2.28515625" style="121" customWidth="1"/>
    <col min="14144" max="14144" width="1.7109375" style="121" customWidth="1"/>
    <col min="14145" max="14145" width="1" style="121" customWidth="1"/>
    <col min="14146" max="14146" width="0.7109375" style="121" customWidth="1"/>
    <col min="14147" max="14147" width="2.28515625" style="121" customWidth="1"/>
    <col min="14148" max="14148" width="1.140625" style="121" customWidth="1"/>
    <col min="14149" max="14149" width="2.28515625" style="121" customWidth="1"/>
    <col min="14150" max="14151" width="1.140625" style="121" customWidth="1"/>
    <col min="14152" max="14152" width="0.7109375" style="121" customWidth="1"/>
    <col min="14153" max="14153" width="2.85546875" style="121" customWidth="1"/>
    <col min="14154" max="14154" width="3.85546875" style="121" customWidth="1"/>
    <col min="14155" max="14157" width="0.5703125" style="121" customWidth="1"/>
    <col min="14158" max="14158" width="4.5703125" style="121" customWidth="1"/>
    <col min="14159" max="14159" width="1.140625" style="121" customWidth="1"/>
    <col min="14160" max="14160" width="1" style="121" customWidth="1"/>
    <col min="14161" max="14161" width="1.28515625" style="121" customWidth="1"/>
    <col min="14162" max="14336" width="6.85546875" style="121" customWidth="1"/>
    <col min="14337" max="14337" width="1.140625" style="121" customWidth="1"/>
    <col min="14338" max="14339" width="0.5703125" style="121" customWidth="1"/>
    <col min="14340" max="14340" width="3.42578125" style="121" customWidth="1"/>
    <col min="14341" max="14341" width="2.28515625" style="121" customWidth="1"/>
    <col min="14342" max="14343" width="1.140625" style="121" customWidth="1"/>
    <col min="14344" max="14345" width="3.42578125" style="121" customWidth="1"/>
    <col min="14346" max="14346" width="1.28515625" style="121" customWidth="1"/>
    <col min="14347" max="14347" width="2.140625" style="121" customWidth="1"/>
    <col min="14348" max="14348" width="1.140625" style="121" customWidth="1"/>
    <col min="14349" max="14349" width="2.28515625" style="121" customWidth="1"/>
    <col min="14350" max="14351" width="0.5703125" style="121" customWidth="1"/>
    <col min="14352" max="14352" width="1.140625" style="121" customWidth="1"/>
    <col min="14353" max="14353" width="0.7109375" style="121" customWidth="1"/>
    <col min="14354" max="14354" width="3.85546875" style="121" customWidth="1"/>
    <col min="14355" max="14355" width="4.5703125" style="121" customWidth="1"/>
    <col min="14356" max="14356" width="3" style="121" customWidth="1"/>
    <col min="14357" max="14357" width="2.7109375" style="121" customWidth="1"/>
    <col min="14358" max="14359" width="1.140625" style="121" customWidth="1"/>
    <col min="14360" max="14360" width="5.7109375" style="121" customWidth="1"/>
    <col min="14361" max="14361" width="1.140625" style="121" customWidth="1"/>
    <col min="14362" max="14362" width="0.7109375" style="121" customWidth="1"/>
    <col min="14363" max="14363" width="6.140625" style="121" customWidth="1"/>
    <col min="14364" max="14364" width="2.28515625" style="121" customWidth="1"/>
    <col min="14365" max="14365" width="1.140625" style="121" customWidth="1"/>
    <col min="14366" max="14366" width="2.42578125" style="121" customWidth="1"/>
    <col min="14367" max="14367" width="1" style="121" customWidth="1"/>
    <col min="14368" max="14369" width="1.140625" style="121" customWidth="1"/>
    <col min="14370" max="14370" width="3.85546875" style="121" customWidth="1"/>
    <col min="14371" max="14371" width="0.7109375" style="121" customWidth="1"/>
    <col min="14372" max="14372" width="1.140625" style="121" customWidth="1"/>
    <col min="14373" max="14373" width="1.5703125" style="121" customWidth="1"/>
    <col min="14374" max="14374" width="0.7109375" style="121" customWidth="1"/>
    <col min="14375" max="14375" width="1.140625" style="121" customWidth="1"/>
    <col min="14376" max="14376" width="3.5703125" style="121" customWidth="1"/>
    <col min="14377" max="14377" width="1" style="121" customWidth="1"/>
    <col min="14378" max="14378" width="3.42578125" style="121" customWidth="1"/>
    <col min="14379" max="14379" width="1.140625" style="121" customWidth="1"/>
    <col min="14380" max="14380" width="2.85546875" style="121" customWidth="1"/>
    <col min="14381" max="14381" width="0.5703125" style="121" customWidth="1"/>
    <col min="14382" max="14382" width="0.7109375" style="121" customWidth="1"/>
    <col min="14383" max="14383" width="1.5703125" style="121" customWidth="1"/>
    <col min="14384" max="14384" width="6.85546875" style="121" customWidth="1"/>
    <col min="14385" max="14385" width="1.140625" style="121" customWidth="1"/>
    <col min="14386" max="14387" width="0.5703125" style="121" customWidth="1"/>
    <col min="14388" max="14388" width="1.28515625" style="121" customWidth="1"/>
    <col min="14389" max="14389" width="1" style="121" customWidth="1"/>
    <col min="14390" max="14390" width="5.7109375" style="121" customWidth="1"/>
    <col min="14391" max="14392" width="0.5703125" style="121" customWidth="1"/>
    <col min="14393" max="14394" width="1.85546875" style="121" customWidth="1"/>
    <col min="14395" max="14395" width="3" style="121" customWidth="1"/>
    <col min="14396" max="14396" width="3.42578125" style="121" customWidth="1"/>
    <col min="14397" max="14397" width="1.140625" style="121" customWidth="1"/>
    <col min="14398" max="14398" width="3.42578125" style="121" customWidth="1"/>
    <col min="14399" max="14399" width="2.28515625" style="121" customWidth="1"/>
    <col min="14400" max="14400" width="1.7109375" style="121" customWidth="1"/>
    <col min="14401" max="14401" width="1" style="121" customWidth="1"/>
    <col min="14402" max="14402" width="0.7109375" style="121" customWidth="1"/>
    <col min="14403" max="14403" width="2.28515625" style="121" customWidth="1"/>
    <col min="14404" max="14404" width="1.140625" style="121" customWidth="1"/>
    <col min="14405" max="14405" width="2.28515625" style="121" customWidth="1"/>
    <col min="14406" max="14407" width="1.140625" style="121" customWidth="1"/>
    <col min="14408" max="14408" width="0.7109375" style="121" customWidth="1"/>
    <col min="14409" max="14409" width="2.85546875" style="121" customWidth="1"/>
    <col min="14410" max="14410" width="3.85546875" style="121" customWidth="1"/>
    <col min="14411" max="14413" width="0.5703125" style="121" customWidth="1"/>
    <col min="14414" max="14414" width="4.5703125" style="121" customWidth="1"/>
    <col min="14415" max="14415" width="1.140625" style="121" customWidth="1"/>
    <col min="14416" max="14416" width="1" style="121" customWidth="1"/>
    <col min="14417" max="14417" width="1.28515625" style="121" customWidth="1"/>
    <col min="14418" max="14592" width="6.85546875" style="121" customWidth="1"/>
    <col min="14593" max="14593" width="1.140625" style="121" customWidth="1"/>
    <col min="14594" max="14595" width="0.5703125" style="121" customWidth="1"/>
    <col min="14596" max="14596" width="3.42578125" style="121" customWidth="1"/>
    <col min="14597" max="14597" width="2.28515625" style="121" customWidth="1"/>
    <col min="14598" max="14599" width="1.140625" style="121" customWidth="1"/>
    <col min="14600" max="14601" width="3.42578125" style="121" customWidth="1"/>
    <col min="14602" max="14602" width="1.28515625" style="121" customWidth="1"/>
    <col min="14603" max="14603" width="2.140625" style="121" customWidth="1"/>
    <col min="14604" max="14604" width="1.140625" style="121" customWidth="1"/>
    <col min="14605" max="14605" width="2.28515625" style="121" customWidth="1"/>
    <col min="14606" max="14607" width="0.5703125" style="121" customWidth="1"/>
    <col min="14608" max="14608" width="1.140625" style="121" customWidth="1"/>
    <col min="14609" max="14609" width="0.7109375" style="121" customWidth="1"/>
    <col min="14610" max="14610" width="3.85546875" style="121" customWidth="1"/>
    <col min="14611" max="14611" width="4.5703125" style="121" customWidth="1"/>
    <col min="14612" max="14612" width="3" style="121" customWidth="1"/>
    <col min="14613" max="14613" width="2.7109375" style="121" customWidth="1"/>
    <col min="14614" max="14615" width="1.140625" style="121" customWidth="1"/>
    <col min="14616" max="14616" width="5.7109375" style="121" customWidth="1"/>
    <col min="14617" max="14617" width="1.140625" style="121" customWidth="1"/>
    <col min="14618" max="14618" width="0.7109375" style="121" customWidth="1"/>
    <col min="14619" max="14619" width="6.140625" style="121" customWidth="1"/>
    <col min="14620" max="14620" width="2.28515625" style="121" customWidth="1"/>
    <col min="14621" max="14621" width="1.140625" style="121" customWidth="1"/>
    <col min="14622" max="14622" width="2.42578125" style="121" customWidth="1"/>
    <col min="14623" max="14623" width="1" style="121" customWidth="1"/>
    <col min="14624" max="14625" width="1.140625" style="121" customWidth="1"/>
    <col min="14626" max="14626" width="3.85546875" style="121" customWidth="1"/>
    <col min="14627" max="14627" width="0.7109375" style="121" customWidth="1"/>
    <col min="14628" max="14628" width="1.140625" style="121" customWidth="1"/>
    <col min="14629" max="14629" width="1.5703125" style="121" customWidth="1"/>
    <col min="14630" max="14630" width="0.7109375" style="121" customWidth="1"/>
    <col min="14631" max="14631" width="1.140625" style="121" customWidth="1"/>
    <col min="14632" max="14632" width="3.5703125" style="121" customWidth="1"/>
    <col min="14633" max="14633" width="1" style="121" customWidth="1"/>
    <col min="14634" max="14634" width="3.42578125" style="121" customWidth="1"/>
    <col min="14635" max="14635" width="1.140625" style="121" customWidth="1"/>
    <col min="14636" max="14636" width="2.85546875" style="121" customWidth="1"/>
    <col min="14637" max="14637" width="0.5703125" style="121" customWidth="1"/>
    <col min="14638" max="14638" width="0.7109375" style="121" customWidth="1"/>
    <col min="14639" max="14639" width="1.5703125" style="121" customWidth="1"/>
    <col min="14640" max="14640" width="6.85546875" style="121" customWidth="1"/>
    <col min="14641" max="14641" width="1.140625" style="121" customWidth="1"/>
    <col min="14642" max="14643" width="0.5703125" style="121" customWidth="1"/>
    <col min="14644" max="14644" width="1.28515625" style="121" customWidth="1"/>
    <col min="14645" max="14645" width="1" style="121" customWidth="1"/>
    <col min="14646" max="14646" width="5.7109375" style="121" customWidth="1"/>
    <col min="14647" max="14648" width="0.5703125" style="121" customWidth="1"/>
    <col min="14649" max="14650" width="1.85546875" style="121" customWidth="1"/>
    <col min="14651" max="14651" width="3" style="121" customWidth="1"/>
    <col min="14652" max="14652" width="3.42578125" style="121" customWidth="1"/>
    <col min="14653" max="14653" width="1.140625" style="121" customWidth="1"/>
    <col min="14654" max="14654" width="3.42578125" style="121" customWidth="1"/>
    <col min="14655" max="14655" width="2.28515625" style="121" customWidth="1"/>
    <col min="14656" max="14656" width="1.7109375" style="121" customWidth="1"/>
    <col min="14657" max="14657" width="1" style="121" customWidth="1"/>
    <col min="14658" max="14658" width="0.7109375" style="121" customWidth="1"/>
    <col min="14659" max="14659" width="2.28515625" style="121" customWidth="1"/>
    <col min="14660" max="14660" width="1.140625" style="121" customWidth="1"/>
    <col min="14661" max="14661" width="2.28515625" style="121" customWidth="1"/>
    <col min="14662" max="14663" width="1.140625" style="121" customWidth="1"/>
    <col min="14664" max="14664" width="0.7109375" style="121" customWidth="1"/>
    <col min="14665" max="14665" width="2.85546875" style="121" customWidth="1"/>
    <col min="14666" max="14666" width="3.85546875" style="121" customWidth="1"/>
    <col min="14667" max="14669" width="0.5703125" style="121" customWidth="1"/>
    <col min="14670" max="14670" width="4.5703125" style="121" customWidth="1"/>
    <col min="14671" max="14671" width="1.140625" style="121" customWidth="1"/>
    <col min="14672" max="14672" width="1" style="121" customWidth="1"/>
    <col min="14673" max="14673" width="1.28515625" style="121" customWidth="1"/>
    <col min="14674" max="14848" width="6.85546875" style="121" customWidth="1"/>
    <col min="14849" max="14849" width="1.140625" style="121" customWidth="1"/>
    <col min="14850" max="14851" width="0.5703125" style="121" customWidth="1"/>
    <col min="14852" max="14852" width="3.42578125" style="121" customWidth="1"/>
    <col min="14853" max="14853" width="2.28515625" style="121" customWidth="1"/>
    <col min="14854" max="14855" width="1.140625" style="121" customWidth="1"/>
    <col min="14856" max="14857" width="3.42578125" style="121" customWidth="1"/>
    <col min="14858" max="14858" width="1.28515625" style="121" customWidth="1"/>
    <col min="14859" max="14859" width="2.140625" style="121" customWidth="1"/>
    <col min="14860" max="14860" width="1.140625" style="121" customWidth="1"/>
    <col min="14861" max="14861" width="2.28515625" style="121" customWidth="1"/>
    <col min="14862" max="14863" width="0.5703125" style="121" customWidth="1"/>
    <col min="14864" max="14864" width="1.140625" style="121" customWidth="1"/>
    <col min="14865" max="14865" width="0.7109375" style="121" customWidth="1"/>
    <col min="14866" max="14866" width="3.85546875" style="121" customWidth="1"/>
    <col min="14867" max="14867" width="4.5703125" style="121" customWidth="1"/>
    <col min="14868" max="14868" width="3" style="121" customWidth="1"/>
    <col min="14869" max="14869" width="2.7109375" style="121" customWidth="1"/>
    <col min="14870" max="14871" width="1.140625" style="121" customWidth="1"/>
    <col min="14872" max="14872" width="5.7109375" style="121" customWidth="1"/>
    <col min="14873" max="14873" width="1.140625" style="121" customWidth="1"/>
    <col min="14874" max="14874" width="0.7109375" style="121" customWidth="1"/>
    <col min="14875" max="14875" width="6.140625" style="121" customWidth="1"/>
    <col min="14876" max="14876" width="2.28515625" style="121" customWidth="1"/>
    <col min="14877" max="14877" width="1.140625" style="121" customWidth="1"/>
    <col min="14878" max="14878" width="2.42578125" style="121" customWidth="1"/>
    <col min="14879" max="14879" width="1" style="121" customWidth="1"/>
    <col min="14880" max="14881" width="1.140625" style="121" customWidth="1"/>
    <col min="14882" max="14882" width="3.85546875" style="121" customWidth="1"/>
    <col min="14883" max="14883" width="0.7109375" style="121" customWidth="1"/>
    <col min="14884" max="14884" width="1.140625" style="121" customWidth="1"/>
    <col min="14885" max="14885" width="1.5703125" style="121" customWidth="1"/>
    <col min="14886" max="14886" width="0.7109375" style="121" customWidth="1"/>
    <col min="14887" max="14887" width="1.140625" style="121" customWidth="1"/>
    <col min="14888" max="14888" width="3.5703125" style="121" customWidth="1"/>
    <col min="14889" max="14889" width="1" style="121" customWidth="1"/>
    <col min="14890" max="14890" width="3.42578125" style="121" customWidth="1"/>
    <col min="14891" max="14891" width="1.140625" style="121" customWidth="1"/>
    <col min="14892" max="14892" width="2.85546875" style="121" customWidth="1"/>
    <col min="14893" max="14893" width="0.5703125" style="121" customWidth="1"/>
    <col min="14894" max="14894" width="0.7109375" style="121" customWidth="1"/>
    <col min="14895" max="14895" width="1.5703125" style="121" customWidth="1"/>
    <col min="14896" max="14896" width="6.85546875" style="121" customWidth="1"/>
    <col min="14897" max="14897" width="1.140625" style="121" customWidth="1"/>
    <col min="14898" max="14899" width="0.5703125" style="121" customWidth="1"/>
    <col min="14900" max="14900" width="1.28515625" style="121" customWidth="1"/>
    <col min="14901" max="14901" width="1" style="121" customWidth="1"/>
    <col min="14902" max="14902" width="5.7109375" style="121" customWidth="1"/>
    <col min="14903" max="14904" width="0.5703125" style="121" customWidth="1"/>
    <col min="14905" max="14906" width="1.85546875" style="121" customWidth="1"/>
    <col min="14907" max="14907" width="3" style="121" customWidth="1"/>
    <col min="14908" max="14908" width="3.42578125" style="121" customWidth="1"/>
    <col min="14909" max="14909" width="1.140625" style="121" customWidth="1"/>
    <col min="14910" max="14910" width="3.42578125" style="121" customWidth="1"/>
    <col min="14911" max="14911" width="2.28515625" style="121" customWidth="1"/>
    <col min="14912" max="14912" width="1.7109375" style="121" customWidth="1"/>
    <col min="14913" max="14913" width="1" style="121" customWidth="1"/>
    <col min="14914" max="14914" width="0.7109375" style="121" customWidth="1"/>
    <col min="14915" max="14915" width="2.28515625" style="121" customWidth="1"/>
    <col min="14916" max="14916" width="1.140625" style="121" customWidth="1"/>
    <col min="14917" max="14917" width="2.28515625" style="121" customWidth="1"/>
    <col min="14918" max="14919" width="1.140625" style="121" customWidth="1"/>
    <col min="14920" max="14920" width="0.7109375" style="121" customWidth="1"/>
    <col min="14921" max="14921" width="2.85546875" style="121" customWidth="1"/>
    <col min="14922" max="14922" width="3.85546875" style="121" customWidth="1"/>
    <col min="14923" max="14925" width="0.5703125" style="121" customWidth="1"/>
    <col min="14926" max="14926" width="4.5703125" style="121" customWidth="1"/>
    <col min="14927" max="14927" width="1.140625" style="121" customWidth="1"/>
    <col min="14928" max="14928" width="1" style="121" customWidth="1"/>
    <col min="14929" max="14929" width="1.28515625" style="121" customWidth="1"/>
    <col min="14930" max="15104" width="6.85546875" style="121" customWidth="1"/>
    <col min="15105" max="15105" width="1.140625" style="121" customWidth="1"/>
    <col min="15106" max="15107" width="0.5703125" style="121" customWidth="1"/>
    <col min="15108" max="15108" width="3.42578125" style="121" customWidth="1"/>
    <col min="15109" max="15109" width="2.28515625" style="121" customWidth="1"/>
    <col min="15110" max="15111" width="1.140625" style="121" customWidth="1"/>
    <col min="15112" max="15113" width="3.42578125" style="121" customWidth="1"/>
    <col min="15114" max="15114" width="1.28515625" style="121" customWidth="1"/>
    <col min="15115" max="15115" width="2.140625" style="121" customWidth="1"/>
    <col min="15116" max="15116" width="1.140625" style="121" customWidth="1"/>
    <col min="15117" max="15117" width="2.28515625" style="121" customWidth="1"/>
    <col min="15118" max="15119" width="0.5703125" style="121" customWidth="1"/>
    <col min="15120" max="15120" width="1.140625" style="121" customWidth="1"/>
    <col min="15121" max="15121" width="0.7109375" style="121" customWidth="1"/>
    <col min="15122" max="15122" width="3.85546875" style="121" customWidth="1"/>
    <col min="15123" max="15123" width="4.5703125" style="121" customWidth="1"/>
    <col min="15124" max="15124" width="3" style="121" customWidth="1"/>
    <col min="15125" max="15125" width="2.7109375" style="121" customWidth="1"/>
    <col min="15126" max="15127" width="1.140625" style="121" customWidth="1"/>
    <col min="15128" max="15128" width="5.7109375" style="121" customWidth="1"/>
    <col min="15129" max="15129" width="1.140625" style="121" customWidth="1"/>
    <col min="15130" max="15130" width="0.7109375" style="121" customWidth="1"/>
    <col min="15131" max="15131" width="6.140625" style="121" customWidth="1"/>
    <col min="15132" max="15132" width="2.28515625" style="121" customWidth="1"/>
    <col min="15133" max="15133" width="1.140625" style="121" customWidth="1"/>
    <col min="15134" max="15134" width="2.42578125" style="121" customWidth="1"/>
    <col min="15135" max="15135" width="1" style="121" customWidth="1"/>
    <col min="15136" max="15137" width="1.140625" style="121" customWidth="1"/>
    <col min="15138" max="15138" width="3.85546875" style="121" customWidth="1"/>
    <col min="15139" max="15139" width="0.7109375" style="121" customWidth="1"/>
    <col min="15140" max="15140" width="1.140625" style="121" customWidth="1"/>
    <col min="15141" max="15141" width="1.5703125" style="121" customWidth="1"/>
    <col min="15142" max="15142" width="0.7109375" style="121" customWidth="1"/>
    <col min="15143" max="15143" width="1.140625" style="121" customWidth="1"/>
    <col min="15144" max="15144" width="3.5703125" style="121" customWidth="1"/>
    <col min="15145" max="15145" width="1" style="121" customWidth="1"/>
    <col min="15146" max="15146" width="3.42578125" style="121" customWidth="1"/>
    <col min="15147" max="15147" width="1.140625" style="121" customWidth="1"/>
    <col min="15148" max="15148" width="2.85546875" style="121" customWidth="1"/>
    <col min="15149" max="15149" width="0.5703125" style="121" customWidth="1"/>
    <col min="15150" max="15150" width="0.7109375" style="121" customWidth="1"/>
    <col min="15151" max="15151" width="1.5703125" style="121" customWidth="1"/>
    <col min="15152" max="15152" width="6.85546875" style="121" customWidth="1"/>
    <col min="15153" max="15153" width="1.140625" style="121" customWidth="1"/>
    <col min="15154" max="15155" width="0.5703125" style="121" customWidth="1"/>
    <col min="15156" max="15156" width="1.28515625" style="121" customWidth="1"/>
    <col min="15157" max="15157" width="1" style="121" customWidth="1"/>
    <col min="15158" max="15158" width="5.7109375" style="121" customWidth="1"/>
    <col min="15159" max="15160" width="0.5703125" style="121" customWidth="1"/>
    <col min="15161" max="15162" width="1.85546875" style="121" customWidth="1"/>
    <col min="15163" max="15163" width="3" style="121" customWidth="1"/>
    <col min="15164" max="15164" width="3.42578125" style="121" customWidth="1"/>
    <col min="15165" max="15165" width="1.140625" style="121" customWidth="1"/>
    <col min="15166" max="15166" width="3.42578125" style="121" customWidth="1"/>
    <col min="15167" max="15167" width="2.28515625" style="121" customWidth="1"/>
    <col min="15168" max="15168" width="1.7109375" style="121" customWidth="1"/>
    <col min="15169" max="15169" width="1" style="121" customWidth="1"/>
    <col min="15170" max="15170" width="0.7109375" style="121" customWidth="1"/>
    <col min="15171" max="15171" width="2.28515625" style="121" customWidth="1"/>
    <col min="15172" max="15172" width="1.140625" style="121" customWidth="1"/>
    <col min="15173" max="15173" width="2.28515625" style="121" customWidth="1"/>
    <col min="15174" max="15175" width="1.140625" style="121" customWidth="1"/>
    <col min="15176" max="15176" width="0.7109375" style="121" customWidth="1"/>
    <col min="15177" max="15177" width="2.85546875" style="121" customWidth="1"/>
    <col min="15178" max="15178" width="3.85546875" style="121" customWidth="1"/>
    <col min="15179" max="15181" width="0.5703125" style="121" customWidth="1"/>
    <col min="15182" max="15182" width="4.5703125" style="121" customWidth="1"/>
    <col min="15183" max="15183" width="1.140625" style="121" customWidth="1"/>
    <col min="15184" max="15184" width="1" style="121" customWidth="1"/>
    <col min="15185" max="15185" width="1.28515625" style="121" customWidth="1"/>
    <col min="15186" max="15360" width="6.85546875" style="121" customWidth="1"/>
    <col min="15361" max="15361" width="1.140625" style="121" customWidth="1"/>
    <col min="15362" max="15363" width="0.5703125" style="121" customWidth="1"/>
    <col min="15364" max="15364" width="3.42578125" style="121" customWidth="1"/>
    <col min="15365" max="15365" width="2.28515625" style="121" customWidth="1"/>
    <col min="15366" max="15367" width="1.140625" style="121" customWidth="1"/>
    <col min="15368" max="15369" width="3.42578125" style="121" customWidth="1"/>
    <col min="15370" max="15370" width="1.28515625" style="121" customWidth="1"/>
    <col min="15371" max="15371" width="2.140625" style="121" customWidth="1"/>
    <col min="15372" max="15372" width="1.140625" style="121" customWidth="1"/>
    <col min="15373" max="15373" width="2.28515625" style="121" customWidth="1"/>
    <col min="15374" max="15375" width="0.5703125" style="121" customWidth="1"/>
    <col min="15376" max="15376" width="1.140625" style="121" customWidth="1"/>
    <col min="15377" max="15377" width="0.7109375" style="121" customWidth="1"/>
    <col min="15378" max="15378" width="3.85546875" style="121" customWidth="1"/>
    <col min="15379" max="15379" width="4.5703125" style="121" customWidth="1"/>
    <col min="15380" max="15380" width="3" style="121" customWidth="1"/>
    <col min="15381" max="15381" width="2.7109375" style="121" customWidth="1"/>
    <col min="15382" max="15383" width="1.140625" style="121" customWidth="1"/>
    <col min="15384" max="15384" width="5.7109375" style="121" customWidth="1"/>
    <col min="15385" max="15385" width="1.140625" style="121" customWidth="1"/>
    <col min="15386" max="15386" width="0.7109375" style="121" customWidth="1"/>
    <col min="15387" max="15387" width="6.140625" style="121" customWidth="1"/>
    <col min="15388" max="15388" width="2.28515625" style="121" customWidth="1"/>
    <col min="15389" max="15389" width="1.140625" style="121" customWidth="1"/>
    <col min="15390" max="15390" width="2.42578125" style="121" customWidth="1"/>
    <col min="15391" max="15391" width="1" style="121" customWidth="1"/>
    <col min="15392" max="15393" width="1.140625" style="121" customWidth="1"/>
    <col min="15394" max="15394" width="3.85546875" style="121" customWidth="1"/>
    <col min="15395" max="15395" width="0.7109375" style="121" customWidth="1"/>
    <col min="15396" max="15396" width="1.140625" style="121" customWidth="1"/>
    <col min="15397" max="15397" width="1.5703125" style="121" customWidth="1"/>
    <col min="15398" max="15398" width="0.7109375" style="121" customWidth="1"/>
    <col min="15399" max="15399" width="1.140625" style="121" customWidth="1"/>
    <col min="15400" max="15400" width="3.5703125" style="121" customWidth="1"/>
    <col min="15401" max="15401" width="1" style="121" customWidth="1"/>
    <col min="15402" max="15402" width="3.42578125" style="121" customWidth="1"/>
    <col min="15403" max="15403" width="1.140625" style="121" customWidth="1"/>
    <col min="15404" max="15404" width="2.85546875" style="121" customWidth="1"/>
    <col min="15405" max="15405" width="0.5703125" style="121" customWidth="1"/>
    <col min="15406" max="15406" width="0.7109375" style="121" customWidth="1"/>
    <col min="15407" max="15407" width="1.5703125" style="121" customWidth="1"/>
    <col min="15408" max="15408" width="6.85546875" style="121" customWidth="1"/>
    <col min="15409" max="15409" width="1.140625" style="121" customWidth="1"/>
    <col min="15410" max="15411" width="0.5703125" style="121" customWidth="1"/>
    <col min="15412" max="15412" width="1.28515625" style="121" customWidth="1"/>
    <col min="15413" max="15413" width="1" style="121" customWidth="1"/>
    <col min="15414" max="15414" width="5.7109375" style="121" customWidth="1"/>
    <col min="15415" max="15416" width="0.5703125" style="121" customWidth="1"/>
    <col min="15417" max="15418" width="1.85546875" style="121" customWidth="1"/>
    <col min="15419" max="15419" width="3" style="121" customWidth="1"/>
    <col min="15420" max="15420" width="3.42578125" style="121" customWidth="1"/>
    <col min="15421" max="15421" width="1.140625" style="121" customWidth="1"/>
    <col min="15422" max="15422" width="3.42578125" style="121" customWidth="1"/>
    <col min="15423" max="15423" width="2.28515625" style="121" customWidth="1"/>
    <col min="15424" max="15424" width="1.7109375" style="121" customWidth="1"/>
    <col min="15425" max="15425" width="1" style="121" customWidth="1"/>
    <col min="15426" max="15426" width="0.7109375" style="121" customWidth="1"/>
    <col min="15427" max="15427" width="2.28515625" style="121" customWidth="1"/>
    <col min="15428" max="15428" width="1.140625" style="121" customWidth="1"/>
    <col min="15429" max="15429" width="2.28515625" style="121" customWidth="1"/>
    <col min="15430" max="15431" width="1.140625" style="121" customWidth="1"/>
    <col min="15432" max="15432" width="0.7109375" style="121" customWidth="1"/>
    <col min="15433" max="15433" width="2.85546875" style="121" customWidth="1"/>
    <col min="15434" max="15434" width="3.85546875" style="121" customWidth="1"/>
    <col min="15435" max="15437" width="0.5703125" style="121" customWidth="1"/>
    <col min="15438" max="15438" width="4.5703125" style="121" customWidth="1"/>
    <col min="15439" max="15439" width="1.140625" style="121" customWidth="1"/>
    <col min="15440" max="15440" width="1" style="121" customWidth="1"/>
    <col min="15441" max="15441" width="1.28515625" style="121" customWidth="1"/>
    <col min="15442" max="15616" width="6.85546875" style="121" customWidth="1"/>
    <col min="15617" max="15617" width="1.140625" style="121" customWidth="1"/>
    <col min="15618" max="15619" width="0.5703125" style="121" customWidth="1"/>
    <col min="15620" max="15620" width="3.42578125" style="121" customWidth="1"/>
    <col min="15621" max="15621" width="2.28515625" style="121" customWidth="1"/>
    <col min="15622" max="15623" width="1.140625" style="121" customWidth="1"/>
    <col min="15624" max="15625" width="3.42578125" style="121" customWidth="1"/>
    <col min="15626" max="15626" width="1.28515625" style="121" customWidth="1"/>
    <col min="15627" max="15627" width="2.140625" style="121" customWidth="1"/>
    <col min="15628" max="15628" width="1.140625" style="121" customWidth="1"/>
    <col min="15629" max="15629" width="2.28515625" style="121" customWidth="1"/>
    <col min="15630" max="15631" width="0.5703125" style="121" customWidth="1"/>
    <col min="15632" max="15632" width="1.140625" style="121" customWidth="1"/>
    <col min="15633" max="15633" width="0.7109375" style="121" customWidth="1"/>
    <col min="15634" max="15634" width="3.85546875" style="121" customWidth="1"/>
    <col min="15635" max="15635" width="4.5703125" style="121" customWidth="1"/>
    <col min="15636" max="15636" width="3" style="121" customWidth="1"/>
    <col min="15637" max="15637" width="2.7109375" style="121" customWidth="1"/>
    <col min="15638" max="15639" width="1.140625" style="121" customWidth="1"/>
    <col min="15640" max="15640" width="5.7109375" style="121" customWidth="1"/>
    <col min="15641" max="15641" width="1.140625" style="121" customWidth="1"/>
    <col min="15642" max="15642" width="0.7109375" style="121" customWidth="1"/>
    <col min="15643" max="15643" width="6.140625" style="121" customWidth="1"/>
    <col min="15644" max="15644" width="2.28515625" style="121" customWidth="1"/>
    <col min="15645" max="15645" width="1.140625" style="121" customWidth="1"/>
    <col min="15646" max="15646" width="2.42578125" style="121" customWidth="1"/>
    <col min="15647" max="15647" width="1" style="121" customWidth="1"/>
    <col min="15648" max="15649" width="1.140625" style="121" customWidth="1"/>
    <col min="15650" max="15650" width="3.85546875" style="121" customWidth="1"/>
    <col min="15651" max="15651" width="0.7109375" style="121" customWidth="1"/>
    <col min="15652" max="15652" width="1.140625" style="121" customWidth="1"/>
    <col min="15653" max="15653" width="1.5703125" style="121" customWidth="1"/>
    <col min="15654" max="15654" width="0.7109375" style="121" customWidth="1"/>
    <col min="15655" max="15655" width="1.140625" style="121" customWidth="1"/>
    <col min="15656" max="15656" width="3.5703125" style="121" customWidth="1"/>
    <col min="15657" max="15657" width="1" style="121" customWidth="1"/>
    <col min="15658" max="15658" width="3.42578125" style="121" customWidth="1"/>
    <col min="15659" max="15659" width="1.140625" style="121" customWidth="1"/>
    <col min="15660" max="15660" width="2.85546875" style="121" customWidth="1"/>
    <col min="15661" max="15661" width="0.5703125" style="121" customWidth="1"/>
    <col min="15662" max="15662" width="0.7109375" style="121" customWidth="1"/>
    <col min="15663" max="15663" width="1.5703125" style="121" customWidth="1"/>
    <col min="15664" max="15664" width="6.85546875" style="121" customWidth="1"/>
    <col min="15665" max="15665" width="1.140625" style="121" customWidth="1"/>
    <col min="15666" max="15667" width="0.5703125" style="121" customWidth="1"/>
    <col min="15668" max="15668" width="1.28515625" style="121" customWidth="1"/>
    <col min="15669" max="15669" width="1" style="121" customWidth="1"/>
    <col min="15670" max="15670" width="5.7109375" style="121" customWidth="1"/>
    <col min="15671" max="15672" width="0.5703125" style="121" customWidth="1"/>
    <col min="15673" max="15674" width="1.85546875" style="121" customWidth="1"/>
    <col min="15675" max="15675" width="3" style="121" customWidth="1"/>
    <col min="15676" max="15676" width="3.42578125" style="121" customWidth="1"/>
    <col min="15677" max="15677" width="1.140625" style="121" customWidth="1"/>
    <col min="15678" max="15678" width="3.42578125" style="121" customWidth="1"/>
    <col min="15679" max="15679" width="2.28515625" style="121" customWidth="1"/>
    <col min="15680" max="15680" width="1.7109375" style="121" customWidth="1"/>
    <col min="15681" max="15681" width="1" style="121" customWidth="1"/>
    <col min="15682" max="15682" width="0.7109375" style="121" customWidth="1"/>
    <col min="15683" max="15683" width="2.28515625" style="121" customWidth="1"/>
    <col min="15684" max="15684" width="1.140625" style="121" customWidth="1"/>
    <col min="15685" max="15685" width="2.28515625" style="121" customWidth="1"/>
    <col min="15686" max="15687" width="1.140625" style="121" customWidth="1"/>
    <col min="15688" max="15688" width="0.7109375" style="121" customWidth="1"/>
    <col min="15689" max="15689" width="2.85546875" style="121" customWidth="1"/>
    <col min="15690" max="15690" width="3.85546875" style="121" customWidth="1"/>
    <col min="15691" max="15693" width="0.5703125" style="121" customWidth="1"/>
    <col min="15694" max="15694" width="4.5703125" style="121" customWidth="1"/>
    <col min="15695" max="15695" width="1.140625" style="121" customWidth="1"/>
    <col min="15696" max="15696" width="1" style="121" customWidth="1"/>
    <col min="15697" max="15697" width="1.28515625" style="121" customWidth="1"/>
    <col min="15698" max="15872" width="6.85546875" style="121" customWidth="1"/>
    <col min="15873" max="15873" width="1.140625" style="121" customWidth="1"/>
    <col min="15874" max="15875" width="0.5703125" style="121" customWidth="1"/>
    <col min="15876" max="15876" width="3.42578125" style="121" customWidth="1"/>
    <col min="15877" max="15877" width="2.28515625" style="121" customWidth="1"/>
    <col min="15878" max="15879" width="1.140625" style="121" customWidth="1"/>
    <col min="15880" max="15881" width="3.42578125" style="121" customWidth="1"/>
    <col min="15882" max="15882" width="1.28515625" style="121" customWidth="1"/>
    <col min="15883" max="15883" width="2.140625" style="121" customWidth="1"/>
    <col min="15884" max="15884" width="1.140625" style="121" customWidth="1"/>
    <col min="15885" max="15885" width="2.28515625" style="121" customWidth="1"/>
    <col min="15886" max="15887" width="0.5703125" style="121" customWidth="1"/>
    <col min="15888" max="15888" width="1.140625" style="121" customWidth="1"/>
    <col min="15889" max="15889" width="0.7109375" style="121" customWidth="1"/>
    <col min="15890" max="15890" width="3.85546875" style="121" customWidth="1"/>
    <col min="15891" max="15891" width="4.5703125" style="121" customWidth="1"/>
    <col min="15892" max="15892" width="3" style="121" customWidth="1"/>
    <col min="15893" max="15893" width="2.7109375" style="121" customWidth="1"/>
    <col min="15894" max="15895" width="1.140625" style="121" customWidth="1"/>
    <col min="15896" max="15896" width="5.7109375" style="121" customWidth="1"/>
    <col min="15897" max="15897" width="1.140625" style="121" customWidth="1"/>
    <col min="15898" max="15898" width="0.7109375" style="121" customWidth="1"/>
    <col min="15899" max="15899" width="6.140625" style="121" customWidth="1"/>
    <col min="15900" max="15900" width="2.28515625" style="121" customWidth="1"/>
    <col min="15901" max="15901" width="1.140625" style="121" customWidth="1"/>
    <col min="15902" max="15902" width="2.42578125" style="121" customWidth="1"/>
    <col min="15903" max="15903" width="1" style="121" customWidth="1"/>
    <col min="15904" max="15905" width="1.140625" style="121" customWidth="1"/>
    <col min="15906" max="15906" width="3.85546875" style="121" customWidth="1"/>
    <col min="15907" max="15907" width="0.7109375" style="121" customWidth="1"/>
    <col min="15908" max="15908" width="1.140625" style="121" customWidth="1"/>
    <col min="15909" max="15909" width="1.5703125" style="121" customWidth="1"/>
    <col min="15910" max="15910" width="0.7109375" style="121" customWidth="1"/>
    <col min="15911" max="15911" width="1.140625" style="121" customWidth="1"/>
    <col min="15912" max="15912" width="3.5703125" style="121" customWidth="1"/>
    <col min="15913" max="15913" width="1" style="121" customWidth="1"/>
    <col min="15914" max="15914" width="3.42578125" style="121" customWidth="1"/>
    <col min="15915" max="15915" width="1.140625" style="121" customWidth="1"/>
    <col min="15916" max="15916" width="2.85546875" style="121" customWidth="1"/>
    <col min="15917" max="15917" width="0.5703125" style="121" customWidth="1"/>
    <col min="15918" max="15918" width="0.7109375" style="121" customWidth="1"/>
    <col min="15919" max="15919" width="1.5703125" style="121" customWidth="1"/>
    <col min="15920" max="15920" width="6.85546875" style="121" customWidth="1"/>
    <col min="15921" max="15921" width="1.140625" style="121" customWidth="1"/>
    <col min="15922" max="15923" width="0.5703125" style="121" customWidth="1"/>
    <col min="15924" max="15924" width="1.28515625" style="121" customWidth="1"/>
    <col min="15925" max="15925" width="1" style="121" customWidth="1"/>
    <col min="15926" max="15926" width="5.7109375" style="121" customWidth="1"/>
    <col min="15927" max="15928" width="0.5703125" style="121" customWidth="1"/>
    <col min="15929" max="15930" width="1.85546875" style="121" customWidth="1"/>
    <col min="15931" max="15931" width="3" style="121" customWidth="1"/>
    <col min="15932" max="15932" width="3.42578125" style="121" customWidth="1"/>
    <col min="15933" max="15933" width="1.140625" style="121" customWidth="1"/>
    <col min="15934" max="15934" width="3.42578125" style="121" customWidth="1"/>
    <col min="15935" max="15935" width="2.28515625" style="121" customWidth="1"/>
    <col min="15936" max="15936" width="1.7109375" style="121" customWidth="1"/>
    <col min="15937" max="15937" width="1" style="121" customWidth="1"/>
    <col min="15938" max="15938" width="0.7109375" style="121" customWidth="1"/>
    <col min="15939" max="15939" width="2.28515625" style="121" customWidth="1"/>
    <col min="15940" max="15940" width="1.140625" style="121" customWidth="1"/>
    <col min="15941" max="15941" width="2.28515625" style="121" customWidth="1"/>
    <col min="15942" max="15943" width="1.140625" style="121" customWidth="1"/>
    <col min="15944" max="15944" width="0.7109375" style="121" customWidth="1"/>
    <col min="15945" max="15945" width="2.85546875" style="121" customWidth="1"/>
    <col min="15946" max="15946" width="3.85546875" style="121" customWidth="1"/>
    <col min="15947" max="15949" width="0.5703125" style="121" customWidth="1"/>
    <col min="15950" max="15950" width="4.5703125" style="121" customWidth="1"/>
    <col min="15951" max="15951" width="1.140625" style="121" customWidth="1"/>
    <col min="15952" max="15952" width="1" style="121" customWidth="1"/>
    <col min="15953" max="15953" width="1.28515625" style="121" customWidth="1"/>
    <col min="15954" max="16128" width="6.85546875" style="121" customWidth="1"/>
    <col min="16129" max="16129" width="1.140625" style="121" customWidth="1"/>
    <col min="16130" max="16131" width="0.5703125" style="121" customWidth="1"/>
    <col min="16132" max="16132" width="3.42578125" style="121" customWidth="1"/>
    <col min="16133" max="16133" width="2.28515625" style="121" customWidth="1"/>
    <col min="16134" max="16135" width="1.140625" style="121" customWidth="1"/>
    <col min="16136" max="16137" width="3.42578125" style="121" customWidth="1"/>
    <col min="16138" max="16138" width="1.28515625" style="121" customWidth="1"/>
    <col min="16139" max="16139" width="2.140625" style="121" customWidth="1"/>
    <col min="16140" max="16140" width="1.140625" style="121" customWidth="1"/>
    <col min="16141" max="16141" width="2.28515625" style="121" customWidth="1"/>
    <col min="16142" max="16143" width="0.5703125" style="121" customWidth="1"/>
    <col min="16144" max="16144" width="1.140625" style="121" customWidth="1"/>
    <col min="16145" max="16145" width="0.7109375" style="121" customWidth="1"/>
    <col min="16146" max="16146" width="3.85546875" style="121" customWidth="1"/>
    <col min="16147" max="16147" width="4.5703125" style="121" customWidth="1"/>
    <col min="16148" max="16148" width="3" style="121" customWidth="1"/>
    <col min="16149" max="16149" width="2.7109375" style="121" customWidth="1"/>
    <col min="16150" max="16151" width="1.140625" style="121" customWidth="1"/>
    <col min="16152" max="16152" width="5.7109375" style="121" customWidth="1"/>
    <col min="16153" max="16153" width="1.140625" style="121" customWidth="1"/>
    <col min="16154" max="16154" width="0.7109375" style="121" customWidth="1"/>
    <col min="16155" max="16155" width="6.140625" style="121" customWidth="1"/>
    <col min="16156" max="16156" width="2.28515625" style="121" customWidth="1"/>
    <col min="16157" max="16157" width="1.140625" style="121" customWidth="1"/>
    <col min="16158" max="16158" width="2.42578125" style="121" customWidth="1"/>
    <col min="16159" max="16159" width="1" style="121" customWidth="1"/>
    <col min="16160" max="16161" width="1.140625" style="121" customWidth="1"/>
    <col min="16162" max="16162" width="3.85546875" style="121" customWidth="1"/>
    <col min="16163" max="16163" width="0.7109375" style="121" customWidth="1"/>
    <col min="16164" max="16164" width="1.140625" style="121" customWidth="1"/>
    <col min="16165" max="16165" width="1.5703125" style="121" customWidth="1"/>
    <col min="16166" max="16166" width="0.7109375" style="121" customWidth="1"/>
    <col min="16167" max="16167" width="1.140625" style="121" customWidth="1"/>
    <col min="16168" max="16168" width="3.5703125" style="121" customWidth="1"/>
    <col min="16169" max="16169" width="1" style="121" customWidth="1"/>
    <col min="16170" max="16170" width="3.42578125" style="121" customWidth="1"/>
    <col min="16171" max="16171" width="1.140625" style="121" customWidth="1"/>
    <col min="16172" max="16172" width="2.85546875" style="121" customWidth="1"/>
    <col min="16173" max="16173" width="0.5703125" style="121" customWidth="1"/>
    <col min="16174" max="16174" width="0.7109375" style="121" customWidth="1"/>
    <col min="16175" max="16175" width="1.5703125" style="121" customWidth="1"/>
    <col min="16176" max="16176" width="6.85546875" style="121" customWidth="1"/>
    <col min="16177" max="16177" width="1.140625" style="121" customWidth="1"/>
    <col min="16178" max="16179" width="0.5703125" style="121" customWidth="1"/>
    <col min="16180" max="16180" width="1.28515625" style="121" customWidth="1"/>
    <col min="16181" max="16181" width="1" style="121" customWidth="1"/>
    <col min="16182" max="16182" width="5.7109375" style="121" customWidth="1"/>
    <col min="16183" max="16184" width="0.5703125" style="121" customWidth="1"/>
    <col min="16185" max="16186" width="1.85546875" style="121" customWidth="1"/>
    <col min="16187" max="16187" width="3" style="121" customWidth="1"/>
    <col min="16188" max="16188" width="3.42578125" style="121" customWidth="1"/>
    <col min="16189" max="16189" width="1.140625" style="121" customWidth="1"/>
    <col min="16190" max="16190" width="3.42578125" style="121" customWidth="1"/>
    <col min="16191" max="16191" width="2.28515625" style="121" customWidth="1"/>
    <col min="16192" max="16192" width="1.7109375" style="121" customWidth="1"/>
    <col min="16193" max="16193" width="1" style="121" customWidth="1"/>
    <col min="16194" max="16194" width="0.7109375" style="121" customWidth="1"/>
    <col min="16195" max="16195" width="2.28515625" style="121" customWidth="1"/>
    <col min="16196" max="16196" width="1.140625" style="121" customWidth="1"/>
    <col min="16197" max="16197" width="2.28515625" style="121" customWidth="1"/>
    <col min="16198" max="16199" width="1.140625" style="121" customWidth="1"/>
    <col min="16200" max="16200" width="0.7109375" style="121" customWidth="1"/>
    <col min="16201" max="16201" width="2.85546875" style="121" customWidth="1"/>
    <col min="16202" max="16202" width="3.85546875" style="121" customWidth="1"/>
    <col min="16203" max="16205" width="0.5703125" style="121" customWidth="1"/>
    <col min="16206" max="16206" width="4.5703125" style="121" customWidth="1"/>
    <col min="16207" max="16207" width="1.140625" style="121" customWidth="1"/>
    <col min="16208" max="16208" width="1" style="121" customWidth="1"/>
    <col min="16209" max="16209" width="1.28515625" style="121" customWidth="1"/>
    <col min="16210" max="16384" width="6.85546875" style="121" customWidth="1"/>
  </cols>
  <sheetData>
    <row r="1" spans="2:83" ht="15" x14ac:dyDescent="0.25">
      <c r="B1" s="256"/>
      <c r="C1" s="256"/>
      <c r="D1" s="256"/>
      <c r="E1" s="256"/>
      <c r="F1" s="256"/>
      <c r="G1" s="256"/>
      <c r="H1" s="256"/>
      <c r="I1" s="256"/>
      <c r="J1" s="256"/>
      <c r="K1" s="257" t="s">
        <v>215</v>
      </c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257"/>
      <c r="BO1" s="257"/>
    </row>
    <row r="2" spans="2:83" ht="14.25" customHeight="1" x14ac:dyDescent="0.25"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</row>
    <row r="3" spans="2:83" ht="57" customHeight="1" x14ac:dyDescent="0.25"/>
    <row r="4" spans="2:83" ht="6" customHeight="1" x14ac:dyDescent="0.25"/>
    <row r="5" spans="2:83" ht="20.25" customHeight="1" x14ac:dyDescent="0.25">
      <c r="AA5" s="258" t="s">
        <v>216</v>
      </c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</row>
    <row r="6" spans="2:83" ht="6" customHeight="1" x14ac:dyDescent="0.25"/>
    <row r="7" spans="2:83" ht="20.25" customHeight="1" x14ac:dyDescent="0.25">
      <c r="T7" s="259" t="s">
        <v>217</v>
      </c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</row>
    <row r="8" spans="2:83" ht="6" customHeight="1" x14ac:dyDescent="0.25"/>
    <row r="9" spans="2:83" ht="20.25" customHeight="1" x14ac:dyDescent="0.25">
      <c r="X9" s="259" t="s">
        <v>218</v>
      </c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259"/>
      <c r="AW9" s="259"/>
      <c r="AX9" s="259"/>
      <c r="AY9" s="259"/>
      <c r="AZ9" s="259"/>
      <c r="BA9" s="259"/>
      <c r="BB9" s="259"/>
      <c r="BC9" s="259"/>
      <c r="BD9" s="259"/>
      <c r="BE9" s="259"/>
      <c r="BF9" s="259"/>
      <c r="BG9" s="259"/>
      <c r="BH9" s="259"/>
      <c r="BI9" s="259"/>
      <c r="BJ9" s="259"/>
      <c r="BK9" s="259"/>
      <c r="BL9" s="259"/>
      <c r="BM9" s="259"/>
      <c r="BN9" s="259"/>
      <c r="BO9" s="259"/>
    </row>
    <row r="10" spans="2:83" ht="6" customHeight="1" x14ac:dyDescent="0.25"/>
    <row r="11" spans="2:83" ht="20.25" customHeight="1" x14ac:dyDescent="0.25">
      <c r="AB11" s="259" t="s">
        <v>219</v>
      </c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59"/>
      <c r="AW11" s="259"/>
      <c r="AX11" s="259"/>
      <c r="AY11" s="259"/>
      <c r="AZ11" s="259"/>
      <c r="BA11" s="259"/>
      <c r="BB11" s="259"/>
      <c r="BC11" s="259"/>
      <c r="BD11" s="259"/>
      <c r="BE11" s="259"/>
      <c r="BF11" s="259"/>
      <c r="BG11" s="259"/>
      <c r="BH11" s="259"/>
    </row>
    <row r="12" spans="2:83" ht="6" customHeight="1" x14ac:dyDescent="0.25"/>
    <row r="13" spans="2:83" ht="20.25" customHeight="1" x14ac:dyDescent="0.25">
      <c r="AB13" s="253" t="s">
        <v>220</v>
      </c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</row>
    <row r="14" spans="2:83" ht="18" customHeight="1" x14ac:dyDescent="0.25"/>
    <row r="15" spans="2:83" ht="16.5" customHeight="1" x14ac:dyDescent="0.25">
      <c r="B15" s="254" t="s">
        <v>221</v>
      </c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5" t="s">
        <v>222</v>
      </c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4" t="s">
        <v>223</v>
      </c>
      <c r="AE15" s="254"/>
      <c r="AF15" s="254"/>
      <c r="AG15" s="254"/>
      <c r="AH15" s="254"/>
      <c r="AI15" s="254"/>
      <c r="AJ15" s="254"/>
      <c r="AK15" s="254"/>
      <c r="AL15" s="254"/>
      <c r="AM15" s="254"/>
      <c r="AN15" s="255" t="s">
        <v>222</v>
      </c>
      <c r="AO15" s="255"/>
      <c r="AP15" s="255"/>
      <c r="AQ15" s="255"/>
      <c r="AR15" s="255"/>
      <c r="AS15" s="255"/>
      <c r="AT15" s="255"/>
      <c r="AU15" s="255"/>
      <c r="AV15" s="255"/>
      <c r="AW15" s="255"/>
      <c r="AX15" s="255"/>
      <c r="AY15" s="255"/>
      <c r="AZ15" s="255"/>
      <c r="BA15" s="255"/>
      <c r="BB15" s="255"/>
      <c r="BC15" s="255"/>
      <c r="BD15" s="255"/>
      <c r="BE15" s="255"/>
      <c r="BF15" s="255"/>
      <c r="BG15" s="255"/>
      <c r="BH15" s="255"/>
      <c r="BI15" s="255"/>
      <c r="BJ15" s="255"/>
      <c r="BK15" s="255"/>
      <c r="BL15" s="255"/>
      <c r="BM15" s="254" t="s">
        <v>224</v>
      </c>
      <c r="BN15" s="254"/>
      <c r="BO15" s="254"/>
      <c r="BP15" s="254"/>
      <c r="BQ15" s="254"/>
      <c r="BR15" s="254"/>
      <c r="BS15" s="254"/>
      <c r="BT15" s="254"/>
      <c r="BU15" s="254"/>
      <c r="BV15" s="254"/>
      <c r="BW15" s="264" t="s">
        <v>287</v>
      </c>
      <c r="BX15" s="264"/>
      <c r="BY15" s="264"/>
      <c r="BZ15" s="264"/>
      <c r="CA15" s="264"/>
      <c r="CB15" s="264"/>
      <c r="CC15" s="264"/>
      <c r="CD15" s="264"/>
      <c r="CE15" s="264"/>
    </row>
    <row r="16" spans="2:83" ht="3.75" customHeight="1" x14ac:dyDescent="0.25">
      <c r="S16" s="255"/>
      <c r="T16" s="255"/>
      <c r="U16" s="255"/>
      <c r="V16" s="255"/>
      <c r="W16" s="255"/>
      <c r="X16" s="255"/>
      <c r="Y16" s="255"/>
      <c r="Z16" s="255"/>
      <c r="AA16" s="255"/>
      <c r="AB16" s="255"/>
      <c r="AC16" s="255"/>
      <c r="AN16" s="255"/>
      <c r="AO16" s="255"/>
      <c r="AP16" s="255"/>
      <c r="AQ16" s="255"/>
      <c r="AR16" s="255"/>
      <c r="AS16" s="255"/>
      <c r="AT16" s="255"/>
      <c r="AU16" s="255"/>
      <c r="AV16" s="255"/>
      <c r="AW16" s="255"/>
      <c r="AX16" s="255"/>
      <c r="AY16" s="255"/>
      <c r="AZ16" s="255"/>
      <c r="BA16" s="255"/>
      <c r="BB16" s="255"/>
      <c r="BC16" s="255"/>
      <c r="BD16" s="255"/>
      <c r="BE16" s="255"/>
      <c r="BF16" s="255"/>
      <c r="BG16" s="255"/>
      <c r="BH16" s="255"/>
      <c r="BI16" s="255"/>
      <c r="BJ16" s="255"/>
      <c r="BK16" s="255"/>
      <c r="BL16" s="255"/>
    </row>
    <row r="17" spans="4:80" ht="6" customHeight="1" x14ac:dyDescent="0.25"/>
    <row r="18" spans="4:80" s="122" customFormat="1" ht="12" customHeight="1" x14ac:dyDescent="0.25"/>
    <row r="19" spans="4:80" s="122" customFormat="1" ht="12" customHeight="1" x14ac:dyDescent="0.25">
      <c r="D19" s="265" t="s">
        <v>225</v>
      </c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BB19" s="265" t="s">
        <v>226</v>
      </c>
      <c r="BC19" s="265"/>
      <c r="BD19" s="265"/>
      <c r="BE19" s="265"/>
      <c r="BF19" s="265"/>
      <c r="BG19" s="265"/>
      <c r="BH19" s="265"/>
      <c r="BI19" s="265"/>
      <c r="BJ19" s="265"/>
      <c r="BK19" s="265"/>
      <c r="BL19" s="265"/>
      <c r="BM19" s="265"/>
      <c r="BN19" s="265"/>
      <c r="BO19" s="265"/>
      <c r="BP19" s="265"/>
      <c r="BQ19" s="265"/>
      <c r="BR19" s="265"/>
      <c r="BS19" s="265"/>
      <c r="BT19" s="265"/>
      <c r="BU19" s="265"/>
      <c r="BV19" s="265"/>
    </row>
    <row r="20" spans="4:80" s="122" customFormat="1" ht="8.25" customHeight="1" x14ac:dyDescent="0.25"/>
    <row r="21" spans="4:80" s="122" customFormat="1" ht="14.25" customHeight="1" x14ac:dyDescent="0.25">
      <c r="D21" s="266" t="s">
        <v>227</v>
      </c>
      <c r="E21" s="266"/>
      <c r="F21" s="266"/>
      <c r="G21" s="266"/>
      <c r="H21" s="266"/>
      <c r="R21" s="266" t="s">
        <v>228</v>
      </c>
      <c r="S21" s="266"/>
      <c r="T21" s="266"/>
      <c r="AA21" s="266" t="s">
        <v>229</v>
      </c>
      <c r="AB21" s="266"/>
      <c r="AC21" s="266"/>
      <c r="AD21" s="266"/>
      <c r="AE21" s="266"/>
      <c r="AG21" s="266" t="s">
        <v>2</v>
      </c>
      <c r="AH21" s="266"/>
      <c r="AI21" s="266"/>
      <c r="AK21" s="266" t="s">
        <v>230</v>
      </c>
      <c r="AL21" s="266"/>
      <c r="AM21" s="266"/>
      <c r="AN21" s="266"/>
      <c r="AO21" s="266"/>
      <c r="AP21" s="266" t="s">
        <v>231</v>
      </c>
      <c r="AQ21" s="266"/>
      <c r="AR21" s="266"/>
      <c r="AV21" s="123" t="s">
        <v>129</v>
      </c>
      <c r="AY21" s="266" t="s">
        <v>232</v>
      </c>
      <c r="AZ21" s="266"/>
      <c r="BA21" s="266"/>
      <c r="BB21" s="266"/>
      <c r="BC21" s="266"/>
      <c r="BD21" s="266"/>
      <c r="BE21" s="266"/>
      <c r="BG21" s="266" t="s">
        <v>233</v>
      </c>
      <c r="BH21" s="266"/>
      <c r="BJ21" s="266" t="s">
        <v>2</v>
      </c>
      <c r="BK21" s="266"/>
      <c r="BL21" s="266"/>
      <c r="BM21" s="266"/>
      <c r="BN21" s="266"/>
      <c r="BO21" s="266" t="s">
        <v>231</v>
      </c>
      <c r="BP21" s="266"/>
      <c r="BQ21" s="266"/>
      <c r="BR21" s="266"/>
      <c r="BS21" s="266"/>
      <c r="BU21" s="266" t="s">
        <v>129</v>
      </c>
      <c r="BV21" s="266"/>
      <c r="BW21" s="266"/>
      <c r="BX21" s="266"/>
      <c r="BY21" s="266" t="s">
        <v>234</v>
      </c>
      <c r="BZ21" s="266"/>
      <c r="CA21" s="266"/>
      <c r="CB21" s="266"/>
    </row>
    <row r="22" spans="4:80" s="122" customFormat="1" ht="15.75" customHeight="1" x14ac:dyDescent="0.25"/>
    <row r="23" spans="4:80" s="122" customFormat="1" ht="0.75" customHeight="1" x14ac:dyDescent="0.25"/>
    <row r="24" spans="4:80" ht="15" x14ac:dyDescent="0.25">
      <c r="D24" s="261" t="s">
        <v>235</v>
      </c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R24" s="267" t="s">
        <v>288</v>
      </c>
      <c r="S24" s="267"/>
      <c r="T24" s="267"/>
      <c r="U24" s="267"/>
      <c r="V24" s="267"/>
      <c r="W24" s="267"/>
      <c r="X24" s="267"/>
      <c r="AF24" s="268">
        <v>2500</v>
      </c>
      <c r="AG24" s="268"/>
      <c r="AH24" s="268"/>
      <c r="AI24" s="268"/>
      <c r="AK24" s="263">
        <v>0</v>
      </c>
      <c r="AL24" s="263"/>
      <c r="AM24" s="263"/>
      <c r="AN24" s="263"/>
      <c r="AP24" s="268">
        <v>1</v>
      </c>
      <c r="AQ24" s="268"/>
      <c r="AR24" s="268"/>
      <c r="AU24" s="260">
        <v>2501</v>
      </c>
      <c r="AV24" s="260"/>
      <c r="AZ24" s="261" t="s">
        <v>289</v>
      </c>
      <c r="BA24" s="261"/>
      <c r="BB24" s="261"/>
      <c r="BC24" s="261"/>
      <c r="BE24" s="262">
        <v>42927</v>
      </c>
      <c r="BF24" s="262"/>
      <c r="BG24" s="262"/>
      <c r="BH24" s="262"/>
      <c r="BJ24" s="263">
        <v>3000</v>
      </c>
      <c r="BK24" s="263"/>
      <c r="BL24" s="263"/>
      <c r="BO24" s="263">
        <v>0</v>
      </c>
      <c r="BP24" s="263"/>
      <c r="BQ24" s="263"/>
      <c r="BR24" s="263"/>
      <c r="BU24" s="260">
        <v>3000</v>
      </c>
      <c r="BV24" s="260"/>
      <c r="BW24" s="260"/>
      <c r="BZ24" s="263">
        <v>-499</v>
      </c>
      <c r="CA24" s="263"/>
    </row>
    <row r="25" spans="4:80" ht="0.75" customHeight="1" x14ac:dyDescent="0.25"/>
    <row r="26" spans="4:80" ht="1.5" customHeight="1" x14ac:dyDescent="0.25"/>
    <row r="27" spans="4:80" ht="15" x14ac:dyDescent="0.25">
      <c r="D27" s="261" t="s">
        <v>236</v>
      </c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R27" s="267" t="s">
        <v>52</v>
      </c>
      <c r="S27" s="267"/>
      <c r="T27" s="267"/>
      <c r="U27" s="267"/>
      <c r="V27" s="267"/>
      <c r="W27" s="267"/>
      <c r="X27" s="267"/>
      <c r="AA27" s="261" t="s">
        <v>237</v>
      </c>
      <c r="AB27" s="261"/>
      <c r="AC27" s="261"/>
      <c r="AD27" s="261"/>
      <c r="AF27" s="268">
        <v>3000</v>
      </c>
      <c r="AG27" s="268"/>
      <c r="AH27" s="268"/>
      <c r="AI27" s="268"/>
      <c r="AK27" s="263">
        <v>0</v>
      </c>
      <c r="AL27" s="263"/>
      <c r="AM27" s="263"/>
      <c r="AN27" s="263"/>
      <c r="AP27" s="268">
        <v>1</v>
      </c>
      <c r="AQ27" s="268"/>
      <c r="AR27" s="268"/>
      <c r="AU27" s="260">
        <v>3001</v>
      </c>
      <c r="AV27" s="260"/>
      <c r="AZ27" s="261" t="s">
        <v>290</v>
      </c>
      <c r="BA27" s="261"/>
      <c r="BB27" s="261"/>
      <c r="BC27" s="261"/>
      <c r="BE27" s="262">
        <v>42927</v>
      </c>
      <c r="BF27" s="262"/>
      <c r="BG27" s="262"/>
      <c r="BH27" s="262"/>
      <c r="BJ27" s="263">
        <v>3000</v>
      </c>
      <c r="BK27" s="263"/>
      <c r="BL27" s="263"/>
      <c r="BO27" s="263">
        <v>100</v>
      </c>
      <c r="BP27" s="263"/>
      <c r="BQ27" s="263"/>
      <c r="BR27" s="263"/>
      <c r="BU27" s="260">
        <v>3100</v>
      </c>
      <c r="BV27" s="260"/>
      <c r="BW27" s="260"/>
      <c r="BZ27" s="263">
        <v>-99</v>
      </c>
      <c r="CA27" s="263"/>
    </row>
    <row r="28" spans="4:80" ht="0.75" customHeight="1" x14ac:dyDescent="0.25"/>
    <row r="29" spans="4:80" ht="0.75" customHeight="1" x14ac:dyDescent="0.25"/>
    <row r="30" spans="4:80" ht="15" x14ac:dyDescent="0.25">
      <c r="D30" s="261" t="s">
        <v>238</v>
      </c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R30" s="267" t="s">
        <v>239</v>
      </c>
      <c r="S30" s="267"/>
      <c r="T30" s="267"/>
      <c r="U30" s="267"/>
      <c r="V30" s="267"/>
      <c r="W30" s="267"/>
      <c r="X30" s="267"/>
      <c r="AF30" s="268">
        <v>3000</v>
      </c>
      <c r="AG30" s="268"/>
      <c r="AH30" s="268"/>
      <c r="AI30" s="268"/>
      <c r="AK30" s="263">
        <v>0</v>
      </c>
      <c r="AL30" s="263"/>
      <c r="AM30" s="263"/>
      <c r="AN30" s="263"/>
      <c r="AP30" s="268">
        <v>1</v>
      </c>
      <c r="AQ30" s="268"/>
      <c r="AR30" s="268"/>
      <c r="AU30" s="260">
        <v>3001</v>
      </c>
      <c r="AV30" s="260"/>
      <c r="AZ30" s="261" t="s">
        <v>291</v>
      </c>
      <c r="BA30" s="261"/>
      <c r="BB30" s="261"/>
      <c r="BC30" s="261"/>
      <c r="BE30" s="262">
        <v>42919.022418981483</v>
      </c>
      <c r="BF30" s="262"/>
      <c r="BG30" s="262"/>
      <c r="BH30" s="262"/>
      <c r="BJ30" s="263">
        <v>3000</v>
      </c>
      <c r="BK30" s="263"/>
      <c r="BL30" s="263"/>
      <c r="BO30" s="263">
        <v>300</v>
      </c>
      <c r="BP30" s="263"/>
      <c r="BQ30" s="263"/>
      <c r="BR30" s="263"/>
      <c r="BU30" s="260">
        <v>3300</v>
      </c>
      <c r="BV30" s="260"/>
      <c r="BW30" s="260"/>
      <c r="BZ30" s="263">
        <v>-299</v>
      </c>
      <c r="CA30" s="263"/>
    </row>
    <row r="31" spans="4:80" ht="0.75" customHeight="1" x14ac:dyDescent="0.25"/>
    <row r="32" spans="4:80" ht="0.75" customHeight="1" x14ac:dyDescent="0.25"/>
    <row r="33" spans="4:79" ht="15" x14ac:dyDescent="0.25">
      <c r="D33" s="261" t="s">
        <v>240</v>
      </c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R33" s="267" t="s">
        <v>241</v>
      </c>
      <c r="S33" s="267"/>
      <c r="T33" s="267"/>
      <c r="U33" s="267"/>
      <c r="V33" s="267"/>
      <c r="W33" s="267"/>
      <c r="X33" s="267"/>
      <c r="AF33" s="268">
        <v>3000</v>
      </c>
      <c r="AG33" s="268"/>
      <c r="AH33" s="268"/>
      <c r="AI33" s="268"/>
      <c r="AK33" s="263">
        <v>0</v>
      </c>
      <c r="AL33" s="263"/>
      <c r="AM33" s="263"/>
      <c r="AN33" s="263"/>
      <c r="AP33" s="268">
        <v>1</v>
      </c>
      <c r="AQ33" s="268"/>
      <c r="AR33" s="268"/>
      <c r="AU33" s="260">
        <v>3001</v>
      </c>
      <c r="AV33" s="260"/>
      <c r="BZ33" s="263">
        <v>3001</v>
      </c>
      <c r="CA33" s="263"/>
    </row>
    <row r="34" spans="4:79" ht="0.75" customHeight="1" x14ac:dyDescent="0.25"/>
    <row r="35" spans="4:79" ht="0.75" customHeight="1" x14ac:dyDescent="0.25"/>
    <row r="36" spans="4:79" ht="15" x14ac:dyDescent="0.25">
      <c r="D36" s="261" t="s">
        <v>242</v>
      </c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R36" s="267" t="s">
        <v>243</v>
      </c>
      <c r="S36" s="267"/>
      <c r="T36" s="267"/>
      <c r="U36" s="267"/>
      <c r="V36" s="267"/>
      <c r="W36" s="267"/>
      <c r="X36" s="267"/>
      <c r="AF36" s="268">
        <v>2500</v>
      </c>
      <c r="AG36" s="268"/>
      <c r="AH36" s="268"/>
      <c r="AI36" s="268"/>
      <c r="AK36" s="263">
        <v>0</v>
      </c>
      <c r="AL36" s="263"/>
      <c r="AM36" s="263"/>
      <c r="AN36" s="263"/>
      <c r="AP36" s="268">
        <v>1</v>
      </c>
      <c r="AQ36" s="268"/>
      <c r="AR36" s="268"/>
      <c r="AU36" s="260">
        <v>2501</v>
      </c>
      <c r="AV36" s="260"/>
      <c r="AZ36" s="261" t="s">
        <v>292</v>
      </c>
      <c r="BA36" s="261"/>
      <c r="BB36" s="261"/>
      <c r="BC36" s="261"/>
      <c r="BE36" s="262">
        <v>42928.415671296294</v>
      </c>
      <c r="BF36" s="262"/>
      <c r="BG36" s="262"/>
      <c r="BH36" s="262"/>
      <c r="BJ36" s="263">
        <v>3000</v>
      </c>
      <c r="BK36" s="263"/>
      <c r="BL36" s="263"/>
      <c r="BO36" s="263">
        <v>0</v>
      </c>
      <c r="BP36" s="263"/>
      <c r="BQ36" s="263"/>
      <c r="BR36" s="263"/>
      <c r="BU36" s="260">
        <v>3000</v>
      </c>
      <c r="BV36" s="260"/>
      <c r="BW36" s="260"/>
      <c r="BZ36" s="263">
        <v>-499</v>
      </c>
      <c r="CA36" s="263"/>
    </row>
    <row r="37" spans="4:79" ht="0.75" customHeight="1" x14ac:dyDescent="0.25"/>
    <row r="38" spans="4:79" ht="0.75" customHeight="1" x14ac:dyDescent="0.25"/>
    <row r="39" spans="4:79" ht="15" x14ac:dyDescent="0.25">
      <c r="D39" s="261" t="s">
        <v>244</v>
      </c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R39" s="267" t="s">
        <v>245</v>
      </c>
      <c r="S39" s="267"/>
      <c r="T39" s="267"/>
      <c r="U39" s="267"/>
      <c r="V39" s="267"/>
      <c r="W39" s="267"/>
      <c r="X39" s="267"/>
      <c r="AF39" s="268">
        <v>7000</v>
      </c>
      <c r="AG39" s="268"/>
      <c r="AH39" s="268"/>
      <c r="AI39" s="268"/>
      <c r="AK39" s="263">
        <v>0</v>
      </c>
      <c r="AL39" s="263"/>
      <c r="AM39" s="263"/>
      <c r="AN39" s="263"/>
      <c r="AP39" s="268">
        <v>1</v>
      </c>
      <c r="AQ39" s="268"/>
      <c r="AR39" s="268"/>
      <c r="AU39" s="260">
        <v>7001</v>
      </c>
      <c r="AV39" s="260"/>
      <c r="BZ39" s="263">
        <v>7001</v>
      </c>
      <c r="CA39" s="263"/>
    </row>
    <row r="40" spans="4:79" ht="0.75" customHeight="1" x14ac:dyDescent="0.25"/>
    <row r="41" spans="4:79" ht="0.75" customHeight="1" x14ac:dyDescent="0.25"/>
    <row r="42" spans="4:79" ht="15" x14ac:dyDescent="0.25">
      <c r="D42" s="261" t="s">
        <v>246</v>
      </c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R42" s="267" t="s">
        <v>247</v>
      </c>
      <c r="S42" s="267"/>
      <c r="T42" s="267"/>
      <c r="U42" s="267"/>
      <c r="V42" s="267"/>
      <c r="W42" s="267"/>
      <c r="X42" s="267"/>
      <c r="AF42" s="268">
        <v>4500</v>
      </c>
      <c r="AG42" s="268"/>
      <c r="AH42" s="268"/>
      <c r="AI42" s="268"/>
      <c r="AK42" s="263">
        <v>0</v>
      </c>
      <c r="AL42" s="263"/>
      <c r="AM42" s="263"/>
      <c r="AN42" s="263"/>
      <c r="AP42" s="268">
        <v>1</v>
      </c>
      <c r="AQ42" s="268"/>
      <c r="AR42" s="268"/>
      <c r="AU42" s="260">
        <v>4501</v>
      </c>
      <c r="AV42" s="260"/>
      <c r="BZ42" s="263">
        <v>4501</v>
      </c>
      <c r="CA42" s="263"/>
    </row>
    <row r="43" spans="4:79" ht="0.75" customHeight="1" x14ac:dyDescent="0.25"/>
    <row r="44" spans="4:79" ht="0.75" customHeight="1" x14ac:dyDescent="0.25"/>
    <row r="45" spans="4:79" ht="15" x14ac:dyDescent="0.25">
      <c r="D45" s="261" t="s">
        <v>248</v>
      </c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R45" s="267" t="s">
        <v>249</v>
      </c>
      <c r="S45" s="267"/>
      <c r="T45" s="267"/>
      <c r="U45" s="267"/>
      <c r="V45" s="267"/>
      <c r="W45" s="267"/>
      <c r="X45" s="267"/>
      <c r="AF45" s="268">
        <v>2600</v>
      </c>
      <c r="AG45" s="268"/>
      <c r="AH45" s="268"/>
      <c r="AI45" s="268"/>
      <c r="AK45" s="263">
        <v>0</v>
      </c>
      <c r="AL45" s="263"/>
      <c r="AM45" s="263"/>
      <c r="AN45" s="263"/>
      <c r="AP45" s="268">
        <v>1</v>
      </c>
      <c r="AQ45" s="268"/>
      <c r="AR45" s="268"/>
      <c r="AU45" s="260">
        <v>2601</v>
      </c>
      <c r="AV45" s="260"/>
      <c r="AZ45" s="261" t="s">
        <v>293</v>
      </c>
      <c r="BA45" s="261"/>
      <c r="BB45" s="261"/>
      <c r="BC45" s="261"/>
      <c r="BE45" s="262">
        <v>42928.415671296294</v>
      </c>
      <c r="BF45" s="262"/>
      <c r="BG45" s="262"/>
      <c r="BH45" s="262"/>
      <c r="BJ45" s="263">
        <v>3000</v>
      </c>
      <c r="BK45" s="263"/>
      <c r="BL45" s="263"/>
      <c r="BO45" s="263">
        <v>0</v>
      </c>
      <c r="BP45" s="263"/>
      <c r="BQ45" s="263"/>
      <c r="BR45" s="263"/>
      <c r="BU45" s="260">
        <v>3000</v>
      </c>
      <c r="BV45" s="260"/>
      <c r="BW45" s="260"/>
      <c r="BZ45" s="263">
        <v>-399</v>
      </c>
      <c r="CA45" s="263"/>
    </row>
    <row r="46" spans="4:79" ht="0.75" customHeight="1" x14ac:dyDescent="0.25"/>
    <row r="47" spans="4:79" ht="0.75" customHeight="1" x14ac:dyDescent="0.25"/>
    <row r="48" spans="4:79" ht="15" x14ac:dyDescent="0.25">
      <c r="D48" s="261" t="s">
        <v>250</v>
      </c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R48" s="267" t="s">
        <v>251</v>
      </c>
      <c r="S48" s="267"/>
      <c r="T48" s="267"/>
      <c r="U48" s="267"/>
      <c r="V48" s="267"/>
      <c r="W48" s="267"/>
      <c r="X48" s="267"/>
      <c r="AF48" s="268">
        <v>3000</v>
      </c>
      <c r="AG48" s="268"/>
      <c r="AH48" s="268"/>
      <c r="AI48" s="268"/>
      <c r="AK48" s="263">
        <v>0</v>
      </c>
      <c r="AL48" s="263"/>
      <c r="AM48" s="263"/>
      <c r="AN48" s="263"/>
      <c r="AP48" s="268">
        <v>1</v>
      </c>
      <c r="AQ48" s="268"/>
      <c r="AR48" s="268"/>
      <c r="AU48" s="260">
        <v>3001</v>
      </c>
      <c r="AV48" s="260"/>
      <c r="BZ48" s="263">
        <v>3001</v>
      </c>
      <c r="CA48" s="263"/>
    </row>
    <row r="49" spans="2:80" ht="0.75" customHeight="1" x14ac:dyDescent="0.25"/>
    <row r="50" spans="2:80" ht="0.75" customHeight="1" x14ac:dyDescent="0.25"/>
    <row r="51" spans="2:80" ht="15" x14ac:dyDescent="0.25">
      <c r="D51" s="261" t="s">
        <v>252</v>
      </c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R51" s="267" t="s">
        <v>253</v>
      </c>
      <c r="S51" s="267"/>
      <c r="T51" s="267"/>
      <c r="U51" s="267"/>
      <c r="V51" s="267"/>
      <c r="W51" s="267"/>
      <c r="X51" s="267"/>
      <c r="AF51" s="268">
        <v>3000</v>
      </c>
      <c r="AG51" s="268"/>
      <c r="AH51" s="268"/>
      <c r="AI51" s="268"/>
      <c r="AK51" s="263">
        <v>0</v>
      </c>
      <c r="AL51" s="263"/>
      <c r="AM51" s="263"/>
      <c r="AN51" s="263"/>
      <c r="AP51" s="268">
        <v>1</v>
      </c>
      <c r="AQ51" s="268"/>
      <c r="AR51" s="268"/>
      <c r="AU51" s="260">
        <v>3001</v>
      </c>
      <c r="AV51" s="260"/>
      <c r="BZ51" s="263">
        <v>3001</v>
      </c>
      <c r="CA51" s="263"/>
    </row>
    <row r="52" spans="2:80" ht="0.75" customHeight="1" x14ac:dyDescent="0.25"/>
    <row r="53" spans="2:80" ht="0.75" customHeight="1" x14ac:dyDescent="0.25"/>
    <row r="54" spans="2:80" ht="15" x14ac:dyDescent="0.25">
      <c r="D54" s="261" t="s">
        <v>254</v>
      </c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R54" s="267" t="s">
        <v>17</v>
      </c>
      <c r="S54" s="267"/>
      <c r="T54" s="267"/>
      <c r="U54" s="267"/>
      <c r="V54" s="267"/>
      <c r="W54" s="267"/>
      <c r="X54" s="267"/>
      <c r="AF54" s="268">
        <v>3500</v>
      </c>
      <c r="AG54" s="268"/>
      <c r="AH54" s="268"/>
      <c r="AI54" s="268"/>
      <c r="AK54" s="263">
        <v>0</v>
      </c>
      <c r="AL54" s="263"/>
      <c r="AM54" s="263"/>
      <c r="AN54" s="263"/>
      <c r="AP54" s="268">
        <v>1</v>
      </c>
      <c r="AQ54" s="268"/>
      <c r="AR54" s="268"/>
      <c r="AU54" s="260">
        <v>3501</v>
      </c>
      <c r="AV54" s="260"/>
      <c r="AZ54" s="261" t="s">
        <v>294</v>
      </c>
      <c r="BA54" s="261"/>
      <c r="BB54" s="261"/>
      <c r="BC54" s="261"/>
      <c r="BE54" s="262">
        <v>42931</v>
      </c>
      <c r="BF54" s="262"/>
      <c r="BG54" s="262"/>
      <c r="BH54" s="262"/>
      <c r="BJ54" s="263">
        <v>3500</v>
      </c>
      <c r="BK54" s="263"/>
      <c r="BL54" s="263"/>
      <c r="BO54" s="263">
        <v>0</v>
      </c>
      <c r="BP54" s="263"/>
      <c r="BQ54" s="263"/>
      <c r="BR54" s="263"/>
      <c r="BU54" s="260">
        <v>3500</v>
      </c>
      <c r="BV54" s="260"/>
      <c r="BW54" s="260"/>
      <c r="BZ54" s="263">
        <v>1</v>
      </c>
      <c r="CA54" s="263"/>
    </row>
    <row r="55" spans="2:80" ht="0.75" customHeight="1" x14ac:dyDescent="0.25"/>
    <row r="56" spans="2:80" ht="1.5" customHeight="1" x14ac:dyDescent="0.25"/>
    <row r="57" spans="2:80" ht="15" x14ac:dyDescent="0.25">
      <c r="D57" s="261" t="s">
        <v>255</v>
      </c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R57" s="267" t="s">
        <v>205</v>
      </c>
      <c r="S57" s="267"/>
      <c r="T57" s="267"/>
      <c r="U57" s="267"/>
      <c r="V57" s="267"/>
      <c r="W57" s="267"/>
      <c r="X57" s="267"/>
      <c r="AA57" s="261" t="s">
        <v>256</v>
      </c>
      <c r="AB57" s="261"/>
      <c r="AC57" s="261"/>
      <c r="AD57" s="261"/>
      <c r="AF57" s="268">
        <v>3000</v>
      </c>
      <c r="AG57" s="268"/>
      <c r="AH57" s="268"/>
      <c r="AI57" s="268"/>
      <c r="AK57" s="263">
        <v>0</v>
      </c>
      <c r="AL57" s="263"/>
      <c r="AM57" s="263"/>
      <c r="AN57" s="263"/>
      <c r="AP57" s="268">
        <v>2</v>
      </c>
      <c r="AQ57" s="268"/>
      <c r="AR57" s="268"/>
      <c r="AU57" s="260">
        <v>3002</v>
      </c>
      <c r="AV57" s="260"/>
      <c r="AZ57" s="261" t="s">
        <v>295</v>
      </c>
      <c r="BA57" s="261"/>
      <c r="BB57" s="261"/>
      <c r="BC57" s="261"/>
      <c r="BE57" s="262">
        <v>42922</v>
      </c>
      <c r="BF57" s="262"/>
      <c r="BG57" s="262"/>
      <c r="BH57" s="262"/>
      <c r="BJ57" s="263">
        <v>3100</v>
      </c>
      <c r="BK57" s="263"/>
      <c r="BL57" s="263"/>
      <c r="BO57" s="263">
        <v>0</v>
      </c>
      <c r="BP57" s="263"/>
      <c r="BQ57" s="263"/>
      <c r="BR57" s="263"/>
      <c r="BU57" s="260">
        <v>3100</v>
      </c>
      <c r="BV57" s="260"/>
      <c r="BW57" s="260"/>
      <c r="BZ57" s="263">
        <v>-98</v>
      </c>
      <c r="CA57" s="263"/>
    </row>
    <row r="58" spans="2:80" ht="0.75" customHeight="1" x14ac:dyDescent="0.25"/>
    <row r="59" spans="2:80" ht="0.75" customHeight="1" x14ac:dyDescent="0.25"/>
    <row r="60" spans="2:80" ht="15" x14ac:dyDescent="0.25">
      <c r="D60" s="261" t="s">
        <v>257</v>
      </c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R60" s="267" t="s">
        <v>192</v>
      </c>
      <c r="S60" s="267"/>
      <c r="T60" s="267"/>
      <c r="U60" s="267"/>
      <c r="V60" s="267"/>
      <c r="W60" s="267"/>
      <c r="X60" s="267"/>
      <c r="AF60" s="268">
        <v>4500</v>
      </c>
      <c r="AG60" s="268"/>
      <c r="AH60" s="268"/>
      <c r="AI60" s="268"/>
      <c r="AK60" s="263">
        <v>0</v>
      </c>
      <c r="AL60" s="263"/>
      <c r="AM60" s="263"/>
      <c r="AN60" s="263"/>
      <c r="AP60" s="268">
        <v>1</v>
      </c>
      <c r="AQ60" s="268"/>
      <c r="AR60" s="268"/>
      <c r="AU60" s="260">
        <v>4501</v>
      </c>
      <c r="AV60" s="260"/>
      <c r="BZ60" s="263">
        <v>4501</v>
      </c>
      <c r="CA60" s="263"/>
    </row>
    <row r="61" spans="2:80" ht="0.75" customHeight="1" x14ac:dyDescent="0.25"/>
    <row r="62" spans="2:80" ht="6" customHeight="1" x14ac:dyDescent="0.25"/>
    <row r="63" spans="2:80" ht="15" x14ac:dyDescent="0.25">
      <c r="B63" s="269" t="s">
        <v>258</v>
      </c>
      <c r="C63" s="269"/>
      <c r="D63" s="269"/>
      <c r="E63" s="269"/>
      <c r="F63" s="269"/>
      <c r="AG63" s="270">
        <v>45100</v>
      </c>
      <c r="AH63" s="270"/>
      <c r="AI63" s="270"/>
      <c r="AJ63" s="270"/>
      <c r="AK63" s="270">
        <v>0</v>
      </c>
      <c r="AL63" s="270"/>
      <c r="AM63" s="270"/>
      <c r="AN63" s="270"/>
      <c r="AP63" s="270">
        <v>14</v>
      </c>
      <c r="AQ63" s="270"/>
      <c r="AR63" s="270"/>
      <c r="AU63" s="260">
        <v>45114</v>
      </c>
      <c r="AV63" s="260"/>
      <c r="BJ63" s="270">
        <v>21600</v>
      </c>
      <c r="BK63" s="270"/>
      <c r="BL63" s="270"/>
      <c r="BO63" s="270">
        <v>400</v>
      </c>
      <c r="BP63" s="270"/>
      <c r="BQ63" s="270"/>
      <c r="BR63" s="270"/>
      <c r="BU63" s="260">
        <v>22000</v>
      </c>
      <c r="BV63" s="260"/>
      <c r="BW63" s="260"/>
      <c r="BZ63" s="270">
        <v>23114</v>
      </c>
      <c r="CA63" s="270"/>
      <c r="CB63" s="270"/>
    </row>
    <row r="64" spans="2:80" ht="30.75" customHeight="1" x14ac:dyDescent="0.25"/>
    <row r="65" spans="2:45" ht="12" customHeight="1" x14ac:dyDescent="0.25">
      <c r="B65" s="269" t="s">
        <v>259</v>
      </c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AB65" s="269" t="s">
        <v>260</v>
      </c>
      <c r="AC65" s="269"/>
      <c r="AD65" s="269"/>
      <c r="AE65" s="269"/>
      <c r="AG65" s="272">
        <v>45114</v>
      </c>
      <c r="AH65" s="272"/>
      <c r="AI65" s="272"/>
      <c r="AJ65" s="272"/>
      <c r="AK65" s="272"/>
      <c r="AL65" s="272"/>
      <c r="AM65" s="272"/>
      <c r="AN65" s="272"/>
      <c r="AO65" s="272"/>
      <c r="AP65" s="272"/>
      <c r="AQ65" s="272"/>
      <c r="AR65" s="272"/>
      <c r="AS65" s="272"/>
    </row>
    <row r="66" spans="2:45" ht="8.25" customHeight="1" x14ac:dyDescent="0.25">
      <c r="AB66" s="269"/>
      <c r="AC66" s="269"/>
      <c r="AD66" s="269"/>
      <c r="AE66" s="269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</row>
    <row r="67" spans="2:45" ht="20.25" customHeight="1" x14ac:dyDescent="0.25">
      <c r="B67" s="273" t="s">
        <v>261</v>
      </c>
      <c r="C67" s="273"/>
      <c r="D67" s="273"/>
      <c r="E67" s="273"/>
    </row>
    <row r="68" spans="2:45" ht="6" customHeight="1" x14ac:dyDescent="0.25"/>
    <row r="69" spans="2:45" ht="12" customHeight="1" x14ac:dyDescent="0.25">
      <c r="B69" s="269" t="s">
        <v>262</v>
      </c>
      <c r="C69" s="269"/>
      <c r="D69" s="269"/>
      <c r="E69" s="269"/>
      <c r="F69" s="269"/>
      <c r="G69" s="269"/>
      <c r="H69" s="269"/>
      <c r="I69" s="269"/>
      <c r="J69" s="269"/>
      <c r="K69" s="269"/>
      <c r="L69" s="269"/>
    </row>
    <row r="70" spans="2:45" ht="6.75" customHeight="1" x14ac:dyDescent="0.25"/>
    <row r="71" spans="2:45" ht="15" x14ac:dyDescent="0.25">
      <c r="B71" s="274" t="s">
        <v>263</v>
      </c>
      <c r="C71" s="274"/>
      <c r="D71" s="124">
        <v>10</v>
      </c>
      <c r="E71" s="274" t="s">
        <v>264</v>
      </c>
      <c r="F71" s="274"/>
      <c r="G71" s="274"/>
      <c r="H71" s="270">
        <v>45100</v>
      </c>
      <c r="I71" s="270"/>
      <c r="J71" s="270"/>
      <c r="K71" s="270"/>
      <c r="L71" s="270"/>
      <c r="M71" s="270"/>
      <c r="N71" s="270"/>
      <c r="O71" s="270"/>
    </row>
    <row r="72" spans="2:45" ht="15" x14ac:dyDescent="0.25">
      <c r="L72" s="125" t="s">
        <v>265</v>
      </c>
      <c r="AG72" s="275">
        <v>4510</v>
      </c>
      <c r="AH72" s="275"/>
      <c r="AI72" s="275"/>
      <c r="AJ72" s="275"/>
      <c r="AK72" s="275"/>
      <c r="AL72" s="275"/>
      <c r="AM72" s="275"/>
      <c r="AN72" s="275"/>
      <c r="AO72" s="275"/>
    </row>
    <row r="73" spans="2:45" ht="21.75" customHeight="1" x14ac:dyDescent="0.25"/>
    <row r="74" spans="2:45" ht="6" customHeight="1" x14ac:dyDescent="0.25"/>
    <row r="75" spans="2:45" ht="12" customHeight="1" x14ac:dyDescent="0.25">
      <c r="D75" s="269" t="s">
        <v>266</v>
      </c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AC75" s="269" t="s">
        <v>260</v>
      </c>
      <c r="AD75" s="269"/>
      <c r="AE75" s="269"/>
      <c r="AF75" s="269"/>
      <c r="AG75" s="269"/>
      <c r="AH75" s="271">
        <v>4510</v>
      </c>
      <c r="AI75" s="271"/>
      <c r="AJ75" s="271"/>
      <c r="AK75" s="271"/>
      <c r="AL75" s="271"/>
      <c r="AM75" s="271"/>
      <c r="AN75" s="271"/>
      <c r="AO75" s="271"/>
      <c r="AP75" s="271"/>
      <c r="AQ75" s="271"/>
    </row>
    <row r="76" spans="2:45" ht="8.25" customHeight="1" x14ac:dyDescent="0.25">
      <c r="AC76" s="269"/>
      <c r="AD76" s="269"/>
      <c r="AE76" s="269"/>
      <c r="AF76" s="269"/>
      <c r="AG76" s="269"/>
      <c r="AH76" s="271"/>
      <c r="AI76" s="271"/>
      <c r="AJ76" s="271"/>
      <c r="AK76" s="271"/>
      <c r="AL76" s="271"/>
      <c r="AM76" s="271"/>
      <c r="AN76" s="271"/>
      <c r="AO76" s="271"/>
      <c r="AP76" s="271"/>
      <c r="AQ76" s="271"/>
    </row>
    <row r="77" spans="2:45" ht="18" customHeight="1" x14ac:dyDescent="0.25"/>
    <row r="78" spans="2:45" ht="6.75" customHeight="1" x14ac:dyDescent="0.25">
      <c r="AG78" s="271">
        <v>40604</v>
      </c>
      <c r="AH78" s="271"/>
      <c r="AI78" s="271"/>
      <c r="AJ78" s="271"/>
      <c r="AK78" s="271"/>
      <c r="AL78" s="271"/>
      <c r="AM78" s="271"/>
      <c r="AN78" s="271"/>
      <c r="AO78" s="271"/>
      <c r="AP78" s="271"/>
      <c r="AQ78" s="271"/>
    </row>
    <row r="79" spans="2:45" ht="12" customHeight="1" x14ac:dyDescent="0.25">
      <c r="D79" s="269" t="s">
        <v>5</v>
      </c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</row>
    <row r="80" spans="2:45" ht="15" x14ac:dyDescent="0.25"/>
    <row r="81" spans="2:80" ht="6.75" customHeight="1" x14ac:dyDescent="0.25">
      <c r="AG81" s="279">
        <v>23500</v>
      </c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</row>
    <row r="82" spans="2:80" ht="13.5" customHeight="1" x14ac:dyDescent="0.25">
      <c r="D82" s="269" t="s">
        <v>267</v>
      </c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  <c r="AG82" s="279"/>
      <c r="AH82" s="279"/>
      <c r="AI82" s="279"/>
      <c r="AJ82" s="279"/>
      <c r="AK82" s="279"/>
      <c r="AL82" s="279"/>
      <c r="AM82" s="279"/>
      <c r="AN82" s="279"/>
      <c r="AO82" s="279"/>
      <c r="AP82" s="279"/>
      <c r="AQ82" s="279"/>
    </row>
    <row r="83" spans="2:80" ht="30" customHeight="1" x14ac:dyDescent="0.25"/>
    <row r="84" spans="2:80" ht="20.25" customHeight="1" x14ac:dyDescent="0.25">
      <c r="B84" s="254" t="s">
        <v>268</v>
      </c>
      <c r="C84" s="254"/>
      <c r="D84" s="254"/>
      <c r="E84" s="254"/>
      <c r="F84" s="254"/>
      <c r="G84" s="254"/>
      <c r="H84" s="254"/>
      <c r="I84" s="254"/>
      <c r="J84" s="254"/>
      <c r="K84" s="254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254"/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  <c r="AO84" s="254"/>
      <c r="AP84" s="254"/>
      <c r="AQ84" s="254"/>
      <c r="AR84" s="254"/>
      <c r="AS84" s="254"/>
      <c r="AT84" s="254"/>
      <c r="AU84" s="254"/>
      <c r="AV84" s="254"/>
      <c r="AW84" s="254"/>
      <c r="AX84" s="254"/>
      <c r="AY84" s="254"/>
      <c r="AZ84" s="254"/>
      <c r="BA84" s="254"/>
      <c r="BB84" s="254"/>
      <c r="BC84" s="254"/>
      <c r="BD84" s="254"/>
      <c r="BE84" s="254"/>
      <c r="BF84" s="254"/>
      <c r="BG84" s="254"/>
      <c r="BH84" s="254"/>
      <c r="BI84" s="254"/>
      <c r="BJ84" s="254"/>
      <c r="BK84" s="254"/>
      <c r="BL84" s="254"/>
      <c r="BM84" s="254"/>
      <c r="BN84" s="254"/>
      <c r="BO84" s="254"/>
      <c r="BP84" s="254"/>
      <c r="BQ84" s="254"/>
      <c r="BR84" s="254"/>
      <c r="BS84" s="254"/>
      <c r="BT84" s="254"/>
      <c r="BU84" s="254"/>
      <c r="BV84" s="254"/>
      <c r="BW84" s="254"/>
      <c r="BX84" s="254"/>
      <c r="BY84" s="254"/>
      <c r="BZ84" s="254"/>
      <c r="CA84" s="254"/>
      <c r="CB84" s="254"/>
    </row>
    <row r="85" spans="2:80" ht="30" customHeight="1" x14ac:dyDescent="0.25"/>
    <row r="86" spans="2:80" ht="20.25" customHeight="1" x14ac:dyDescent="0.25">
      <c r="B86" s="254" t="s">
        <v>269</v>
      </c>
      <c r="C86" s="254"/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254"/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4"/>
      <c r="AQ86" s="254"/>
      <c r="AR86" s="254"/>
      <c r="AS86" s="254"/>
      <c r="AT86" s="254"/>
      <c r="AU86" s="254"/>
      <c r="AV86" s="254"/>
      <c r="AW86" s="254"/>
      <c r="AX86" s="254"/>
      <c r="AY86" s="254"/>
      <c r="AZ86" s="254"/>
      <c r="BA86" s="254"/>
      <c r="BB86" s="254"/>
      <c r="BC86" s="254"/>
      <c r="BD86" s="254"/>
      <c r="BE86" s="254"/>
      <c r="BF86" s="254"/>
      <c r="BG86" s="254"/>
      <c r="BH86" s="254"/>
      <c r="BI86" s="254"/>
      <c r="BJ86" s="254"/>
      <c r="BK86" s="254"/>
      <c r="BL86" s="254"/>
      <c r="BM86" s="254"/>
      <c r="BN86" s="254"/>
      <c r="BO86" s="254"/>
      <c r="BP86" s="254"/>
      <c r="BQ86" s="254"/>
      <c r="BR86" s="254"/>
      <c r="BS86" s="254"/>
      <c r="BT86" s="254"/>
      <c r="BU86" s="254"/>
      <c r="BV86" s="254"/>
      <c r="BW86" s="254"/>
      <c r="BX86" s="254"/>
      <c r="BY86" s="254"/>
      <c r="BZ86" s="254"/>
      <c r="CA86" s="254"/>
      <c r="CB86" s="254"/>
    </row>
    <row r="87" spans="2:80" ht="12" customHeight="1" x14ac:dyDescent="0.25"/>
    <row r="88" spans="2:80" ht="20.25" customHeight="1" x14ac:dyDescent="0.25">
      <c r="B88" s="254" t="s">
        <v>270</v>
      </c>
      <c r="C88" s="254"/>
      <c r="D88" s="254"/>
      <c r="E88" s="254"/>
      <c r="F88" s="254"/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  <c r="AD88" s="254"/>
      <c r="AE88" s="254"/>
      <c r="AF88" s="254"/>
      <c r="AG88" s="254"/>
      <c r="AH88" s="254"/>
      <c r="AI88" s="254"/>
      <c r="AJ88" s="254"/>
      <c r="AK88" s="254"/>
      <c r="AL88" s="254"/>
      <c r="AM88" s="254"/>
      <c r="AN88" s="254"/>
      <c r="AO88" s="254"/>
      <c r="AP88" s="254"/>
      <c r="AQ88" s="254"/>
      <c r="AR88" s="254"/>
      <c r="AS88" s="254"/>
      <c r="AT88" s="254"/>
      <c r="AU88" s="254"/>
      <c r="AV88" s="254"/>
      <c r="AW88" s="254"/>
      <c r="AX88" s="254"/>
      <c r="AY88" s="254"/>
      <c r="AZ88" s="254"/>
      <c r="BA88" s="254"/>
      <c r="BB88" s="256"/>
      <c r="BC88" s="256"/>
      <c r="BD88" s="256"/>
      <c r="BE88" s="256"/>
      <c r="BF88" s="256"/>
      <c r="BG88" s="256"/>
      <c r="BH88" s="256"/>
      <c r="BI88" s="256"/>
      <c r="BJ88" s="256"/>
      <c r="BK88" s="256"/>
      <c r="BL88" s="256"/>
      <c r="BM88" s="256"/>
      <c r="BN88" s="256"/>
      <c r="BO88" s="256"/>
      <c r="BP88" s="256"/>
      <c r="BQ88" s="256"/>
    </row>
    <row r="89" spans="2:80" ht="135.75" customHeight="1" x14ac:dyDescent="0.25"/>
    <row r="90" spans="2:80" ht="6" customHeight="1" x14ac:dyDescent="0.25"/>
    <row r="91" spans="2:80" ht="13.5" customHeight="1" x14ac:dyDescent="0.25">
      <c r="D91" s="274" t="s">
        <v>271</v>
      </c>
      <c r="E91" s="274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4"/>
      <c r="S91" s="274"/>
      <c r="T91" s="274"/>
      <c r="U91" s="274"/>
      <c r="V91" s="274"/>
      <c r="W91" s="274"/>
      <c r="X91" s="274"/>
      <c r="Y91" s="274"/>
      <c r="Z91" s="274"/>
      <c r="AA91" s="274"/>
      <c r="AB91" s="274"/>
      <c r="AC91" s="274"/>
      <c r="AD91" s="274"/>
      <c r="AE91" s="274"/>
      <c r="AF91" s="274"/>
      <c r="AG91" s="274"/>
      <c r="AH91" s="274"/>
      <c r="AI91" s="274"/>
      <c r="AJ91" s="274"/>
      <c r="AK91" s="274"/>
      <c r="AL91" s="274"/>
      <c r="AM91" s="274"/>
      <c r="AN91" s="274"/>
      <c r="AO91" s="274"/>
      <c r="AP91" s="274"/>
      <c r="AQ91" s="274"/>
      <c r="AR91" s="274"/>
      <c r="AS91" s="274"/>
      <c r="AT91" s="274"/>
      <c r="AU91" s="274"/>
      <c r="AV91" s="274"/>
      <c r="AW91" s="274"/>
      <c r="BC91" s="276">
        <v>42935</v>
      </c>
      <c r="BD91" s="276"/>
      <c r="BE91" s="276"/>
      <c r="BF91" s="276"/>
      <c r="BG91" s="276"/>
      <c r="BH91" s="276"/>
      <c r="BJ91" s="277">
        <v>3.577546296296296E-2</v>
      </c>
      <c r="BK91" s="277"/>
      <c r="BL91" s="277"/>
      <c r="BM91" s="277"/>
      <c r="BN91" s="277"/>
      <c r="BO91" s="277"/>
      <c r="BP91" s="277"/>
      <c r="BQ91" s="277"/>
      <c r="BU91" s="278">
        <v>2</v>
      </c>
      <c r="BV91" s="278"/>
      <c r="BW91" s="278"/>
      <c r="BX91" s="278"/>
      <c r="BY91" s="278"/>
      <c r="BZ91" s="278"/>
    </row>
    <row r="92" spans="2:80" ht="7.5" customHeight="1" x14ac:dyDescent="0.25"/>
  </sheetData>
  <mergeCells count="188">
    <mergeCell ref="D91:AW91"/>
    <mergeCell ref="BC91:BH91"/>
    <mergeCell ref="BJ91:BQ91"/>
    <mergeCell ref="BU91:BZ91"/>
    <mergeCell ref="AG81:AQ82"/>
    <mergeCell ref="D82:P82"/>
    <mergeCell ref="B84:CB84"/>
    <mergeCell ref="B86:CB86"/>
    <mergeCell ref="B88:BA88"/>
    <mergeCell ref="BB88:BQ88"/>
    <mergeCell ref="AG78:AQ79"/>
    <mergeCell ref="D79:P79"/>
    <mergeCell ref="B65:O65"/>
    <mergeCell ref="AB65:AE66"/>
    <mergeCell ref="AG65:AS66"/>
    <mergeCell ref="B67:E67"/>
    <mergeCell ref="B69:L69"/>
    <mergeCell ref="B71:C71"/>
    <mergeCell ref="E71:G71"/>
    <mergeCell ref="H71:O71"/>
    <mergeCell ref="AG72:AO72"/>
    <mergeCell ref="D75:P75"/>
    <mergeCell ref="AC75:AG76"/>
    <mergeCell ref="AH75:AQ76"/>
    <mergeCell ref="B63:F63"/>
    <mergeCell ref="AG63:AJ63"/>
    <mergeCell ref="AK63:AN63"/>
    <mergeCell ref="AP63:AR63"/>
    <mergeCell ref="AU63:AV63"/>
    <mergeCell ref="BJ63:BL63"/>
    <mergeCell ref="BO63:BR63"/>
    <mergeCell ref="BU63:BW63"/>
    <mergeCell ref="BZ63:CB63"/>
    <mergeCell ref="BU54:BW54"/>
    <mergeCell ref="BZ54:CA54"/>
    <mergeCell ref="BE57:BH57"/>
    <mergeCell ref="BJ57:BL57"/>
    <mergeCell ref="BO57:BR57"/>
    <mergeCell ref="BU57:BW57"/>
    <mergeCell ref="BZ57:CA57"/>
    <mergeCell ref="BZ60:CA60"/>
    <mergeCell ref="D57:P57"/>
    <mergeCell ref="R57:X57"/>
    <mergeCell ref="AA57:AD57"/>
    <mergeCell ref="AF57:AI57"/>
    <mergeCell ref="AK57:AN57"/>
    <mergeCell ref="AP57:AR57"/>
    <mergeCell ref="AU57:AV57"/>
    <mergeCell ref="AZ57:BC57"/>
    <mergeCell ref="D60:P60"/>
    <mergeCell ref="R60:X60"/>
    <mergeCell ref="AF60:AI60"/>
    <mergeCell ref="AK60:AN60"/>
    <mergeCell ref="AP60:AR60"/>
    <mergeCell ref="AU60:AV60"/>
    <mergeCell ref="D48:P48"/>
    <mergeCell ref="R48:X48"/>
    <mergeCell ref="AF48:AI48"/>
    <mergeCell ref="AK48:AN48"/>
    <mergeCell ref="AP48:AR48"/>
    <mergeCell ref="AU48:AV48"/>
    <mergeCell ref="BZ48:CA48"/>
    <mergeCell ref="BZ51:CA51"/>
    <mergeCell ref="D54:P54"/>
    <mergeCell ref="R54:X54"/>
    <mergeCell ref="AF54:AI54"/>
    <mergeCell ref="AK54:AN54"/>
    <mergeCell ref="AP54:AR54"/>
    <mergeCell ref="AU54:AV54"/>
    <mergeCell ref="AZ54:BC54"/>
    <mergeCell ref="BE54:BH54"/>
    <mergeCell ref="BJ54:BL54"/>
    <mergeCell ref="D51:P51"/>
    <mergeCell ref="R51:X51"/>
    <mergeCell ref="AF51:AI51"/>
    <mergeCell ref="AK51:AN51"/>
    <mergeCell ref="AP51:AR51"/>
    <mergeCell ref="AU51:AV51"/>
    <mergeCell ref="BO54:BR54"/>
    <mergeCell ref="BZ39:CA39"/>
    <mergeCell ref="BZ42:CA42"/>
    <mergeCell ref="D45:P45"/>
    <mergeCell ref="R45:X45"/>
    <mergeCell ref="AF45:AI45"/>
    <mergeCell ref="AK45:AN45"/>
    <mergeCell ref="AP45:AR45"/>
    <mergeCell ref="AU45:AV45"/>
    <mergeCell ref="AZ45:BC45"/>
    <mergeCell ref="BE45:BH45"/>
    <mergeCell ref="BJ45:BL45"/>
    <mergeCell ref="D42:P42"/>
    <mergeCell ref="R42:X42"/>
    <mergeCell ref="AF42:AI42"/>
    <mergeCell ref="AK42:AN42"/>
    <mergeCell ref="AP42:AR42"/>
    <mergeCell ref="AU42:AV42"/>
    <mergeCell ref="BO45:BR45"/>
    <mergeCell ref="BU45:BW45"/>
    <mergeCell ref="BZ45:CA45"/>
    <mergeCell ref="AU30:AV30"/>
    <mergeCell ref="AZ30:BC30"/>
    <mergeCell ref="AZ27:BC27"/>
    <mergeCell ref="BE27:BH27"/>
    <mergeCell ref="D39:P39"/>
    <mergeCell ref="R39:X39"/>
    <mergeCell ref="AF39:AI39"/>
    <mergeCell ref="AK39:AN39"/>
    <mergeCell ref="AP39:AR39"/>
    <mergeCell ref="AU39:AV39"/>
    <mergeCell ref="AU27:AV27"/>
    <mergeCell ref="D30:P30"/>
    <mergeCell ref="R30:X30"/>
    <mergeCell ref="AF30:AI30"/>
    <mergeCell ref="AK30:AN30"/>
    <mergeCell ref="AP30:AR30"/>
    <mergeCell ref="D27:P27"/>
    <mergeCell ref="R27:X27"/>
    <mergeCell ref="AA27:AD27"/>
    <mergeCell ref="AF27:AI27"/>
    <mergeCell ref="AK27:AN27"/>
    <mergeCell ref="AP27:AR27"/>
    <mergeCell ref="BZ33:CA33"/>
    <mergeCell ref="D36:P36"/>
    <mergeCell ref="R36:X36"/>
    <mergeCell ref="AF36:AI36"/>
    <mergeCell ref="AK36:AN36"/>
    <mergeCell ref="AP36:AR36"/>
    <mergeCell ref="AU36:AV36"/>
    <mergeCell ref="AZ36:BC36"/>
    <mergeCell ref="BE36:BH36"/>
    <mergeCell ref="BJ36:BL36"/>
    <mergeCell ref="D33:P33"/>
    <mergeCell ref="R33:X33"/>
    <mergeCell ref="AF33:AI33"/>
    <mergeCell ref="AK33:AN33"/>
    <mergeCell ref="AP33:AR33"/>
    <mergeCell ref="AU33:AV33"/>
    <mergeCell ref="BO36:BR36"/>
    <mergeCell ref="BU36:BW36"/>
    <mergeCell ref="BZ36:CA36"/>
    <mergeCell ref="BO24:BR24"/>
    <mergeCell ref="BU24:BW24"/>
    <mergeCell ref="BO27:BR27"/>
    <mergeCell ref="BU27:BW27"/>
    <mergeCell ref="BE30:BH30"/>
    <mergeCell ref="BJ30:BL30"/>
    <mergeCell ref="BO30:BR30"/>
    <mergeCell ref="BU30:BW30"/>
    <mergeCell ref="BZ27:CA27"/>
    <mergeCell ref="BZ30:CA30"/>
    <mergeCell ref="BJ27:BL27"/>
    <mergeCell ref="BZ24:CA24"/>
    <mergeCell ref="AU24:AV24"/>
    <mergeCell ref="AZ24:BC24"/>
    <mergeCell ref="BE24:BH24"/>
    <mergeCell ref="BJ24:BL24"/>
    <mergeCell ref="BW15:CE15"/>
    <mergeCell ref="D19:V19"/>
    <mergeCell ref="BB19:BV19"/>
    <mergeCell ref="D21:H21"/>
    <mergeCell ref="R21:T21"/>
    <mergeCell ref="AA21:AE21"/>
    <mergeCell ref="AG21:AI21"/>
    <mergeCell ref="AK21:AO21"/>
    <mergeCell ref="AP21:AR21"/>
    <mergeCell ref="AY21:BE21"/>
    <mergeCell ref="BG21:BH21"/>
    <mergeCell ref="BJ21:BN21"/>
    <mergeCell ref="BO21:BS21"/>
    <mergeCell ref="BU21:BX21"/>
    <mergeCell ref="BY21:CB21"/>
    <mergeCell ref="D24:P24"/>
    <mergeCell ref="R24:X24"/>
    <mergeCell ref="AF24:AI24"/>
    <mergeCell ref="AK24:AN24"/>
    <mergeCell ref="AP24:AR24"/>
    <mergeCell ref="AB13:BG13"/>
    <mergeCell ref="B15:R15"/>
    <mergeCell ref="S15:AC16"/>
    <mergeCell ref="AD15:AM15"/>
    <mergeCell ref="AN15:BL16"/>
    <mergeCell ref="BM15:BV15"/>
    <mergeCell ref="B1:J1"/>
    <mergeCell ref="K1:BO2"/>
    <mergeCell ref="AA5:AT5"/>
    <mergeCell ref="T7:BO7"/>
    <mergeCell ref="X9:BO9"/>
    <mergeCell ref="AB11:BH1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8" workbookViewId="0">
      <selection activeCell="B35" sqref="B35:G37"/>
    </sheetView>
  </sheetViews>
  <sheetFormatPr defaultRowHeight="15" x14ac:dyDescent="0.25"/>
  <cols>
    <col min="2" max="2" width="13.140625" customWidth="1"/>
    <col min="3" max="3" width="9.85546875" bestFit="1" customWidth="1"/>
    <col min="7" max="7" width="9.85546875" bestFit="1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</row>
    <row r="2" spans="1:10" ht="18.75" x14ac:dyDescent="0.25">
      <c r="A2" s="33" t="s">
        <v>312</v>
      </c>
      <c r="B2" s="35"/>
      <c r="C2" s="35"/>
      <c r="D2" s="34"/>
      <c r="E2" s="34"/>
      <c r="F2" s="34"/>
      <c r="G2" s="34"/>
      <c r="H2" s="34"/>
      <c r="I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</row>
    <row r="4" spans="1:10" x14ac:dyDescent="0.25">
      <c r="A4" s="1">
        <v>1</v>
      </c>
      <c r="B4" s="126" t="s">
        <v>52</v>
      </c>
      <c r="C4" s="58"/>
      <c r="D4" s="14">
        <v>0</v>
      </c>
      <c r="E4" s="1">
        <v>3000</v>
      </c>
      <c r="F4" s="1">
        <v>100</v>
      </c>
      <c r="G4" s="16">
        <f>D4+E4+F4</f>
        <v>3100</v>
      </c>
      <c r="H4" s="80">
        <v>3000</v>
      </c>
      <c r="I4" s="16">
        <f>G4-H4</f>
        <v>100</v>
      </c>
    </row>
    <row r="5" spans="1:10" x14ac:dyDescent="0.25">
      <c r="A5" s="1">
        <v>2</v>
      </c>
      <c r="B5" s="127" t="s">
        <v>288</v>
      </c>
      <c r="C5" s="13"/>
      <c r="D5" s="14">
        <v>200</v>
      </c>
      <c r="E5" s="1">
        <v>3000</v>
      </c>
      <c r="F5" s="1">
        <v>100</v>
      </c>
      <c r="G5" s="16">
        <f t="shared" ref="G5:G16" si="0">D5+E5+F5</f>
        <v>3300</v>
      </c>
      <c r="H5" s="80">
        <v>3000</v>
      </c>
      <c r="I5" s="16">
        <f t="shared" ref="I5:I16" si="1">G5-H5</f>
        <v>300</v>
      </c>
    </row>
    <row r="6" spans="1:10" x14ac:dyDescent="0.25">
      <c r="A6" s="1">
        <v>3</v>
      </c>
      <c r="B6" s="128" t="s">
        <v>253</v>
      </c>
      <c r="C6" s="13"/>
      <c r="D6" s="14">
        <v>0</v>
      </c>
      <c r="E6" s="1">
        <v>3000</v>
      </c>
      <c r="F6" s="1">
        <v>100</v>
      </c>
      <c r="G6" s="16">
        <f t="shared" si="0"/>
        <v>3100</v>
      </c>
      <c r="H6" s="80">
        <v>3100</v>
      </c>
      <c r="I6" s="16">
        <f t="shared" si="1"/>
        <v>0</v>
      </c>
      <c r="J6" t="s">
        <v>311</v>
      </c>
    </row>
    <row r="7" spans="1:10" x14ac:dyDescent="0.25">
      <c r="A7" s="1">
        <v>4</v>
      </c>
      <c r="B7" s="127" t="s">
        <v>272</v>
      </c>
      <c r="C7" s="13"/>
      <c r="D7" s="14">
        <v>100</v>
      </c>
      <c r="E7" s="1">
        <v>3000</v>
      </c>
      <c r="F7" s="1">
        <v>100</v>
      </c>
      <c r="G7" s="16">
        <f t="shared" si="0"/>
        <v>3200</v>
      </c>
      <c r="H7" s="80">
        <v>3000</v>
      </c>
      <c r="I7" s="16">
        <f>G7-H7</f>
        <v>200</v>
      </c>
    </row>
    <row r="8" spans="1:10" x14ac:dyDescent="0.25">
      <c r="A8" s="1">
        <v>5</v>
      </c>
      <c r="B8" s="126" t="s">
        <v>205</v>
      </c>
      <c r="C8" s="58"/>
      <c r="D8" s="14"/>
      <c r="E8" s="1">
        <v>3000</v>
      </c>
      <c r="F8" s="1">
        <v>100</v>
      </c>
      <c r="G8" s="16">
        <f t="shared" si="0"/>
        <v>3100</v>
      </c>
      <c r="H8" s="80">
        <v>3100</v>
      </c>
      <c r="I8" s="16">
        <f t="shared" si="1"/>
        <v>0</v>
      </c>
    </row>
    <row r="9" spans="1:10" x14ac:dyDescent="0.25">
      <c r="A9" s="1">
        <v>6</v>
      </c>
      <c r="B9" s="126" t="s">
        <v>309</v>
      </c>
      <c r="C9" s="13"/>
      <c r="D9" s="14">
        <v>0</v>
      </c>
      <c r="E9" s="1">
        <v>3000</v>
      </c>
      <c r="F9" s="1">
        <v>100</v>
      </c>
      <c r="G9" s="16">
        <f t="shared" si="0"/>
        <v>3100</v>
      </c>
      <c r="H9" s="80">
        <v>3000</v>
      </c>
      <c r="I9" s="16">
        <f t="shared" si="1"/>
        <v>100</v>
      </c>
      <c r="J9" t="s">
        <v>311</v>
      </c>
    </row>
    <row r="10" spans="1:10" x14ac:dyDescent="0.25">
      <c r="A10" s="1">
        <v>7</v>
      </c>
      <c r="B10" s="128" t="s">
        <v>183</v>
      </c>
      <c r="C10" s="13"/>
      <c r="D10" s="14">
        <v>1950</v>
      </c>
      <c r="E10" s="1">
        <v>3000</v>
      </c>
      <c r="F10" s="1">
        <v>100</v>
      </c>
      <c r="G10" s="16">
        <f t="shared" si="0"/>
        <v>5050</v>
      </c>
      <c r="H10" s="80">
        <v>3000</v>
      </c>
      <c r="I10" s="16">
        <f t="shared" si="1"/>
        <v>2050</v>
      </c>
    </row>
    <row r="11" spans="1:10" x14ac:dyDescent="0.25">
      <c r="A11" s="1">
        <v>8</v>
      </c>
      <c r="B11" s="126" t="s">
        <v>150</v>
      </c>
      <c r="C11" s="58"/>
      <c r="D11" s="14">
        <v>4051</v>
      </c>
      <c r="E11" s="1">
        <v>3000</v>
      </c>
      <c r="F11" s="1">
        <v>100</v>
      </c>
      <c r="G11" s="16">
        <f t="shared" si="0"/>
        <v>7151</v>
      </c>
      <c r="H11" s="80">
        <v>5000</v>
      </c>
      <c r="I11" s="16">
        <f t="shared" si="1"/>
        <v>2151</v>
      </c>
    </row>
    <row r="12" spans="1:10" x14ac:dyDescent="0.25">
      <c r="A12" s="1">
        <v>9</v>
      </c>
      <c r="B12" s="126" t="s">
        <v>113</v>
      </c>
      <c r="C12" s="79"/>
      <c r="D12" s="14">
        <v>100</v>
      </c>
      <c r="E12" s="1">
        <v>3000</v>
      </c>
      <c r="F12" s="1">
        <v>100</v>
      </c>
      <c r="G12" s="16">
        <f t="shared" si="0"/>
        <v>3200</v>
      </c>
      <c r="H12" s="80">
        <v>3000</v>
      </c>
      <c r="I12" s="16">
        <f t="shared" si="1"/>
        <v>200</v>
      </c>
    </row>
    <row r="13" spans="1:10" x14ac:dyDescent="0.25">
      <c r="A13" s="1">
        <v>10</v>
      </c>
      <c r="B13" s="129" t="s">
        <v>192</v>
      </c>
      <c r="C13" s="79"/>
      <c r="D13" s="14">
        <v>4500</v>
      </c>
      <c r="E13" s="1">
        <v>4500</v>
      </c>
      <c r="F13" s="1">
        <v>100</v>
      </c>
      <c r="G13" s="16">
        <f t="shared" si="0"/>
        <v>9100</v>
      </c>
      <c r="H13" s="80">
        <v>4500</v>
      </c>
      <c r="I13" s="16">
        <f t="shared" si="1"/>
        <v>4600</v>
      </c>
    </row>
    <row r="14" spans="1:10" x14ac:dyDescent="0.25">
      <c r="A14" s="1">
        <v>11</v>
      </c>
      <c r="B14" s="129" t="s">
        <v>152</v>
      </c>
      <c r="C14" s="13"/>
      <c r="D14" s="14">
        <v>0</v>
      </c>
      <c r="E14" s="1">
        <v>4500</v>
      </c>
      <c r="F14" s="1">
        <v>100</v>
      </c>
      <c r="G14" s="16">
        <f t="shared" si="0"/>
        <v>4600</v>
      </c>
      <c r="H14" s="80">
        <v>4600</v>
      </c>
      <c r="I14" s="16">
        <f t="shared" si="1"/>
        <v>0</v>
      </c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 t="shared" si="0"/>
        <v>7100</v>
      </c>
      <c r="H15" s="80">
        <v>3000</v>
      </c>
      <c r="I15" s="16">
        <f t="shared" si="1"/>
        <v>4100</v>
      </c>
      <c r="J15" t="s">
        <v>311</v>
      </c>
    </row>
    <row r="16" spans="1:10" x14ac:dyDescent="0.25">
      <c r="A16" s="1">
        <v>13</v>
      </c>
      <c r="B16" s="126" t="s">
        <v>17</v>
      </c>
      <c r="C16" s="58"/>
      <c r="D16" s="14">
        <v>7451</v>
      </c>
      <c r="E16" s="1">
        <v>3500</v>
      </c>
      <c r="F16" s="1">
        <v>100</v>
      </c>
      <c r="G16" s="16">
        <f t="shared" si="0"/>
        <v>11051</v>
      </c>
      <c r="H16" s="80">
        <v>3500</v>
      </c>
      <c r="I16" s="16">
        <f t="shared" si="1"/>
        <v>7551</v>
      </c>
    </row>
    <row r="17" spans="1:13" x14ac:dyDescent="0.25">
      <c r="A17" s="1"/>
      <c r="B17" s="13"/>
      <c r="C17" s="13"/>
      <c r="D17" s="67"/>
      <c r="E17" s="94">
        <f>SUM(E4:E16)</f>
        <v>46500</v>
      </c>
      <c r="F17" s="1">
        <f>F4+F5+F6+F7+F8+F9+F10+F11+F12+F13+F14+F15+F16</f>
        <v>1300</v>
      </c>
      <c r="G17" s="16">
        <f>SUM(G4:G16)</f>
        <v>66152</v>
      </c>
      <c r="H17" s="80">
        <f>SUM(H4:H16)</f>
        <v>44800</v>
      </c>
      <c r="I17" s="16">
        <f>SUM(I4:I16)</f>
        <v>21352</v>
      </c>
    </row>
    <row r="18" spans="1:13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</row>
    <row r="19" spans="1:13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106" t="s">
        <v>122</v>
      </c>
      <c r="G19" s="106" t="s">
        <v>123</v>
      </c>
      <c r="H19" s="106" t="s">
        <v>124</v>
      </c>
      <c r="I19" s="106" t="s">
        <v>125</v>
      </c>
    </row>
    <row r="20" spans="1:13" x14ac:dyDescent="0.25">
      <c r="A20" s="43"/>
      <c r="B20" s="1" t="s">
        <v>274</v>
      </c>
      <c r="C20" s="16">
        <f>E17</f>
        <v>46500</v>
      </c>
      <c r="D20" s="1"/>
      <c r="E20" s="1"/>
      <c r="F20" s="1" t="s">
        <v>274</v>
      </c>
      <c r="G20" s="16">
        <f>H17</f>
        <v>44800</v>
      </c>
      <c r="H20" s="1"/>
      <c r="I20" s="1"/>
    </row>
    <row r="21" spans="1:13" x14ac:dyDescent="0.25">
      <c r="A21" s="43"/>
      <c r="B21" s="1" t="s">
        <v>282</v>
      </c>
      <c r="C21" s="16">
        <v>-11260</v>
      </c>
      <c r="D21" s="1"/>
      <c r="E21" s="1"/>
      <c r="F21" s="1" t="s">
        <v>296</v>
      </c>
      <c r="G21" s="16">
        <v>-11260</v>
      </c>
      <c r="H21" s="1"/>
      <c r="I21" s="1"/>
    </row>
    <row r="22" spans="1:13" x14ac:dyDescent="0.25">
      <c r="A22" s="43"/>
      <c r="B22" s="1" t="s">
        <v>127</v>
      </c>
      <c r="C22" s="107">
        <v>0.1</v>
      </c>
      <c r="D22" s="16">
        <f>C20*C22</f>
        <v>4650</v>
      </c>
      <c r="E22" s="1"/>
      <c r="F22" s="1" t="s">
        <v>127</v>
      </c>
      <c r="G22" s="107">
        <v>0.1</v>
      </c>
      <c r="H22" s="16">
        <f>G20*G22</f>
        <v>4480</v>
      </c>
      <c r="I22" s="1"/>
      <c r="K22">
        <v>11260</v>
      </c>
    </row>
    <row r="23" spans="1:13" x14ac:dyDescent="0.25">
      <c r="A23" s="43"/>
      <c r="B23" s="113" t="s">
        <v>188</v>
      </c>
      <c r="C23" s="16">
        <f>C20+C21-D22</f>
        <v>30590</v>
      </c>
      <c r="D23" s="1"/>
      <c r="E23" s="1"/>
      <c r="F23" s="113" t="s">
        <v>188</v>
      </c>
      <c r="G23" s="16">
        <f>G20+G21-H22</f>
        <v>29060</v>
      </c>
      <c r="H23" s="1"/>
      <c r="I23" s="1"/>
      <c r="K23">
        <v>4650</v>
      </c>
    </row>
    <row r="24" spans="1:13" x14ac:dyDescent="0.25">
      <c r="A24" s="118"/>
      <c r="B24" s="69" t="s">
        <v>128</v>
      </c>
      <c r="C24" s="1" t="s">
        <v>206</v>
      </c>
      <c r="D24" s="1"/>
      <c r="E24" s="1"/>
      <c r="F24" s="69" t="s">
        <v>128</v>
      </c>
      <c r="G24" s="1" t="s">
        <v>206</v>
      </c>
      <c r="H24" s="1"/>
      <c r="I24" s="1"/>
      <c r="K24">
        <f>SUM(K22:K23)</f>
        <v>15910</v>
      </c>
      <c r="L24">
        <v>46500</v>
      </c>
      <c r="M24">
        <f>L24-K24</f>
        <v>30590</v>
      </c>
    </row>
    <row r="25" spans="1:13" s="58" customFormat="1" x14ac:dyDescent="0.25">
      <c r="A25" s="118"/>
      <c r="B25" s="69" t="s">
        <v>134</v>
      </c>
      <c r="C25" s="1"/>
      <c r="D25" s="1">
        <v>11000</v>
      </c>
      <c r="E25" s="1"/>
      <c r="F25" s="69" t="s">
        <v>134</v>
      </c>
      <c r="G25" s="1"/>
      <c r="H25" s="1">
        <v>11000</v>
      </c>
      <c r="I25" s="1"/>
    </row>
    <row r="26" spans="1:13" x14ac:dyDescent="0.25">
      <c r="A26" s="118"/>
      <c r="B26" s="1" t="s">
        <v>303</v>
      </c>
      <c r="C26" s="1"/>
      <c r="D26" s="1">
        <v>3000</v>
      </c>
      <c r="E26" s="1"/>
      <c r="F26" s="1" t="s">
        <v>303</v>
      </c>
      <c r="G26" s="1"/>
      <c r="H26" s="1">
        <v>3000</v>
      </c>
      <c r="I26" s="1"/>
    </row>
    <row r="27" spans="1:13" x14ac:dyDescent="0.25">
      <c r="A27" s="43"/>
      <c r="B27" s="1" t="s">
        <v>310</v>
      </c>
      <c r="C27" s="1"/>
      <c r="D27" s="1">
        <v>13000</v>
      </c>
      <c r="E27" s="1"/>
      <c r="F27" s="1" t="s">
        <v>310</v>
      </c>
      <c r="G27" s="1"/>
      <c r="H27" s="1">
        <v>13000</v>
      </c>
      <c r="I27" s="1"/>
    </row>
    <row r="28" spans="1:13" x14ac:dyDescent="0.25">
      <c r="A28" s="43"/>
      <c r="B28" s="1" t="s">
        <v>306</v>
      </c>
      <c r="C28" s="1"/>
      <c r="D28" s="1">
        <v>300</v>
      </c>
      <c r="E28" s="1"/>
      <c r="F28" s="1" t="s">
        <v>306</v>
      </c>
      <c r="G28" s="1"/>
      <c r="H28" s="1">
        <v>300</v>
      </c>
      <c r="I28" s="1"/>
    </row>
    <row r="29" spans="1:13" x14ac:dyDescent="0.25">
      <c r="A29" s="43"/>
      <c r="B29" s="113" t="s">
        <v>308</v>
      </c>
      <c r="C29" s="1"/>
      <c r="D29" s="1">
        <v>3500</v>
      </c>
      <c r="E29" s="1"/>
      <c r="F29" s="113" t="s">
        <v>308</v>
      </c>
      <c r="G29" s="1"/>
      <c r="H29" s="1">
        <v>3500</v>
      </c>
      <c r="I29" s="1"/>
    </row>
    <row r="30" spans="1:13" s="58" customFormat="1" x14ac:dyDescent="0.25">
      <c r="A30" s="43"/>
      <c r="B30" s="113" t="s">
        <v>134</v>
      </c>
      <c r="C30" s="1"/>
      <c r="D30" s="1">
        <v>1000</v>
      </c>
      <c r="E30" s="1"/>
      <c r="F30" s="113"/>
      <c r="G30" s="1"/>
      <c r="H30" s="1"/>
      <c r="I30" s="1"/>
    </row>
    <row r="31" spans="1:13" x14ac:dyDescent="0.25">
      <c r="A31" s="118"/>
      <c r="B31" s="69" t="s">
        <v>129</v>
      </c>
      <c r="C31" s="70">
        <f>C23</f>
        <v>30590</v>
      </c>
      <c r="D31" s="70">
        <f>SUM(D25:D30)</f>
        <v>31800</v>
      </c>
      <c r="E31" s="70">
        <f>C31-D31</f>
        <v>-1210</v>
      </c>
      <c r="F31" s="69" t="s">
        <v>129</v>
      </c>
      <c r="G31" s="70">
        <f>G23</f>
        <v>29060</v>
      </c>
      <c r="H31" s="70">
        <f>SUM(H25:H29)</f>
        <v>30800</v>
      </c>
      <c r="I31" s="70">
        <f>G31-H31</f>
        <v>-1740</v>
      </c>
    </row>
    <row r="32" spans="1:13" x14ac:dyDescent="0.25">
      <c r="A32" s="118"/>
      <c r="C32" s="101"/>
      <c r="D32" s="101"/>
      <c r="E32" s="101"/>
      <c r="F32" s="101"/>
      <c r="G32" s="101"/>
      <c r="H32" s="101"/>
      <c r="I32" s="101"/>
    </row>
    <row r="33" spans="1:9" x14ac:dyDescent="0.25">
      <c r="A33" s="118"/>
      <c r="C33" s="101"/>
      <c r="D33" s="101"/>
      <c r="E33" s="101"/>
      <c r="F33" s="111" t="s">
        <v>284</v>
      </c>
      <c r="G33" s="101"/>
      <c r="H33" s="101"/>
      <c r="I33" s="101"/>
    </row>
    <row r="34" spans="1:9" x14ac:dyDescent="0.25">
      <c r="A34" s="118"/>
      <c r="H34" s="101"/>
      <c r="I34" s="101"/>
    </row>
    <row r="35" spans="1:9" x14ac:dyDescent="0.25">
      <c r="A35" s="118"/>
      <c r="B35" s="21"/>
      <c r="C35" s="21" t="s">
        <v>33</v>
      </c>
      <c r="D35" s="21" t="s">
        <v>31</v>
      </c>
      <c r="E35" s="58"/>
      <c r="F35" s="45" t="s">
        <v>92</v>
      </c>
      <c r="G35" s="58"/>
      <c r="H35" s="101"/>
      <c r="I35" s="101"/>
    </row>
    <row r="36" spans="1:9" x14ac:dyDescent="0.25">
      <c r="A36" s="101"/>
      <c r="B36" s="114" t="s">
        <v>160</v>
      </c>
      <c r="C36" s="21" t="s">
        <v>34</v>
      </c>
      <c r="D36" s="21" t="s">
        <v>162</v>
      </c>
      <c r="E36" s="58"/>
      <c r="F36" s="45" t="s">
        <v>161</v>
      </c>
      <c r="G36" s="58"/>
      <c r="H36" s="101"/>
      <c r="I36" s="101"/>
    </row>
    <row r="37" spans="1:9" x14ac:dyDescent="0.25">
      <c r="A37" s="58"/>
    </row>
    <row r="38" spans="1:9" x14ac:dyDescent="0.25">
      <c r="A38" s="58"/>
      <c r="H38" s="58"/>
      <c r="I38" s="58"/>
    </row>
    <row r="39" spans="1:9" x14ac:dyDescent="0.25">
      <c r="A39" s="58"/>
      <c r="H39" s="58"/>
      <c r="I39" s="5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7" workbookViewId="0">
      <selection activeCell="H37" sqref="H37"/>
    </sheetView>
  </sheetViews>
  <sheetFormatPr defaultRowHeight="15" x14ac:dyDescent="0.25"/>
  <cols>
    <col min="1" max="1" width="3.28515625" customWidth="1"/>
    <col min="2" max="2" width="13.5703125" customWidth="1"/>
    <col min="3" max="3" width="9" customWidth="1"/>
    <col min="4" max="4" width="9.5703125" customWidth="1"/>
    <col min="5" max="6" width="6.5703125" customWidth="1"/>
    <col min="7" max="7" width="9.7109375" customWidth="1"/>
    <col min="8" max="8" width="9.140625" customWidth="1"/>
    <col min="9" max="9" width="10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313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26" t="s">
        <v>52</v>
      </c>
      <c r="C4" s="58"/>
      <c r="D4" s="14">
        <v>0</v>
      </c>
      <c r="E4" s="1">
        <v>3000</v>
      </c>
      <c r="F4" s="1">
        <v>100</v>
      </c>
      <c r="G4" s="16">
        <f>D4+E4+F4</f>
        <v>3100</v>
      </c>
      <c r="H4" s="80">
        <v>3100</v>
      </c>
      <c r="I4" s="16">
        <f>G4-H4</f>
        <v>0</v>
      </c>
      <c r="J4" s="58"/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6">
        <f>D5+E5+F5</f>
        <v>3100</v>
      </c>
      <c r="H5" s="80">
        <v>3000</v>
      </c>
      <c r="I5" s="16">
        <f>G5-H5</f>
        <v>100</v>
      </c>
    </row>
    <row r="6" spans="1:10" x14ac:dyDescent="0.25">
      <c r="A6" s="1">
        <v>3</v>
      </c>
      <c r="B6" s="128" t="s">
        <v>253</v>
      </c>
      <c r="C6" s="13"/>
      <c r="D6" s="14">
        <v>0</v>
      </c>
      <c r="E6" s="1">
        <v>3000</v>
      </c>
      <c r="F6" s="1">
        <v>100</v>
      </c>
      <c r="G6" s="16">
        <f t="shared" ref="G6:G16" si="0">D6+E6+F6</f>
        <v>3100</v>
      </c>
      <c r="H6" s="80">
        <v>3100</v>
      </c>
      <c r="I6" s="16">
        <f t="shared" ref="I6:I16" si="1">G6-H6</f>
        <v>0</v>
      </c>
      <c r="J6" s="58" t="s">
        <v>311</v>
      </c>
    </row>
    <row r="7" spans="1:10" x14ac:dyDescent="0.25">
      <c r="A7" s="1">
        <v>4</v>
      </c>
      <c r="B7" s="131" t="s">
        <v>288</v>
      </c>
      <c r="C7" s="13"/>
      <c r="D7" s="14">
        <v>200</v>
      </c>
      <c r="E7" s="1">
        <v>3000</v>
      </c>
      <c r="F7" s="1">
        <v>100</v>
      </c>
      <c r="G7" s="16">
        <f>D7+E7+F7</f>
        <v>3300</v>
      </c>
      <c r="H7" s="80"/>
      <c r="I7" s="16">
        <f>G7-H7</f>
        <v>3300</v>
      </c>
      <c r="J7" s="58"/>
    </row>
    <row r="8" spans="1:10" x14ac:dyDescent="0.25">
      <c r="A8" s="1">
        <v>5</v>
      </c>
      <c r="B8" s="130" t="s">
        <v>309</v>
      </c>
      <c r="C8" s="13"/>
      <c r="D8" s="14">
        <v>0</v>
      </c>
      <c r="E8" s="1">
        <v>3000</v>
      </c>
      <c r="F8" s="1">
        <v>100</v>
      </c>
      <c r="G8" s="16">
        <f>D8+E8+F8</f>
        <v>3100</v>
      </c>
      <c r="H8" s="80"/>
      <c r="I8" s="16">
        <f>G8-H8</f>
        <v>3100</v>
      </c>
    </row>
    <row r="9" spans="1:10" x14ac:dyDescent="0.25">
      <c r="A9" s="1">
        <v>6</v>
      </c>
      <c r="B9" s="127" t="s">
        <v>272</v>
      </c>
      <c r="C9" s="13"/>
      <c r="D9" s="14">
        <v>100</v>
      </c>
      <c r="E9" s="1">
        <v>3000</v>
      </c>
      <c r="F9" s="1">
        <v>100</v>
      </c>
      <c r="G9" s="16">
        <f>D9+E9+F9</f>
        <v>3200</v>
      </c>
      <c r="H9" s="80">
        <v>3100</v>
      </c>
      <c r="I9" s="16">
        <f>G9-H9</f>
        <v>100</v>
      </c>
      <c r="J9" s="58" t="s">
        <v>311</v>
      </c>
    </row>
    <row r="10" spans="1:10" x14ac:dyDescent="0.25">
      <c r="A10" s="1">
        <v>7</v>
      </c>
      <c r="B10" s="128" t="s">
        <v>183</v>
      </c>
      <c r="C10" s="13"/>
      <c r="D10" s="14">
        <v>1950</v>
      </c>
      <c r="E10" s="1">
        <v>3000</v>
      </c>
      <c r="F10" s="1">
        <v>100</v>
      </c>
      <c r="G10" s="16">
        <f t="shared" si="0"/>
        <v>5050</v>
      </c>
      <c r="H10" s="80"/>
      <c r="I10" s="16">
        <f t="shared" si="1"/>
        <v>5050</v>
      </c>
      <c r="J10" s="58"/>
    </row>
    <row r="11" spans="1:10" x14ac:dyDescent="0.25">
      <c r="A11" s="1">
        <v>8</v>
      </c>
      <c r="B11" s="130" t="s">
        <v>150</v>
      </c>
      <c r="C11" s="83"/>
      <c r="D11" s="14">
        <v>4051</v>
      </c>
      <c r="E11" s="1">
        <v>3000</v>
      </c>
      <c r="F11" s="1">
        <v>100</v>
      </c>
      <c r="G11" s="16">
        <f t="shared" si="0"/>
        <v>7151</v>
      </c>
      <c r="H11" s="80"/>
      <c r="I11" s="16">
        <f t="shared" si="1"/>
        <v>7151</v>
      </c>
      <c r="J11" s="58"/>
    </row>
    <row r="12" spans="1:10" x14ac:dyDescent="0.25">
      <c r="A12" s="1">
        <v>9</v>
      </c>
      <c r="B12" s="126" t="s">
        <v>113</v>
      </c>
      <c r="C12" s="79"/>
      <c r="D12" s="14">
        <v>100</v>
      </c>
      <c r="E12" s="1">
        <v>3000</v>
      </c>
      <c r="F12" s="1">
        <v>100</v>
      </c>
      <c r="G12" s="16">
        <f t="shared" si="0"/>
        <v>3200</v>
      </c>
      <c r="H12" s="80">
        <v>3200</v>
      </c>
      <c r="I12" s="16">
        <f t="shared" si="1"/>
        <v>0</v>
      </c>
      <c r="J12" s="58"/>
    </row>
    <row r="13" spans="1:10" x14ac:dyDescent="0.25">
      <c r="A13" s="1">
        <v>10</v>
      </c>
      <c r="B13" s="129" t="s">
        <v>192</v>
      </c>
      <c r="C13" s="79"/>
      <c r="D13" s="14">
        <v>4500</v>
      </c>
      <c r="E13" s="1">
        <v>4500</v>
      </c>
      <c r="F13" s="1">
        <v>100</v>
      </c>
      <c r="G13" s="16">
        <f t="shared" si="0"/>
        <v>9100</v>
      </c>
      <c r="H13" s="80">
        <v>3500</v>
      </c>
      <c r="I13" s="16">
        <f t="shared" si="1"/>
        <v>5600</v>
      </c>
      <c r="J13" s="58"/>
    </row>
    <row r="14" spans="1:10" x14ac:dyDescent="0.25">
      <c r="A14" s="1">
        <v>11</v>
      </c>
      <c r="B14" s="129" t="s">
        <v>152</v>
      </c>
      <c r="C14" s="13"/>
      <c r="D14" s="14">
        <v>0</v>
      </c>
      <c r="E14" s="1">
        <v>4500</v>
      </c>
      <c r="F14" s="1">
        <v>100</v>
      </c>
      <c r="G14" s="16">
        <f t="shared" si="0"/>
        <v>4600</v>
      </c>
      <c r="H14" s="80">
        <v>4600</v>
      </c>
      <c r="I14" s="16">
        <f t="shared" si="1"/>
        <v>0</v>
      </c>
      <c r="J14" s="58"/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>D15+E15+F15</f>
        <v>7100</v>
      </c>
      <c r="H15" s="80"/>
      <c r="I15" s="16">
        <f t="shared" si="1"/>
        <v>7100</v>
      </c>
      <c r="J15" s="58" t="s">
        <v>311</v>
      </c>
    </row>
    <row r="16" spans="1:10" x14ac:dyDescent="0.25">
      <c r="A16" s="1">
        <v>13</v>
      </c>
      <c r="B16" s="126" t="s">
        <v>17</v>
      </c>
      <c r="C16" s="58"/>
      <c r="D16" s="14">
        <v>7451</v>
      </c>
      <c r="E16" s="1">
        <v>3500</v>
      </c>
      <c r="F16" s="1">
        <v>100</v>
      </c>
      <c r="G16" s="16">
        <f t="shared" si="0"/>
        <v>11051</v>
      </c>
      <c r="H16" s="80">
        <v>3500</v>
      </c>
      <c r="I16" s="16">
        <f t="shared" si="1"/>
        <v>7551</v>
      </c>
      <c r="J16" s="58"/>
    </row>
    <row r="17" spans="1:10" x14ac:dyDescent="0.25">
      <c r="A17" s="1"/>
      <c r="B17" s="13"/>
      <c r="C17" s="13"/>
      <c r="D17" s="67"/>
      <c r="E17" s="94">
        <f>SUM(E4:E16)</f>
        <v>46500</v>
      </c>
      <c r="F17" s="1">
        <f>F4+F7+F6+F9+F5+F8+F10+F11+F12+F13+F14+F15+F16</f>
        <v>1300</v>
      </c>
      <c r="G17" s="16">
        <f>SUM(G4:G16)</f>
        <v>66152</v>
      </c>
      <c r="H17" s="80">
        <f>SUM(H4:H16)</f>
        <v>27100</v>
      </c>
      <c r="I17" s="16">
        <f>SUM(I4:I16)</f>
        <v>39052</v>
      </c>
      <c r="J17" s="58"/>
    </row>
    <row r="18" spans="1:10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</row>
    <row r="19" spans="1:10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106" t="s">
        <v>122</v>
      </c>
      <c r="G19" s="106" t="s">
        <v>123</v>
      </c>
      <c r="H19" s="106" t="s">
        <v>124</v>
      </c>
      <c r="I19" s="106" t="s">
        <v>125</v>
      </c>
      <c r="J19" s="58"/>
    </row>
    <row r="20" spans="1:10" x14ac:dyDescent="0.25">
      <c r="A20" s="43"/>
      <c r="B20" s="1" t="s">
        <v>274</v>
      </c>
      <c r="C20" s="16">
        <f>E17</f>
        <v>46500</v>
      </c>
      <c r="D20" s="1"/>
      <c r="E20" s="1"/>
      <c r="F20" s="1" t="s">
        <v>274</v>
      </c>
      <c r="G20" s="16">
        <f>H17</f>
        <v>27100</v>
      </c>
      <c r="H20" s="1"/>
      <c r="I20" s="1"/>
      <c r="J20" s="58"/>
    </row>
    <row r="21" spans="1:10" x14ac:dyDescent="0.25">
      <c r="A21" s="43"/>
      <c r="B21" s="1" t="s">
        <v>282</v>
      </c>
      <c r="C21" s="16">
        <f>AUGUST!E31</f>
        <v>-1210</v>
      </c>
      <c r="D21" s="1"/>
      <c r="E21" s="1"/>
      <c r="F21" s="1" t="s">
        <v>296</v>
      </c>
      <c r="G21" s="16">
        <f>AUGUST!I31</f>
        <v>-1740</v>
      </c>
      <c r="H21" s="1"/>
      <c r="I21" s="1"/>
      <c r="J21" s="58"/>
    </row>
    <row r="22" spans="1:10" x14ac:dyDescent="0.25">
      <c r="A22" s="43"/>
      <c r="B22" s="1" t="s">
        <v>127</v>
      </c>
      <c r="C22" s="107">
        <v>0.1</v>
      </c>
      <c r="D22" s="16">
        <f>C20*C22</f>
        <v>4650</v>
      </c>
      <c r="E22" s="1"/>
      <c r="F22" s="1" t="s">
        <v>127</v>
      </c>
      <c r="G22" s="107">
        <v>0.1</v>
      </c>
      <c r="H22" s="16">
        <f>G20*G22</f>
        <v>2710</v>
      </c>
      <c r="I22" s="1"/>
      <c r="J22" s="58"/>
    </row>
    <row r="23" spans="1:10" x14ac:dyDescent="0.25">
      <c r="A23" s="43"/>
      <c r="B23" s="113" t="s">
        <v>188</v>
      </c>
      <c r="C23" s="16">
        <f>C20+C21-D22</f>
        <v>40640</v>
      </c>
      <c r="D23" s="1"/>
      <c r="E23" s="1"/>
      <c r="F23" s="113" t="s">
        <v>188</v>
      </c>
      <c r="G23" s="16">
        <f>G20+G21-H22</f>
        <v>22650</v>
      </c>
      <c r="H23" s="1"/>
      <c r="I23" s="1"/>
      <c r="J23" s="58"/>
    </row>
    <row r="24" spans="1:10" x14ac:dyDescent="0.25">
      <c r="A24" s="118"/>
      <c r="B24" s="69" t="s">
        <v>128</v>
      </c>
      <c r="C24" s="1" t="s">
        <v>206</v>
      </c>
      <c r="D24" s="1"/>
      <c r="E24" s="1"/>
      <c r="F24" s="69" t="s">
        <v>128</v>
      </c>
      <c r="G24" s="1" t="s">
        <v>206</v>
      </c>
      <c r="H24" s="1"/>
      <c r="I24" s="1"/>
      <c r="J24" s="58"/>
    </row>
    <row r="25" spans="1:10" x14ac:dyDescent="0.25">
      <c r="A25" s="118"/>
      <c r="B25" s="69" t="s">
        <v>134</v>
      </c>
      <c r="C25" s="1"/>
      <c r="D25" s="1">
        <v>11110</v>
      </c>
      <c r="E25" s="1"/>
      <c r="F25" s="69" t="s">
        <v>134</v>
      </c>
      <c r="G25" s="1"/>
      <c r="H25" s="1">
        <v>11110</v>
      </c>
      <c r="I25" s="1"/>
      <c r="J25" s="58"/>
    </row>
    <row r="26" spans="1:10" x14ac:dyDescent="0.25">
      <c r="A26" s="118"/>
      <c r="B26" s="1" t="s">
        <v>303</v>
      </c>
      <c r="C26" s="1"/>
      <c r="D26" s="1">
        <v>3000</v>
      </c>
      <c r="E26" s="1"/>
      <c r="F26" s="1" t="s">
        <v>303</v>
      </c>
      <c r="G26" s="1"/>
      <c r="H26" s="1">
        <v>3000</v>
      </c>
      <c r="I26" s="1"/>
      <c r="J26" s="58"/>
    </row>
    <row r="27" spans="1:10" x14ac:dyDescent="0.25">
      <c r="A27" s="43"/>
      <c r="B27" s="113" t="s">
        <v>308</v>
      </c>
      <c r="C27" s="1"/>
      <c r="D27" s="1">
        <v>3500</v>
      </c>
      <c r="E27" s="1"/>
      <c r="F27" s="113" t="s">
        <v>308</v>
      </c>
      <c r="G27" s="1"/>
      <c r="H27" s="1">
        <v>3500</v>
      </c>
      <c r="I27" s="1"/>
      <c r="J27" s="58"/>
    </row>
    <row r="28" spans="1:10" x14ac:dyDescent="0.25">
      <c r="A28" s="43"/>
      <c r="B28" s="1" t="s">
        <v>314</v>
      </c>
      <c r="C28" s="1"/>
      <c r="D28" s="1">
        <v>13730</v>
      </c>
      <c r="E28" s="1"/>
      <c r="F28" s="1" t="s">
        <v>314</v>
      </c>
      <c r="G28" s="1"/>
      <c r="H28" s="1">
        <v>13730</v>
      </c>
      <c r="I28" s="1"/>
      <c r="J28" s="58"/>
    </row>
    <row r="29" spans="1:10" x14ac:dyDescent="0.25">
      <c r="A29" s="43"/>
      <c r="B29" s="110" t="s">
        <v>92</v>
      </c>
      <c r="D29" s="110">
        <v>3000</v>
      </c>
      <c r="E29" s="1"/>
      <c r="F29" s="110" t="s">
        <v>92</v>
      </c>
      <c r="G29" s="58"/>
      <c r="H29" s="110">
        <v>3000</v>
      </c>
      <c r="I29" s="1"/>
      <c r="J29" s="58"/>
    </row>
    <row r="30" spans="1:10" x14ac:dyDescent="0.25">
      <c r="A30" s="43"/>
      <c r="B30" s="113" t="s">
        <v>128</v>
      </c>
      <c r="C30" s="1"/>
      <c r="D30" s="1">
        <v>6300</v>
      </c>
      <c r="E30" s="1"/>
      <c r="F30" s="113"/>
      <c r="G30" s="1"/>
      <c r="H30" s="1"/>
      <c r="I30" s="1"/>
      <c r="J30" s="58"/>
    </row>
    <row r="31" spans="1:10" x14ac:dyDescent="0.25">
      <c r="A31" s="118"/>
      <c r="B31" s="69" t="s">
        <v>129</v>
      </c>
      <c r="C31" s="70">
        <f>C23</f>
        <v>40640</v>
      </c>
      <c r="D31" s="70">
        <f>SUM(D25:D30)</f>
        <v>40640</v>
      </c>
      <c r="E31" s="70">
        <f>C31-D31</f>
        <v>0</v>
      </c>
      <c r="F31" s="69" t="s">
        <v>129</v>
      </c>
      <c r="G31" s="70">
        <f>G23</f>
        <v>22650</v>
      </c>
      <c r="H31" s="70">
        <f>SUM(H25:H29)</f>
        <v>34340</v>
      </c>
      <c r="I31" s="70">
        <f>G31-H31</f>
        <v>-11690</v>
      </c>
      <c r="J31" s="58"/>
    </row>
    <row r="33" spans="2:7" x14ac:dyDescent="0.25">
      <c r="B33" s="21"/>
      <c r="C33" s="21" t="s">
        <v>33</v>
      </c>
      <c r="D33" s="21" t="s">
        <v>31</v>
      </c>
      <c r="E33" s="58"/>
      <c r="F33" s="45" t="s">
        <v>92</v>
      </c>
      <c r="G33" s="58"/>
    </row>
    <row r="34" spans="2:7" x14ac:dyDescent="0.25">
      <c r="B34" s="114" t="s">
        <v>160</v>
      </c>
      <c r="C34" s="21" t="s">
        <v>34</v>
      </c>
      <c r="D34" s="21" t="s">
        <v>162</v>
      </c>
      <c r="E34" s="58"/>
      <c r="F34" s="45" t="s">
        <v>161</v>
      </c>
      <c r="G34" s="58"/>
    </row>
    <row r="35" spans="2:7" x14ac:dyDescent="0.25">
      <c r="B35" s="58"/>
      <c r="C35" s="58"/>
      <c r="D35" s="58"/>
      <c r="E35" s="58"/>
      <c r="F35" s="58"/>
      <c r="G35" s="58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10" workbookViewId="0">
      <selection activeCell="A2" sqref="A2:G40"/>
    </sheetView>
  </sheetViews>
  <sheetFormatPr defaultRowHeight="15" x14ac:dyDescent="0.25"/>
  <cols>
    <col min="2" max="2" width="20.140625" customWidth="1"/>
    <col min="5" max="5" width="14.7109375" customWidth="1"/>
    <col min="6" max="6" width="15.42578125" customWidth="1"/>
    <col min="9" max="9" width="10.5703125" bestFit="1" customWidth="1"/>
  </cols>
  <sheetData>
    <row r="1" spans="1:11" x14ac:dyDescent="0.25">
      <c r="A1" s="58"/>
      <c r="B1" s="58"/>
      <c r="C1" s="58"/>
      <c r="D1" s="58"/>
      <c r="E1" s="58"/>
      <c r="F1" s="58"/>
      <c r="G1" s="58"/>
    </row>
    <row r="2" spans="1:11" ht="31.5" x14ac:dyDescent="0.5">
      <c r="A2" s="21"/>
      <c r="B2" s="21"/>
      <c r="C2" s="21"/>
      <c r="D2" s="27"/>
      <c r="E2" s="28" t="s">
        <v>19</v>
      </c>
      <c r="F2" s="28"/>
      <c r="G2" s="21"/>
    </row>
    <row r="3" spans="1:11" ht="15.75" x14ac:dyDescent="0.3">
      <c r="A3" s="21"/>
      <c r="B3" s="21"/>
      <c r="C3" s="23"/>
      <c r="D3" s="29" t="s">
        <v>20</v>
      </c>
      <c r="E3" s="29"/>
      <c r="F3" s="30"/>
      <c r="G3" s="21"/>
    </row>
    <row r="4" spans="1:11" x14ac:dyDescent="0.25">
      <c r="A4" s="21"/>
      <c r="B4" s="21"/>
      <c r="C4" s="21"/>
      <c r="D4" s="25" t="s">
        <v>21</v>
      </c>
      <c r="E4" s="24"/>
      <c r="F4" s="24"/>
      <c r="G4" s="21"/>
    </row>
    <row r="5" spans="1:11" x14ac:dyDescent="0.25">
      <c r="A5" s="21"/>
      <c r="B5" s="21"/>
      <c r="C5" s="24"/>
      <c r="D5" s="26" t="s">
        <v>22</v>
      </c>
      <c r="E5" s="26"/>
      <c r="F5" s="24"/>
      <c r="G5" s="21"/>
    </row>
    <row r="6" spans="1:11" x14ac:dyDescent="0.25">
      <c r="A6" s="31" t="s">
        <v>47</v>
      </c>
      <c r="B6" s="58"/>
      <c r="C6" s="31"/>
      <c r="D6" s="58"/>
      <c r="E6" s="31"/>
      <c r="F6" s="32"/>
      <c r="G6" s="31"/>
    </row>
    <row r="7" spans="1:11" ht="23.25" x14ac:dyDescent="0.35">
      <c r="A7" s="33" t="s">
        <v>45</v>
      </c>
      <c r="B7" s="35"/>
      <c r="C7" s="34"/>
      <c r="D7" s="34"/>
      <c r="E7" s="37"/>
      <c r="F7" s="35"/>
      <c r="G7" s="58"/>
    </row>
    <row r="8" spans="1:11" x14ac:dyDescent="0.25">
      <c r="A8" s="58"/>
      <c r="B8" s="58"/>
      <c r="C8" s="58"/>
      <c r="D8" s="58"/>
      <c r="E8" s="58"/>
      <c r="F8" s="58"/>
      <c r="G8" s="58"/>
    </row>
    <row r="9" spans="1:11" x14ac:dyDescent="0.25">
      <c r="A9" s="1"/>
      <c r="B9" s="8" t="s">
        <v>0</v>
      </c>
      <c r="C9" s="9" t="s">
        <v>1</v>
      </c>
      <c r="D9" s="8" t="s">
        <v>2</v>
      </c>
      <c r="E9" s="8" t="s">
        <v>3</v>
      </c>
      <c r="F9" s="10" t="s">
        <v>4</v>
      </c>
      <c r="G9" s="8" t="s">
        <v>5</v>
      </c>
    </row>
    <row r="10" spans="1:11" x14ac:dyDescent="0.25">
      <c r="A10" s="1"/>
      <c r="B10" s="11"/>
      <c r="C10" s="11"/>
      <c r="D10" s="11"/>
      <c r="E10" s="12"/>
      <c r="F10" s="11"/>
      <c r="G10" s="12"/>
    </row>
    <row r="11" spans="1:11" x14ac:dyDescent="0.25">
      <c r="A11" s="1">
        <v>1</v>
      </c>
      <c r="B11" s="13" t="s">
        <v>6</v>
      </c>
      <c r="C11" s="14">
        <v>0</v>
      </c>
      <c r="D11" s="1">
        <v>1500</v>
      </c>
      <c r="E11" s="15">
        <v>1500</v>
      </c>
      <c r="F11" s="1"/>
      <c r="G11" s="16">
        <f>D11-E11</f>
        <v>0</v>
      </c>
    </row>
    <row r="12" spans="1:11" x14ac:dyDescent="0.25">
      <c r="A12" s="1">
        <v>2</v>
      </c>
      <c r="B12" s="13" t="s">
        <v>8</v>
      </c>
      <c r="C12" s="14">
        <v>0</v>
      </c>
      <c r="D12" s="1">
        <v>1500</v>
      </c>
      <c r="E12" s="15">
        <v>1500</v>
      </c>
      <c r="F12" s="1"/>
      <c r="G12" s="16">
        <f t="shared" ref="G12:G23" si="0">D12-E12</f>
        <v>0</v>
      </c>
      <c r="I12">
        <v>13000</v>
      </c>
      <c r="K12">
        <v>8260</v>
      </c>
    </row>
    <row r="13" spans="1:11" x14ac:dyDescent="0.25">
      <c r="A13" s="1">
        <v>3</v>
      </c>
      <c r="B13" s="13" t="s">
        <v>9</v>
      </c>
      <c r="C13" s="14">
        <v>0</v>
      </c>
      <c r="D13" s="1">
        <v>1500</v>
      </c>
      <c r="E13" s="15">
        <v>1500</v>
      </c>
      <c r="F13" s="1"/>
      <c r="G13" s="16">
        <f t="shared" si="0"/>
        <v>0</v>
      </c>
      <c r="I13">
        <v>3</v>
      </c>
      <c r="K13">
        <v>7500</v>
      </c>
    </row>
    <row r="14" spans="1:11" x14ac:dyDescent="0.25">
      <c r="A14" s="1">
        <v>4</v>
      </c>
      <c r="B14" s="13" t="s">
        <v>10</v>
      </c>
      <c r="C14" s="14">
        <v>0</v>
      </c>
      <c r="D14" s="1">
        <v>1500</v>
      </c>
      <c r="E14" s="15">
        <v>1500</v>
      </c>
      <c r="F14" s="1"/>
      <c r="G14" s="16">
        <f t="shared" si="0"/>
        <v>0</v>
      </c>
      <c r="I14">
        <f>I12*I13</f>
        <v>39000</v>
      </c>
      <c r="K14">
        <v>150</v>
      </c>
    </row>
    <row r="15" spans="1:11" x14ac:dyDescent="0.25">
      <c r="A15" s="1">
        <v>5</v>
      </c>
      <c r="B15" s="13" t="s">
        <v>11</v>
      </c>
      <c r="C15" s="14">
        <v>0</v>
      </c>
      <c r="D15" s="1">
        <v>1500</v>
      </c>
      <c r="E15" s="68">
        <v>1500</v>
      </c>
      <c r="F15" s="1"/>
      <c r="G15" s="16">
        <f t="shared" si="0"/>
        <v>0</v>
      </c>
      <c r="I15" s="73">
        <v>17000</v>
      </c>
      <c r="J15">
        <v>650</v>
      </c>
      <c r="K15">
        <f>K12-K13-K14</f>
        <v>610</v>
      </c>
    </row>
    <row r="16" spans="1:11" x14ac:dyDescent="0.25">
      <c r="A16" s="1">
        <v>6</v>
      </c>
      <c r="B16" s="13" t="s">
        <v>12</v>
      </c>
      <c r="C16" s="14">
        <v>0</v>
      </c>
      <c r="D16" s="1">
        <v>4000</v>
      </c>
      <c r="E16" s="68">
        <v>4000</v>
      </c>
      <c r="F16" s="1"/>
      <c r="G16" s="16">
        <f t="shared" si="0"/>
        <v>0</v>
      </c>
      <c r="I16" s="73">
        <f>I14-I15</f>
        <v>22000</v>
      </c>
      <c r="J16">
        <v>3</v>
      </c>
    </row>
    <row r="17" spans="1:12" x14ac:dyDescent="0.25">
      <c r="A17" s="1">
        <v>7</v>
      </c>
      <c r="B17" s="13" t="s">
        <v>14</v>
      </c>
      <c r="C17" s="14">
        <v>0</v>
      </c>
      <c r="D17" s="1">
        <v>1500</v>
      </c>
      <c r="E17" s="68">
        <v>1500</v>
      </c>
      <c r="F17" s="1"/>
      <c r="G17" s="16">
        <f t="shared" si="0"/>
        <v>0</v>
      </c>
      <c r="J17">
        <f>J15*J16</f>
        <v>1950</v>
      </c>
    </row>
    <row r="18" spans="1:12" x14ac:dyDescent="0.25">
      <c r="A18" s="1">
        <v>8</v>
      </c>
      <c r="B18" s="13" t="s">
        <v>13</v>
      </c>
      <c r="C18" s="14">
        <v>0</v>
      </c>
      <c r="D18" s="1">
        <v>2500</v>
      </c>
      <c r="E18" s="15">
        <v>2500</v>
      </c>
      <c r="F18" s="1"/>
      <c r="G18" s="16">
        <f t="shared" si="0"/>
        <v>0</v>
      </c>
      <c r="J18" s="73">
        <f>I16+J17</f>
        <v>23950</v>
      </c>
    </row>
    <row r="19" spans="1:12" x14ac:dyDescent="0.25">
      <c r="A19" s="1">
        <v>9</v>
      </c>
      <c r="B19" s="17" t="s">
        <v>15</v>
      </c>
      <c r="C19" s="14">
        <v>0</v>
      </c>
      <c r="D19" s="1">
        <v>2500</v>
      </c>
      <c r="E19" s="15">
        <v>2500</v>
      </c>
      <c r="F19" s="1"/>
      <c r="G19" s="16">
        <f t="shared" si="0"/>
        <v>0</v>
      </c>
    </row>
    <row r="20" spans="1:12" s="58" customFormat="1" x14ac:dyDescent="0.25">
      <c r="A20" s="1">
        <v>10</v>
      </c>
      <c r="B20" s="17" t="s">
        <v>48</v>
      </c>
      <c r="C20" s="14"/>
      <c r="D20" s="1">
        <v>1500</v>
      </c>
      <c r="E20" s="15">
        <v>1500</v>
      </c>
      <c r="F20" s="1"/>
      <c r="G20" s="16">
        <f t="shared" si="0"/>
        <v>0</v>
      </c>
    </row>
    <row r="21" spans="1:12" x14ac:dyDescent="0.25">
      <c r="A21" s="1">
        <v>11</v>
      </c>
      <c r="B21" s="13" t="s">
        <v>17</v>
      </c>
      <c r="C21" s="14">
        <v>0</v>
      </c>
      <c r="D21" s="1">
        <v>3500</v>
      </c>
      <c r="E21" s="15">
        <v>3500</v>
      </c>
      <c r="F21" s="1"/>
      <c r="G21" s="16">
        <f t="shared" si="0"/>
        <v>0</v>
      </c>
    </row>
    <row r="22" spans="1:12" x14ac:dyDescent="0.25">
      <c r="A22" s="1">
        <v>12</v>
      </c>
      <c r="B22" s="13" t="s">
        <v>18</v>
      </c>
      <c r="C22" s="14">
        <v>0</v>
      </c>
      <c r="D22" s="1">
        <v>1500</v>
      </c>
      <c r="E22" s="15">
        <v>1500</v>
      </c>
      <c r="F22" s="1"/>
      <c r="G22" s="16">
        <f t="shared" si="0"/>
        <v>0</v>
      </c>
    </row>
    <row r="23" spans="1:12" s="58" customFormat="1" x14ac:dyDescent="0.25">
      <c r="A23" s="1">
        <v>13</v>
      </c>
      <c r="B23" s="13" t="s">
        <v>41</v>
      </c>
      <c r="C23" s="14"/>
      <c r="D23" s="1">
        <v>1500</v>
      </c>
      <c r="E23" s="15">
        <v>1500</v>
      </c>
      <c r="F23" s="1"/>
      <c r="G23" s="16">
        <f t="shared" si="0"/>
        <v>0</v>
      </c>
    </row>
    <row r="24" spans="1:12" x14ac:dyDescent="0.25">
      <c r="A24" s="1"/>
      <c r="B24" s="13"/>
      <c r="C24" s="67">
        <f>SUM(C10:C22)</f>
        <v>0</v>
      </c>
      <c r="D24" s="17">
        <f>SUM(D10:D23)</f>
        <v>26000</v>
      </c>
      <c r="E24" s="68">
        <f>SUM(E11:E23)</f>
        <v>26000</v>
      </c>
      <c r="F24" s="69"/>
      <c r="G24" s="70">
        <f>SUM(G10:G23)</f>
        <v>0</v>
      </c>
    </row>
    <row r="25" spans="1:12" x14ac:dyDescent="0.25">
      <c r="A25" s="1"/>
      <c r="B25" s="11"/>
      <c r="C25" s="11"/>
      <c r="D25" s="11"/>
      <c r="E25" s="12"/>
      <c r="F25" s="1"/>
      <c r="G25" s="16"/>
    </row>
    <row r="26" spans="1:12" x14ac:dyDescent="0.25">
      <c r="A26" s="58"/>
      <c r="B26" s="58"/>
      <c r="C26" s="58"/>
      <c r="D26" s="58"/>
      <c r="E26" s="58"/>
      <c r="F26" s="58"/>
      <c r="G26" s="58"/>
    </row>
    <row r="27" spans="1:12" ht="15.75" x14ac:dyDescent="0.25">
      <c r="A27" s="58"/>
      <c r="B27" s="58"/>
      <c r="C27" s="19" t="s">
        <v>24</v>
      </c>
      <c r="D27" s="38"/>
      <c r="E27" s="39"/>
      <c r="F27" s="39"/>
      <c r="G27" s="40"/>
    </row>
    <row r="28" spans="1:12" x14ac:dyDescent="0.25">
      <c r="A28" s="43"/>
      <c r="B28" s="21" t="s">
        <v>25</v>
      </c>
      <c r="C28" s="41"/>
      <c r="D28" s="58"/>
      <c r="E28" s="44">
        <f>E24</f>
        <v>26000</v>
      </c>
      <c r="F28" s="45">
        <v>7000</v>
      </c>
      <c r="G28" s="72"/>
      <c r="I28" s="45"/>
      <c r="J28">
        <v>16500</v>
      </c>
      <c r="K28">
        <v>7000</v>
      </c>
      <c r="L28">
        <f>J28+K28</f>
        <v>23500</v>
      </c>
    </row>
    <row r="29" spans="1:12" x14ac:dyDescent="0.25">
      <c r="A29" s="43"/>
      <c r="B29" s="21" t="s">
        <v>36</v>
      </c>
      <c r="C29" s="57">
        <v>0.1</v>
      </c>
      <c r="D29" s="58"/>
      <c r="E29" s="44">
        <f>E28*C29</f>
        <v>2600</v>
      </c>
      <c r="F29" s="45"/>
      <c r="G29" s="47"/>
    </row>
    <row r="30" spans="1:12" x14ac:dyDescent="0.25">
      <c r="A30" s="43"/>
      <c r="B30" s="21" t="s">
        <v>27</v>
      </c>
      <c r="C30" s="41"/>
      <c r="D30" s="58"/>
      <c r="E30" s="42"/>
      <c r="F30" s="45"/>
      <c r="G30" s="47"/>
    </row>
    <row r="31" spans="1:12" x14ac:dyDescent="0.25">
      <c r="A31" s="43"/>
      <c r="B31" s="47" t="s">
        <v>28</v>
      </c>
      <c r="C31" s="58"/>
      <c r="D31" s="58"/>
      <c r="E31" s="58"/>
      <c r="F31" s="58"/>
      <c r="G31" s="47"/>
    </row>
    <row r="32" spans="1:12" x14ac:dyDescent="0.25">
      <c r="A32" s="43"/>
      <c r="B32" s="21" t="s">
        <v>49</v>
      </c>
      <c r="C32" s="41"/>
      <c r="D32" s="58"/>
      <c r="E32" s="58">
        <v>13000</v>
      </c>
      <c r="F32" s="58"/>
      <c r="G32" s="47"/>
    </row>
    <row r="33" spans="1:7" ht="16.5" x14ac:dyDescent="0.35">
      <c r="A33" s="43"/>
      <c r="B33" s="21" t="s">
        <v>43</v>
      </c>
      <c r="C33" s="41"/>
      <c r="D33" s="58"/>
      <c r="E33" s="51">
        <v>3500</v>
      </c>
      <c r="F33" s="58"/>
      <c r="G33" s="47"/>
    </row>
    <row r="34" spans="1:7" x14ac:dyDescent="0.25">
      <c r="A34" s="43"/>
      <c r="B34" s="21" t="s">
        <v>50</v>
      </c>
      <c r="C34" s="58"/>
      <c r="D34" s="58"/>
      <c r="E34" s="45">
        <f>E28-E29-E32-E33</f>
        <v>6900</v>
      </c>
      <c r="F34" s="58"/>
      <c r="G34" s="58"/>
    </row>
    <row r="35" spans="1:7" x14ac:dyDescent="0.25">
      <c r="A35" s="43"/>
      <c r="B35" s="21" t="s">
        <v>51</v>
      </c>
      <c r="C35" s="58"/>
      <c r="D35" s="58"/>
      <c r="E35" s="45">
        <f>E28-E29</f>
        <v>23400</v>
      </c>
      <c r="F35" s="58"/>
      <c r="G35" s="36"/>
    </row>
    <row r="36" spans="1:7" x14ac:dyDescent="0.25">
      <c r="A36" s="55" t="s">
        <v>30</v>
      </c>
      <c r="B36" s="58"/>
      <c r="C36" s="58"/>
      <c r="D36" s="58"/>
      <c r="E36" s="56" t="s">
        <v>31</v>
      </c>
      <c r="F36" s="56"/>
      <c r="G36" s="53"/>
    </row>
    <row r="37" spans="1:7" x14ac:dyDescent="0.25">
      <c r="A37" s="58"/>
      <c r="B37" s="58"/>
      <c r="C37" s="58"/>
      <c r="D37" s="58"/>
      <c r="E37" s="58"/>
      <c r="F37" s="58"/>
      <c r="G37" s="58"/>
    </row>
    <row r="38" spans="1:7" x14ac:dyDescent="0.25">
      <c r="A38" s="56" t="s">
        <v>46</v>
      </c>
      <c r="B38" s="58"/>
      <c r="C38" s="58"/>
      <c r="D38" s="58"/>
      <c r="E38" s="56" t="s">
        <v>33</v>
      </c>
      <c r="F38" s="56"/>
      <c r="G38" s="56"/>
    </row>
    <row r="39" spans="1:7" x14ac:dyDescent="0.25">
      <c r="A39" s="56" t="s">
        <v>34</v>
      </c>
      <c r="B39" s="58"/>
      <c r="C39" s="58"/>
      <c r="D39" s="58"/>
      <c r="E39" s="56" t="s">
        <v>34</v>
      </c>
      <c r="F39" s="56"/>
      <c r="G39" s="58"/>
    </row>
    <row r="40" spans="1:7" x14ac:dyDescent="0.25">
      <c r="A40" s="58" t="s">
        <v>35</v>
      </c>
      <c r="B40" s="58"/>
      <c r="C40" s="58"/>
      <c r="D40" s="58"/>
      <c r="E40" s="58"/>
      <c r="F40" s="58"/>
      <c r="G40" s="56"/>
    </row>
    <row r="56" spans="5:8" x14ac:dyDescent="0.25">
      <c r="E56">
        <v>7000</v>
      </c>
      <c r="F56" s="71">
        <v>0.1</v>
      </c>
      <c r="G56">
        <f>E56*F56</f>
        <v>700</v>
      </c>
      <c r="H56">
        <f>E56-G56</f>
        <v>6300</v>
      </c>
    </row>
  </sheetData>
  <pageMargins left="0.7" right="0.7" top="0.75" bottom="0.75" header="0.3" footer="0.3"/>
  <pageSetup orientation="portrait" horizontalDpi="120" verticalDpi="72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H30" sqref="H30"/>
    </sheetView>
  </sheetViews>
  <sheetFormatPr defaultRowHeight="15" x14ac:dyDescent="0.25"/>
  <cols>
    <col min="1" max="1" width="4.42578125" customWidth="1"/>
    <col min="2" max="2" width="11.85546875" customWidth="1"/>
    <col min="6" max="6" width="16.140625" customWidth="1"/>
    <col min="7" max="7" width="11" customWidth="1"/>
    <col min="9" max="9" width="9.85546875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316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26" t="s">
        <v>52</v>
      </c>
      <c r="C4" s="58"/>
      <c r="D4" s="14"/>
      <c r="E4" s="1">
        <v>3000</v>
      </c>
      <c r="F4" s="1">
        <v>100</v>
      </c>
      <c r="G4" s="16">
        <f>D4+E4+F4</f>
        <v>3100</v>
      </c>
      <c r="H4" s="80">
        <v>3100</v>
      </c>
      <c r="I4" s="16">
        <f>G4-H4</f>
        <v>0</v>
      </c>
      <c r="J4" s="58"/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6">
        <f>D5+E5+F5</f>
        <v>3100</v>
      </c>
      <c r="H5" s="80">
        <v>3100</v>
      </c>
      <c r="I5" s="16">
        <f>G5-H5</f>
        <v>0</v>
      </c>
      <c r="J5" s="58"/>
    </row>
    <row r="6" spans="1:10" x14ac:dyDescent="0.25">
      <c r="A6" s="1">
        <v>3</v>
      </c>
      <c r="B6" s="128" t="s">
        <v>253</v>
      </c>
      <c r="C6" s="13"/>
      <c r="D6" s="14"/>
      <c r="E6" s="1">
        <v>3000</v>
      </c>
      <c r="F6" s="1">
        <v>100</v>
      </c>
      <c r="G6" s="16">
        <f t="shared" ref="G6:G16" si="0">D6+E6+F6</f>
        <v>3100</v>
      </c>
      <c r="H6" s="80">
        <v>0</v>
      </c>
      <c r="I6" s="16">
        <f t="shared" ref="I6:I16" si="1">G6-H6</f>
        <v>3100</v>
      </c>
      <c r="J6" s="58" t="s">
        <v>311</v>
      </c>
    </row>
    <row r="7" spans="1:10" x14ac:dyDescent="0.25">
      <c r="A7" s="1">
        <v>4</v>
      </c>
      <c r="B7" s="131" t="s">
        <v>288</v>
      </c>
      <c r="C7" s="13"/>
      <c r="D7" s="14"/>
      <c r="E7" s="1">
        <v>3000</v>
      </c>
      <c r="F7" s="1">
        <v>100</v>
      </c>
      <c r="G7" s="16">
        <f>D7+E7+F7</f>
        <v>3100</v>
      </c>
      <c r="H7" s="80">
        <v>0</v>
      </c>
      <c r="I7" s="16">
        <f>G7-H7</f>
        <v>3100</v>
      </c>
      <c r="J7" s="58" t="s">
        <v>311</v>
      </c>
    </row>
    <row r="8" spans="1:10" x14ac:dyDescent="0.25">
      <c r="A8" s="1">
        <v>5</v>
      </c>
      <c r="B8" s="127" t="s">
        <v>272</v>
      </c>
      <c r="C8" s="13"/>
      <c r="D8" s="14"/>
      <c r="E8" s="1">
        <v>3000</v>
      </c>
      <c r="F8" s="1">
        <v>100</v>
      </c>
      <c r="G8" s="16">
        <f>D8+E8+F8</f>
        <v>3100</v>
      </c>
      <c r="H8" s="80">
        <v>0</v>
      </c>
      <c r="I8" s="16">
        <f>G8-H8</f>
        <v>3100</v>
      </c>
      <c r="J8" s="58"/>
    </row>
    <row r="9" spans="1:10" x14ac:dyDescent="0.25">
      <c r="A9" s="1">
        <v>6</v>
      </c>
      <c r="B9" s="1" t="s">
        <v>309</v>
      </c>
      <c r="C9" s="1"/>
      <c r="D9" s="1"/>
      <c r="E9" s="1">
        <v>2500</v>
      </c>
      <c r="F9" s="1">
        <v>0</v>
      </c>
      <c r="G9" s="16">
        <f>D9+E9+F9</f>
        <v>2500</v>
      </c>
      <c r="H9" s="80">
        <v>0</v>
      </c>
      <c r="I9" s="16">
        <f>G9-H9</f>
        <v>2500</v>
      </c>
      <c r="J9" s="58"/>
    </row>
    <row r="10" spans="1:10" x14ac:dyDescent="0.25">
      <c r="A10" s="1">
        <v>7</v>
      </c>
      <c r="B10" s="128" t="s">
        <v>183</v>
      </c>
      <c r="C10" s="13"/>
      <c r="D10" s="14"/>
      <c r="E10" s="1">
        <v>3000</v>
      </c>
      <c r="F10" s="1">
        <v>100</v>
      </c>
      <c r="G10" s="16">
        <f t="shared" si="0"/>
        <v>3100</v>
      </c>
      <c r="H10" s="80">
        <v>3000</v>
      </c>
      <c r="I10" s="16">
        <f t="shared" si="1"/>
        <v>100</v>
      </c>
      <c r="J10" s="58"/>
    </row>
    <row r="11" spans="1:10" x14ac:dyDescent="0.25">
      <c r="A11" s="1">
        <v>8</v>
      </c>
      <c r="B11" s="130" t="s">
        <v>150</v>
      </c>
      <c r="C11" s="83"/>
      <c r="D11" s="14"/>
      <c r="E11" s="1">
        <v>3000</v>
      </c>
      <c r="F11" s="1">
        <v>100</v>
      </c>
      <c r="G11" s="16">
        <f t="shared" si="0"/>
        <v>3100</v>
      </c>
      <c r="H11" s="80">
        <v>3100</v>
      </c>
      <c r="I11" s="16">
        <f>G11-H11</f>
        <v>0</v>
      </c>
      <c r="J11" s="58" t="s">
        <v>311</v>
      </c>
    </row>
    <row r="12" spans="1:10" x14ac:dyDescent="0.25">
      <c r="A12" s="1">
        <v>9</v>
      </c>
      <c r="B12" s="126" t="s">
        <v>113</v>
      </c>
      <c r="C12" s="79"/>
      <c r="D12" s="14"/>
      <c r="E12" s="1">
        <v>3000</v>
      </c>
      <c r="F12" s="1">
        <v>100</v>
      </c>
      <c r="G12" s="16">
        <f t="shared" si="0"/>
        <v>3100</v>
      </c>
      <c r="H12" s="80">
        <v>3000</v>
      </c>
      <c r="I12" s="16">
        <f t="shared" si="1"/>
        <v>100</v>
      </c>
      <c r="J12" s="58"/>
    </row>
    <row r="13" spans="1:10" x14ac:dyDescent="0.25">
      <c r="A13" s="1">
        <v>10</v>
      </c>
      <c r="B13" s="129" t="s">
        <v>192</v>
      </c>
      <c r="C13" s="79"/>
      <c r="D13" s="14"/>
      <c r="E13" s="1">
        <v>4500</v>
      </c>
      <c r="F13" s="1">
        <v>100</v>
      </c>
      <c r="G13" s="16">
        <f t="shared" si="0"/>
        <v>4600</v>
      </c>
      <c r="H13" s="80">
        <v>4600</v>
      </c>
      <c r="I13" s="16">
        <f>G13-H13</f>
        <v>0</v>
      </c>
      <c r="J13" s="58"/>
    </row>
    <row r="14" spans="1:10" x14ac:dyDescent="0.25">
      <c r="A14" s="1">
        <v>11</v>
      </c>
      <c r="B14" s="129" t="s">
        <v>152</v>
      </c>
      <c r="C14" s="13"/>
      <c r="D14" s="14"/>
      <c r="E14" s="1">
        <v>4500</v>
      </c>
      <c r="F14" s="1">
        <v>100</v>
      </c>
      <c r="G14" s="16">
        <f t="shared" si="0"/>
        <v>4600</v>
      </c>
      <c r="H14" s="80">
        <v>4500</v>
      </c>
      <c r="I14" s="16">
        <f t="shared" si="1"/>
        <v>100</v>
      </c>
      <c r="J14" s="58"/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>D15+E15+F15</f>
        <v>7100</v>
      </c>
      <c r="H15" s="80">
        <v>7100</v>
      </c>
      <c r="I15" s="16">
        <f t="shared" si="1"/>
        <v>0</v>
      </c>
      <c r="J15" s="58" t="s">
        <v>311</v>
      </c>
    </row>
    <row r="16" spans="1:10" x14ac:dyDescent="0.25">
      <c r="A16" s="1">
        <v>13</v>
      </c>
      <c r="B16" s="126" t="s">
        <v>17</v>
      </c>
      <c r="C16" s="58"/>
      <c r="D16" s="14"/>
      <c r="E16" s="1">
        <v>4500</v>
      </c>
      <c r="F16" s="1">
        <v>100</v>
      </c>
      <c r="G16" s="16">
        <f t="shared" si="0"/>
        <v>4600</v>
      </c>
      <c r="H16" s="80">
        <v>3500</v>
      </c>
      <c r="I16" s="16">
        <f t="shared" si="1"/>
        <v>1100</v>
      </c>
      <c r="J16" s="58"/>
    </row>
    <row r="17" spans="1:12" x14ac:dyDescent="0.25">
      <c r="A17" s="1"/>
      <c r="B17" s="13"/>
      <c r="C17" s="13"/>
      <c r="D17" s="67"/>
      <c r="E17" s="94">
        <f>SUM(E4:E16)</f>
        <v>47000</v>
      </c>
      <c r="F17" s="1"/>
      <c r="G17" s="16">
        <f>SUM(G4:G16)</f>
        <v>48200</v>
      </c>
      <c r="H17" s="80">
        <f>SUM(H4:H16)</f>
        <v>35000</v>
      </c>
      <c r="I17" s="16">
        <f>SUM(I4:I16)</f>
        <v>13200</v>
      </c>
      <c r="J17" s="58"/>
    </row>
    <row r="18" spans="1:12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  <c r="K18">
        <v>2500</v>
      </c>
    </row>
    <row r="19" spans="1:12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106" t="s">
        <v>122</v>
      </c>
      <c r="G19" s="106" t="s">
        <v>123</v>
      </c>
      <c r="H19" s="106" t="s">
        <v>124</v>
      </c>
      <c r="I19" s="106" t="s">
        <v>125</v>
      </c>
      <c r="J19" s="58"/>
      <c r="K19">
        <v>3500</v>
      </c>
    </row>
    <row r="20" spans="1:12" x14ac:dyDescent="0.25">
      <c r="A20" s="43"/>
      <c r="B20" s="1" t="s">
        <v>317</v>
      </c>
      <c r="C20" s="16">
        <f>E17</f>
        <v>47000</v>
      </c>
      <c r="D20" s="1"/>
      <c r="E20" s="1"/>
      <c r="F20" s="1" t="s">
        <v>317</v>
      </c>
      <c r="G20" s="16">
        <f>H17</f>
        <v>35000</v>
      </c>
      <c r="H20" s="1"/>
      <c r="I20" s="1"/>
      <c r="J20" s="58"/>
      <c r="K20">
        <v>3000</v>
      </c>
    </row>
    <row r="21" spans="1:12" x14ac:dyDescent="0.25">
      <c r="A21" s="43"/>
      <c r="B21" s="1"/>
      <c r="C21" s="16"/>
      <c r="D21" s="1"/>
      <c r="E21" s="1"/>
      <c r="F21" s="1" t="s">
        <v>1</v>
      </c>
      <c r="G21" s="16">
        <v>-11690</v>
      </c>
      <c r="H21" s="1"/>
      <c r="I21" s="1"/>
      <c r="J21" s="58"/>
      <c r="K21">
        <v>3000</v>
      </c>
    </row>
    <row r="22" spans="1:12" x14ac:dyDescent="0.25">
      <c r="A22" s="43"/>
      <c r="B22" s="1" t="s">
        <v>127</v>
      </c>
      <c r="C22" s="107">
        <v>0.1</v>
      </c>
      <c r="D22" s="16">
        <f>C20*C22</f>
        <v>4700</v>
      </c>
      <c r="E22" s="1"/>
      <c r="F22" s="1" t="s">
        <v>127</v>
      </c>
      <c r="G22" s="107">
        <v>0.1</v>
      </c>
      <c r="H22" s="16">
        <f>G20*G22</f>
        <v>3500</v>
      </c>
      <c r="I22" s="1"/>
      <c r="J22" s="58"/>
      <c r="K22">
        <f>SUM(K18:K21)</f>
        <v>12000</v>
      </c>
      <c r="L22" s="100"/>
    </row>
    <row r="23" spans="1:12" x14ac:dyDescent="0.25">
      <c r="A23" s="43"/>
      <c r="B23" s="113" t="s">
        <v>188</v>
      </c>
      <c r="C23" s="16">
        <f>C20+C21-D22</f>
        <v>42300</v>
      </c>
      <c r="D23" s="1"/>
      <c r="E23" s="1"/>
      <c r="F23" s="113" t="s">
        <v>188</v>
      </c>
      <c r="G23" s="16">
        <f>G20+G21-H22</f>
        <v>19810</v>
      </c>
      <c r="H23" s="1"/>
      <c r="I23" s="1"/>
      <c r="J23" s="58"/>
    </row>
    <row r="24" spans="1:12" x14ac:dyDescent="0.25">
      <c r="A24" s="118"/>
      <c r="B24" s="69" t="s">
        <v>128</v>
      </c>
      <c r="C24" s="1" t="s">
        <v>206</v>
      </c>
      <c r="D24" s="1"/>
      <c r="E24" s="1"/>
      <c r="F24" s="69" t="s">
        <v>128</v>
      </c>
      <c r="G24" s="1" t="s">
        <v>206</v>
      </c>
      <c r="H24" s="132"/>
      <c r="I24" s="1"/>
      <c r="J24" s="58"/>
    </row>
    <row r="25" spans="1:12" x14ac:dyDescent="0.25">
      <c r="A25" s="118"/>
      <c r="B25" s="135">
        <v>43018</v>
      </c>
      <c r="C25" s="69"/>
      <c r="D25" s="132">
        <v>2600</v>
      </c>
      <c r="E25" s="1"/>
      <c r="F25" s="135">
        <v>43018</v>
      </c>
      <c r="G25" s="69"/>
      <c r="H25" s="132">
        <v>2600</v>
      </c>
      <c r="I25" s="1"/>
      <c r="J25" s="58"/>
    </row>
    <row r="26" spans="1:12" x14ac:dyDescent="0.25">
      <c r="A26" s="118"/>
      <c r="B26" s="109">
        <v>43018</v>
      </c>
      <c r="C26" s="113"/>
      <c r="D26" s="132">
        <v>10610</v>
      </c>
      <c r="E26" s="1"/>
      <c r="F26" s="109">
        <v>43018</v>
      </c>
      <c r="G26" s="113"/>
      <c r="H26" s="132">
        <v>10610</v>
      </c>
      <c r="I26" s="1"/>
      <c r="J26" s="58"/>
    </row>
    <row r="27" spans="1:12" x14ac:dyDescent="0.25">
      <c r="A27" s="43"/>
      <c r="B27" s="113" t="s">
        <v>315</v>
      </c>
      <c r="C27" s="1"/>
      <c r="D27" s="132">
        <v>12000</v>
      </c>
      <c r="E27" s="1"/>
      <c r="F27" s="113" t="s">
        <v>315</v>
      </c>
      <c r="G27" s="1"/>
      <c r="H27" s="132">
        <v>12000</v>
      </c>
      <c r="I27" s="1"/>
      <c r="J27" s="58"/>
    </row>
    <row r="28" spans="1:12" x14ac:dyDescent="0.25">
      <c r="A28" s="43"/>
      <c r="B28" s="1" t="s">
        <v>318</v>
      </c>
      <c r="C28" s="110"/>
      <c r="D28" s="133">
        <v>1240</v>
      </c>
      <c r="E28" s="1"/>
      <c r="F28" s="1" t="s">
        <v>318</v>
      </c>
      <c r="G28" s="110"/>
      <c r="H28" s="133">
        <v>1240</v>
      </c>
      <c r="I28" s="1"/>
      <c r="J28" s="58"/>
    </row>
    <row r="29" spans="1:12" x14ac:dyDescent="0.25">
      <c r="A29" s="43"/>
      <c r="B29" s="110" t="s">
        <v>319</v>
      </c>
      <c r="D29" s="196">
        <f>G15+G11+G7+G6</f>
        <v>16400</v>
      </c>
      <c r="E29" s="1"/>
      <c r="F29" s="110" t="s">
        <v>319</v>
      </c>
      <c r="G29" s="58"/>
      <c r="H29" s="196">
        <f>D29</f>
        <v>16400</v>
      </c>
      <c r="I29" s="1"/>
      <c r="J29" s="58"/>
    </row>
    <row r="30" spans="1:12" x14ac:dyDescent="0.25">
      <c r="A30" s="43"/>
      <c r="B30" s="113"/>
      <c r="C30" s="1"/>
      <c r="D30" s="1"/>
      <c r="E30" s="1"/>
      <c r="F30" s="113"/>
      <c r="G30" s="1"/>
      <c r="H30" s="132"/>
      <c r="I30" s="1"/>
      <c r="J30" s="58"/>
    </row>
    <row r="31" spans="1:12" x14ac:dyDescent="0.25">
      <c r="A31" s="118"/>
      <c r="B31" s="69" t="s">
        <v>129</v>
      </c>
      <c r="C31" s="70">
        <f>C23</f>
        <v>42300</v>
      </c>
      <c r="D31" s="70">
        <f>SUM(D25:D30)</f>
        <v>42850</v>
      </c>
      <c r="E31" s="70">
        <f>C31-D31</f>
        <v>-550</v>
      </c>
      <c r="F31" s="69" t="s">
        <v>129</v>
      </c>
      <c r="G31" s="70">
        <f>G23</f>
        <v>19810</v>
      </c>
      <c r="H31" s="134">
        <f>SUM(H25:H30)</f>
        <v>42850</v>
      </c>
      <c r="I31" s="16">
        <f>G31-H31</f>
        <v>-23040</v>
      </c>
      <c r="J31" s="58"/>
    </row>
    <row r="32" spans="1:12" x14ac:dyDescent="0.25">
      <c r="A32" s="58"/>
      <c r="B32" s="58"/>
      <c r="C32" s="58"/>
      <c r="D32" s="58"/>
      <c r="E32" s="58"/>
      <c r="F32" s="58"/>
      <c r="G32" s="58"/>
      <c r="H32" s="58"/>
      <c r="I32" s="58"/>
      <c r="J32" s="58"/>
    </row>
    <row r="33" spans="1:14" x14ac:dyDescent="0.25">
      <c r="A33" s="58"/>
      <c r="B33" s="58"/>
      <c r="C33" s="58"/>
      <c r="D33" s="58"/>
      <c r="E33" s="100"/>
      <c r="F33" s="58"/>
      <c r="G33" s="58"/>
      <c r="H33" s="58"/>
      <c r="I33" s="58"/>
      <c r="J33" s="58"/>
    </row>
    <row r="34" spans="1:14" x14ac:dyDescent="0.25">
      <c r="A34" s="58"/>
      <c r="B34" s="58"/>
      <c r="I34" s="58"/>
      <c r="J34" s="58"/>
    </row>
    <row r="35" spans="1:14" x14ac:dyDescent="0.25">
      <c r="A35" s="58"/>
      <c r="B35" s="58"/>
      <c r="I35" s="58"/>
      <c r="J35" s="58"/>
    </row>
    <row r="36" spans="1:14" x14ac:dyDescent="0.25">
      <c r="A36" s="58"/>
      <c r="B36" s="58"/>
      <c r="I36" s="58"/>
      <c r="J36" s="58"/>
    </row>
    <row r="37" spans="1:14" x14ac:dyDescent="0.25">
      <c r="A37" s="58"/>
      <c r="B37" s="58"/>
      <c r="I37" s="58"/>
      <c r="J37" s="58"/>
      <c r="L37">
        <v>63</v>
      </c>
      <c r="M37">
        <v>200</v>
      </c>
      <c r="N37">
        <f>L37*M37</f>
        <v>12600</v>
      </c>
    </row>
    <row r="38" spans="1:14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  <row r="39" spans="1:14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</row>
    <row r="40" spans="1:14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spans="1:14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spans="1:14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  <row r="43" spans="1:14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</row>
    <row r="44" spans="1:14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</row>
    <row r="45" spans="1:14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</row>
    <row r="46" spans="1:14" x14ac:dyDescent="0.25">
      <c r="A46" s="58"/>
      <c r="B46" s="58"/>
      <c r="C46" s="58"/>
      <c r="D46" s="58"/>
      <c r="E46" s="58"/>
      <c r="F46" s="58"/>
      <c r="G46" s="58"/>
      <c r="H46" s="58"/>
      <c r="I46" s="58"/>
      <c r="J46" s="58"/>
    </row>
    <row r="47" spans="1:14" x14ac:dyDescent="0.25">
      <c r="A47" s="58"/>
      <c r="B47" s="58"/>
      <c r="C47" s="58"/>
      <c r="D47" s="58"/>
      <c r="E47" s="58"/>
      <c r="F47" s="58"/>
      <c r="G47" s="58"/>
      <c r="H47" s="58"/>
      <c r="I47" s="58"/>
      <c r="J47" s="58"/>
    </row>
    <row r="48" spans="1:14" x14ac:dyDescent="0.25">
      <c r="A48" s="58"/>
      <c r="B48" s="58"/>
      <c r="C48" s="58"/>
      <c r="D48" s="58"/>
      <c r="E48" s="58"/>
      <c r="F48" s="58"/>
      <c r="G48" s="58"/>
      <c r="H48" s="58"/>
      <c r="I48" s="58"/>
      <c r="J48" s="58"/>
    </row>
    <row r="85" spans="3:8" x14ac:dyDescent="0.25">
      <c r="C85" s="21"/>
      <c r="D85" s="21" t="s">
        <v>33</v>
      </c>
      <c r="E85" s="21" t="s">
        <v>31</v>
      </c>
      <c r="F85" s="58"/>
      <c r="G85" s="45" t="s">
        <v>92</v>
      </c>
      <c r="H85" s="58"/>
    </row>
    <row r="86" spans="3:8" x14ac:dyDescent="0.25">
      <c r="C86" s="114" t="s">
        <v>160</v>
      </c>
      <c r="D86" s="21" t="s">
        <v>34</v>
      </c>
      <c r="E86" s="21" t="s">
        <v>162</v>
      </c>
      <c r="F86" s="58"/>
      <c r="G86" s="45" t="s">
        <v>161</v>
      </c>
      <c r="H86" s="58"/>
    </row>
    <row r="87" spans="3:8" x14ac:dyDescent="0.25">
      <c r="C87" s="58"/>
      <c r="D87" s="58"/>
      <c r="E87" s="58"/>
      <c r="F87" s="58"/>
      <c r="G87" s="58"/>
      <c r="H87" s="58"/>
    </row>
    <row r="88" spans="3:8" x14ac:dyDescent="0.25">
      <c r="C88" s="58"/>
      <c r="D88" s="58"/>
      <c r="E88" s="58"/>
      <c r="F88" s="58"/>
      <c r="G88" s="58"/>
      <c r="H88" s="58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workbookViewId="0">
      <selection activeCell="H15" sqref="H15"/>
    </sheetView>
  </sheetViews>
  <sheetFormatPr defaultRowHeight="15" x14ac:dyDescent="0.25"/>
  <cols>
    <col min="1" max="1" width="3.42578125" customWidth="1"/>
    <col min="2" max="2" width="17" customWidth="1"/>
    <col min="6" max="6" width="9.42578125" customWidth="1"/>
    <col min="7" max="7" width="12.140625" customWidth="1"/>
    <col min="9" max="9" width="9.28515625" customWidth="1"/>
  </cols>
  <sheetData>
    <row r="1" spans="1:10" ht="19.5" customHeight="1" x14ac:dyDescent="0.25">
      <c r="A1" s="58"/>
      <c r="B1" s="115"/>
      <c r="C1" s="187" t="s">
        <v>222</v>
      </c>
      <c r="D1" s="117"/>
      <c r="E1" s="116"/>
      <c r="F1" s="58"/>
      <c r="G1" s="58"/>
      <c r="H1" s="58"/>
      <c r="I1" s="58"/>
      <c r="J1" s="58"/>
    </row>
    <row r="2" spans="1:10" ht="18.75" x14ac:dyDescent="0.25">
      <c r="A2" s="33" t="s">
        <v>334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28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26" t="s">
        <v>52</v>
      </c>
      <c r="C4" s="58"/>
      <c r="D4" s="14">
        <v>2900</v>
      </c>
      <c r="E4" s="1">
        <v>3000</v>
      </c>
      <c r="F4" s="1">
        <v>100</v>
      </c>
      <c r="G4" s="185">
        <f>D4+E4+F4</f>
        <v>6000</v>
      </c>
      <c r="H4" s="183">
        <v>3000</v>
      </c>
      <c r="I4" s="185">
        <f>G4-H4</f>
        <v>3000</v>
      </c>
      <c r="J4" s="58"/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85">
        <f>D5+E5+F5</f>
        <v>3100</v>
      </c>
      <c r="H5" s="183">
        <v>3000</v>
      </c>
      <c r="I5" s="185">
        <f>G5-H5</f>
        <v>100</v>
      </c>
      <c r="J5" s="58"/>
    </row>
    <row r="6" spans="1:10" x14ac:dyDescent="0.25">
      <c r="A6" s="1">
        <v>3</v>
      </c>
      <c r="B6" s="128" t="s">
        <v>253</v>
      </c>
      <c r="C6" s="13"/>
      <c r="D6" s="14">
        <v>2950</v>
      </c>
      <c r="E6" s="1">
        <v>3000</v>
      </c>
      <c r="F6" s="1">
        <v>100</v>
      </c>
      <c r="G6" s="185">
        <f t="shared" ref="G6:G16" si="0">D6+E6+F6</f>
        <v>6050</v>
      </c>
      <c r="H6" s="183">
        <v>3000</v>
      </c>
      <c r="I6" s="185">
        <f t="shared" ref="I6:I16" si="1">G6-H6</f>
        <v>3050</v>
      </c>
      <c r="J6" s="58"/>
    </row>
    <row r="7" spans="1:10" x14ac:dyDescent="0.25">
      <c r="A7" s="1">
        <v>4</v>
      </c>
      <c r="B7" s="136" t="s">
        <v>345</v>
      </c>
      <c r="C7" s="13"/>
      <c r="D7" s="14">
        <v>6200</v>
      </c>
      <c r="E7" s="1">
        <v>3000</v>
      </c>
      <c r="F7" s="1">
        <v>100</v>
      </c>
      <c r="G7" s="185">
        <f>D7+E7+F7</f>
        <v>9300</v>
      </c>
      <c r="H7" s="183">
        <v>3000</v>
      </c>
      <c r="I7" s="185">
        <f>G7-H7</f>
        <v>6300</v>
      </c>
      <c r="J7" s="58" t="s">
        <v>80</v>
      </c>
    </row>
    <row r="8" spans="1:10" x14ac:dyDescent="0.25">
      <c r="A8" s="1">
        <v>5</v>
      </c>
      <c r="B8" s="127" t="s">
        <v>272</v>
      </c>
      <c r="C8" s="13"/>
      <c r="D8" s="14">
        <v>2900</v>
      </c>
      <c r="E8" s="1">
        <v>3000</v>
      </c>
      <c r="F8" s="1">
        <v>100</v>
      </c>
      <c r="G8" s="185">
        <f>D8+E8+F8</f>
        <v>6000</v>
      </c>
      <c r="H8" s="183">
        <v>3000</v>
      </c>
      <c r="I8" s="185">
        <f>G8-H8</f>
        <v>3000</v>
      </c>
      <c r="J8" s="58"/>
    </row>
    <row r="9" spans="1:10" x14ac:dyDescent="0.25">
      <c r="A9" s="1">
        <v>6</v>
      </c>
      <c r="B9" s="1" t="s">
        <v>309</v>
      </c>
      <c r="C9" s="1"/>
      <c r="D9" s="1"/>
      <c r="E9" s="1">
        <v>3000</v>
      </c>
      <c r="F9" s="1">
        <v>100</v>
      </c>
      <c r="G9" s="185">
        <f>D9+E9+F9</f>
        <v>3100</v>
      </c>
      <c r="H9" s="183">
        <v>3000</v>
      </c>
      <c r="I9" s="185">
        <f>G9-H9</f>
        <v>100</v>
      </c>
      <c r="J9" s="58"/>
    </row>
    <row r="10" spans="1:10" x14ac:dyDescent="0.25">
      <c r="A10" s="1">
        <v>7</v>
      </c>
      <c r="B10" s="128" t="s">
        <v>183</v>
      </c>
      <c r="C10" s="13"/>
      <c r="D10" s="14">
        <v>4950</v>
      </c>
      <c r="E10" s="1">
        <v>3000</v>
      </c>
      <c r="F10" s="1">
        <v>100</v>
      </c>
      <c r="G10" s="185">
        <f t="shared" si="0"/>
        <v>8050</v>
      </c>
      <c r="H10" s="183">
        <v>3000</v>
      </c>
      <c r="I10" s="185">
        <f>G10-H10</f>
        <v>5050</v>
      </c>
      <c r="J10" s="58"/>
    </row>
    <row r="11" spans="1:10" x14ac:dyDescent="0.25">
      <c r="A11" s="1">
        <v>8</v>
      </c>
      <c r="B11" s="129" t="s">
        <v>150</v>
      </c>
      <c r="C11" s="83"/>
      <c r="D11" s="14">
        <v>8050</v>
      </c>
      <c r="E11" s="1">
        <v>3000</v>
      </c>
      <c r="F11" s="1">
        <v>100</v>
      </c>
      <c r="G11" s="185">
        <f t="shared" si="0"/>
        <v>11150</v>
      </c>
      <c r="H11" s="183">
        <v>3000</v>
      </c>
      <c r="I11" s="185">
        <f>G11-H11</f>
        <v>8150</v>
      </c>
      <c r="J11" s="58"/>
    </row>
    <row r="12" spans="1:10" x14ac:dyDescent="0.25">
      <c r="A12" s="1">
        <v>9</v>
      </c>
      <c r="B12" s="126" t="s">
        <v>113</v>
      </c>
      <c r="C12" s="79"/>
      <c r="D12" s="14"/>
      <c r="E12" s="1">
        <v>3000</v>
      </c>
      <c r="F12" s="1">
        <v>100</v>
      </c>
      <c r="G12" s="185">
        <f t="shared" si="0"/>
        <v>3100</v>
      </c>
      <c r="H12" s="183">
        <v>3000</v>
      </c>
      <c r="I12" s="185">
        <f t="shared" si="1"/>
        <v>100</v>
      </c>
      <c r="J12" s="58"/>
    </row>
    <row r="13" spans="1:10" x14ac:dyDescent="0.25">
      <c r="A13" s="1">
        <v>10</v>
      </c>
      <c r="B13" s="129" t="s">
        <v>192</v>
      </c>
      <c r="C13" s="79"/>
      <c r="D13" s="14">
        <v>5400</v>
      </c>
      <c r="E13" s="1">
        <v>4500</v>
      </c>
      <c r="F13" s="1">
        <v>100</v>
      </c>
      <c r="G13" s="185">
        <f t="shared" si="0"/>
        <v>10000</v>
      </c>
      <c r="H13" s="183">
        <v>4500</v>
      </c>
      <c r="I13" s="185">
        <f>G13-H13</f>
        <v>5500</v>
      </c>
      <c r="J13" s="58"/>
    </row>
    <row r="14" spans="1:10" x14ac:dyDescent="0.25">
      <c r="A14" s="1">
        <v>11</v>
      </c>
      <c r="B14" s="129" t="s">
        <v>152</v>
      </c>
      <c r="C14" s="13"/>
      <c r="D14" s="14">
        <v>1650</v>
      </c>
      <c r="E14" s="1">
        <v>4500</v>
      </c>
      <c r="F14" s="1">
        <v>100</v>
      </c>
      <c r="G14" s="185">
        <f t="shared" si="0"/>
        <v>6250</v>
      </c>
      <c r="H14" s="183">
        <v>4500</v>
      </c>
      <c r="I14" s="185">
        <f t="shared" si="1"/>
        <v>1750</v>
      </c>
      <c r="J14" s="58"/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85">
        <f>D15+E15+F15</f>
        <v>7100</v>
      </c>
      <c r="H15" s="183"/>
      <c r="I15" s="185">
        <f t="shared" si="1"/>
        <v>7100</v>
      </c>
      <c r="J15" s="58" t="s">
        <v>311</v>
      </c>
    </row>
    <row r="16" spans="1:10" x14ac:dyDescent="0.25">
      <c r="A16" s="1">
        <v>13</v>
      </c>
      <c r="B16" s="126" t="s">
        <v>17</v>
      </c>
      <c r="C16" s="58"/>
      <c r="D16" s="14"/>
      <c r="E16" s="1">
        <v>3500</v>
      </c>
      <c r="F16" s="1">
        <v>100</v>
      </c>
      <c r="G16" s="185">
        <f t="shared" si="0"/>
        <v>3600</v>
      </c>
      <c r="H16" s="183">
        <v>3500</v>
      </c>
      <c r="I16" s="185">
        <f t="shared" si="1"/>
        <v>100</v>
      </c>
      <c r="J16" s="58"/>
    </row>
    <row r="17" spans="1:10" x14ac:dyDescent="0.25">
      <c r="A17" s="1"/>
      <c r="B17" s="13"/>
      <c r="C17" s="13"/>
      <c r="D17" s="137"/>
      <c r="E17" s="138">
        <f>SUM(E4:E16)</f>
        <v>46500</v>
      </c>
      <c r="F17" s="139">
        <f>SUM(F4:F16)</f>
        <v>1300</v>
      </c>
      <c r="G17" s="186">
        <f>SUM(G4:G16)</f>
        <v>82800</v>
      </c>
      <c r="H17" s="184">
        <f>SUM(H4:H16)</f>
        <v>39500</v>
      </c>
      <c r="I17" s="186">
        <f>SUM(I4:I16)</f>
        <v>43300</v>
      </c>
      <c r="J17" s="58"/>
    </row>
    <row r="18" spans="1:10" s="58" customFormat="1" x14ac:dyDescent="0.25">
      <c r="A18" s="101"/>
      <c r="B18" s="143"/>
      <c r="C18" s="143"/>
      <c r="D18" s="144"/>
      <c r="E18" s="145"/>
      <c r="F18" s="146"/>
      <c r="G18" s="147"/>
      <c r="H18" s="148"/>
      <c r="I18" s="147"/>
    </row>
    <row r="19" spans="1:10" ht="23.25" x14ac:dyDescent="0.35">
      <c r="A19" s="58"/>
      <c r="B19" s="105" t="s">
        <v>121</v>
      </c>
      <c r="C19" s="58"/>
      <c r="D19" s="58"/>
      <c r="E19" s="58"/>
      <c r="F19" s="58"/>
      <c r="G19" s="58"/>
      <c r="H19" s="58"/>
      <c r="I19" s="58"/>
      <c r="J19" s="58"/>
    </row>
    <row r="20" spans="1:10" ht="23.25" x14ac:dyDescent="0.35">
      <c r="A20" s="43"/>
      <c r="B20" s="106" t="s">
        <v>122</v>
      </c>
      <c r="C20" s="106" t="s">
        <v>123</v>
      </c>
      <c r="D20" s="106" t="s">
        <v>124</v>
      </c>
      <c r="E20" s="106" t="s">
        <v>125</v>
      </c>
      <c r="F20" s="106" t="s">
        <v>122</v>
      </c>
      <c r="G20" s="106" t="s">
        <v>123</v>
      </c>
      <c r="H20" s="106" t="s">
        <v>124</v>
      </c>
      <c r="I20" s="106" t="s">
        <v>125</v>
      </c>
      <c r="J20" s="58"/>
    </row>
    <row r="21" spans="1:10" x14ac:dyDescent="0.25">
      <c r="A21" s="43"/>
      <c r="B21" s="1" t="s">
        <v>320</v>
      </c>
      <c r="C21" s="185">
        <f>E17</f>
        <v>46500</v>
      </c>
      <c r="D21" s="1"/>
      <c r="E21" s="1"/>
      <c r="F21" s="1" t="s">
        <v>320</v>
      </c>
      <c r="G21" s="16">
        <f>H17</f>
        <v>39500</v>
      </c>
      <c r="H21" s="1"/>
      <c r="I21" s="1"/>
      <c r="J21" s="58"/>
    </row>
    <row r="22" spans="1:10" x14ac:dyDescent="0.25">
      <c r="A22" s="43"/>
      <c r="B22" s="1"/>
      <c r="C22" s="16"/>
      <c r="D22" s="1"/>
      <c r="E22" s="1"/>
      <c r="F22" s="1" t="s">
        <v>1</v>
      </c>
      <c r="G22" s="16"/>
      <c r="H22" s="1"/>
      <c r="I22" s="1"/>
      <c r="J22" s="58"/>
    </row>
    <row r="23" spans="1:10" x14ac:dyDescent="0.25">
      <c r="A23" s="43"/>
      <c r="B23" s="1" t="s">
        <v>127</v>
      </c>
      <c r="C23" s="107">
        <v>0.1</v>
      </c>
      <c r="D23" s="185">
        <f>C21*C23</f>
        <v>4650</v>
      </c>
      <c r="E23" s="1"/>
      <c r="F23" s="1" t="s">
        <v>127</v>
      </c>
      <c r="G23" s="107">
        <v>0.1</v>
      </c>
      <c r="H23" s="185">
        <f>G21*G23</f>
        <v>3950</v>
      </c>
      <c r="I23" s="1"/>
      <c r="J23" s="58"/>
    </row>
    <row r="24" spans="1:10" x14ac:dyDescent="0.25">
      <c r="A24" s="43"/>
      <c r="B24" s="113" t="s">
        <v>188</v>
      </c>
      <c r="C24" s="185">
        <f>C21+C22-D23</f>
        <v>41850</v>
      </c>
      <c r="D24" s="1"/>
      <c r="E24" s="1"/>
      <c r="F24" s="113" t="s">
        <v>188</v>
      </c>
      <c r="G24" s="16">
        <f>G21+G22-H23</f>
        <v>35550</v>
      </c>
      <c r="H24" s="1"/>
      <c r="I24" s="1"/>
      <c r="J24" s="58"/>
    </row>
    <row r="25" spans="1:10" x14ac:dyDescent="0.25">
      <c r="A25" s="118"/>
      <c r="B25" s="69" t="s">
        <v>128</v>
      </c>
      <c r="C25" s="1" t="s">
        <v>206</v>
      </c>
      <c r="D25" s="1"/>
      <c r="E25" s="1"/>
      <c r="F25" s="69" t="s">
        <v>128</v>
      </c>
      <c r="G25" s="1" t="s">
        <v>206</v>
      </c>
      <c r="H25" s="1"/>
      <c r="I25" s="1"/>
      <c r="J25" s="58"/>
    </row>
    <row r="26" spans="1:10" x14ac:dyDescent="0.25">
      <c r="A26" s="118"/>
      <c r="B26" s="142" t="s">
        <v>321</v>
      </c>
      <c r="C26" s="69"/>
      <c r="D26" s="1">
        <v>11000</v>
      </c>
      <c r="E26" s="1"/>
      <c r="F26" s="142" t="s">
        <v>321</v>
      </c>
      <c r="G26" s="69"/>
      <c r="H26" s="1">
        <v>11000</v>
      </c>
      <c r="I26" s="1"/>
      <c r="J26" s="58"/>
    </row>
    <row r="27" spans="1:10" x14ac:dyDescent="0.25">
      <c r="A27" s="118"/>
      <c r="B27" s="109">
        <v>43062</v>
      </c>
      <c r="C27" s="113"/>
      <c r="D27" s="1">
        <v>6425</v>
      </c>
      <c r="E27" s="1"/>
      <c r="F27" s="109">
        <v>43062</v>
      </c>
      <c r="G27" s="113"/>
      <c r="H27" s="1">
        <v>6425</v>
      </c>
      <c r="I27" s="1"/>
      <c r="J27" s="58"/>
    </row>
    <row r="28" spans="1:10" x14ac:dyDescent="0.25">
      <c r="A28" s="43"/>
      <c r="B28" s="153">
        <v>43073</v>
      </c>
      <c r="C28" s="1"/>
      <c r="D28" s="1">
        <v>6000</v>
      </c>
      <c r="E28" s="1"/>
      <c r="F28" s="153">
        <v>43073</v>
      </c>
      <c r="G28" s="1"/>
      <c r="H28" s="1">
        <v>6000</v>
      </c>
      <c r="I28" s="1"/>
      <c r="J28" s="58"/>
    </row>
    <row r="29" spans="1:10" s="58" customFormat="1" x14ac:dyDescent="0.25">
      <c r="A29" s="43"/>
      <c r="B29" s="153" t="s">
        <v>327</v>
      </c>
      <c r="C29" s="1"/>
      <c r="D29" s="1">
        <v>3000</v>
      </c>
      <c r="E29" s="1"/>
      <c r="F29" s="153" t="s">
        <v>327</v>
      </c>
      <c r="G29" s="1"/>
      <c r="H29" s="1">
        <v>3000</v>
      </c>
      <c r="I29" s="1"/>
    </row>
    <row r="30" spans="1:10" s="58" customFormat="1" x14ac:dyDescent="0.25">
      <c r="A30" s="43"/>
      <c r="B30" s="153" t="s">
        <v>352</v>
      </c>
      <c r="C30" s="1"/>
      <c r="D30" s="1">
        <v>3500</v>
      </c>
      <c r="E30" s="1"/>
      <c r="F30" s="153" t="s">
        <v>352</v>
      </c>
      <c r="G30" s="1"/>
      <c r="H30" s="1">
        <v>3500</v>
      </c>
      <c r="I30" s="1"/>
    </row>
    <row r="31" spans="1:10" s="58" customFormat="1" x14ac:dyDescent="0.25">
      <c r="A31" s="43"/>
      <c r="B31" s="153" t="s">
        <v>330</v>
      </c>
      <c r="C31" s="1"/>
      <c r="D31" s="1">
        <v>2000</v>
      </c>
      <c r="E31" s="1"/>
      <c r="F31" s="153" t="s">
        <v>330</v>
      </c>
      <c r="G31" s="1"/>
      <c r="H31" s="1">
        <v>2000</v>
      </c>
      <c r="I31" s="1"/>
    </row>
    <row r="32" spans="1:10" s="58" customFormat="1" x14ac:dyDescent="0.25">
      <c r="A32" s="43"/>
      <c r="B32" s="153">
        <v>43057</v>
      </c>
      <c r="C32" s="1"/>
      <c r="D32" s="1">
        <v>2000</v>
      </c>
      <c r="E32" s="1"/>
      <c r="F32" s="153">
        <v>43057</v>
      </c>
      <c r="G32" s="1"/>
      <c r="H32" s="1">
        <v>2000</v>
      </c>
      <c r="I32" s="1"/>
    </row>
    <row r="33" spans="1:10" s="58" customFormat="1" x14ac:dyDescent="0.25">
      <c r="A33" s="43"/>
      <c r="B33" s="153" t="s">
        <v>120</v>
      </c>
      <c r="C33" s="1"/>
      <c r="D33" s="1">
        <v>7000</v>
      </c>
      <c r="E33" s="1"/>
      <c r="F33" s="153"/>
      <c r="G33" s="1"/>
      <c r="H33" s="1"/>
      <c r="I33" s="1"/>
    </row>
    <row r="34" spans="1:10" s="58" customFormat="1" x14ac:dyDescent="0.25">
      <c r="A34" s="43"/>
      <c r="B34" s="153" t="s">
        <v>356</v>
      </c>
      <c r="C34" s="1"/>
      <c r="D34" s="1">
        <v>1000</v>
      </c>
      <c r="E34" s="1"/>
      <c r="F34" s="153" t="s">
        <v>356</v>
      </c>
      <c r="G34" s="1"/>
      <c r="H34" s="1">
        <v>1000</v>
      </c>
      <c r="I34" s="1"/>
    </row>
    <row r="35" spans="1:10" x14ac:dyDescent="0.25">
      <c r="A35" s="118"/>
      <c r="B35" s="69" t="s">
        <v>129</v>
      </c>
      <c r="C35" s="160">
        <f>C24</f>
        <v>41850</v>
      </c>
      <c r="D35" s="160">
        <f>SUM(D26:D34)</f>
        <v>41925</v>
      </c>
      <c r="E35" s="70">
        <f>C35-D35</f>
        <v>-75</v>
      </c>
      <c r="F35" s="69" t="s">
        <v>129</v>
      </c>
      <c r="G35" s="70">
        <f>G24</f>
        <v>35550</v>
      </c>
      <c r="H35" s="160">
        <f>SUM(H26:H34)</f>
        <v>34925</v>
      </c>
      <c r="I35" s="185">
        <f>G35-H35</f>
        <v>625</v>
      </c>
      <c r="J35" s="58"/>
    </row>
    <row r="36" spans="1:10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</row>
    <row r="37" spans="1:10" x14ac:dyDescent="0.25">
      <c r="A37" s="58"/>
      <c r="B37" s="58"/>
      <c r="C37" s="58"/>
      <c r="D37" s="58"/>
      <c r="E37" s="100"/>
      <c r="F37" s="58"/>
      <c r="G37" s="58"/>
      <c r="H37" s="58"/>
      <c r="I37" s="58"/>
      <c r="J37" s="58"/>
    </row>
    <row r="38" spans="1:10" x14ac:dyDescent="0.25">
      <c r="B38" t="s">
        <v>357</v>
      </c>
      <c r="D38" t="s">
        <v>359</v>
      </c>
      <c r="G38" t="s">
        <v>361</v>
      </c>
    </row>
    <row r="40" spans="1:10" x14ac:dyDescent="0.25">
      <c r="B40" t="s">
        <v>358</v>
      </c>
      <c r="D40" t="s">
        <v>360</v>
      </c>
      <c r="G40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7" workbookViewId="0">
      <selection activeCell="J19" sqref="J19"/>
    </sheetView>
  </sheetViews>
  <sheetFormatPr defaultRowHeight="15" x14ac:dyDescent="0.25"/>
  <cols>
    <col min="1" max="1" width="4.42578125" customWidth="1"/>
    <col min="2" max="2" width="14.42578125" customWidth="1"/>
    <col min="6" max="6" width="10" customWidth="1"/>
    <col min="7" max="7" width="12.28515625" customWidth="1"/>
  </cols>
  <sheetData>
    <row r="1" spans="1:10" ht="33.75" x14ac:dyDescent="0.45">
      <c r="D1" s="115"/>
      <c r="E1" s="188" t="s">
        <v>222</v>
      </c>
      <c r="F1" s="116"/>
      <c r="G1" s="58"/>
      <c r="H1" s="58"/>
      <c r="I1" s="58"/>
      <c r="J1" s="58"/>
    </row>
    <row r="2" spans="1:10" ht="18.75" x14ac:dyDescent="0.25">
      <c r="A2" s="33" t="s">
        <v>322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149" t="s">
        <v>324</v>
      </c>
      <c r="C3" s="149" t="s">
        <v>81</v>
      </c>
      <c r="D3" s="150" t="s">
        <v>1</v>
      </c>
      <c r="E3" s="149" t="s">
        <v>2</v>
      </c>
      <c r="F3" s="151" t="s">
        <v>77</v>
      </c>
      <c r="G3" s="151" t="s">
        <v>129</v>
      </c>
      <c r="H3" s="149" t="s">
        <v>3</v>
      </c>
      <c r="I3" s="152" t="s">
        <v>5</v>
      </c>
      <c r="J3" s="58"/>
    </row>
    <row r="4" spans="1:10" x14ac:dyDescent="0.25">
      <c r="A4" s="1">
        <v>1</v>
      </c>
      <c r="B4" s="126" t="s">
        <v>331</v>
      </c>
      <c r="C4" s="58"/>
      <c r="D4" s="14"/>
      <c r="E4" s="1">
        <v>3000</v>
      </c>
      <c r="F4" s="1">
        <v>100</v>
      </c>
      <c r="G4" s="16">
        <f>D4+E4+F4</f>
        <v>3100</v>
      </c>
      <c r="H4" s="80">
        <v>3000</v>
      </c>
      <c r="I4" s="16">
        <f>G4-H4</f>
        <v>100</v>
      </c>
      <c r="J4" s="58"/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6">
        <f>D5+E5+F5</f>
        <v>3100</v>
      </c>
      <c r="H5" s="80">
        <v>3000</v>
      </c>
      <c r="I5" s="16">
        <f>G5-H5</f>
        <v>100</v>
      </c>
      <c r="J5" s="58" t="s">
        <v>80</v>
      </c>
    </row>
    <row r="6" spans="1:10" x14ac:dyDescent="0.25">
      <c r="A6" s="1">
        <v>3</v>
      </c>
      <c r="B6" s="128" t="s">
        <v>253</v>
      </c>
      <c r="C6" s="13"/>
      <c r="D6" s="14">
        <v>2950</v>
      </c>
      <c r="E6" s="1">
        <v>3000</v>
      </c>
      <c r="F6" s="1">
        <v>100</v>
      </c>
      <c r="G6" s="16">
        <f t="shared" ref="G6:G16" si="0">D6+E6+F6</f>
        <v>6050</v>
      </c>
      <c r="H6" s="80">
        <v>3000</v>
      </c>
      <c r="I6" s="16">
        <f t="shared" ref="I6:I16" si="1">G6-H6</f>
        <v>3050</v>
      </c>
      <c r="J6" s="58"/>
    </row>
    <row r="7" spans="1:10" x14ac:dyDescent="0.25">
      <c r="A7" s="1">
        <v>4</v>
      </c>
      <c r="B7" s="136" t="s">
        <v>288</v>
      </c>
      <c r="C7" s="13"/>
      <c r="D7" s="14">
        <v>6200</v>
      </c>
      <c r="E7" s="1">
        <v>3000</v>
      </c>
      <c r="F7" s="1">
        <v>100</v>
      </c>
      <c r="G7" s="16">
        <f>D7+E7+F7</f>
        <v>9300</v>
      </c>
      <c r="H7" s="80">
        <v>3000</v>
      </c>
      <c r="I7" s="16">
        <f>G7-H7</f>
        <v>6300</v>
      </c>
      <c r="J7" s="58" t="s">
        <v>80</v>
      </c>
    </row>
    <row r="8" spans="1:10" x14ac:dyDescent="0.25">
      <c r="A8" s="1">
        <v>5</v>
      </c>
      <c r="B8" s="127" t="s">
        <v>272</v>
      </c>
      <c r="C8" s="13"/>
      <c r="D8" s="14">
        <v>2900</v>
      </c>
      <c r="E8" s="1">
        <v>3000</v>
      </c>
      <c r="F8" s="1">
        <v>100</v>
      </c>
      <c r="G8" s="16">
        <f>D8+E8+F8</f>
        <v>6000</v>
      </c>
      <c r="H8" s="80">
        <v>3000</v>
      </c>
      <c r="I8" s="16">
        <f>G8-H8</f>
        <v>3000</v>
      </c>
      <c r="J8" s="58"/>
    </row>
    <row r="9" spans="1:10" x14ac:dyDescent="0.25">
      <c r="A9" s="1">
        <v>6</v>
      </c>
      <c r="B9" s="1" t="s">
        <v>332</v>
      </c>
      <c r="C9" s="1"/>
      <c r="D9" s="1"/>
      <c r="E9" s="1">
        <v>3000</v>
      </c>
      <c r="F9" s="1">
        <v>100</v>
      </c>
      <c r="G9" s="16">
        <f>D9+E9+F9</f>
        <v>3100</v>
      </c>
      <c r="H9" s="80">
        <v>3000</v>
      </c>
      <c r="I9" s="16">
        <f>G9-H9</f>
        <v>100</v>
      </c>
      <c r="J9" s="58"/>
    </row>
    <row r="10" spans="1:10" x14ac:dyDescent="0.25">
      <c r="A10" s="1">
        <v>7</v>
      </c>
      <c r="B10" s="128" t="s">
        <v>333</v>
      </c>
      <c r="C10" s="13"/>
      <c r="D10" s="14">
        <v>4950</v>
      </c>
      <c r="E10" s="1">
        <v>3000</v>
      </c>
      <c r="F10" s="1">
        <v>100</v>
      </c>
      <c r="G10" s="16">
        <f t="shared" si="0"/>
        <v>8050</v>
      </c>
      <c r="H10" s="80">
        <v>3000</v>
      </c>
      <c r="I10" s="16">
        <f>G10-H10</f>
        <v>5050</v>
      </c>
      <c r="J10" s="58"/>
    </row>
    <row r="11" spans="1:10" x14ac:dyDescent="0.25">
      <c r="A11" s="1">
        <v>8</v>
      </c>
      <c r="B11" s="129" t="s">
        <v>150</v>
      </c>
      <c r="C11" s="83"/>
      <c r="D11" s="14">
        <v>8050</v>
      </c>
      <c r="E11" s="1">
        <v>3000</v>
      </c>
      <c r="F11" s="1">
        <v>100</v>
      </c>
      <c r="G11" s="16">
        <f t="shared" si="0"/>
        <v>11150</v>
      </c>
      <c r="H11" s="80">
        <v>3000</v>
      </c>
      <c r="I11" s="16">
        <f>G11-H11</f>
        <v>8150</v>
      </c>
      <c r="J11" s="58"/>
    </row>
    <row r="12" spans="1:10" x14ac:dyDescent="0.25">
      <c r="A12" s="1">
        <v>9</v>
      </c>
      <c r="B12" s="126" t="s">
        <v>239</v>
      </c>
      <c r="C12" s="79"/>
      <c r="D12" s="14"/>
      <c r="E12" s="1">
        <v>3000</v>
      </c>
      <c r="F12" s="1">
        <v>100</v>
      </c>
      <c r="G12" s="16">
        <f t="shared" si="0"/>
        <v>3100</v>
      </c>
      <c r="H12" s="80">
        <v>3000</v>
      </c>
      <c r="I12" s="16">
        <f t="shared" si="1"/>
        <v>100</v>
      </c>
      <c r="J12" s="58"/>
    </row>
    <row r="13" spans="1:10" x14ac:dyDescent="0.25">
      <c r="A13" s="1">
        <v>10</v>
      </c>
      <c r="B13" s="129" t="s">
        <v>192</v>
      </c>
      <c r="C13" s="79"/>
      <c r="D13" s="14">
        <v>5400</v>
      </c>
      <c r="E13" s="1">
        <v>4500</v>
      </c>
      <c r="F13" s="1">
        <v>100</v>
      </c>
      <c r="G13" s="16">
        <f t="shared" si="0"/>
        <v>10000</v>
      </c>
      <c r="H13" s="80">
        <v>4500</v>
      </c>
      <c r="I13" s="16">
        <f>G13-H13</f>
        <v>5500</v>
      </c>
      <c r="J13" s="58"/>
    </row>
    <row r="14" spans="1:10" x14ac:dyDescent="0.25">
      <c r="A14" s="1">
        <v>11</v>
      </c>
      <c r="B14" s="129" t="s">
        <v>152</v>
      </c>
      <c r="C14" s="13"/>
      <c r="D14" s="14">
        <v>1650</v>
      </c>
      <c r="E14" s="1">
        <v>4500</v>
      </c>
      <c r="F14" s="1">
        <v>100</v>
      </c>
      <c r="G14" s="16">
        <f t="shared" si="0"/>
        <v>6250</v>
      </c>
      <c r="H14" s="80">
        <v>4500</v>
      </c>
      <c r="I14" s="16">
        <f t="shared" si="1"/>
        <v>1750</v>
      </c>
      <c r="J14" s="58"/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>D15+E15+F15</f>
        <v>7100</v>
      </c>
      <c r="H15" s="80"/>
      <c r="I15" s="16">
        <f t="shared" si="1"/>
        <v>7100</v>
      </c>
      <c r="J15" s="58" t="s">
        <v>80</v>
      </c>
    </row>
    <row r="16" spans="1:10" x14ac:dyDescent="0.25">
      <c r="A16" s="1">
        <v>13</v>
      </c>
      <c r="B16" s="126" t="s">
        <v>17</v>
      </c>
      <c r="C16" s="58"/>
      <c r="D16" s="14"/>
      <c r="E16" s="1">
        <v>3500</v>
      </c>
      <c r="F16" s="1">
        <v>100</v>
      </c>
      <c r="G16" s="16">
        <f t="shared" si="0"/>
        <v>3600</v>
      </c>
      <c r="H16" s="80">
        <v>3500</v>
      </c>
      <c r="I16" s="16">
        <f t="shared" si="1"/>
        <v>100</v>
      </c>
      <c r="J16" s="58"/>
    </row>
    <row r="17" spans="1:10" x14ac:dyDescent="0.25">
      <c r="A17" s="1"/>
      <c r="B17" s="13"/>
      <c r="C17" s="13"/>
      <c r="D17" s="137"/>
      <c r="E17" s="138">
        <f>SUM(E4:E16)</f>
        <v>46500</v>
      </c>
      <c r="F17" s="139">
        <f>SUM(F4:F16)</f>
        <v>1300</v>
      </c>
      <c r="G17" s="140">
        <f>SUM(G4:G16)</f>
        <v>79900</v>
      </c>
      <c r="H17" s="141">
        <f>SUM(H4:H16)</f>
        <v>39500</v>
      </c>
      <c r="I17" s="140">
        <f>SUM(I4:I16)</f>
        <v>40400</v>
      </c>
      <c r="J17" s="58"/>
    </row>
    <row r="18" spans="1:10" x14ac:dyDescent="0.25">
      <c r="A18" s="101"/>
      <c r="B18" s="143"/>
      <c r="C18" s="143"/>
      <c r="D18" s="144"/>
      <c r="E18" s="145"/>
      <c r="F18" s="146"/>
      <c r="G18" s="147"/>
      <c r="H18" s="148"/>
      <c r="I18" s="147"/>
      <c r="J18" s="58"/>
    </row>
    <row r="19" spans="1:10" ht="23.25" x14ac:dyDescent="0.35">
      <c r="A19" s="58"/>
      <c r="B19" s="105" t="s">
        <v>121</v>
      </c>
      <c r="C19" s="58"/>
      <c r="D19" s="58"/>
      <c r="E19" s="58"/>
      <c r="F19" s="58"/>
      <c r="G19" s="58"/>
      <c r="H19" s="58"/>
      <c r="I19" s="58"/>
      <c r="J19" s="58"/>
    </row>
    <row r="20" spans="1:10" ht="23.25" x14ac:dyDescent="0.35">
      <c r="A20" s="43"/>
      <c r="B20" s="106" t="s">
        <v>122</v>
      </c>
      <c r="C20" s="106" t="s">
        <v>123</v>
      </c>
      <c r="D20" s="106" t="s">
        <v>124</v>
      </c>
      <c r="E20" s="106" t="s">
        <v>125</v>
      </c>
      <c r="F20" s="106" t="s">
        <v>122</v>
      </c>
      <c r="G20" s="106" t="s">
        <v>123</v>
      </c>
      <c r="H20" s="106" t="s">
        <v>124</v>
      </c>
      <c r="I20" s="106" t="s">
        <v>125</v>
      </c>
      <c r="J20" s="58"/>
    </row>
    <row r="21" spans="1:10" x14ac:dyDescent="0.25">
      <c r="A21" s="43"/>
      <c r="B21" s="1" t="s">
        <v>323</v>
      </c>
      <c r="C21" s="16">
        <f>E17</f>
        <v>46500</v>
      </c>
      <c r="D21" s="1"/>
      <c r="E21" s="1"/>
      <c r="F21" s="1" t="s">
        <v>323</v>
      </c>
      <c r="G21" s="16">
        <f>H17</f>
        <v>39500</v>
      </c>
      <c r="H21" s="1"/>
      <c r="I21" s="1"/>
      <c r="J21" s="58"/>
    </row>
    <row r="22" spans="1:10" x14ac:dyDescent="0.25">
      <c r="A22" s="43"/>
      <c r="B22" s="1" t="s">
        <v>1</v>
      </c>
      <c r="C22" s="16">
        <f>november!E35</f>
        <v>-75</v>
      </c>
      <c r="D22" s="1"/>
      <c r="E22" s="1"/>
      <c r="F22" s="1" t="s">
        <v>1</v>
      </c>
      <c r="G22" s="16">
        <f>november!I35</f>
        <v>625</v>
      </c>
      <c r="H22" s="1"/>
      <c r="I22" s="1"/>
      <c r="J22" s="58"/>
    </row>
    <row r="23" spans="1:10" x14ac:dyDescent="0.25">
      <c r="A23" s="43"/>
      <c r="B23" s="1" t="s">
        <v>325</v>
      </c>
      <c r="C23" s="107">
        <v>0.1</v>
      </c>
      <c r="D23" s="16">
        <f>C21*C23</f>
        <v>4650</v>
      </c>
      <c r="E23" s="1"/>
      <c r="F23" s="1" t="s">
        <v>325</v>
      </c>
      <c r="G23" s="107">
        <v>0.1</v>
      </c>
      <c r="H23" s="16">
        <f>G21*G23</f>
        <v>3950</v>
      </c>
      <c r="I23" s="1"/>
      <c r="J23" s="58"/>
    </row>
    <row r="24" spans="1:10" x14ac:dyDescent="0.25">
      <c r="A24" s="43"/>
      <c r="B24" s="113" t="s">
        <v>188</v>
      </c>
      <c r="C24" s="16">
        <f>C21+C22-D23</f>
        <v>41775</v>
      </c>
      <c r="D24" s="1"/>
      <c r="E24" s="1"/>
      <c r="F24" s="113" t="s">
        <v>188</v>
      </c>
      <c r="G24" s="16">
        <f>G21+G22-H23</f>
        <v>36175</v>
      </c>
      <c r="H24" s="1"/>
      <c r="I24" s="1"/>
      <c r="J24" s="58"/>
    </row>
    <row r="25" spans="1:10" x14ac:dyDescent="0.25">
      <c r="A25" s="118"/>
      <c r="B25" s="69" t="s">
        <v>128</v>
      </c>
      <c r="C25" s="1" t="s">
        <v>206</v>
      </c>
      <c r="D25" s="1"/>
      <c r="E25" s="1"/>
      <c r="F25" s="69" t="s">
        <v>128</v>
      </c>
      <c r="G25" s="1" t="s">
        <v>206</v>
      </c>
      <c r="H25" s="1"/>
      <c r="I25" s="1"/>
      <c r="J25" s="58"/>
    </row>
    <row r="26" spans="1:10" x14ac:dyDescent="0.25">
      <c r="A26" s="118"/>
      <c r="B26" s="142" t="s">
        <v>326</v>
      </c>
      <c r="C26" s="69"/>
      <c r="D26" s="1">
        <v>11000</v>
      </c>
      <c r="E26" s="1"/>
      <c r="F26" s="142" t="s">
        <v>326</v>
      </c>
      <c r="G26" s="69"/>
      <c r="H26" s="1">
        <v>11000</v>
      </c>
      <c r="I26" s="1"/>
      <c r="J26" s="58"/>
    </row>
    <row r="27" spans="1:10" s="58" customFormat="1" x14ac:dyDescent="0.25">
      <c r="A27" s="118"/>
      <c r="B27" s="142">
        <v>43087</v>
      </c>
      <c r="C27" s="69"/>
      <c r="D27" s="1">
        <v>1500</v>
      </c>
      <c r="E27" s="1"/>
      <c r="F27" s="142">
        <v>43087</v>
      </c>
      <c r="G27" s="69"/>
      <c r="H27" s="1">
        <v>1500</v>
      </c>
      <c r="I27" s="1"/>
    </row>
    <row r="28" spans="1:10" s="58" customFormat="1" x14ac:dyDescent="0.25">
      <c r="A28" s="118"/>
      <c r="B28" s="142">
        <v>43090</v>
      </c>
      <c r="C28" s="69"/>
      <c r="D28" s="1">
        <v>2050</v>
      </c>
      <c r="E28" s="1"/>
      <c r="F28" s="142">
        <v>43090</v>
      </c>
      <c r="G28" s="69"/>
      <c r="H28" s="1">
        <v>2050</v>
      </c>
      <c r="I28" s="1"/>
    </row>
    <row r="29" spans="1:10" x14ac:dyDescent="0.25">
      <c r="A29" s="118"/>
      <c r="B29" s="109" t="s">
        <v>327</v>
      </c>
      <c r="C29" s="113"/>
      <c r="D29" s="1">
        <v>3000</v>
      </c>
      <c r="E29" s="1"/>
      <c r="F29" s="109" t="s">
        <v>327</v>
      </c>
      <c r="G29" s="113"/>
      <c r="H29" s="1">
        <v>3000</v>
      </c>
      <c r="I29" s="1"/>
      <c r="J29" s="58"/>
    </row>
    <row r="30" spans="1:10" x14ac:dyDescent="0.25">
      <c r="A30" s="43"/>
      <c r="B30" s="113" t="s">
        <v>328</v>
      </c>
      <c r="C30" s="1"/>
      <c r="D30" s="1">
        <v>3050</v>
      </c>
      <c r="E30" s="1"/>
      <c r="F30" s="113" t="s">
        <v>328</v>
      </c>
      <c r="G30" s="1"/>
      <c r="H30" s="1">
        <v>3050</v>
      </c>
      <c r="I30" s="1"/>
      <c r="J30" s="58"/>
    </row>
    <row r="31" spans="1:10" x14ac:dyDescent="0.25">
      <c r="A31" s="43"/>
      <c r="B31" s="1" t="s">
        <v>329</v>
      </c>
      <c r="C31" s="113"/>
      <c r="D31" s="113">
        <v>3500</v>
      </c>
      <c r="E31" s="1"/>
      <c r="F31" s="1" t="s">
        <v>329</v>
      </c>
      <c r="G31" s="113"/>
      <c r="H31" s="113">
        <v>3500</v>
      </c>
      <c r="I31" s="1"/>
      <c r="J31" s="58"/>
    </row>
    <row r="32" spans="1:10" x14ac:dyDescent="0.25">
      <c r="A32" s="43"/>
      <c r="B32" s="113" t="s">
        <v>330</v>
      </c>
      <c r="C32" s="113"/>
      <c r="D32" s="113">
        <v>2000</v>
      </c>
      <c r="E32" s="1"/>
      <c r="F32" s="113" t="s">
        <v>330</v>
      </c>
      <c r="G32" s="113"/>
      <c r="H32" s="113">
        <v>2000</v>
      </c>
      <c r="I32" s="1"/>
      <c r="J32" s="58"/>
    </row>
    <row r="33" spans="1:10" s="58" customFormat="1" x14ac:dyDescent="0.25">
      <c r="A33" s="43"/>
      <c r="B33" s="113" t="s">
        <v>348</v>
      </c>
      <c r="C33" s="113"/>
      <c r="D33" s="113">
        <v>3000</v>
      </c>
      <c r="E33" s="1"/>
      <c r="F33" s="113" t="s">
        <v>348</v>
      </c>
      <c r="G33" s="113"/>
      <c r="H33" s="113">
        <v>3000</v>
      </c>
      <c r="I33" s="1"/>
    </row>
    <row r="34" spans="1:10" s="58" customFormat="1" x14ac:dyDescent="0.25">
      <c r="A34" s="43"/>
      <c r="B34" s="113" t="s">
        <v>120</v>
      </c>
      <c r="C34" s="113"/>
      <c r="D34" s="113">
        <v>7000</v>
      </c>
      <c r="E34" s="1"/>
      <c r="F34" s="113"/>
      <c r="G34" s="113"/>
      <c r="H34" s="113"/>
      <c r="I34" s="1"/>
    </row>
    <row r="35" spans="1:10" x14ac:dyDescent="0.25">
      <c r="A35" s="43"/>
      <c r="B35" s="153">
        <v>43104</v>
      </c>
      <c r="C35" s="1"/>
      <c r="D35" s="1">
        <v>10000</v>
      </c>
      <c r="E35" s="1"/>
      <c r="F35" s="153">
        <v>43104</v>
      </c>
      <c r="G35" s="1"/>
      <c r="H35" s="1">
        <v>10000</v>
      </c>
      <c r="I35" s="1"/>
      <c r="J35" s="58"/>
    </row>
    <row r="36" spans="1:10" x14ac:dyDescent="0.25">
      <c r="A36" s="118"/>
      <c r="B36" s="69" t="s">
        <v>129</v>
      </c>
      <c r="C36" s="70">
        <f>C24</f>
        <v>41775</v>
      </c>
      <c r="D36" s="70">
        <f>SUM(D26:D35)</f>
        <v>46100</v>
      </c>
      <c r="E36" s="70">
        <f>C36-D36</f>
        <v>-4325</v>
      </c>
      <c r="F36" s="69" t="s">
        <v>129</v>
      </c>
      <c r="G36" s="70">
        <f>G24</f>
        <v>36175</v>
      </c>
      <c r="H36" s="70">
        <f>SUM(H26:H35)</f>
        <v>39100</v>
      </c>
      <c r="I36" s="16">
        <f>G36-H36</f>
        <v>-2925</v>
      </c>
      <c r="J36" s="58"/>
    </row>
    <row r="37" spans="1:10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</row>
    <row r="39" spans="1:10" x14ac:dyDescent="0.25">
      <c r="B39" s="58" t="s">
        <v>357</v>
      </c>
      <c r="C39" s="58"/>
      <c r="D39" s="58" t="s">
        <v>359</v>
      </c>
      <c r="E39" s="58"/>
      <c r="F39" s="58"/>
      <c r="G39" s="58" t="s">
        <v>361</v>
      </c>
    </row>
    <row r="40" spans="1:10" x14ac:dyDescent="0.25">
      <c r="B40" s="58"/>
      <c r="C40" s="58"/>
      <c r="D40" s="58"/>
      <c r="E40" s="58"/>
      <c r="F40" s="58"/>
      <c r="G40" s="58"/>
    </row>
    <row r="41" spans="1:10" x14ac:dyDescent="0.25">
      <c r="B41" s="58" t="s">
        <v>358</v>
      </c>
      <c r="C41" s="58"/>
      <c r="D41" s="58" t="s">
        <v>360</v>
      </c>
      <c r="E41" s="58"/>
      <c r="F41" s="58"/>
      <c r="G41" s="5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H25" sqref="H25"/>
    </sheetView>
  </sheetViews>
  <sheetFormatPr defaultRowHeight="15" x14ac:dyDescent="0.25"/>
  <cols>
    <col min="1" max="1" width="3.28515625" customWidth="1"/>
    <col min="2" max="2" width="17.140625" customWidth="1"/>
    <col min="6" max="6" width="15.7109375" customWidth="1"/>
  </cols>
  <sheetData>
    <row r="1" spans="1:10" ht="33.75" x14ac:dyDescent="0.25">
      <c r="A1" s="58"/>
      <c r="B1" s="115"/>
      <c r="C1" s="116"/>
      <c r="D1" s="117"/>
      <c r="E1" s="116"/>
      <c r="F1" s="58"/>
      <c r="G1" s="58"/>
      <c r="H1" s="58"/>
      <c r="I1" s="58"/>
    </row>
    <row r="2" spans="1:10" ht="18.75" x14ac:dyDescent="0.25">
      <c r="A2" s="33" t="s">
        <v>341</v>
      </c>
      <c r="B2" s="35"/>
      <c r="C2" s="35"/>
      <c r="D2" s="34"/>
      <c r="E2" s="34"/>
      <c r="F2" s="34"/>
      <c r="G2" s="34"/>
      <c r="H2" s="34"/>
      <c r="I2" s="58"/>
    </row>
    <row r="3" spans="1:10" x14ac:dyDescent="0.25">
      <c r="A3" s="1"/>
      <c r="B3" s="154" t="s">
        <v>324</v>
      </c>
      <c r="C3" s="154" t="s">
        <v>28</v>
      </c>
      <c r="D3" s="155" t="s">
        <v>1</v>
      </c>
      <c r="E3" s="154" t="s">
        <v>2</v>
      </c>
      <c r="F3" s="156" t="s">
        <v>77</v>
      </c>
      <c r="G3" s="156" t="s">
        <v>129</v>
      </c>
      <c r="H3" s="154" t="s">
        <v>3</v>
      </c>
      <c r="I3" s="157" t="s">
        <v>5</v>
      </c>
    </row>
    <row r="4" spans="1:10" x14ac:dyDescent="0.25">
      <c r="A4" s="1">
        <v>1</v>
      </c>
      <c r="B4" s="126" t="s">
        <v>331</v>
      </c>
      <c r="C4" s="58"/>
      <c r="D4" s="14">
        <v>600</v>
      </c>
      <c r="E4" s="1">
        <v>3000</v>
      </c>
      <c r="F4" s="1">
        <v>100</v>
      </c>
      <c r="G4" s="16">
        <f>D4+E4+F4</f>
        <v>3700</v>
      </c>
      <c r="H4" s="183">
        <v>3000</v>
      </c>
      <c r="I4" s="16">
        <f>G4-H4</f>
        <v>700</v>
      </c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6">
        <f>D5+E5+F5</f>
        <v>3100</v>
      </c>
      <c r="H5" s="183">
        <v>3000</v>
      </c>
      <c r="I5" s="16">
        <f>G5-H5</f>
        <v>100</v>
      </c>
    </row>
    <row r="6" spans="1:10" x14ac:dyDescent="0.25">
      <c r="A6" s="1">
        <v>3</v>
      </c>
      <c r="B6" s="128" t="s">
        <v>198</v>
      </c>
      <c r="C6" s="13"/>
      <c r="D6" s="14"/>
      <c r="E6" s="1">
        <v>3000</v>
      </c>
      <c r="F6" s="1">
        <v>100</v>
      </c>
      <c r="G6" s="16">
        <f t="shared" ref="G6:G16" si="0">D6+E6+F6</f>
        <v>3100</v>
      </c>
      <c r="H6" s="183">
        <v>3000</v>
      </c>
      <c r="I6" s="16">
        <f t="shared" ref="I6:I16" si="1">G6-H6</f>
        <v>100</v>
      </c>
    </row>
    <row r="7" spans="1:10" x14ac:dyDescent="0.25">
      <c r="A7" s="1">
        <v>4</v>
      </c>
      <c r="B7" s="136" t="s">
        <v>288</v>
      </c>
      <c r="C7" s="13"/>
      <c r="D7" s="14">
        <v>3100</v>
      </c>
      <c r="E7" s="1">
        <v>3000</v>
      </c>
      <c r="F7" s="1">
        <v>100</v>
      </c>
      <c r="G7" s="16">
        <f>D7+E7+F7</f>
        <v>6200</v>
      </c>
      <c r="H7" s="183">
        <v>3000</v>
      </c>
      <c r="I7" s="16">
        <f>G7-H7</f>
        <v>3200</v>
      </c>
    </row>
    <row r="8" spans="1:10" x14ac:dyDescent="0.25">
      <c r="A8" s="1">
        <v>5</v>
      </c>
      <c r="B8" s="127" t="s">
        <v>272</v>
      </c>
      <c r="C8" s="13"/>
      <c r="D8" s="14"/>
      <c r="E8" s="1">
        <v>3000</v>
      </c>
      <c r="F8" s="1">
        <v>100</v>
      </c>
      <c r="G8" s="16">
        <f>D8+E8+F8</f>
        <v>3100</v>
      </c>
      <c r="H8" s="183">
        <v>3000</v>
      </c>
      <c r="I8" s="16">
        <f>G8-H8</f>
        <v>100</v>
      </c>
    </row>
    <row r="9" spans="1:10" x14ac:dyDescent="0.25">
      <c r="A9" s="1">
        <v>6</v>
      </c>
      <c r="B9" s="1" t="s">
        <v>332</v>
      </c>
      <c r="C9" s="1"/>
      <c r="D9" s="1"/>
      <c r="E9" s="1">
        <v>3000</v>
      </c>
      <c r="F9" s="1">
        <v>100</v>
      </c>
      <c r="G9" s="16">
        <f>D9+E9+F9</f>
        <v>3100</v>
      </c>
      <c r="H9" s="183">
        <v>3000</v>
      </c>
      <c r="I9" s="16">
        <f>G9-H9</f>
        <v>100</v>
      </c>
    </row>
    <row r="10" spans="1:10" x14ac:dyDescent="0.25">
      <c r="A10" s="1">
        <v>7</v>
      </c>
      <c r="B10" s="128" t="s">
        <v>333</v>
      </c>
      <c r="C10" s="13"/>
      <c r="D10" s="14">
        <v>4950</v>
      </c>
      <c r="E10" s="1">
        <v>3000</v>
      </c>
      <c r="F10" s="1">
        <v>100</v>
      </c>
      <c r="G10" s="16">
        <f t="shared" si="0"/>
        <v>8050</v>
      </c>
      <c r="H10" s="183">
        <v>3000</v>
      </c>
      <c r="I10" s="16">
        <f>G10-H10</f>
        <v>5050</v>
      </c>
    </row>
    <row r="11" spans="1:10" x14ac:dyDescent="0.25">
      <c r="A11" s="1">
        <v>8</v>
      </c>
      <c r="B11" s="129" t="s">
        <v>150</v>
      </c>
      <c r="C11" s="83"/>
      <c r="D11" s="14">
        <v>8050</v>
      </c>
      <c r="E11" s="1">
        <v>3000</v>
      </c>
      <c r="F11" s="1">
        <v>100</v>
      </c>
      <c r="G11" s="16">
        <f t="shared" si="0"/>
        <v>11150</v>
      </c>
      <c r="H11" s="183">
        <v>3000</v>
      </c>
      <c r="I11" s="16">
        <f>G11-H11</f>
        <v>8150</v>
      </c>
    </row>
    <row r="12" spans="1:10" x14ac:dyDescent="0.25">
      <c r="A12" s="1">
        <v>9</v>
      </c>
      <c r="B12" s="126" t="s">
        <v>113</v>
      </c>
      <c r="C12" s="79"/>
      <c r="D12" s="14"/>
      <c r="E12" s="1">
        <v>3000</v>
      </c>
      <c r="F12" s="1">
        <v>100</v>
      </c>
      <c r="G12" s="16">
        <f t="shared" si="0"/>
        <v>3100</v>
      </c>
      <c r="H12" s="183">
        <v>3000</v>
      </c>
      <c r="I12" s="16">
        <f t="shared" si="1"/>
        <v>100</v>
      </c>
    </row>
    <row r="13" spans="1:10" x14ac:dyDescent="0.25">
      <c r="A13" s="1">
        <v>10</v>
      </c>
      <c r="B13" s="129" t="s">
        <v>192</v>
      </c>
      <c r="C13" s="79"/>
      <c r="D13" s="14">
        <v>5400</v>
      </c>
      <c r="E13" s="1">
        <v>4500</v>
      </c>
      <c r="F13" s="1">
        <v>100</v>
      </c>
      <c r="G13" s="16">
        <f t="shared" si="0"/>
        <v>10000</v>
      </c>
      <c r="H13" s="183">
        <v>4500</v>
      </c>
      <c r="I13" s="16">
        <f>G13-H13</f>
        <v>5500</v>
      </c>
    </row>
    <row r="14" spans="1:10" x14ac:dyDescent="0.25">
      <c r="A14" s="1">
        <v>11</v>
      </c>
      <c r="B14" s="129" t="s">
        <v>337</v>
      </c>
      <c r="C14" s="13"/>
      <c r="D14" s="14">
        <v>1650</v>
      </c>
      <c r="E14" s="1">
        <v>4500</v>
      </c>
      <c r="F14" s="1">
        <v>100</v>
      </c>
      <c r="G14" s="16">
        <f t="shared" si="0"/>
        <v>6250</v>
      </c>
      <c r="H14" s="183">
        <v>4500</v>
      </c>
      <c r="I14" s="16">
        <f t="shared" si="1"/>
        <v>1750</v>
      </c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>D15+E15+F15</f>
        <v>7100</v>
      </c>
      <c r="H15" s="183"/>
      <c r="I15" s="16">
        <f t="shared" si="1"/>
        <v>7100</v>
      </c>
      <c r="J15" t="s">
        <v>80</v>
      </c>
    </row>
    <row r="16" spans="1:10" x14ac:dyDescent="0.25">
      <c r="A16" s="1">
        <v>13</v>
      </c>
      <c r="B16" s="126" t="s">
        <v>17</v>
      </c>
      <c r="C16" s="58"/>
      <c r="D16" s="14"/>
      <c r="E16" s="1">
        <v>3500</v>
      </c>
      <c r="F16" s="1">
        <v>100</v>
      </c>
      <c r="G16" s="16">
        <f t="shared" si="0"/>
        <v>3600</v>
      </c>
      <c r="H16" s="183">
        <v>3500</v>
      </c>
      <c r="I16" s="16">
        <f t="shared" si="1"/>
        <v>100</v>
      </c>
    </row>
    <row r="17" spans="1:11" x14ac:dyDescent="0.25">
      <c r="A17" s="1"/>
      <c r="B17" s="13"/>
      <c r="C17" s="13"/>
      <c r="D17" s="137"/>
      <c r="E17" s="138">
        <f>SUM(E4:E16)</f>
        <v>46500</v>
      </c>
      <c r="F17" s="139">
        <f>SUM(F4:F16)</f>
        <v>1300</v>
      </c>
      <c r="G17" s="140">
        <f>SUM(G4:G16)</f>
        <v>71550</v>
      </c>
      <c r="H17" s="184">
        <f>SUM(H4:H16)</f>
        <v>39500</v>
      </c>
      <c r="I17" s="140">
        <f>SUM(I4:I16)</f>
        <v>32050</v>
      </c>
    </row>
    <row r="18" spans="1:11" x14ac:dyDescent="0.25">
      <c r="A18" s="101"/>
      <c r="B18" s="143"/>
      <c r="C18" s="143"/>
      <c r="D18" s="144"/>
      <c r="E18" s="145"/>
      <c r="F18" s="146"/>
      <c r="G18" s="147"/>
      <c r="H18" s="148"/>
      <c r="I18" s="147"/>
    </row>
    <row r="19" spans="1:11" ht="23.25" x14ac:dyDescent="0.35">
      <c r="A19" s="58"/>
      <c r="B19" s="105" t="s">
        <v>121</v>
      </c>
      <c r="C19" s="58"/>
      <c r="D19" s="58"/>
      <c r="E19" s="58"/>
      <c r="F19" s="58"/>
      <c r="G19" s="58"/>
      <c r="H19" s="58"/>
      <c r="I19" s="58"/>
    </row>
    <row r="20" spans="1:11" ht="15.75" x14ac:dyDescent="0.25">
      <c r="A20" s="43"/>
      <c r="B20" s="158" t="s">
        <v>122</v>
      </c>
      <c r="C20" s="158" t="s">
        <v>123</v>
      </c>
      <c r="D20" s="158" t="s">
        <v>124</v>
      </c>
      <c r="E20" s="158" t="s">
        <v>125</v>
      </c>
      <c r="F20" s="158" t="s">
        <v>122</v>
      </c>
      <c r="G20" s="158" t="s">
        <v>123</v>
      </c>
      <c r="H20" s="158" t="s">
        <v>124</v>
      </c>
      <c r="I20" s="158" t="s">
        <v>125</v>
      </c>
    </row>
    <row r="21" spans="1:11" x14ac:dyDescent="0.25">
      <c r="A21" s="43"/>
      <c r="B21" s="1" t="s">
        <v>336</v>
      </c>
      <c r="C21" s="16">
        <f>E17</f>
        <v>46500</v>
      </c>
      <c r="D21" s="1"/>
      <c r="E21" s="1"/>
      <c r="F21" s="1" t="s">
        <v>336</v>
      </c>
      <c r="G21" s="16">
        <f>H17</f>
        <v>39500</v>
      </c>
      <c r="H21" s="1"/>
      <c r="I21" s="1"/>
    </row>
    <row r="22" spans="1:11" x14ac:dyDescent="0.25">
      <c r="A22" s="43"/>
      <c r="B22" s="1" t="s">
        <v>1</v>
      </c>
      <c r="C22" s="16">
        <f>DEC!E36</f>
        <v>-4325</v>
      </c>
      <c r="D22" s="1"/>
      <c r="E22" s="1"/>
      <c r="F22" s="1" t="s">
        <v>1</v>
      </c>
      <c r="G22" s="16">
        <f>DEC!I36</f>
        <v>-2925</v>
      </c>
      <c r="H22" s="1"/>
      <c r="I22" s="1"/>
    </row>
    <row r="23" spans="1:11" x14ac:dyDescent="0.25">
      <c r="A23" s="43"/>
      <c r="B23" s="1" t="s">
        <v>325</v>
      </c>
      <c r="C23" s="107">
        <v>0.1</v>
      </c>
      <c r="D23" s="16">
        <f>C21*C23</f>
        <v>4650</v>
      </c>
      <c r="E23" s="1"/>
      <c r="F23" s="1" t="s">
        <v>325</v>
      </c>
      <c r="G23" s="107">
        <v>0.1</v>
      </c>
      <c r="H23" s="16">
        <f>G21*G23</f>
        <v>3950</v>
      </c>
      <c r="I23" s="1"/>
    </row>
    <row r="24" spans="1:11" x14ac:dyDescent="0.25">
      <c r="A24" s="43"/>
      <c r="B24" s="113" t="s">
        <v>188</v>
      </c>
      <c r="C24" s="16">
        <f>C21+C22-D23</f>
        <v>37525</v>
      </c>
      <c r="D24" s="1"/>
      <c r="E24" s="1"/>
      <c r="F24" s="113" t="s">
        <v>188</v>
      </c>
      <c r="G24" s="16">
        <f>G21+G22-H23</f>
        <v>32625</v>
      </c>
      <c r="H24" s="1"/>
      <c r="I24" s="1"/>
    </row>
    <row r="25" spans="1:11" x14ac:dyDescent="0.25">
      <c r="A25" s="118"/>
      <c r="B25" s="69" t="s">
        <v>128</v>
      </c>
      <c r="C25" s="1" t="s">
        <v>206</v>
      </c>
      <c r="D25" s="1"/>
      <c r="E25" s="1"/>
      <c r="F25" s="69" t="s">
        <v>128</v>
      </c>
      <c r="G25" s="1" t="s">
        <v>206</v>
      </c>
      <c r="H25" s="132"/>
      <c r="I25" s="1"/>
    </row>
    <row r="26" spans="1:11" x14ac:dyDescent="0.25">
      <c r="A26" s="118"/>
      <c r="B26" s="142">
        <v>43110</v>
      </c>
      <c r="C26" s="69"/>
      <c r="D26" s="132">
        <v>10595</v>
      </c>
      <c r="E26" s="1"/>
      <c r="F26" s="142">
        <v>43110</v>
      </c>
      <c r="G26" s="69"/>
      <c r="H26" s="132">
        <v>10595</v>
      </c>
      <c r="I26" s="1"/>
    </row>
    <row r="27" spans="1:11" x14ac:dyDescent="0.25">
      <c r="A27" s="118"/>
      <c r="B27" s="109" t="s">
        <v>335</v>
      </c>
      <c r="C27" s="113"/>
      <c r="D27" s="132">
        <v>2000</v>
      </c>
      <c r="E27" s="1"/>
      <c r="F27" s="109" t="s">
        <v>330</v>
      </c>
      <c r="G27" s="113"/>
      <c r="H27" s="132">
        <v>2000</v>
      </c>
      <c r="I27" s="1"/>
      <c r="K27">
        <v>1000</v>
      </c>
    </row>
    <row r="28" spans="1:11" x14ac:dyDescent="0.25">
      <c r="A28" s="43"/>
      <c r="B28" s="153">
        <v>43119</v>
      </c>
      <c r="C28" s="1"/>
      <c r="D28" s="132">
        <v>8085</v>
      </c>
      <c r="E28" s="1"/>
      <c r="F28" s="153">
        <v>43119</v>
      </c>
      <c r="G28" s="1"/>
      <c r="H28" s="132">
        <v>8085</v>
      </c>
      <c r="I28" s="1"/>
    </row>
    <row r="29" spans="1:11" x14ac:dyDescent="0.25">
      <c r="A29" s="43"/>
      <c r="B29" s="1" t="s">
        <v>338</v>
      </c>
      <c r="C29" s="113"/>
      <c r="D29" s="113">
        <v>400</v>
      </c>
      <c r="E29" s="1"/>
      <c r="F29" s="1" t="s">
        <v>338</v>
      </c>
      <c r="G29" s="113"/>
      <c r="H29" s="113">
        <v>400</v>
      </c>
      <c r="I29" s="1"/>
    </row>
    <row r="30" spans="1:11" s="58" customFormat="1" x14ac:dyDescent="0.25">
      <c r="A30" s="43"/>
      <c r="B30" s="1" t="s">
        <v>120</v>
      </c>
      <c r="C30" s="113"/>
      <c r="D30" s="113">
        <v>7000</v>
      </c>
      <c r="E30" s="1"/>
      <c r="F30" s="1" t="s">
        <v>339</v>
      </c>
      <c r="G30" s="113"/>
      <c r="H30" s="113">
        <v>2100</v>
      </c>
      <c r="I30" s="1"/>
      <c r="J30" s="58" t="s">
        <v>340</v>
      </c>
    </row>
    <row r="31" spans="1:11" s="58" customFormat="1" x14ac:dyDescent="0.25">
      <c r="A31" s="43"/>
      <c r="B31" s="113" t="s">
        <v>329</v>
      </c>
      <c r="C31" s="113"/>
      <c r="D31" s="113">
        <v>3500</v>
      </c>
      <c r="E31" s="1"/>
      <c r="F31" s="113" t="s">
        <v>329</v>
      </c>
      <c r="G31" s="113"/>
      <c r="H31" s="113">
        <v>3500</v>
      </c>
      <c r="I31" s="1"/>
    </row>
    <row r="32" spans="1:11" x14ac:dyDescent="0.25">
      <c r="A32" s="43"/>
      <c r="B32" s="1" t="s">
        <v>327</v>
      </c>
      <c r="C32" s="1"/>
      <c r="D32" s="113">
        <v>1000</v>
      </c>
      <c r="E32" s="1"/>
      <c r="F32" s="1" t="s">
        <v>327</v>
      </c>
      <c r="G32" s="1"/>
      <c r="H32" s="1">
        <v>1000</v>
      </c>
      <c r="I32" s="1"/>
    </row>
    <row r="33" spans="1:9" s="58" customFormat="1" x14ac:dyDescent="0.25">
      <c r="A33" s="43"/>
      <c r="B33" s="1" t="s">
        <v>343</v>
      </c>
      <c r="C33" s="1"/>
      <c r="D33" s="1">
        <v>2000</v>
      </c>
      <c r="E33" s="1"/>
      <c r="F33" s="1" t="s">
        <v>343</v>
      </c>
      <c r="G33" s="1"/>
      <c r="H33" s="1">
        <v>2000</v>
      </c>
      <c r="I33" s="1"/>
    </row>
    <row r="34" spans="1:9" s="58" customFormat="1" x14ac:dyDescent="0.25">
      <c r="A34" s="43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43"/>
      <c r="B35" s="153">
        <v>43131</v>
      </c>
      <c r="C35" s="1"/>
      <c r="D35" s="1">
        <v>7885</v>
      </c>
      <c r="E35" s="1"/>
      <c r="F35" s="153">
        <v>43131</v>
      </c>
      <c r="G35" s="1"/>
      <c r="H35" s="1">
        <v>7885</v>
      </c>
      <c r="I35" s="1"/>
    </row>
    <row r="36" spans="1:9" x14ac:dyDescent="0.25">
      <c r="A36" s="118"/>
      <c r="B36" s="69" t="s">
        <v>129</v>
      </c>
      <c r="C36" s="70">
        <f>C24</f>
        <v>37525</v>
      </c>
      <c r="D36" s="70">
        <f>SUM(D26:D35)</f>
        <v>42465</v>
      </c>
      <c r="E36" s="70">
        <f>C36-D36</f>
        <v>-4940</v>
      </c>
      <c r="F36" s="69" t="s">
        <v>129</v>
      </c>
      <c r="G36" s="70">
        <f>G24</f>
        <v>32625</v>
      </c>
      <c r="H36" s="70">
        <f>SUM(H26:H35)</f>
        <v>37565</v>
      </c>
      <c r="I36" s="16">
        <f>G36-H36</f>
        <v>-4940</v>
      </c>
    </row>
  </sheetData>
  <pageMargins left="0.25" right="0.25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H17" sqref="H17"/>
    </sheetView>
  </sheetViews>
  <sheetFormatPr defaultRowHeight="15" x14ac:dyDescent="0.25"/>
  <cols>
    <col min="1" max="1" width="4.140625" customWidth="1"/>
    <col min="2" max="2" width="17.85546875" customWidth="1"/>
    <col min="6" max="6" width="11.140625" customWidth="1"/>
  </cols>
  <sheetData>
    <row r="1" spans="1:10" ht="33.75" x14ac:dyDescent="0.25">
      <c r="A1" s="58"/>
      <c r="B1" s="115"/>
      <c r="C1" s="189" t="s">
        <v>222</v>
      </c>
      <c r="D1" s="117"/>
      <c r="E1" s="116"/>
      <c r="F1" s="58"/>
      <c r="G1" s="58"/>
      <c r="H1" s="58"/>
      <c r="I1" s="58"/>
    </row>
    <row r="2" spans="1:10" ht="18.75" x14ac:dyDescent="0.25">
      <c r="A2" s="33" t="s">
        <v>349</v>
      </c>
      <c r="B2" s="35"/>
      <c r="C2" s="35"/>
      <c r="D2" s="34"/>
      <c r="E2" s="34"/>
      <c r="F2" s="34"/>
      <c r="G2" s="34"/>
      <c r="H2" s="34"/>
      <c r="I2" s="58"/>
    </row>
    <row r="3" spans="1:10" x14ac:dyDescent="0.25">
      <c r="A3" s="1"/>
      <c r="B3" s="154" t="s">
        <v>324</v>
      </c>
      <c r="C3" s="154" t="s">
        <v>28</v>
      </c>
      <c r="D3" s="155" t="s">
        <v>1</v>
      </c>
      <c r="E3" s="154" t="s">
        <v>2</v>
      </c>
      <c r="F3" s="156" t="s">
        <v>77</v>
      </c>
      <c r="G3" s="156" t="s">
        <v>129</v>
      </c>
      <c r="H3" s="154" t="s">
        <v>3</v>
      </c>
      <c r="I3" s="157" t="s">
        <v>5</v>
      </c>
    </row>
    <row r="4" spans="1:10" x14ac:dyDescent="0.25">
      <c r="A4" s="1">
        <v>1</v>
      </c>
      <c r="B4" s="126" t="s">
        <v>331</v>
      </c>
      <c r="C4" s="58"/>
      <c r="D4" s="14"/>
      <c r="E4" s="1">
        <v>3000</v>
      </c>
      <c r="F4" s="1">
        <v>100</v>
      </c>
      <c r="G4" s="16">
        <f>D4+E4+F4</f>
        <v>3100</v>
      </c>
      <c r="H4" s="183">
        <v>3000</v>
      </c>
      <c r="I4" s="16">
        <f t="shared" ref="I4:I16" si="0">G4-H4</f>
        <v>100</v>
      </c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6">
        <f>D5+E5+F5</f>
        <v>3100</v>
      </c>
      <c r="H5" s="183">
        <v>3000</v>
      </c>
      <c r="I5" s="16">
        <f t="shared" si="0"/>
        <v>100</v>
      </c>
    </row>
    <row r="6" spans="1:10" x14ac:dyDescent="0.25">
      <c r="A6" s="1">
        <v>3</v>
      </c>
      <c r="B6" s="128" t="s">
        <v>344</v>
      </c>
      <c r="C6" s="13"/>
      <c r="D6" s="14"/>
      <c r="E6" s="1">
        <v>3000</v>
      </c>
      <c r="F6" s="1">
        <v>100</v>
      </c>
      <c r="G6" s="16">
        <f t="shared" ref="G6:G11" si="1">D6+E6+F6</f>
        <v>3100</v>
      </c>
      <c r="H6" s="183">
        <v>3000</v>
      </c>
      <c r="I6" s="16">
        <f t="shared" si="0"/>
        <v>100</v>
      </c>
    </row>
    <row r="7" spans="1:10" x14ac:dyDescent="0.25">
      <c r="A7" s="1">
        <v>4</v>
      </c>
      <c r="B7" s="136" t="s">
        <v>345</v>
      </c>
      <c r="C7" s="13"/>
      <c r="D7" s="14"/>
      <c r="E7" s="1">
        <v>3000</v>
      </c>
      <c r="F7" s="1">
        <v>100</v>
      </c>
      <c r="G7" s="16">
        <f>D7+E7+F7</f>
        <v>3100</v>
      </c>
      <c r="H7" s="183">
        <v>3000</v>
      </c>
      <c r="I7" s="16">
        <f t="shared" si="0"/>
        <v>100</v>
      </c>
    </row>
    <row r="8" spans="1:10" x14ac:dyDescent="0.25">
      <c r="A8" s="1">
        <v>5</v>
      </c>
      <c r="B8" s="127" t="s">
        <v>332</v>
      </c>
      <c r="C8" s="13"/>
      <c r="D8" s="14"/>
      <c r="E8" s="1">
        <v>3000</v>
      </c>
      <c r="F8" s="1">
        <v>100</v>
      </c>
      <c r="G8" s="16">
        <f>D8+E8+F8</f>
        <v>3100</v>
      </c>
      <c r="H8" s="183">
        <v>3000</v>
      </c>
      <c r="I8" s="16">
        <f t="shared" si="0"/>
        <v>100</v>
      </c>
    </row>
    <row r="9" spans="1:10" x14ac:dyDescent="0.25">
      <c r="A9" s="1">
        <v>6</v>
      </c>
      <c r="B9" s="1" t="s">
        <v>347</v>
      </c>
      <c r="C9" s="1"/>
      <c r="D9" s="1"/>
      <c r="E9" s="1">
        <v>3000</v>
      </c>
      <c r="F9" s="1">
        <v>100</v>
      </c>
      <c r="G9" s="16">
        <f>D9+E9+F9</f>
        <v>3100</v>
      </c>
      <c r="H9" s="183">
        <v>3000</v>
      </c>
      <c r="I9" s="16">
        <f t="shared" si="0"/>
        <v>100</v>
      </c>
    </row>
    <row r="10" spans="1:10" x14ac:dyDescent="0.25">
      <c r="A10" s="1">
        <v>7</v>
      </c>
      <c r="B10" s="128" t="s">
        <v>333</v>
      </c>
      <c r="C10" s="13"/>
      <c r="D10" s="14"/>
      <c r="E10" s="1">
        <v>3000</v>
      </c>
      <c r="F10" s="1">
        <v>100</v>
      </c>
      <c r="G10" s="16">
        <f t="shared" si="1"/>
        <v>3100</v>
      </c>
      <c r="H10" s="183">
        <v>3000</v>
      </c>
      <c r="I10" s="16">
        <f t="shared" si="0"/>
        <v>100</v>
      </c>
    </row>
    <row r="11" spans="1:10" x14ac:dyDescent="0.25">
      <c r="A11" s="1">
        <v>8</v>
      </c>
      <c r="B11" s="129" t="s">
        <v>150</v>
      </c>
      <c r="C11" s="83"/>
      <c r="D11" s="14"/>
      <c r="E11" s="1">
        <v>3000</v>
      </c>
      <c r="F11" s="1">
        <v>100</v>
      </c>
      <c r="G11" s="16">
        <f t="shared" si="1"/>
        <v>3100</v>
      </c>
      <c r="H11" s="183">
        <v>3000</v>
      </c>
      <c r="I11" s="16">
        <f t="shared" si="0"/>
        <v>100</v>
      </c>
    </row>
    <row r="12" spans="1:10" x14ac:dyDescent="0.25">
      <c r="A12" s="1">
        <v>9</v>
      </c>
      <c r="B12" s="126" t="s">
        <v>239</v>
      </c>
      <c r="C12" s="79"/>
      <c r="D12" s="14"/>
      <c r="E12" s="1">
        <v>3000</v>
      </c>
      <c r="F12" s="1">
        <v>100</v>
      </c>
      <c r="G12" s="16">
        <f>D12+E12+F12</f>
        <v>3100</v>
      </c>
      <c r="H12" s="183">
        <v>3000</v>
      </c>
      <c r="I12" s="16">
        <f t="shared" si="0"/>
        <v>100</v>
      </c>
    </row>
    <row r="13" spans="1:10" x14ac:dyDescent="0.25">
      <c r="A13" s="1">
        <v>10</v>
      </c>
      <c r="B13" s="129" t="s">
        <v>346</v>
      </c>
      <c r="C13" s="79"/>
      <c r="D13" s="14"/>
      <c r="E13" s="1">
        <v>4500</v>
      </c>
      <c r="F13" s="1">
        <v>100</v>
      </c>
      <c r="G13" s="16">
        <f>D13+E13+F13</f>
        <v>4600</v>
      </c>
      <c r="H13" s="183">
        <v>4500</v>
      </c>
      <c r="I13" s="16">
        <f t="shared" si="0"/>
        <v>100</v>
      </c>
    </row>
    <row r="14" spans="1:10" x14ac:dyDescent="0.25">
      <c r="A14" s="1">
        <v>11</v>
      </c>
      <c r="B14" s="129" t="s">
        <v>337</v>
      </c>
      <c r="C14" s="13"/>
      <c r="D14" s="14"/>
      <c r="E14" s="1">
        <v>4500</v>
      </c>
      <c r="F14" s="1">
        <v>100</v>
      </c>
      <c r="G14" s="16">
        <f>D14+E14+F14</f>
        <v>4600</v>
      </c>
      <c r="H14" s="183">
        <v>4500</v>
      </c>
      <c r="I14" s="16">
        <f t="shared" si="0"/>
        <v>100</v>
      </c>
    </row>
    <row r="15" spans="1:10" x14ac:dyDescent="0.25">
      <c r="A15" s="1">
        <v>12</v>
      </c>
      <c r="B15" s="126" t="s">
        <v>17</v>
      </c>
      <c r="C15" s="1"/>
      <c r="D15" s="14"/>
      <c r="E15" s="1">
        <v>3500</v>
      </c>
      <c r="F15" s="1">
        <v>100</v>
      </c>
      <c r="G15" s="16">
        <f>D15+E15+F15</f>
        <v>3600</v>
      </c>
      <c r="H15" s="183">
        <v>3500</v>
      </c>
      <c r="I15" s="16">
        <f t="shared" si="0"/>
        <v>100</v>
      </c>
    </row>
    <row r="16" spans="1:10" x14ac:dyDescent="0.25">
      <c r="A16" s="1">
        <v>13</v>
      </c>
      <c r="B16" s="159" t="s">
        <v>245</v>
      </c>
      <c r="C16" s="1"/>
      <c r="D16" s="1"/>
      <c r="E16" s="1">
        <v>7000</v>
      </c>
      <c r="F16" s="1">
        <v>100</v>
      </c>
      <c r="G16" s="16">
        <f>D16+E16+F16</f>
        <v>7100</v>
      </c>
      <c r="H16" s="1">
        <v>7000</v>
      </c>
      <c r="I16" s="1">
        <f t="shared" si="0"/>
        <v>100</v>
      </c>
      <c r="J16" t="s">
        <v>80</v>
      </c>
    </row>
    <row r="17" spans="1:9" x14ac:dyDescent="0.25">
      <c r="A17" s="1"/>
      <c r="B17" s="13"/>
      <c r="C17" s="13"/>
      <c r="D17" s="137"/>
      <c r="E17" s="138">
        <f>SUM(E4:E16)</f>
        <v>46500</v>
      </c>
      <c r="F17" s="139">
        <f>SUM(F4:F16)</f>
        <v>1300</v>
      </c>
      <c r="G17" s="140">
        <f>SUM(G4:G15)</f>
        <v>40700</v>
      </c>
      <c r="H17" s="141">
        <f>SUM(H4:H16)</f>
        <v>46500</v>
      </c>
      <c r="I17" s="140">
        <f>SUM(I4:I16)</f>
        <v>1300</v>
      </c>
    </row>
    <row r="18" spans="1:9" x14ac:dyDescent="0.25">
      <c r="A18" s="101"/>
      <c r="B18" s="143"/>
      <c r="C18" s="143"/>
      <c r="D18" s="144"/>
      <c r="E18" s="145"/>
      <c r="F18" s="146"/>
      <c r="G18" s="147"/>
      <c r="H18" s="148"/>
      <c r="I18" s="147"/>
    </row>
    <row r="19" spans="1:9" ht="23.25" x14ac:dyDescent="0.35">
      <c r="A19" s="58"/>
      <c r="B19" s="105" t="s">
        <v>121</v>
      </c>
      <c r="C19" s="58"/>
      <c r="D19" s="58"/>
      <c r="E19" s="58"/>
      <c r="F19" s="58"/>
      <c r="G19" s="58"/>
      <c r="H19" s="58"/>
      <c r="I19" s="58"/>
    </row>
    <row r="20" spans="1:9" ht="15.75" x14ac:dyDescent="0.25">
      <c r="A20" s="43"/>
      <c r="B20" s="158" t="s">
        <v>122</v>
      </c>
      <c r="C20" s="158" t="s">
        <v>123</v>
      </c>
      <c r="D20" s="158" t="s">
        <v>124</v>
      </c>
      <c r="E20" s="158" t="s">
        <v>125</v>
      </c>
      <c r="F20" s="158" t="s">
        <v>122</v>
      </c>
      <c r="G20" s="158" t="s">
        <v>123</v>
      </c>
      <c r="H20" s="158" t="s">
        <v>124</v>
      </c>
      <c r="I20" s="158" t="s">
        <v>125</v>
      </c>
    </row>
    <row r="21" spans="1:9" x14ac:dyDescent="0.25">
      <c r="A21" s="43"/>
      <c r="B21" s="1" t="s">
        <v>342</v>
      </c>
      <c r="C21" s="16">
        <f>E17</f>
        <v>46500</v>
      </c>
      <c r="D21" s="1"/>
      <c r="E21" s="1"/>
      <c r="F21" s="1" t="s">
        <v>342</v>
      </c>
      <c r="G21" s="16">
        <f>H17</f>
        <v>46500</v>
      </c>
      <c r="H21" s="1"/>
      <c r="I21" s="1"/>
    </row>
    <row r="22" spans="1:9" x14ac:dyDescent="0.25">
      <c r="A22" s="43"/>
      <c r="B22" s="1"/>
      <c r="C22" s="16">
        <f>JAN!E36</f>
        <v>-4940</v>
      </c>
      <c r="D22" s="1"/>
      <c r="E22" s="1"/>
      <c r="F22" s="1" t="s">
        <v>1</v>
      </c>
      <c r="G22" s="16">
        <f>JAN!I36</f>
        <v>-4940</v>
      </c>
      <c r="H22" s="1"/>
      <c r="I22" s="1"/>
    </row>
    <row r="23" spans="1:9" x14ac:dyDescent="0.25">
      <c r="A23" s="43"/>
      <c r="B23" s="1" t="s">
        <v>325</v>
      </c>
      <c r="C23" s="107">
        <v>0.1</v>
      </c>
      <c r="D23" s="16">
        <f>C21*C23</f>
        <v>4650</v>
      </c>
      <c r="E23" s="1"/>
      <c r="F23" s="1" t="s">
        <v>325</v>
      </c>
      <c r="G23" s="107">
        <v>0.1</v>
      </c>
      <c r="H23" s="16">
        <f>D23</f>
        <v>4650</v>
      </c>
      <c r="I23" s="1"/>
    </row>
    <row r="24" spans="1:9" x14ac:dyDescent="0.25">
      <c r="A24" s="43"/>
      <c r="B24" s="113" t="s">
        <v>188</v>
      </c>
      <c r="C24" s="16">
        <f>C21+C22-D23</f>
        <v>36910</v>
      </c>
      <c r="D24" s="1"/>
      <c r="E24" s="1"/>
      <c r="F24" s="113" t="s">
        <v>188</v>
      </c>
      <c r="G24" s="16">
        <f>G21+G22-H23</f>
        <v>36910</v>
      </c>
      <c r="H24" s="1"/>
      <c r="I24" s="1"/>
    </row>
    <row r="25" spans="1:9" x14ac:dyDescent="0.25">
      <c r="A25" s="118"/>
      <c r="B25" s="69" t="s">
        <v>128</v>
      </c>
      <c r="C25" s="1" t="s">
        <v>206</v>
      </c>
      <c r="D25" s="1"/>
      <c r="E25" s="1"/>
      <c r="F25" s="69" t="s">
        <v>128</v>
      </c>
      <c r="G25" s="1" t="s">
        <v>206</v>
      </c>
      <c r="H25" s="132"/>
      <c r="I25" s="1"/>
    </row>
    <row r="26" spans="1:9" x14ac:dyDescent="0.25">
      <c r="A26" s="118"/>
      <c r="B26" s="142">
        <v>43141</v>
      </c>
      <c r="C26" s="69"/>
      <c r="D26" s="132">
        <v>12095</v>
      </c>
      <c r="E26" s="1"/>
      <c r="F26" s="142">
        <v>43141</v>
      </c>
      <c r="G26" s="69"/>
      <c r="H26" s="132">
        <v>12095</v>
      </c>
      <c r="I26" s="1"/>
    </row>
    <row r="27" spans="1:9" x14ac:dyDescent="0.25">
      <c r="A27" s="118"/>
      <c r="B27" s="109" t="s">
        <v>328</v>
      </c>
      <c r="C27" s="113"/>
      <c r="D27" s="132">
        <v>3000</v>
      </c>
      <c r="E27" s="1"/>
      <c r="F27" s="109" t="s">
        <v>328</v>
      </c>
      <c r="G27" s="113"/>
      <c r="H27" s="132">
        <v>3000</v>
      </c>
      <c r="I27" s="1"/>
    </row>
    <row r="28" spans="1:9" x14ac:dyDescent="0.25">
      <c r="A28" s="43"/>
      <c r="B28" s="153" t="s">
        <v>350</v>
      </c>
      <c r="C28" s="1" t="s">
        <v>206</v>
      </c>
      <c r="D28" s="132">
        <v>2000</v>
      </c>
      <c r="E28" s="1"/>
      <c r="F28" s="153" t="s">
        <v>350</v>
      </c>
      <c r="G28" s="1" t="s">
        <v>206</v>
      </c>
      <c r="H28" s="132">
        <v>2000</v>
      </c>
      <c r="I28" s="1"/>
    </row>
    <row r="29" spans="1:9" x14ac:dyDescent="0.25">
      <c r="A29" s="43"/>
      <c r="B29" s="1" t="s">
        <v>351</v>
      </c>
      <c r="C29" s="113"/>
      <c r="D29" s="113">
        <v>1155</v>
      </c>
      <c r="E29" s="1"/>
      <c r="F29" s="1" t="s">
        <v>351</v>
      </c>
      <c r="G29" s="113"/>
      <c r="H29" s="113">
        <v>1155</v>
      </c>
      <c r="I29" s="1"/>
    </row>
    <row r="30" spans="1:9" x14ac:dyDescent="0.25">
      <c r="A30" s="43"/>
      <c r="B30" s="109">
        <v>43153</v>
      </c>
      <c r="C30" s="113"/>
      <c r="D30" s="113">
        <v>1055</v>
      </c>
      <c r="E30" s="1"/>
      <c r="F30" s="109">
        <v>43153</v>
      </c>
      <c r="G30" s="113"/>
      <c r="H30" s="113">
        <v>1055</v>
      </c>
      <c r="I30" s="1"/>
    </row>
    <row r="31" spans="1:9" x14ac:dyDescent="0.25">
      <c r="A31" s="43"/>
      <c r="B31" s="113" t="s">
        <v>352</v>
      </c>
      <c r="C31" s="113"/>
      <c r="D31" s="113">
        <v>3500</v>
      </c>
      <c r="E31" s="1"/>
      <c r="F31" s="113" t="s">
        <v>352</v>
      </c>
      <c r="G31" s="113"/>
      <c r="H31" s="113">
        <v>3500</v>
      </c>
      <c r="I31" s="1"/>
    </row>
    <row r="32" spans="1:9" x14ac:dyDescent="0.25">
      <c r="A32" s="43"/>
      <c r="B32" s="109">
        <v>43159</v>
      </c>
      <c r="C32" s="1"/>
      <c r="D32" s="1">
        <v>1100</v>
      </c>
      <c r="E32" s="1"/>
      <c r="F32" s="109">
        <v>43159</v>
      </c>
      <c r="G32" s="1"/>
      <c r="H32" s="1">
        <v>1100</v>
      </c>
      <c r="I32" s="1"/>
    </row>
    <row r="33" spans="1:9" x14ac:dyDescent="0.25">
      <c r="A33" s="43"/>
      <c r="B33" s="1" t="s">
        <v>120</v>
      </c>
      <c r="C33" s="1"/>
      <c r="D33" s="1">
        <v>7000</v>
      </c>
      <c r="E33" s="1"/>
      <c r="F33" s="1" t="s">
        <v>120</v>
      </c>
      <c r="G33" s="1"/>
      <c r="H33" s="1">
        <v>7000</v>
      </c>
      <c r="I33" s="1"/>
    </row>
    <row r="34" spans="1:9" x14ac:dyDescent="0.25">
      <c r="A34" s="118"/>
      <c r="B34" s="69" t="s">
        <v>129</v>
      </c>
      <c r="C34" s="160">
        <f>C24</f>
        <v>36910</v>
      </c>
      <c r="D34" s="160">
        <f>SUM(D26:D33)</f>
        <v>30905</v>
      </c>
      <c r="E34" s="160">
        <f>C34-D34</f>
        <v>6005</v>
      </c>
      <c r="F34" s="160" t="s">
        <v>129</v>
      </c>
      <c r="G34" s="160">
        <f>G24</f>
        <v>36910</v>
      </c>
      <c r="H34" s="160">
        <f>SUM(H26:H33)</f>
        <v>30905</v>
      </c>
      <c r="I34" s="185">
        <f>G34-H34</f>
        <v>6005</v>
      </c>
    </row>
    <row r="35" spans="1:9" x14ac:dyDescent="0.25">
      <c r="A35" s="58"/>
      <c r="B35" s="58"/>
      <c r="C35" s="58"/>
      <c r="D35" s="58"/>
      <c r="E35" s="58"/>
      <c r="F35" s="58"/>
      <c r="G35" s="58"/>
      <c r="H35" s="58"/>
      <c r="I35" s="58"/>
    </row>
    <row r="36" spans="1:9" x14ac:dyDescent="0.25">
      <c r="A36" s="58"/>
      <c r="B36" s="58"/>
      <c r="C36" s="58"/>
      <c r="D36" s="58"/>
      <c r="E36" s="58"/>
      <c r="F36" s="58"/>
      <c r="G36" s="58"/>
      <c r="H36" s="58"/>
      <c r="I36" s="58"/>
    </row>
    <row r="37" spans="1:9" x14ac:dyDescent="0.25">
      <c r="B37" s="58" t="s">
        <v>357</v>
      </c>
      <c r="C37" s="58"/>
      <c r="D37" s="58" t="s">
        <v>359</v>
      </c>
      <c r="E37" s="58"/>
      <c r="F37" s="58"/>
      <c r="G37" s="58" t="s">
        <v>361</v>
      </c>
    </row>
    <row r="38" spans="1:9" x14ac:dyDescent="0.25">
      <c r="B38" s="58"/>
      <c r="C38" s="58"/>
      <c r="D38" s="58"/>
      <c r="E38" s="58"/>
      <c r="F38" s="58"/>
      <c r="G38" s="58"/>
    </row>
    <row r="39" spans="1:9" x14ac:dyDescent="0.25">
      <c r="B39" s="58" t="s">
        <v>358</v>
      </c>
      <c r="C39" s="58"/>
      <c r="D39" s="58" t="s">
        <v>360</v>
      </c>
      <c r="E39" s="58"/>
      <c r="F39" s="58"/>
      <c r="G39" s="58" t="s">
        <v>158</v>
      </c>
    </row>
  </sheetData>
  <pageMargins left="0.25" right="0.25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9" workbookViewId="0">
      <selection activeCell="G18" sqref="G18"/>
    </sheetView>
  </sheetViews>
  <sheetFormatPr defaultRowHeight="15" x14ac:dyDescent="0.25"/>
  <cols>
    <col min="1" max="1" width="3.28515625" customWidth="1"/>
    <col min="2" max="2" width="19.7109375" customWidth="1"/>
    <col min="3" max="3" width="7.42578125" customWidth="1"/>
    <col min="4" max="4" width="9.28515625" bestFit="1" customWidth="1"/>
    <col min="5" max="5" width="9.5703125" customWidth="1"/>
    <col min="6" max="6" width="11.5703125" bestFit="1" customWidth="1"/>
    <col min="7" max="7" width="9" customWidth="1"/>
    <col min="8" max="8" width="11" customWidth="1"/>
    <col min="9" max="9" width="9.28515625" bestFit="1" customWidth="1"/>
  </cols>
  <sheetData>
    <row r="1" spans="1:9" ht="21" customHeight="1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</row>
    <row r="2" spans="1:9" ht="18.75" x14ac:dyDescent="0.25">
      <c r="A2" s="33" t="s">
        <v>355</v>
      </c>
      <c r="B2" s="35"/>
      <c r="C2" s="34"/>
      <c r="D2" s="34"/>
      <c r="E2" s="34"/>
      <c r="F2" s="34"/>
      <c r="G2" s="34"/>
      <c r="H2" s="58"/>
      <c r="I2" s="58"/>
    </row>
    <row r="3" spans="1:9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5</v>
      </c>
      <c r="I3" s="58"/>
    </row>
    <row r="4" spans="1:9" x14ac:dyDescent="0.25">
      <c r="A4" s="151">
        <v>1</v>
      </c>
      <c r="B4" s="164" t="s">
        <v>331</v>
      </c>
      <c r="C4" s="165"/>
      <c r="D4" s="151">
        <v>3000</v>
      </c>
      <c r="E4" s="151">
        <v>100</v>
      </c>
      <c r="F4" s="166">
        <f>C4+D4+E4</f>
        <v>3100</v>
      </c>
      <c r="G4" s="180">
        <v>3000</v>
      </c>
      <c r="H4" s="166">
        <f t="shared" ref="H4:H16" si="0">F4-G4</f>
        <v>100</v>
      </c>
      <c r="I4" s="58"/>
    </row>
    <row r="5" spans="1:9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3000</v>
      </c>
      <c r="H5" s="166">
        <f t="shared" si="0"/>
        <v>100</v>
      </c>
      <c r="I5" s="58"/>
    </row>
    <row r="6" spans="1:9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 t="shared" ref="F6:F14" si="1">C6+D6+E6</f>
        <v>3100</v>
      </c>
      <c r="G6" s="180">
        <v>3000</v>
      </c>
      <c r="H6" s="166">
        <f t="shared" si="0"/>
        <v>100</v>
      </c>
      <c r="I6" s="58"/>
    </row>
    <row r="7" spans="1:9" x14ac:dyDescent="0.25">
      <c r="A7" s="151">
        <v>4</v>
      </c>
      <c r="B7" s="168" t="s">
        <v>345</v>
      </c>
      <c r="C7" s="165"/>
      <c r="D7" s="151">
        <v>3000</v>
      </c>
      <c r="E7" s="151">
        <v>100</v>
      </c>
      <c r="F7" s="166">
        <f>C7+D7+E7</f>
        <v>3100</v>
      </c>
      <c r="G7" s="180">
        <v>3000</v>
      </c>
      <c r="H7" s="166">
        <f t="shared" si="0"/>
        <v>100</v>
      </c>
      <c r="I7" s="58"/>
    </row>
    <row r="8" spans="1:9" x14ac:dyDescent="0.25">
      <c r="A8" s="151">
        <v>5</v>
      </c>
      <c r="B8" s="151" t="s">
        <v>332</v>
      </c>
      <c r="C8" s="165"/>
      <c r="D8" s="151">
        <v>3000</v>
      </c>
      <c r="E8" s="151">
        <v>100</v>
      </c>
      <c r="F8" s="166">
        <f>C8+D8+E8</f>
        <v>3100</v>
      </c>
      <c r="G8" s="180">
        <v>3000</v>
      </c>
      <c r="H8" s="166">
        <f t="shared" si="0"/>
        <v>100</v>
      </c>
      <c r="I8" s="58"/>
    </row>
    <row r="9" spans="1:9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3000</v>
      </c>
      <c r="H9" s="166">
        <f t="shared" si="0"/>
        <v>100</v>
      </c>
      <c r="I9" s="58"/>
    </row>
    <row r="10" spans="1:9" x14ac:dyDescent="0.25">
      <c r="A10" s="151">
        <v>7</v>
      </c>
      <c r="B10" s="167" t="s">
        <v>333</v>
      </c>
      <c r="C10" s="165">
        <v>1800</v>
      </c>
      <c r="D10" s="151">
        <v>3000</v>
      </c>
      <c r="E10" s="151">
        <v>100</v>
      </c>
      <c r="F10" s="166">
        <f t="shared" si="1"/>
        <v>4900</v>
      </c>
      <c r="G10" s="180">
        <v>3000</v>
      </c>
      <c r="H10" s="166">
        <f t="shared" si="0"/>
        <v>1900</v>
      </c>
      <c r="I10" s="58"/>
    </row>
    <row r="11" spans="1:9" x14ac:dyDescent="0.25">
      <c r="A11" s="151">
        <v>8</v>
      </c>
      <c r="B11" s="169" t="s">
        <v>150</v>
      </c>
      <c r="C11" s="165"/>
      <c r="D11" s="151">
        <v>3000</v>
      </c>
      <c r="E11" s="151">
        <v>100</v>
      </c>
      <c r="F11" s="166">
        <f t="shared" si="1"/>
        <v>3100</v>
      </c>
      <c r="G11" s="180">
        <v>3000</v>
      </c>
      <c r="H11" s="166">
        <f t="shared" si="0"/>
        <v>100</v>
      </c>
      <c r="I11" s="58"/>
    </row>
    <row r="12" spans="1:9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 t="shared" si="1"/>
        <v>3100</v>
      </c>
      <c r="G12" s="180">
        <v>3000</v>
      </c>
      <c r="H12" s="166">
        <f t="shared" si="0"/>
        <v>100</v>
      </c>
      <c r="I12" s="58"/>
    </row>
    <row r="13" spans="1:9" x14ac:dyDescent="0.25">
      <c r="A13" s="151">
        <v>10</v>
      </c>
      <c r="B13" s="169" t="s">
        <v>346</v>
      </c>
      <c r="C13" s="165">
        <v>1000</v>
      </c>
      <c r="D13" s="151">
        <v>4500</v>
      </c>
      <c r="E13" s="151">
        <v>100</v>
      </c>
      <c r="F13" s="166">
        <f>C13+D13+E13</f>
        <v>5600</v>
      </c>
      <c r="G13" s="180">
        <v>4500</v>
      </c>
      <c r="H13" s="166">
        <f t="shared" si="0"/>
        <v>1100</v>
      </c>
      <c r="I13" s="58"/>
    </row>
    <row r="14" spans="1:9" x14ac:dyDescent="0.25">
      <c r="A14" s="151">
        <v>11</v>
      </c>
      <c r="B14" s="169" t="s">
        <v>337</v>
      </c>
      <c r="C14" s="165"/>
      <c r="D14" s="151">
        <v>4500</v>
      </c>
      <c r="E14" s="151">
        <v>100</v>
      </c>
      <c r="F14" s="166">
        <f t="shared" si="1"/>
        <v>4600</v>
      </c>
      <c r="G14" s="180">
        <v>4500</v>
      </c>
      <c r="H14" s="166">
        <f t="shared" si="0"/>
        <v>100</v>
      </c>
      <c r="I14" s="58"/>
    </row>
    <row r="15" spans="1:9" x14ac:dyDescent="0.25">
      <c r="A15" s="151">
        <v>12</v>
      </c>
      <c r="B15" s="164" t="s">
        <v>17</v>
      </c>
      <c r="C15" s="165"/>
      <c r="D15" s="151">
        <v>3500</v>
      </c>
      <c r="E15" s="151">
        <v>100</v>
      </c>
      <c r="F15" s="166">
        <f>C15+D15+E15</f>
        <v>3600</v>
      </c>
      <c r="G15" s="180">
        <v>3500</v>
      </c>
      <c r="H15" s="166">
        <f t="shared" si="0"/>
        <v>100</v>
      </c>
      <c r="I15" s="58"/>
    </row>
    <row r="16" spans="1:9" x14ac:dyDescent="0.25">
      <c r="A16" s="151">
        <v>13</v>
      </c>
      <c r="B16" s="170" t="s">
        <v>245</v>
      </c>
      <c r="C16" s="151"/>
      <c r="D16" s="151">
        <v>7000</v>
      </c>
      <c r="E16" s="151">
        <v>100</v>
      </c>
      <c r="F16" s="151">
        <f>C16+D16+E16</f>
        <v>7100</v>
      </c>
      <c r="G16" s="181">
        <v>7000</v>
      </c>
      <c r="H16" s="151">
        <f t="shared" si="0"/>
        <v>100</v>
      </c>
      <c r="I16" s="58" t="s">
        <v>80</v>
      </c>
    </row>
    <row r="17" spans="1:12" x14ac:dyDescent="0.25">
      <c r="A17" s="151"/>
      <c r="B17" s="171"/>
      <c r="C17" s="172"/>
      <c r="D17" s="161">
        <f>SUM(D4:D16)</f>
        <v>46500</v>
      </c>
      <c r="E17" s="139">
        <f>SUM(E4:E16)</f>
        <v>1300</v>
      </c>
      <c r="F17" s="186">
        <f>SUM(F4:F16)</f>
        <v>50600</v>
      </c>
      <c r="G17" s="195">
        <f>SUM(G4:G16)</f>
        <v>46500</v>
      </c>
      <c r="H17" s="186">
        <f>SUM(H4:H16)</f>
        <v>4100</v>
      </c>
      <c r="I17" s="58"/>
    </row>
    <row r="18" spans="1:12" x14ac:dyDescent="0.25">
      <c r="A18" s="101"/>
      <c r="B18" s="83" t="s">
        <v>121</v>
      </c>
      <c r="C18" s="144"/>
      <c r="D18" s="145"/>
      <c r="E18" s="146"/>
      <c r="F18" s="147"/>
      <c r="G18" s="148"/>
      <c r="H18" s="147"/>
      <c r="I18" s="58"/>
    </row>
    <row r="19" spans="1:12" x14ac:dyDescent="0.25">
      <c r="A19" s="58"/>
      <c r="B19" t="s">
        <v>362</v>
      </c>
      <c r="C19" s="23"/>
      <c r="D19" s="23"/>
      <c r="E19" s="192"/>
      <c r="F19" s="23" t="s">
        <v>102</v>
      </c>
      <c r="G19" s="23"/>
      <c r="H19" s="23"/>
      <c r="I19" s="23"/>
    </row>
    <row r="20" spans="1:12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L20" s="71"/>
    </row>
    <row r="21" spans="1:12" x14ac:dyDescent="0.25">
      <c r="A21" s="43"/>
      <c r="B21" s="151" t="s">
        <v>353</v>
      </c>
      <c r="C21" s="166">
        <f>D17</f>
        <v>46500</v>
      </c>
      <c r="D21" s="151"/>
      <c r="E21" s="151"/>
      <c r="F21" s="151" t="s">
        <v>353</v>
      </c>
      <c r="G21" s="166">
        <f>G17</f>
        <v>46500</v>
      </c>
      <c r="H21" s="151"/>
      <c r="I21" s="151"/>
    </row>
    <row r="22" spans="1:12" x14ac:dyDescent="0.25">
      <c r="A22" s="43"/>
      <c r="B22" s="151"/>
      <c r="C22" s="166">
        <f>'FEB18'!E34</f>
        <v>6005</v>
      </c>
      <c r="D22" s="151"/>
      <c r="E22" s="151"/>
      <c r="F22" s="151" t="s">
        <v>1</v>
      </c>
      <c r="G22" s="166">
        <f>'FEB18'!I34</f>
        <v>6005</v>
      </c>
      <c r="H22" s="151"/>
      <c r="I22" s="151"/>
    </row>
    <row r="23" spans="1:12" x14ac:dyDescent="0.25">
      <c r="A23" s="43"/>
      <c r="B23" s="151" t="s">
        <v>325</v>
      </c>
      <c r="C23" s="174">
        <v>0.1</v>
      </c>
      <c r="D23" s="166">
        <f>C21*C23</f>
        <v>4650</v>
      </c>
      <c r="E23" s="151"/>
      <c r="F23" s="151" t="s">
        <v>325</v>
      </c>
      <c r="G23" s="174">
        <v>0.1</v>
      </c>
      <c r="H23" s="166">
        <f>D23</f>
        <v>4650</v>
      </c>
      <c r="I23" s="151"/>
    </row>
    <row r="24" spans="1:12" x14ac:dyDescent="0.25">
      <c r="A24" s="43"/>
      <c r="B24" s="175" t="s">
        <v>188</v>
      </c>
      <c r="C24" s="166">
        <f>C21+C22</f>
        <v>52505</v>
      </c>
      <c r="D24" s="151"/>
      <c r="E24" s="151"/>
      <c r="F24" s="175" t="s">
        <v>188</v>
      </c>
      <c r="G24" s="166">
        <f>G21+G22</f>
        <v>52505</v>
      </c>
      <c r="H24" s="151"/>
      <c r="I24" s="151"/>
    </row>
    <row r="25" spans="1:12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76"/>
      <c r="I25" s="151"/>
    </row>
    <row r="26" spans="1:12" x14ac:dyDescent="0.25">
      <c r="A26" s="118"/>
      <c r="B26" s="142">
        <v>43165</v>
      </c>
      <c r="C26" s="69"/>
      <c r="D26" s="176">
        <v>10140</v>
      </c>
      <c r="E26" s="151"/>
      <c r="F26" s="142">
        <v>43165</v>
      </c>
      <c r="G26" s="69"/>
      <c r="H26" s="176">
        <v>10140</v>
      </c>
      <c r="I26" s="151"/>
    </row>
    <row r="27" spans="1:12" x14ac:dyDescent="0.25">
      <c r="A27" s="118"/>
      <c r="B27" s="182" t="s">
        <v>354</v>
      </c>
      <c r="C27" s="175"/>
      <c r="D27" s="176">
        <v>250</v>
      </c>
      <c r="E27" s="151"/>
      <c r="F27" s="182" t="s">
        <v>354</v>
      </c>
      <c r="G27" s="175"/>
      <c r="H27" s="176">
        <v>250</v>
      </c>
      <c r="I27" s="151"/>
    </row>
    <row r="28" spans="1:12" x14ac:dyDescent="0.25">
      <c r="A28" s="43"/>
      <c r="B28" s="178">
        <v>43168</v>
      </c>
      <c r="C28" s="151"/>
      <c r="D28" s="176">
        <v>11095</v>
      </c>
      <c r="E28" s="151"/>
      <c r="F28" s="178">
        <v>43168</v>
      </c>
      <c r="G28" s="151"/>
      <c r="H28" s="176">
        <v>11095</v>
      </c>
      <c r="I28" s="151"/>
    </row>
    <row r="29" spans="1:12" s="58" customFormat="1" x14ac:dyDescent="0.25">
      <c r="A29" s="43"/>
      <c r="B29" s="177">
        <v>43176</v>
      </c>
      <c r="C29" s="175"/>
      <c r="D29" s="175">
        <v>2040</v>
      </c>
      <c r="E29" s="151"/>
      <c r="F29" s="177">
        <v>43176</v>
      </c>
      <c r="G29" s="175"/>
      <c r="H29" s="175">
        <v>2040</v>
      </c>
      <c r="I29" s="1"/>
    </row>
    <row r="30" spans="1:12" s="58" customFormat="1" x14ac:dyDescent="0.25">
      <c r="A30" s="43"/>
      <c r="B30" s="178">
        <v>43178</v>
      </c>
      <c r="C30" s="151"/>
      <c r="D30" s="151">
        <v>2700</v>
      </c>
      <c r="E30" s="151"/>
      <c r="F30" s="178">
        <v>43178</v>
      </c>
      <c r="G30" s="151"/>
      <c r="H30" s="151">
        <v>2700</v>
      </c>
      <c r="I30" s="151"/>
    </row>
    <row r="31" spans="1:12" x14ac:dyDescent="0.25">
      <c r="A31" s="43"/>
      <c r="B31" s="193">
        <v>43181</v>
      </c>
      <c r="C31" s="58"/>
      <c r="D31" s="194">
        <v>1125</v>
      </c>
      <c r="E31" s="151"/>
      <c r="F31" s="193">
        <v>43181</v>
      </c>
      <c r="H31" s="194">
        <v>1125</v>
      </c>
      <c r="I31" s="151"/>
    </row>
    <row r="32" spans="1:12" x14ac:dyDescent="0.25">
      <c r="A32" s="43"/>
      <c r="B32" s="151" t="s">
        <v>350</v>
      </c>
      <c r="C32" s="175"/>
      <c r="D32" s="175">
        <v>2000</v>
      </c>
      <c r="E32" s="151"/>
      <c r="F32" s="151" t="s">
        <v>350</v>
      </c>
      <c r="G32" s="175"/>
      <c r="H32" s="175">
        <v>2000</v>
      </c>
      <c r="I32" s="151"/>
    </row>
    <row r="33" spans="1:9" x14ac:dyDescent="0.25">
      <c r="A33" s="43"/>
      <c r="B33" s="175" t="s">
        <v>328</v>
      </c>
      <c r="C33" s="175"/>
      <c r="D33" s="175">
        <v>3000</v>
      </c>
      <c r="E33" s="151"/>
      <c r="F33" s="175" t="s">
        <v>328</v>
      </c>
      <c r="G33" s="175"/>
      <c r="H33" s="175">
        <v>3000</v>
      </c>
      <c r="I33" s="151"/>
    </row>
    <row r="34" spans="1:9" x14ac:dyDescent="0.25">
      <c r="A34" s="43"/>
      <c r="B34" s="177" t="s">
        <v>329</v>
      </c>
      <c r="C34" s="151"/>
      <c r="D34" s="151">
        <v>3500</v>
      </c>
      <c r="E34" s="151"/>
      <c r="F34" s="177" t="s">
        <v>329</v>
      </c>
      <c r="G34" s="151"/>
      <c r="H34" s="151">
        <v>3500</v>
      </c>
      <c r="I34" s="151"/>
    </row>
    <row r="35" spans="1:9" x14ac:dyDescent="0.25">
      <c r="A35" s="43"/>
      <c r="B35" s="1" t="s">
        <v>120</v>
      </c>
      <c r="C35" s="1"/>
      <c r="D35" s="1">
        <v>7000</v>
      </c>
      <c r="E35" s="1"/>
      <c r="F35" s="1" t="s">
        <v>120</v>
      </c>
      <c r="G35" s="1"/>
      <c r="H35" s="1">
        <v>7000</v>
      </c>
      <c r="I35" s="151"/>
    </row>
    <row r="36" spans="1:9" x14ac:dyDescent="0.25">
      <c r="A36" s="118"/>
      <c r="B36" s="69" t="s">
        <v>129</v>
      </c>
      <c r="C36" s="160">
        <f>C24</f>
        <v>52505</v>
      </c>
      <c r="D36" s="160">
        <f>SUM(D23:D35)</f>
        <v>47500</v>
      </c>
      <c r="E36" s="160">
        <f>C36-D36</f>
        <v>5005</v>
      </c>
      <c r="F36" s="69" t="s">
        <v>129</v>
      </c>
      <c r="G36" s="160">
        <f>G24</f>
        <v>52505</v>
      </c>
      <c r="H36" s="160">
        <f>SUM(H23:H35)</f>
        <v>47500</v>
      </c>
      <c r="I36" s="166">
        <f>G36-H36</f>
        <v>5005</v>
      </c>
    </row>
    <row r="37" spans="1:9" x14ac:dyDescent="0.25">
      <c r="A37" s="58"/>
      <c r="B37" s="58"/>
      <c r="C37" s="58"/>
      <c r="D37" s="58"/>
      <c r="E37" s="58"/>
      <c r="F37" s="58"/>
      <c r="G37" s="58"/>
      <c r="H37" s="58"/>
      <c r="I37" s="58"/>
    </row>
    <row r="39" spans="1:9" x14ac:dyDescent="0.25">
      <c r="B39" s="58" t="s">
        <v>357</v>
      </c>
      <c r="C39" s="58"/>
      <c r="D39" s="58" t="s">
        <v>359</v>
      </c>
      <c r="E39" s="58"/>
      <c r="F39" s="58"/>
      <c r="G39" s="58" t="s">
        <v>361</v>
      </c>
    </row>
    <row r="40" spans="1:9" x14ac:dyDescent="0.25">
      <c r="B40" s="58"/>
      <c r="C40" s="58"/>
      <c r="D40" s="58"/>
      <c r="E40" s="58"/>
      <c r="F40" s="58"/>
      <c r="G40" s="58"/>
    </row>
    <row r="41" spans="1:9" x14ac:dyDescent="0.25">
      <c r="B41" s="58" t="s">
        <v>358</v>
      </c>
      <c r="C41" s="58"/>
      <c r="D41" s="58" t="s">
        <v>360</v>
      </c>
      <c r="E41" s="58"/>
      <c r="F41" s="58"/>
      <c r="G41" s="58" t="s">
        <v>158</v>
      </c>
    </row>
  </sheetData>
  <pageMargins left="0.25" right="0.25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3" workbookViewId="0">
      <selection activeCell="G18" sqref="G18"/>
    </sheetView>
  </sheetViews>
  <sheetFormatPr defaultRowHeight="15" x14ac:dyDescent="0.25"/>
  <cols>
    <col min="1" max="1" width="3.85546875" customWidth="1"/>
    <col min="2" max="2" width="19.5703125" customWidth="1"/>
  </cols>
  <sheetData>
    <row r="1" spans="1:10" ht="22.5" customHeight="1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  <c r="J1" s="58"/>
    </row>
    <row r="2" spans="1:10" ht="18.75" x14ac:dyDescent="0.25">
      <c r="A2" s="33" t="s">
        <v>363</v>
      </c>
      <c r="B2" s="35"/>
      <c r="C2" s="34"/>
      <c r="D2" s="34"/>
      <c r="E2" s="34"/>
      <c r="F2" s="34"/>
      <c r="G2" s="34"/>
      <c r="H2" s="58"/>
      <c r="I2" s="58"/>
      <c r="J2" s="58"/>
    </row>
    <row r="3" spans="1:10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364</v>
      </c>
      <c r="I3" s="58"/>
      <c r="J3" s="58"/>
    </row>
    <row r="4" spans="1:10" x14ac:dyDescent="0.25">
      <c r="A4" s="151">
        <v>1</v>
      </c>
      <c r="B4" s="164" t="s">
        <v>331</v>
      </c>
      <c r="C4" s="165"/>
      <c r="D4" s="151">
        <v>3000</v>
      </c>
      <c r="E4" s="151">
        <v>100</v>
      </c>
      <c r="F4" s="166">
        <f>C4+D4+E4</f>
        <v>3100</v>
      </c>
      <c r="G4" s="180">
        <v>3000</v>
      </c>
      <c r="H4" s="166">
        <f t="shared" ref="H4:H14" si="0">F4-G4</f>
        <v>100</v>
      </c>
      <c r="I4" s="58"/>
      <c r="J4" s="58"/>
    </row>
    <row r="5" spans="1:10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3000</v>
      </c>
      <c r="H5" s="166">
        <f t="shared" si="0"/>
        <v>100</v>
      </c>
      <c r="I5" s="58" t="s">
        <v>80</v>
      </c>
      <c r="J5" s="58"/>
    </row>
    <row r="6" spans="1:10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 t="shared" ref="F6:F14" si="1">C6+D6+E6</f>
        <v>3100</v>
      </c>
      <c r="G6" s="180">
        <v>3000</v>
      </c>
      <c r="H6" s="166">
        <f t="shared" si="0"/>
        <v>100</v>
      </c>
      <c r="I6" s="58"/>
      <c r="J6" s="58"/>
    </row>
    <row r="7" spans="1:10" x14ac:dyDescent="0.25">
      <c r="A7" s="151">
        <v>4</v>
      </c>
      <c r="B7" s="168" t="s">
        <v>345</v>
      </c>
      <c r="C7" s="165"/>
      <c r="D7" s="151">
        <v>3000</v>
      </c>
      <c r="E7" s="151">
        <v>100</v>
      </c>
      <c r="F7" s="166">
        <f>C7+D7+E7</f>
        <v>3100</v>
      </c>
      <c r="G7" s="180">
        <v>3000</v>
      </c>
      <c r="H7" s="166">
        <f t="shared" si="0"/>
        <v>100</v>
      </c>
      <c r="I7" s="58"/>
      <c r="J7" s="58"/>
    </row>
    <row r="8" spans="1:10" x14ac:dyDescent="0.25">
      <c r="A8" s="151">
        <v>5</v>
      </c>
      <c r="B8" s="151" t="s">
        <v>332</v>
      </c>
      <c r="C8" s="165"/>
      <c r="D8" s="151">
        <v>3000</v>
      </c>
      <c r="E8" s="151">
        <v>100</v>
      </c>
      <c r="F8" s="166">
        <f>C8+D8+E8</f>
        <v>3100</v>
      </c>
      <c r="G8" s="180">
        <v>3000</v>
      </c>
      <c r="H8" s="166">
        <f t="shared" si="0"/>
        <v>100</v>
      </c>
      <c r="I8" s="58"/>
      <c r="J8" s="58"/>
    </row>
    <row r="9" spans="1:10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3000</v>
      </c>
      <c r="H9" s="166">
        <f t="shared" si="0"/>
        <v>100</v>
      </c>
      <c r="I9" s="58"/>
      <c r="J9" s="58"/>
    </row>
    <row r="10" spans="1:10" x14ac:dyDescent="0.25">
      <c r="A10" s="151">
        <v>7</v>
      </c>
      <c r="B10" s="167" t="s">
        <v>333</v>
      </c>
      <c r="C10" s="165">
        <v>1900</v>
      </c>
      <c r="D10" s="151">
        <v>3000</v>
      </c>
      <c r="E10" s="151">
        <v>100</v>
      </c>
      <c r="F10" s="166">
        <f t="shared" si="1"/>
        <v>5000</v>
      </c>
      <c r="G10" s="180">
        <v>3000</v>
      </c>
      <c r="H10" s="166">
        <f t="shared" si="0"/>
        <v>2000</v>
      </c>
      <c r="I10" s="58"/>
      <c r="J10" s="58"/>
    </row>
    <row r="11" spans="1:10" x14ac:dyDescent="0.25">
      <c r="A11" s="151">
        <v>8</v>
      </c>
      <c r="B11" s="169" t="s">
        <v>150</v>
      </c>
      <c r="C11" s="165"/>
      <c r="D11" s="151">
        <v>3000</v>
      </c>
      <c r="E11" s="151">
        <v>100</v>
      </c>
      <c r="F11" s="166">
        <f t="shared" si="1"/>
        <v>3100</v>
      </c>
      <c r="G11" s="180">
        <v>3000</v>
      </c>
      <c r="H11" s="166">
        <f t="shared" si="0"/>
        <v>100</v>
      </c>
      <c r="I11" s="58"/>
      <c r="J11" s="58"/>
    </row>
    <row r="12" spans="1:10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 t="shared" si="1"/>
        <v>3100</v>
      </c>
      <c r="G12" s="180">
        <v>3000</v>
      </c>
      <c r="H12" s="166">
        <f t="shared" si="0"/>
        <v>100</v>
      </c>
      <c r="I12" s="58"/>
      <c r="J12" s="58"/>
    </row>
    <row r="13" spans="1:10" x14ac:dyDescent="0.25">
      <c r="A13" s="151">
        <v>10</v>
      </c>
      <c r="B13" s="169" t="s">
        <v>346</v>
      </c>
      <c r="C13" s="165">
        <v>1100</v>
      </c>
      <c r="D13" s="151">
        <v>4500</v>
      </c>
      <c r="E13" s="151">
        <v>100</v>
      </c>
      <c r="F13" s="166">
        <f t="shared" si="1"/>
        <v>5700</v>
      </c>
      <c r="G13" s="180">
        <v>4500</v>
      </c>
      <c r="H13" s="166">
        <f t="shared" si="0"/>
        <v>1200</v>
      </c>
      <c r="I13" s="58"/>
      <c r="J13" s="58"/>
    </row>
    <row r="14" spans="1:10" x14ac:dyDescent="0.25">
      <c r="A14" s="151">
        <v>11</v>
      </c>
      <c r="B14" s="169" t="s">
        <v>337</v>
      </c>
      <c r="C14" s="165"/>
      <c r="D14" s="151">
        <v>4500</v>
      </c>
      <c r="E14" s="151">
        <v>100</v>
      </c>
      <c r="F14" s="166">
        <f t="shared" si="1"/>
        <v>4600</v>
      </c>
      <c r="G14" s="180">
        <v>4500</v>
      </c>
      <c r="H14" s="166">
        <f t="shared" si="0"/>
        <v>100</v>
      </c>
      <c r="I14" s="58"/>
      <c r="J14" s="58"/>
    </row>
    <row r="15" spans="1:10" x14ac:dyDescent="0.25">
      <c r="A15" s="151">
        <v>12</v>
      </c>
      <c r="B15" s="164" t="s">
        <v>17</v>
      </c>
      <c r="C15" s="165"/>
      <c r="D15" s="151"/>
      <c r="E15" s="151"/>
      <c r="F15" s="166"/>
      <c r="G15" s="180"/>
      <c r="H15" s="166"/>
      <c r="I15" s="58" t="s">
        <v>366</v>
      </c>
      <c r="J15" s="58"/>
    </row>
    <row r="16" spans="1:10" x14ac:dyDescent="0.25">
      <c r="A16" s="151">
        <v>13</v>
      </c>
      <c r="B16" s="170" t="s">
        <v>245</v>
      </c>
      <c r="C16" s="151"/>
      <c r="D16" s="151">
        <v>7000</v>
      </c>
      <c r="E16" s="151">
        <v>100</v>
      </c>
      <c r="F16" s="151">
        <f>C16+D16+E16</f>
        <v>7100</v>
      </c>
      <c r="G16" s="181">
        <v>7000</v>
      </c>
      <c r="H16" s="151">
        <f>F16-G16</f>
        <v>100</v>
      </c>
      <c r="I16" s="58" t="s">
        <v>80</v>
      </c>
      <c r="J16" s="58"/>
    </row>
    <row r="17" spans="1:10" x14ac:dyDescent="0.25">
      <c r="A17" s="151"/>
      <c r="B17" s="171"/>
      <c r="C17" s="172"/>
      <c r="D17" s="161">
        <f>SUM(D4:D16)</f>
        <v>43000</v>
      </c>
      <c r="E17" s="139">
        <f>SUM(E4:E16)</f>
        <v>1200</v>
      </c>
      <c r="F17" s="186">
        <f>SUM(F4:F16)</f>
        <v>47200</v>
      </c>
      <c r="G17" s="195">
        <f>SUM(G4:G16)</f>
        <v>43000</v>
      </c>
      <c r="H17" s="186">
        <f>SUM(H4:H16)</f>
        <v>4200</v>
      </c>
      <c r="I17" s="58"/>
      <c r="J17" s="58"/>
    </row>
    <row r="18" spans="1:10" x14ac:dyDescent="0.25">
      <c r="A18" s="101"/>
      <c r="B18" s="83" t="s">
        <v>121</v>
      </c>
      <c r="C18" s="144"/>
      <c r="D18" s="145"/>
      <c r="E18" s="146"/>
      <c r="F18" s="147"/>
      <c r="G18" s="148"/>
      <c r="H18" s="147"/>
      <c r="I18" s="58"/>
      <c r="J18" s="58"/>
    </row>
    <row r="19" spans="1:10" x14ac:dyDescent="0.25">
      <c r="A19" s="58"/>
      <c r="B19" s="58" t="s">
        <v>362</v>
      </c>
      <c r="C19" s="23"/>
      <c r="D19" s="23"/>
      <c r="E19" s="192"/>
      <c r="F19" s="23" t="s">
        <v>102</v>
      </c>
      <c r="G19" s="23"/>
      <c r="H19" s="23"/>
      <c r="I19" s="23"/>
      <c r="J19" s="58"/>
    </row>
    <row r="20" spans="1:10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J20" s="58"/>
    </row>
    <row r="21" spans="1:10" x14ac:dyDescent="0.25">
      <c r="A21" s="43"/>
      <c r="B21" s="151" t="s">
        <v>365</v>
      </c>
      <c r="C21" s="166">
        <f>D17</f>
        <v>43000</v>
      </c>
      <c r="D21" s="151"/>
      <c r="E21" s="151"/>
      <c r="F21" s="151" t="s">
        <v>365</v>
      </c>
      <c r="G21" s="166">
        <f>G17</f>
        <v>43000</v>
      </c>
      <c r="H21" s="151"/>
      <c r="I21" s="151"/>
      <c r="J21" s="58"/>
    </row>
    <row r="22" spans="1:10" x14ac:dyDescent="0.25">
      <c r="A22" s="43"/>
      <c r="B22" s="151"/>
      <c r="C22" s="166">
        <f>MARCH!E36</f>
        <v>5005</v>
      </c>
      <c r="D22" s="151"/>
      <c r="E22" s="151"/>
      <c r="F22" s="151" t="s">
        <v>1</v>
      </c>
      <c r="G22" s="166">
        <f>MARCH!I36</f>
        <v>5005</v>
      </c>
      <c r="H22" s="151"/>
      <c r="I22" s="151"/>
      <c r="J22" s="58"/>
    </row>
    <row r="23" spans="1:10" x14ac:dyDescent="0.25">
      <c r="A23" s="43"/>
      <c r="B23" s="151" t="s">
        <v>325</v>
      </c>
      <c r="C23" s="174">
        <v>0.1</v>
      </c>
      <c r="D23" s="166">
        <f>C21*C23</f>
        <v>4300</v>
      </c>
      <c r="E23" s="151"/>
      <c r="F23" s="151" t="s">
        <v>325</v>
      </c>
      <c r="G23" s="174">
        <v>0.1</v>
      </c>
      <c r="H23" s="166">
        <f>D23</f>
        <v>4300</v>
      </c>
      <c r="I23" s="151"/>
      <c r="J23" s="58"/>
    </row>
    <row r="24" spans="1:10" x14ac:dyDescent="0.25">
      <c r="A24" s="43"/>
      <c r="B24" s="175" t="s">
        <v>188</v>
      </c>
      <c r="C24" s="166">
        <f>C21+C22</f>
        <v>48005</v>
      </c>
      <c r="D24" s="151"/>
      <c r="E24" s="151"/>
      <c r="F24" s="175" t="s">
        <v>188</v>
      </c>
      <c r="G24" s="166">
        <f>G21+G22</f>
        <v>48005</v>
      </c>
      <c r="H24" s="151"/>
      <c r="I24" s="151"/>
      <c r="J24" s="58"/>
    </row>
    <row r="25" spans="1:10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76"/>
      <c r="I25" s="151"/>
      <c r="J25" s="58"/>
    </row>
    <row r="26" spans="1:10" x14ac:dyDescent="0.25">
      <c r="A26" s="118"/>
      <c r="B26" s="142">
        <v>43195</v>
      </c>
      <c r="C26" s="69"/>
      <c r="D26" s="176">
        <v>10095</v>
      </c>
      <c r="E26" s="151"/>
      <c r="F26" s="142">
        <v>43195</v>
      </c>
      <c r="G26" s="69"/>
      <c r="H26" s="176">
        <v>10095</v>
      </c>
      <c r="I26" s="151"/>
      <c r="J26" s="58"/>
    </row>
    <row r="27" spans="1:10" x14ac:dyDescent="0.25">
      <c r="A27" s="118"/>
      <c r="B27" s="177">
        <v>43200</v>
      </c>
      <c r="C27" s="175"/>
      <c r="D27" s="176">
        <v>7000</v>
      </c>
      <c r="E27" s="151"/>
      <c r="F27" s="177">
        <v>43200</v>
      </c>
      <c r="G27" s="175"/>
      <c r="H27" s="176">
        <v>7000</v>
      </c>
      <c r="I27" s="151"/>
      <c r="J27" s="58"/>
    </row>
    <row r="28" spans="1:10" x14ac:dyDescent="0.25">
      <c r="A28" s="43"/>
      <c r="B28" s="178" t="s">
        <v>330</v>
      </c>
      <c r="C28" s="151"/>
      <c r="D28" s="176">
        <v>2000</v>
      </c>
      <c r="E28" s="151"/>
      <c r="F28" s="178" t="s">
        <v>330</v>
      </c>
      <c r="G28" s="151"/>
      <c r="H28" s="176">
        <v>2000</v>
      </c>
      <c r="I28" s="151"/>
      <c r="J28" s="58"/>
    </row>
    <row r="29" spans="1:10" x14ac:dyDescent="0.25">
      <c r="A29" s="43"/>
      <c r="B29" s="177">
        <v>43201</v>
      </c>
      <c r="C29" s="175"/>
      <c r="D29" s="175">
        <v>4560</v>
      </c>
      <c r="E29" s="151"/>
      <c r="F29" s="177">
        <v>43201</v>
      </c>
      <c r="G29" s="175"/>
      <c r="H29" s="175">
        <v>4560</v>
      </c>
      <c r="I29" s="1"/>
      <c r="J29" s="58"/>
    </row>
    <row r="30" spans="1:10" x14ac:dyDescent="0.25">
      <c r="A30" s="43"/>
      <c r="B30" s="178" t="s">
        <v>354</v>
      </c>
      <c r="C30" s="151"/>
      <c r="D30" s="151">
        <v>3100</v>
      </c>
      <c r="E30" s="151"/>
      <c r="F30" s="178" t="s">
        <v>354</v>
      </c>
      <c r="G30" s="151"/>
      <c r="H30" s="151">
        <v>3100</v>
      </c>
      <c r="I30" s="151"/>
      <c r="J30" s="58"/>
    </row>
    <row r="31" spans="1:10" x14ac:dyDescent="0.25">
      <c r="A31" s="43"/>
      <c r="B31" s="109">
        <v>43213</v>
      </c>
      <c r="C31" s="1"/>
      <c r="D31" s="175">
        <v>2140</v>
      </c>
      <c r="E31" s="151"/>
      <c r="F31" s="109">
        <v>43213</v>
      </c>
      <c r="G31" s="1"/>
      <c r="H31" s="175">
        <v>2140</v>
      </c>
      <c r="I31" s="151"/>
      <c r="J31" s="58"/>
    </row>
    <row r="32" spans="1:10" x14ac:dyDescent="0.25">
      <c r="A32" s="43"/>
      <c r="B32" s="151" t="s">
        <v>329</v>
      </c>
      <c r="C32" s="175"/>
      <c r="D32" s="175">
        <v>3500</v>
      </c>
      <c r="E32" s="151"/>
      <c r="F32" s="151" t="s">
        <v>329</v>
      </c>
      <c r="G32" s="175"/>
      <c r="H32" s="175">
        <v>3500</v>
      </c>
      <c r="I32" s="151"/>
      <c r="J32" s="58"/>
    </row>
    <row r="33" spans="1:10" x14ac:dyDescent="0.25">
      <c r="A33" s="43"/>
      <c r="B33" s="178">
        <v>43216</v>
      </c>
      <c r="C33" s="175"/>
      <c r="D33" s="175">
        <v>1000</v>
      </c>
      <c r="E33" s="151"/>
      <c r="F33" s="178">
        <v>43216</v>
      </c>
      <c r="G33" s="175"/>
      <c r="H33" s="175">
        <v>1000</v>
      </c>
      <c r="I33" s="151"/>
      <c r="J33" s="58"/>
    </row>
    <row r="34" spans="1:10" x14ac:dyDescent="0.25">
      <c r="A34" s="43"/>
      <c r="B34" s="177" t="s">
        <v>328</v>
      </c>
      <c r="C34" s="151"/>
      <c r="D34" s="151">
        <v>3000</v>
      </c>
      <c r="E34" s="151"/>
      <c r="F34" s="177" t="s">
        <v>328</v>
      </c>
      <c r="G34" s="151"/>
      <c r="H34" s="151">
        <v>3000</v>
      </c>
      <c r="I34" s="151"/>
      <c r="J34" s="58"/>
    </row>
    <row r="35" spans="1:10" s="58" customFormat="1" x14ac:dyDescent="0.25">
      <c r="B35" s="1" t="s">
        <v>120</v>
      </c>
      <c r="C35" s="1"/>
      <c r="D35" s="1">
        <v>7000</v>
      </c>
      <c r="E35" s="1"/>
      <c r="F35" s="1" t="s">
        <v>120</v>
      </c>
      <c r="G35" s="1"/>
      <c r="H35" s="1">
        <v>7000</v>
      </c>
      <c r="I35" s="151"/>
    </row>
    <row r="36" spans="1:10" x14ac:dyDescent="0.25">
      <c r="A36" s="43"/>
      <c r="B36" s="175"/>
      <c r="C36" s="151"/>
      <c r="D36" s="151"/>
      <c r="E36" s="151"/>
      <c r="F36" s="175"/>
      <c r="G36" s="151"/>
      <c r="H36" s="151"/>
      <c r="I36" s="151"/>
      <c r="J36" s="58"/>
    </row>
    <row r="37" spans="1:10" x14ac:dyDescent="0.25">
      <c r="A37" s="118"/>
      <c r="B37" s="69" t="s">
        <v>129</v>
      </c>
      <c r="C37" s="160">
        <f>C21+C22</f>
        <v>48005</v>
      </c>
      <c r="D37" s="160">
        <f>SUM(D23:D36)</f>
        <v>47695</v>
      </c>
      <c r="E37" s="160">
        <f>C37-D37</f>
        <v>310</v>
      </c>
      <c r="F37" s="69" t="s">
        <v>129</v>
      </c>
      <c r="G37" s="160">
        <f>G24</f>
        <v>48005</v>
      </c>
      <c r="H37" s="160">
        <f>SUM(H23:H36)</f>
        <v>47695</v>
      </c>
      <c r="I37" s="166">
        <f>G37-H37</f>
        <v>310</v>
      </c>
      <c r="J37" s="58"/>
    </row>
    <row r="38" spans="1:10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  <row r="39" spans="1:10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</row>
    <row r="40" spans="1:10" x14ac:dyDescent="0.25">
      <c r="A40" s="58"/>
      <c r="B40" s="58" t="s">
        <v>357</v>
      </c>
      <c r="C40" s="58"/>
      <c r="D40" s="58" t="s">
        <v>359</v>
      </c>
      <c r="E40" s="58"/>
      <c r="F40" s="58"/>
      <c r="G40" s="58" t="s">
        <v>361</v>
      </c>
      <c r="H40" s="58"/>
      <c r="I40" s="58"/>
      <c r="J40" s="58"/>
    </row>
    <row r="41" spans="1:10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spans="1:10" x14ac:dyDescent="0.25">
      <c r="A42" s="58"/>
      <c r="B42" s="58" t="s">
        <v>358</v>
      </c>
      <c r="C42" s="58"/>
      <c r="D42" s="58" t="s">
        <v>360</v>
      </c>
      <c r="E42" s="58"/>
      <c r="F42" s="58"/>
      <c r="G42" s="58" t="s">
        <v>158</v>
      </c>
      <c r="H42" s="58"/>
      <c r="I42" s="58"/>
      <c r="J42" s="58"/>
    </row>
    <row r="43" spans="1:10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110" zoomScaleNormal="110" workbookViewId="0">
      <selection activeCell="D54" sqref="D54"/>
    </sheetView>
  </sheetViews>
  <sheetFormatPr defaultRowHeight="15" x14ac:dyDescent="0.25"/>
  <cols>
    <col min="1" max="1" width="4.28515625" customWidth="1"/>
    <col min="2" max="2" width="19.5703125" customWidth="1"/>
    <col min="4" max="4" width="8.85546875" customWidth="1"/>
    <col min="5" max="5" width="9.42578125" customWidth="1"/>
    <col min="6" max="6" width="9.85546875" customWidth="1"/>
  </cols>
  <sheetData>
    <row r="1" spans="1:16" ht="33.75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  <c r="J1" s="58"/>
    </row>
    <row r="2" spans="1:16" ht="18.75" x14ac:dyDescent="0.25">
      <c r="A2" s="33" t="s">
        <v>367</v>
      </c>
      <c r="B2" s="35"/>
      <c r="C2" s="34"/>
      <c r="D2" s="34"/>
      <c r="E2" s="34"/>
      <c r="F2" s="34"/>
      <c r="G2" s="34"/>
      <c r="H2" s="58"/>
      <c r="I2" s="58"/>
      <c r="J2" s="58"/>
    </row>
    <row r="3" spans="1:16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364</v>
      </c>
      <c r="I3" s="58"/>
      <c r="J3" s="58"/>
    </row>
    <row r="4" spans="1:16" x14ac:dyDescent="0.25">
      <c r="A4" s="151">
        <v>1</v>
      </c>
      <c r="B4" s="164" t="s">
        <v>331</v>
      </c>
      <c r="C4" s="165"/>
      <c r="D4" s="151">
        <v>3000</v>
      </c>
      <c r="E4" s="151">
        <v>100</v>
      </c>
      <c r="F4" s="166">
        <f>C4+D4+E4</f>
        <v>3100</v>
      </c>
      <c r="G4" s="180">
        <v>3000</v>
      </c>
      <c r="H4" s="166">
        <f t="shared" ref="H4:H9" si="0">F4-G4</f>
        <v>100</v>
      </c>
      <c r="I4" s="58"/>
      <c r="J4" s="58"/>
    </row>
    <row r="5" spans="1:16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3000</v>
      </c>
      <c r="H5" s="166">
        <f t="shared" si="0"/>
        <v>100</v>
      </c>
      <c r="I5" s="58" t="s">
        <v>80</v>
      </c>
      <c r="J5" s="58"/>
    </row>
    <row r="6" spans="1:16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 t="shared" ref="F6:F15" si="1">C6+D6+E6</f>
        <v>3100</v>
      </c>
      <c r="G6" s="180">
        <v>3000</v>
      </c>
      <c r="H6" s="166">
        <f t="shared" si="0"/>
        <v>100</v>
      </c>
      <c r="I6" s="58"/>
      <c r="J6" s="58"/>
    </row>
    <row r="7" spans="1:16" x14ac:dyDescent="0.25">
      <c r="A7" s="151">
        <v>4</v>
      </c>
      <c r="B7" s="168" t="s">
        <v>345</v>
      </c>
      <c r="C7" s="165"/>
      <c r="D7" s="151">
        <v>3000</v>
      </c>
      <c r="E7" s="151">
        <v>100</v>
      </c>
      <c r="F7" s="166">
        <f>C7+D7+E7</f>
        <v>3100</v>
      </c>
      <c r="G7" s="180">
        <v>3000</v>
      </c>
      <c r="H7" s="166">
        <f t="shared" si="0"/>
        <v>100</v>
      </c>
      <c r="I7" s="58"/>
      <c r="J7" s="58"/>
    </row>
    <row r="8" spans="1:16" x14ac:dyDescent="0.25">
      <c r="A8" s="151">
        <v>5</v>
      </c>
      <c r="B8" s="151" t="s">
        <v>369</v>
      </c>
      <c r="C8" s="165"/>
      <c r="D8" s="151">
        <v>3000</v>
      </c>
      <c r="E8" s="151">
        <v>100</v>
      </c>
      <c r="F8" s="166">
        <f>C8+D8+E8</f>
        <v>3100</v>
      </c>
      <c r="G8" s="180">
        <v>3000</v>
      </c>
      <c r="H8" s="166">
        <f t="shared" si="0"/>
        <v>100</v>
      </c>
      <c r="I8" s="58"/>
      <c r="J8" s="58"/>
    </row>
    <row r="9" spans="1:16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3000</v>
      </c>
      <c r="H9" s="166">
        <f t="shared" si="0"/>
        <v>100</v>
      </c>
      <c r="I9" s="58"/>
      <c r="J9" s="58"/>
    </row>
    <row r="10" spans="1:16" x14ac:dyDescent="0.25">
      <c r="A10" s="151">
        <v>7</v>
      </c>
      <c r="B10" s="1" t="s">
        <v>370</v>
      </c>
      <c r="C10" s="1"/>
      <c r="D10" s="1"/>
      <c r="E10" s="1"/>
      <c r="F10" s="1"/>
      <c r="G10" s="1"/>
      <c r="H10" s="1"/>
      <c r="I10" s="58"/>
      <c r="J10" s="58"/>
    </row>
    <row r="11" spans="1:16" x14ac:dyDescent="0.25">
      <c r="A11" s="151">
        <v>8</v>
      </c>
      <c r="B11" s="167" t="s">
        <v>333</v>
      </c>
      <c r="C11" s="165">
        <v>2000</v>
      </c>
      <c r="D11" s="151">
        <v>3000</v>
      </c>
      <c r="E11" s="151">
        <v>100</v>
      </c>
      <c r="F11" s="166">
        <f>C11+D11+E11</f>
        <v>5100</v>
      </c>
      <c r="G11" s="180">
        <v>3000</v>
      </c>
      <c r="H11" s="166">
        <f>F11-G11</f>
        <v>2100</v>
      </c>
      <c r="I11" s="58"/>
      <c r="J11" s="58"/>
      <c r="P11" s="161"/>
    </row>
    <row r="12" spans="1:16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 t="shared" si="1"/>
        <v>3100</v>
      </c>
      <c r="G12" s="180">
        <v>3000</v>
      </c>
      <c r="H12" s="166">
        <f>F12-G12</f>
        <v>100</v>
      </c>
      <c r="I12" s="58"/>
      <c r="J12" s="58"/>
    </row>
    <row r="13" spans="1:16" x14ac:dyDescent="0.25">
      <c r="A13" s="151">
        <v>10</v>
      </c>
      <c r="B13" s="169" t="s">
        <v>346</v>
      </c>
      <c r="C13" s="165">
        <v>1200</v>
      </c>
      <c r="D13" s="151">
        <v>4500</v>
      </c>
      <c r="E13" s="151">
        <v>100</v>
      </c>
      <c r="F13" s="166">
        <f t="shared" si="1"/>
        <v>5800</v>
      </c>
      <c r="G13" s="180">
        <v>4000</v>
      </c>
      <c r="H13" s="166">
        <f>F13-G13</f>
        <v>1800</v>
      </c>
      <c r="I13" s="58"/>
      <c r="J13" s="58"/>
    </row>
    <row r="14" spans="1:16" x14ac:dyDescent="0.25">
      <c r="A14" s="151">
        <v>11</v>
      </c>
      <c r="B14" s="169" t="s">
        <v>337</v>
      </c>
      <c r="C14" s="165"/>
      <c r="D14" s="151">
        <v>4500</v>
      </c>
      <c r="E14" s="151">
        <v>100</v>
      </c>
      <c r="F14" s="166">
        <f t="shared" si="1"/>
        <v>4600</v>
      </c>
      <c r="G14" s="180">
        <v>4500</v>
      </c>
      <c r="H14" s="166">
        <f>F14-G14</f>
        <v>100</v>
      </c>
      <c r="I14" s="58"/>
      <c r="J14" s="58"/>
    </row>
    <row r="15" spans="1:16" x14ac:dyDescent="0.25">
      <c r="A15" s="151">
        <v>13</v>
      </c>
      <c r="B15" s="197" t="s">
        <v>245</v>
      </c>
      <c r="C15" s="151"/>
      <c r="D15" s="151">
        <v>7000</v>
      </c>
      <c r="E15" s="151">
        <v>100</v>
      </c>
      <c r="F15" s="151">
        <f t="shared" si="1"/>
        <v>7100</v>
      </c>
      <c r="G15" s="181">
        <v>7000</v>
      </c>
      <c r="H15" s="151">
        <f>F15-G15</f>
        <v>100</v>
      </c>
      <c r="I15" s="58" t="s">
        <v>80</v>
      </c>
      <c r="J15" s="58"/>
    </row>
    <row r="16" spans="1:16" x14ac:dyDescent="0.25">
      <c r="A16" s="151"/>
      <c r="B16" s="171"/>
      <c r="C16" s="172"/>
      <c r="D16" s="1">
        <f>SUM(D4:D15)</f>
        <v>40000</v>
      </c>
      <c r="E16" s="139">
        <f>SUM(E4:E15)</f>
        <v>1100</v>
      </c>
      <c r="F16" s="186">
        <f>SUM(F4:F15)</f>
        <v>44300</v>
      </c>
      <c r="G16" s="195">
        <f>SUM(G4:G15)</f>
        <v>39500</v>
      </c>
      <c r="H16" s="186">
        <f>SUM(H4:H15)</f>
        <v>4800</v>
      </c>
      <c r="I16" s="58"/>
      <c r="J16" s="58"/>
    </row>
    <row r="17" spans="1:10" x14ac:dyDescent="0.25">
      <c r="A17" s="101"/>
      <c r="J17" s="58"/>
    </row>
    <row r="18" spans="1:10" x14ac:dyDescent="0.25">
      <c r="A18" s="58"/>
      <c r="B18" s="83" t="s">
        <v>121</v>
      </c>
      <c r="C18" s="144"/>
      <c r="D18" s="145"/>
      <c r="E18" s="146"/>
      <c r="F18" s="147"/>
      <c r="G18" s="148"/>
      <c r="H18" s="147"/>
      <c r="I18" s="58"/>
      <c r="J18" s="58"/>
    </row>
    <row r="19" spans="1:10" x14ac:dyDescent="0.25">
      <c r="A19" s="43"/>
      <c r="B19" s="32" t="s">
        <v>362</v>
      </c>
      <c r="C19" s="32"/>
      <c r="D19" s="32"/>
      <c r="E19" s="198"/>
      <c r="F19" s="32" t="s">
        <v>102</v>
      </c>
      <c r="G19" s="23"/>
      <c r="H19" s="23"/>
      <c r="I19" s="23"/>
      <c r="J19" s="58"/>
    </row>
    <row r="20" spans="1:10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J20" s="58"/>
    </row>
    <row r="21" spans="1:10" x14ac:dyDescent="0.25">
      <c r="A21" s="43"/>
      <c r="B21" s="151" t="s">
        <v>368</v>
      </c>
      <c r="C21" s="166">
        <f>D16</f>
        <v>40000</v>
      </c>
      <c r="D21" s="151"/>
      <c r="E21" s="151"/>
      <c r="F21" s="151" t="s">
        <v>368</v>
      </c>
      <c r="G21" s="166">
        <f>G16</f>
        <v>39500</v>
      </c>
      <c r="H21" s="151"/>
      <c r="I21" s="151"/>
      <c r="J21" s="58"/>
    </row>
    <row r="22" spans="1:10" x14ac:dyDescent="0.25">
      <c r="A22" s="43"/>
      <c r="B22" s="151" t="s">
        <v>1</v>
      </c>
      <c r="C22" s="166">
        <f>APRL!E37</f>
        <v>310</v>
      </c>
      <c r="D22" s="151"/>
      <c r="E22" s="151"/>
      <c r="F22" s="151" t="s">
        <v>1</v>
      </c>
      <c r="G22" s="166">
        <f>APRL!I37</f>
        <v>310</v>
      </c>
      <c r="H22" s="151"/>
      <c r="I22" s="151"/>
      <c r="J22" s="58"/>
    </row>
    <row r="23" spans="1:10" x14ac:dyDescent="0.25">
      <c r="A23" s="43"/>
      <c r="B23" s="151" t="s">
        <v>325</v>
      </c>
      <c r="C23" s="174">
        <v>0.1</v>
      </c>
      <c r="D23" s="166">
        <f>C21*C23</f>
        <v>4000</v>
      </c>
      <c r="E23" s="151"/>
      <c r="F23" s="151" t="s">
        <v>325</v>
      </c>
      <c r="G23" s="174">
        <v>0.1</v>
      </c>
      <c r="H23" s="166">
        <f>D23</f>
        <v>4000</v>
      </c>
      <c r="I23" s="151"/>
      <c r="J23" s="58"/>
    </row>
    <row r="24" spans="1:10" x14ac:dyDescent="0.25">
      <c r="A24" s="118"/>
      <c r="B24" s="175" t="s">
        <v>188</v>
      </c>
      <c r="C24" s="166">
        <f>C21+C22</f>
        <v>40310</v>
      </c>
      <c r="D24" s="151"/>
      <c r="E24" s="151"/>
      <c r="F24" s="175" t="s">
        <v>188</v>
      </c>
      <c r="G24" s="166">
        <f>G21+G22</f>
        <v>39810</v>
      </c>
      <c r="H24" s="151"/>
      <c r="I24" s="151"/>
      <c r="J24" s="58"/>
    </row>
    <row r="25" spans="1:10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51"/>
      <c r="I25" s="151"/>
      <c r="J25" s="58"/>
    </row>
    <row r="26" spans="1:10" x14ac:dyDescent="0.25">
      <c r="A26" s="118"/>
      <c r="B26" s="142" t="s">
        <v>354</v>
      </c>
      <c r="C26" s="69"/>
      <c r="D26" s="151">
        <v>3000</v>
      </c>
      <c r="E26" s="151"/>
      <c r="F26" s="142" t="s">
        <v>354</v>
      </c>
      <c r="G26" s="69"/>
      <c r="H26" s="151">
        <v>3000</v>
      </c>
      <c r="I26" s="151"/>
      <c r="J26" s="58"/>
    </row>
    <row r="27" spans="1:10" x14ac:dyDescent="0.25">
      <c r="A27" s="43"/>
      <c r="B27" s="177">
        <v>43225</v>
      </c>
      <c r="C27" s="175"/>
      <c r="D27" s="151">
        <v>10205</v>
      </c>
      <c r="E27" s="151"/>
      <c r="F27" s="177">
        <v>43225</v>
      </c>
      <c r="G27" s="175"/>
      <c r="H27" s="151">
        <v>10205</v>
      </c>
      <c r="I27" s="151"/>
      <c r="J27" s="58"/>
    </row>
    <row r="28" spans="1:10" x14ac:dyDescent="0.25">
      <c r="A28" s="43"/>
      <c r="B28" s="177">
        <v>43230</v>
      </c>
      <c r="C28" s="175"/>
      <c r="D28" s="175">
        <v>10595</v>
      </c>
      <c r="E28" s="151"/>
      <c r="F28" s="178">
        <v>43230</v>
      </c>
      <c r="G28" s="151"/>
      <c r="H28" s="151">
        <v>10595</v>
      </c>
      <c r="I28" s="151"/>
      <c r="J28" s="58"/>
    </row>
    <row r="29" spans="1:10" x14ac:dyDescent="0.25">
      <c r="A29" s="43"/>
      <c r="B29" s="178" t="s">
        <v>329</v>
      </c>
      <c r="C29" s="151"/>
      <c r="D29" s="151">
        <v>3500</v>
      </c>
      <c r="E29" s="151"/>
      <c r="F29" s="178" t="s">
        <v>329</v>
      </c>
      <c r="G29" s="151"/>
      <c r="H29" s="151">
        <v>3500</v>
      </c>
      <c r="I29" s="1"/>
      <c r="J29" s="58"/>
    </row>
    <row r="30" spans="1:10" x14ac:dyDescent="0.25">
      <c r="A30" s="43"/>
      <c r="B30" s="109" t="s">
        <v>350</v>
      </c>
      <c r="C30" s="1"/>
      <c r="D30" s="175">
        <v>2050</v>
      </c>
      <c r="E30" s="151"/>
      <c r="F30" s="109" t="s">
        <v>350</v>
      </c>
      <c r="G30" s="1"/>
      <c r="H30" s="175">
        <v>2050</v>
      </c>
      <c r="I30" s="151"/>
      <c r="J30" s="58"/>
    </row>
    <row r="31" spans="1:10" x14ac:dyDescent="0.25">
      <c r="A31" s="43"/>
      <c r="B31" s="177">
        <v>43234</v>
      </c>
      <c r="C31" s="175"/>
      <c r="D31" s="175">
        <v>2000</v>
      </c>
      <c r="E31" s="151"/>
      <c r="F31" s="177">
        <v>43234</v>
      </c>
      <c r="G31" s="175"/>
      <c r="H31" s="175">
        <v>2000</v>
      </c>
      <c r="I31" s="151"/>
      <c r="J31" s="58"/>
    </row>
    <row r="32" spans="1:10" x14ac:dyDescent="0.25">
      <c r="A32" s="43"/>
      <c r="B32" s="1" t="s">
        <v>120</v>
      </c>
      <c r="C32" s="1"/>
      <c r="D32" s="1">
        <v>7000</v>
      </c>
      <c r="E32" s="1"/>
      <c r="F32" s="1" t="s">
        <v>120</v>
      </c>
      <c r="G32" s="1"/>
      <c r="H32" s="1">
        <v>7000</v>
      </c>
      <c r="I32" s="151"/>
      <c r="J32" s="58"/>
    </row>
    <row r="33" spans="1:10" x14ac:dyDescent="0.25">
      <c r="A33" s="43"/>
      <c r="B33" s="178">
        <v>43229</v>
      </c>
      <c r="C33" s="175"/>
      <c r="D33" s="175">
        <v>500</v>
      </c>
      <c r="E33" s="151"/>
      <c r="F33" s="178">
        <v>43229</v>
      </c>
      <c r="G33" s="175"/>
      <c r="H33" s="175">
        <v>500</v>
      </c>
      <c r="I33" s="151"/>
      <c r="J33" s="58"/>
    </row>
    <row r="34" spans="1:10" x14ac:dyDescent="0.25">
      <c r="A34" s="43"/>
      <c r="B34" s="177"/>
      <c r="C34" s="151"/>
      <c r="D34" s="151"/>
      <c r="E34" s="151"/>
      <c r="F34" s="177"/>
      <c r="G34" s="151"/>
      <c r="H34" s="151"/>
      <c r="I34" s="151"/>
      <c r="J34" s="58"/>
    </row>
    <row r="35" spans="1:10" x14ac:dyDescent="0.25">
      <c r="A35" s="118"/>
      <c r="B35" s="175"/>
      <c r="C35" s="151"/>
      <c r="D35" s="151"/>
      <c r="E35" s="151" t="s">
        <v>373</v>
      </c>
      <c r="F35" s="1"/>
      <c r="G35" s="1"/>
      <c r="H35" s="1"/>
      <c r="I35" s="151"/>
      <c r="J35" s="58"/>
    </row>
    <row r="36" spans="1:10" x14ac:dyDescent="0.25">
      <c r="A36" s="58"/>
      <c r="B36" s="69" t="s">
        <v>129</v>
      </c>
      <c r="C36" s="160">
        <f>C21+C22</f>
        <v>40310</v>
      </c>
      <c r="D36" s="160">
        <f>SUM(D23:D35)</f>
        <v>42850</v>
      </c>
      <c r="E36" s="160">
        <f>C36-D36</f>
        <v>-2540</v>
      </c>
      <c r="F36" s="69" t="s">
        <v>129</v>
      </c>
      <c r="G36" s="160">
        <f>G24</f>
        <v>39810</v>
      </c>
      <c r="H36" s="160">
        <f>SUM(H23:H35)</f>
        <v>42850</v>
      </c>
      <c r="I36" s="166">
        <f>G36-H36</f>
        <v>-3040</v>
      </c>
      <c r="J36" s="58"/>
    </row>
    <row r="37" spans="1:10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</row>
    <row r="38" spans="1:10" x14ac:dyDescent="0.25">
      <c r="A38" s="58"/>
      <c r="B38" s="58" t="s">
        <v>357</v>
      </c>
      <c r="C38" s="58"/>
      <c r="D38" s="58" t="s">
        <v>359</v>
      </c>
      <c r="E38" s="58"/>
      <c r="F38" s="58"/>
      <c r="G38" s="58" t="s">
        <v>361</v>
      </c>
      <c r="H38" s="58"/>
      <c r="I38" s="58"/>
      <c r="J38" s="58"/>
    </row>
    <row r="39" spans="1:10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</row>
    <row r="40" spans="1:10" x14ac:dyDescent="0.25">
      <c r="A40" s="58"/>
      <c r="B40" s="58" t="s">
        <v>358</v>
      </c>
      <c r="C40" s="58"/>
      <c r="D40" s="58" t="s">
        <v>360</v>
      </c>
      <c r="E40" s="58"/>
      <c r="F40" s="58"/>
      <c r="G40" s="58" t="s">
        <v>158</v>
      </c>
      <c r="H40" s="58"/>
      <c r="I40" s="58"/>
      <c r="J40" s="58"/>
    </row>
    <row r="41" spans="1:10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spans="1:10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7" zoomScaleNormal="100" workbookViewId="0">
      <selection activeCell="G21" sqref="G21"/>
    </sheetView>
  </sheetViews>
  <sheetFormatPr defaultRowHeight="15" x14ac:dyDescent="0.25"/>
  <cols>
    <col min="1" max="1" width="4.140625" customWidth="1"/>
    <col min="2" max="2" width="19.7109375" customWidth="1"/>
    <col min="6" max="6" width="10.140625" customWidth="1"/>
  </cols>
  <sheetData>
    <row r="1" spans="1:10" ht="33.75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  <c r="J1" s="58"/>
    </row>
    <row r="2" spans="1:10" ht="18.75" x14ac:dyDescent="0.25">
      <c r="A2" s="33" t="s">
        <v>372</v>
      </c>
      <c r="B2" s="35"/>
      <c r="C2" s="34"/>
      <c r="D2" s="34"/>
      <c r="E2" s="34"/>
      <c r="F2" s="34"/>
      <c r="G2" s="34"/>
      <c r="H2" s="58"/>
      <c r="I2" s="58"/>
      <c r="J2" s="58"/>
    </row>
    <row r="3" spans="1:10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364</v>
      </c>
      <c r="I3" s="58"/>
      <c r="J3" s="58"/>
    </row>
    <row r="4" spans="1:10" x14ac:dyDescent="0.25">
      <c r="A4" s="151">
        <v>1</v>
      </c>
      <c r="B4" s="164" t="s">
        <v>331</v>
      </c>
      <c r="C4" s="165"/>
      <c r="D4" s="151">
        <v>3000</v>
      </c>
      <c r="E4" s="151">
        <v>100</v>
      </c>
      <c r="F4" s="166">
        <f>C4+D4+E4</f>
        <v>3100</v>
      </c>
      <c r="G4" s="180"/>
      <c r="H4" s="166">
        <f t="shared" ref="H4:H9" si="0">F4-G4</f>
        <v>3100</v>
      </c>
      <c r="I4" s="58"/>
      <c r="J4" s="58"/>
    </row>
    <row r="5" spans="1:10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3100</v>
      </c>
      <c r="H5" s="166">
        <f t="shared" si="0"/>
        <v>0</v>
      </c>
      <c r="I5" s="58"/>
      <c r="J5" s="58"/>
    </row>
    <row r="6" spans="1:10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 t="shared" ref="F6:F15" si="1">C6+D6+E6</f>
        <v>3100</v>
      </c>
      <c r="G6" s="180">
        <v>3100</v>
      </c>
      <c r="H6" s="166">
        <f t="shared" si="0"/>
        <v>0</v>
      </c>
      <c r="I6" s="58"/>
      <c r="J6" s="58"/>
    </row>
    <row r="7" spans="1:10" x14ac:dyDescent="0.25">
      <c r="A7" s="151">
        <v>4</v>
      </c>
      <c r="B7" s="168" t="s">
        <v>345</v>
      </c>
      <c r="C7" s="165">
        <v>500</v>
      </c>
      <c r="D7" s="151">
        <v>3000</v>
      </c>
      <c r="E7" s="151">
        <v>100</v>
      </c>
      <c r="F7" s="166">
        <f>C7+D7+E7</f>
        <v>3600</v>
      </c>
      <c r="G7" s="180">
        <v>3300</v>
      </c>
      <c r="H7" s="166">
        <f t="shared" si="0"/>
        <v>300</v>
      </c>
      <c r="I7" s="58"/>
      <c r="J7" s="58"/>
    </row>
    <row r="8" spans="1:10" x14ac:dyDescent="0.25">
      <c r="A8" s="151">
        <v>5</v>
      </c>
      <c r="B8" s="151" t="s">
        <v>369</v>
      </c>
      <c r="C8" s="165"/>
      <c r="D8" s="151">
        <v>3000</v>
      </c>
      <c r="E8" s="151">
        <v>100</v>
      </c>
      <c r="F8" s="166">
        <f>C8+D8+E8</f>
        <v>3100</v>
      </c>
      <c r="G8" s="180">
        <v>3100</v>
      </c>
      <c r="H8" s="166">
        <f t="shared" si="0"/>
        <v>0</v>
      </c>
      <c r="I8" s="58"/>
      <c r="J8" s="58"/>
    </row>
    <row r="9" spans="1:10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3100</v>
      </c>
      <c r="H9" s="166">
        <f t="shared" si="0"/>
        <v>0</v>
      </c>
      <c r="I9" s="58"/>
      <c r="J9" s="58"/>
    </row>
    <row r="10" spans="1:10" x14ac:dyDescent="0.25">
      <c r="A10" s="151">
        <v>7</v>
      </c>
      <c r="B10" s="1" t="s">
        <v>370</v>
      </c>
      <c r="C10" s="1"/>
      <c r="D10" s="1"/>
      <c r="E10" s="1"/>
      <c r="F10" s="1"/>
      <c r="G10" s="1"/>
      <c r="H10" s="1"/>
      <c r="I10" s="58"/>
      <c r="J10" s="58"/>
    </row>
    <row r="11" spans="1:10" x14ac:dyDescent="0.25">
      <c r="A11" s="151">
        <v>8</v>
      </c>
      <c r="B11" s="167" t="s">
        <v>333</v>
      </c>
      <c r="C11" s="165">
        <v>2100</v>
      </c>
      <c r="D11" s="151">
        <v>3000</v>
      </c>
      <c r="E11" s="151">
        <v>100</v>
      </c>
      <c r="F11" s="166">
        <f>C11+D11+E11</f>
        <v>5200</v>
      </c>
      <c r="G11" s="180">
        <v>2500</v>
      </c>
      <c r="H11" s="166">
        <f>F11-G11</f>
        <v>2700</v>
      </c>
      <c r="I11" s="58"/>
      <c r="J11" s="58"/>
    </row>
    <row r="12" spans="1:10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 t="shared" si="1"/>
        <v>3100</v>
      </c>
      <c r="G12" s="180">
        <v>3100</v>
      </c>
      <c r="H12" s="166">
        <f>F12-G12</f>
        <v>0</v>
      </c>
      <c r="I12" s="58"/>
      <c r="J12" s="58"/>
    </row>
    <row r="13" spans="1:10" x14ac:dyDescent="0.25">
      <c r="A13" s="151">
        <v>10</v>
      </c>
      <c r="B13" s="169" t="s">
        <v>346</v>
      </c>
      <c r="C13" s="165">
        <v>1800</v>
      </c>
      <c r="D13" s="151">
        <v>4500</v>
      </c>
      <c r="E13" s="151">
        <v>100</v>
      </c>
      <c r="F13" s="166">
        <f t="shared" si="1"/>
        <v>6400</v>
      </c>
      <c r="G13" s="180"/>
      <c r="H13" s="166">
        <f>F13-G13</f>
        <v>6400</v>
      </c>
      <c r="I13" s="58"/>
      <c r="J13" s="58"/>
    </row>
    <row r="14" spans="1:10" x14ac:dyDescent="0.25">
      <c r="A14" s="151">
        <v>11</v>
      </c>
      <c r="B14" s="169" t="s">
        <v>337</v>
      </c>
      <c r="C14" s="165">
        <v>600</v>
      </c>
      <c r="D14" s="151">
        <v>4500</v>
      </c>
      <c r="E14" s="151">
        <v>100</v>
      </c>
      <c r="F14" s="166">
        <f t="shared" si="1"/>
        <v>5200</v>
      </c>
      <c r="G14" s="180">
        <v>4500</v>
      </c>
      <c r="H14" s="166">
        <f>F14-G14</f>
        <v>700</v>
      </c>
      <c r="I14" s="58"/>
      <c r="J14" s="58"/>
    </row>
    <row r="15" spans="1:10" x14ac:dyDescent="0.25">
      <c r="A15" s="151">
        <v>13</v>
      </c>
      <c r="B15" s="197" t="s">
        <v>245</v>
      </c>
      <c r="C15" s="151"/>
      <c r="D15" s="151">
        <v>7000</v>
      </c>
      <c r="E15" s="151"/>
      <c r="F15" s="151">
        <f t="shared" si="1"/>
        <v>7000</v>
      </c>
      <c r="G15" s="181">
        <v>7000</v>
      </c>
      <c r="H15" s="151">
        <f>F15-G15</f>
        <v>0</v>
      </c>
      <c r="I15" s="58" t="s">
        <v>80</v>
      </c>
      <c r="J15" s="58"/>
    </row>
    <row r="16" spans="1:10" x14ac:dyDescent="0.25">
      <c r="A16" s="151"/>
      <c r="B16" s="171"/>
      <c r="C16" s="172"/>
      <c r="D16" s="1">
        <f>SUM(D4:D15)</f>
        <v>40000</v>
      </c>
      <c r="E16" s="139">
        <f>SUM(E4:E15)</f>
        <v>1000</v>
      </c>
      <c r="F16" s="186">
        <f>SUM(F4:F15)</f>
        <v>46000</v>
      </c>
      <c r="G16" s="195">
        <f>SUM(G4:G15)</f>
        <v>32800</v>
      </c>
      <c r="H16" s="186">
        <f>SUM(H4:H15)</f>
        <v>13200</v>
      </c>
      <c r="I16" s="58"/>
      <c r="J16" s="58"/>
    </row>
    <row r="17" spans="1:10" x14ac:dyDescent="0.25">
      <c r="A17" s="101"/>
      <c r="B17" s="58"/>
      <c r="C17" s="58"/>
      <c r="D17" s="58"/>
      <c r="E17" s="58"/>
      <c r="F17" s="58"/>
      <c r="G17" s="58"/>
      <c r="H17" s="58"/>
      <c r="I17" s="58"/>
      <c r="J17" s="58"/>
    </row>
    <row r="18" spans="1:10" x14ac:dyDescent="0.25">
      <c r="A18" s="58"/>
      <c r="B18" s="83" t="s">
        <v>121</v>
      </c>
      <c r="C18" s="144"/>
      <c r="D18" s="145"/>
      <c r="E18" s="146"/>
      <c r="F18" s="147"/>
      <c r="G18" s="148"/>
      <c r="H18" s="147"/>
      <c r="I18" s="58"/>
      <c r="J18" s="58"/>
    </row>
    <row r="19" spans="1:10" x14ac:dyDescent="0.25">
      <c r="A19" s="43"/>
      <c r="B19" s="32" t="s">
        <v>362</v>
      </c>
      <c r="C19" s="32"/>
      <c r="D19" s="32"/>
      <c r="E19" s="198"/>
      <c r="F19" s="32" t="s">
        <v>102</v>
      </c>
      <c r="G19" s="23"/>
      <c r="H19" s="23"/>
      <c r="I19" s="23"/>
      <c r="J19" s="58"/>
    </row>
    <row r="20" spans="1:10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J20" s="58"/>
    </row>
    <row r="21" spans="1:10" x14ac:dyDescent="0.25">
      <c r="A21" s="43"/>
      <c r="B21" s="151" t="s">
        <v>371</v>
      </c>
      <c r="C21" s="166">
        <f>D16</f>
        <v>40000</v>
      </c>
      <c r="D21" s="151"/>
      <c r="E21" s="151"/>
      <c r="F21" s="151" t="s">
        <v>371</v>
      </c>
      <c r="G21" s="166">
        <f>G16</f>
        <v>32800</v>
      </c>
      <c r="H21" s="151"/>
      <c r="I21" s="151"/>
      <c r="J21" s="58"/>
    </row>
    <row r="22" spans="1:10" x14ac:dyDescent="0.25">
      <c r="A22" s="43"/>
      <c r="B22" s="151" t="s">
        <v>1</v>
      </c>
      <c r="C22" s="173">
        <f>'MAY18'!E36</f>
        <v>-2540</v>
      </c>
      <c r="D22" s="151"/>
      <c r="E22" s="151"/>
      <c r="F22" s="151" t="s">
        <v>1</v>
      </c>
      <c r="G22" s="166">
        <f>'MAY18'!I36</f>
        <v>-3040</v>
      </c>
      <c r="H22" s="151"/>
      <c r="I22" s="151"/>
      <c r="J22" s="58"/>
    </row>
    <row r="23" spans="1:10" x14ac:dyDescent="0.25">
      <c r="A23" s="43"/>
      <c r="B23" s="151" t="s">
        <v>325</v>
      </c>
      <c r="C23" s="174">
        <v>0.1</v>
      </c>
      <c r="D23" s="166">
        <f>C21*C23</f>
        <v>4000</v>
      </c>
      <c r="E23" s="151"/>
      <c r="F23" s="151" t="s">
        <v>325</v>
      </c>
      <c r="G23" s="174">
        <v>0.1</v>
      </c>
      <c r="H23" s="166">
        <f>D23</f>
        <v>4000</v>
      </c>
      <c r="I23" s="151"/>
      <c r="J23" s="58"/>
    </row>
    <row r="24" spans="1:10" x14ac:dyDescent="0.25">
      <c r="A24" s="118"/>
      <c r="B24" s="175" t="s">
        <v>188</v>
      </c>
      <c r="C24" s="166">
        <f>C21+C22</f>
        <v>37460</v>
      </c>
      <c r="D24" s="151"/>
      <c r="E24" s="151"/>
      <c r="F24" s="175" t="s">
        <v>188</v>
      </c>
      <c r="G24" s="166">
        <f>G21+G22</f>
        <v>29760</v>
      </c>
      <c r="H24" s="151"/>
      <c r="I24" s="151"/>
      <c r="J24" s="58"/>
    </row>
    <row r="25" spans="1:10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51"/>
      <c r="I25" s="151"/>
      <c r="J25" s="58"/>
    </row>
    <row r="26" spans="1:10" x14ac:dyDescent="0.25">
      <c r="A26" s="118"/>
      <c r="B26" s="1" t="s">
        <v>120</v>
      </c>
      <c r="C26" s="1"/>
      <c r="D26" s="1">
        <v>7000</v>
      </c>
      <c r="E26" s="1"/>
      <c r="F26" s="1" t="s">
        <v>120</v>
      </c>
      <c r="G26" s="1"/>
      <c r="H26" s="1">
        <v>7000</v>
      </c>
      <c r="I26" s="151"/>
      <c r="J26" s="58"/>
    </row>
    <row r="27" spans="1:10" x14ac:dyDescent="0.25">
      <c r="A27" s="43"/>
      <c r="B27" s="177" t="s">
        <v>329</v>
      </c>
      <c r="C27" s="175"/>
      <c r="D27" s="151">
        <v>3500</v>
      </c>
      <c r="E27" s="151"/>
      <c r="F27" s="177" t="s">
        <v>329</v>
      </c>
      <c r="G27" s="175"/>
      <c r="H27" s="151">
        <v>3500</v>
      </c>
      <c r="I27" s="151"/>
      <c r="J27" s="58"/>
    </row>
    <row r="28" spans="1:10" x14ac:dyDescent="0.25">
      <c r="A28" s="43"/>
      <c r="B28" s="177" t="s">
        <v>350</v>
      </c>
      <c r="C28" s="175"/>
      <c r="D28" s="175">
        <v>2000</v>
      </c>
      <c r="E28" s="151"/>
      <c r="F28" s="177" t="s">
        <v>350</v>
      </c>
      <c r="G28" s="175"/>
      <c r="H28" s="175">
        <v>2000</v>
      </c>
      <c r="I28" s="151"/>
      <c r="J28" s="58"/>
    </row>
    <row r="29" spans="1:10" x14ac:dyDescent="0.25">
      <c r="A29" s="43"/>
      <c r="B29" s="178">
        <v>43255</v>
      </c>
      <c r="C29" s="151"/>
      <c r="D29" s="151">
        <v>1000</v>
      </c>
      <c r="E29" s="151"/>
      <c r="F29" s="178">
        <v>43255</v>
      </c>
      <c r="G29" s="151"/>
      <c r="H29" s="151">
        <v>1000</v>
      </c>
      <c r="I29" s="1"/>
      <c r="J29" s="58"/>
    </row>
    <row r="30" spans="1:10" x14ac:dyDescent="0.25">
      <c r="A30" s="43"/>
      <c r="B30" s="109" t="s">
        <v>374</v>
      </c>
      <c r="C30" s="1"/>
      <c r="D30" s="175">
        <v>500</v>
      </c>
      <c r="E30" s="151"/>
      <c r="F30" s="109" t="s">
        <v>374</v>
      </c>
      <c r="G30" s="1"/>
      <c r="H30" s="175">
        <v>500</v>
      </c>
      <c r="I30" s="151"/>
      <c r="J30" s="58"/>
    </row>
    <row r="31" spans="1:10" x14ac:dyDescent="0.25">
      <c r="A31" s="43"/>
      <c r="B31" s="177">
        <v>43257</v>
      </c>
      <c r="C31" s="175"/>
      <c r="D31" s="175">
        <v>10195</v>
      </c>
      <c r="E31" s="151"/>
      <c r="F31" s="177">
        <v>43257</v>
      </c>
      <c r="G31" s="175"/>
      <c r="H31" s="175">
        <v>10195</v>
      </c>
      <c r="I31" s="151"/>
      <c r="J31" s="58"/>
    </row>
    <row r="32" spans="1:10" x14ac:dyDescent="0.25">
      <c r="A32" s="43"/>
      <c r="B32" s="109" t="s">
        <v>328</v>
      </c>
      <c r="C32" s="1"/>
      <c r="D32" s="1">
        <v>3000</v>
      </c>
      <c r="E32" s="1"/>
      <c r="F32" s="109" t="s">
        <v>328</v>
      </c>
      <c r="G32" s="1"/>
      <c r="H32" s="1">
        <v>3000</v>
      </c>
      <c r="I32" s="151"/>
      <c r="J32" s="58"/>
    </row>
    <row r="33" spans="1:10" x14ac:dyDescent="0.25">
      <c r="A33" s="43"/>
      <c r="B33" s="178" t="s">
        <v>375</v>
      </c>
      <c r="C33" s="175"/>
      <c r="D33" s="175">
        <v>1800</v>
      </c>
      <c r="E33" s="151"/>
      <c r="F33" s="178" t="s">
        <v>375</v>
      </c>
      <c r="G33" s="175"/>
      <c r="H33" s="175">
        <v>1800</v>
      </c>
      <c r="I33" s="151"/>
      <c r="J33" s="58"/>
    </row>
    <row r="34" spans="1:10" x14ac:dyDescent="0.25">
      <c r="A34" s="43"/>
      <c r="B34" s="177">
        <v>43262</v>
      </c>
      <c r="C34" s="151"/>
      <c r="D34" s="151">
        <v>10000</v>
      </c>
      <c r="E34" s="151"/>
      <c r="F34" s="177">
        <v>43262</v>
      </c>
      <c r="G34" s="151"/>
      <c r="H34" s="151">
        <v>10000</v>
      </c>
      <c r="I34" s="151"/>
      <c r="J34" s="58"/>
    </row>
    <row r="35" spans="1:10" s="58" customFormat="1" x14ac:dyDescent="0.25">
      <c r="A35" s="43"/>
      <c r="B35" s="175" t="s">
        <v>376</v>
      </c>
      <c r="C35" s="151"/>
      <c r="D35" s="151">
        <v>2500</v>
      </c>
      <c r="E35" s="151"/>
      <c r="F35" s="177" t="s">
        <v>377</v>
      </c>
      <c r="G35" s="151"/>
      <c r="H35" s="151">
        <v>1000</v>
      </c>
      <c r="I35" s="151"/>
    </row>
    <row r="36" spans="1:10" x14ac:dyDescent="0.25">
      <c r="A36" s="118"/>
      <c r="B36" s="1"/>
      <c r="C36" s="1"/>
      <c r="D36" s="1"/>
      <c r="E36" s="151"/>
      <c r="F36" s="175" t="s">
        <v>376</v>
      </c>
      <c r="G36" s="151"/>
      <c r="H36" s="151">
        <v>2500</v>
      </c>
      <c r="I36" s="151"/>
      <c r="J36" s="58"/>
    </row>
    <row r="37" spans="1:10" x14ac:dyDescent="0.25">
      <c r="A37" s="58"/>
      <c r="B37" s="69" t="s">
        <v>129</v>
      </c>
      <c r="C37" s="160">
        <f>C21+C22</f>
        <v>37460</v>
      </c>
      <c r="D37" s="160">
        <f>SUM(D23:D36)</f>
        <v>45495</v>
      </c>
      <c r="E37" s="160">
        <f>C37-D37</f>
        <v>-8035</v>
      </c>
      <c r="F37" s="69" t="s">
        <v>129</v>
      </c>
      <c r="G37" s="160">
        <f>G24</f>
        <v>29760</v>
      </c>
      <c r="H37" s="160">
        <f>SUM(H23:H36)</f>
        <v>46495</v>
      </c>
      <c r="I37" s="166">
        <f>G37-H37</f>
        <v>-16735</v>
      </c>
      <c r="J37" s="58"/>
    </row>
    <row r="38" spans="1:10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  <row r="39" spans="1:10" x14ac:dyDescent="0.25">
      <c r="A39" s="58"/>
      <c r="B39" s="58" t="s">
        <v>357</v>
      </c>
      <c r="C39" s="58"/>
      <c r="D39" s="58" t="s">
        <v>359</v>
      </c>
      <c r="E39" s="58"/>
      <c r="F39" s="58"/>
      <c r="G39" s="58" t="s">
        <v>361</v>
      </c>
      <c r="H39" s="58"/>
      <c r="I39" s="58"/>
      <c r="J39" s="58"/>
    </row>
    <row r="40" spans="1:10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spans="1:10" x14ac:dyDescent="0.25">
      <c r="A41" s="58"/>
      <c r="B41" s="58" t="s">
        <v>358</v>
      </c>
      <c r="C41" s="58"/>
      <c r="D41" s="58" t="s">
        <v>360</v>
      </c>
      <c r="E41" s="58"/>
      <c r="F41" s="58"/>
      <c r="G41" s="58" t="s">
        <v>158</v>
      </c>
      <c r="H41" s="58"/>
      <c r="I41" s="58"/>
      <c r="J41" s="58"/>
    </row>
    <row r="42" spans="1:10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  <row r="43" spans="1:10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H34" sqref="H34"/>
    </sheetView>
  </sheetViews>
  <sheetFormatPr defaultRowHeight="15" x14ac:dyDescent="0.25"/>
  <cols>
    <col min="1" max="1" width="3.85546875" customWidth="1"/>
    <col min="2" max="2" width="19.7109375" customWidth="1"/>
    <col min="6" max="6" width="10.85546875" customWidth="1"/>
  </cols>
  <sheetData>
    <row r="1" spans="1:10" ht="33.75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  <c r="J1" s="58"/>
    </row>
    <row r="2" spans="1:10" ht="18.75" x14ac:dyDescent="0.25">
      <c r="A2" s="33" t="s">
        <v>378</v>
      </c>
      <c r="B2" s="35"/>
      <c r="C2" s="34"/>
      <c r="D2" s="34"/>
      <c r="E2" s="34"/>
      <c r="F2" s="34"/>
      <c r="G2" s="34"/>
      <c r="H2" s="58"/>
      <c r="I2" s="58"/>
      <c r="J2" s="58"/>
    </row>
    <row r="3" spans="1:10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364</v>
      </c>
      <c r="I3" s="58"/>
      <c r="J3" s="58"/>
    </row>
    <row r="4" spans="1:10" x14ac:dyDescent="0.25">
      <c r="A4" s="151">
        <v>1</v>
      </c>
      <c r="B4" s="164" t="s">
        <v>331</v>
      </c>
      <c r="C4" s="165">
        <v>3100</v>
      </c>
      <c r="D4" s="151">
        <v>3000</v>
      </c>
      <c r="E4" s="151">
        <v>100</v>
      </c>
      <c r="F4" s="166">
        <f>C4+D4+E4</f>
        <v>6200</v>
      </c>
      <c r="G4" s="180">
        <v>3200</v>
      </c>
      <c r="H4" s="166">
        <f t="shared" ref="H4:H9" si="0">F4-G4</f>
        <v>3000</v>
      </c>
      <c r="I4" s="58" t="s">
        <v>366</v>
      </c>
      <c r="J4" s="58"/>
    </row>
    <row r="5" spans="1:10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3100</v>
      </c>
      <c r="H5" s="166">
        <f t="shared" si="0"/>
        <v>0</v>
      </c>
      <c r="I5" s="58"/>
      <c r="J5" s="58"/>
    </row>
    <row r="6" spans="1:10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 t="shared" ref="F6:F15" si="1">C6+D6+E6</f>
        <v>3100</v>
      </c>
      <c r="G6" s="180">
        <v>3100</v>
      </c>
      <c r="H6" s="166">
        <f t="shared" si="0"/>
        <v>0</v>
      </c>
      <c r="I6" s="58"/>
      <c r="J6" s="58"/>
    </row>
    <row r="7" spans="1:10" x14ac:dyDescent="0.25">
      <c r="A7" s="151">
        <v>4</v>
      </c>
      <c r="B7" s="168" t="s">
        <v>345</v>
      </c>
      <c r="C7" s="165">
        <v>300</v>
      </c>
      <c r="D7" s="151">
        <v>3000</v>
      </c>
      <c r="E7" s="151">
        <v>100</v>
      </c>
      <c r="F7" s="166">
        <f>C7+D7+E7</f>
        <v>3400</v>
      </c>
      <c r="G7" s="180">
        <v>3000</v>
      </c>
      <c r="H7" s="166">
        <f t="shared" si="0"/>
        <v>400</v>
      </c>
      <c r="I7" s="58"/>
      <c r="J7" s="58"/>
    </row>
    <row r="8" spans="1:10" x14ac:dyDescent="0.25">
      <c r="A8" s="151">
        <v>5</v>
      </c>
      <c r="B8" s="151" t="s">
        <v>369</v>
      </c>
      <c r="C8" s="165"/>
      <c r="D8" s="151">
        <v>3000</v>
      </c>
      <c r="E8" s="151">
        <v>100</v>
      </c>
      <c r="F8" s="166">
        <f>C8+D8+E8</f>
        <v>3100</v>
      </c>
      <c r="G8" s="180">
        <v>3000</v>
      </c>
      <c r="H8" s="166">
        <f t="shared" si="0"/>
        <v>100</v>
      </c>
      <c r="I8" s="58"/>
      <c r="J8" s="58"/>
    </row>
    <row r="9" spans="1:10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3100</v>
      </c>
      <c r="H9" s="166">
        <f t="shared" si="0"/>
        <v>0</v>
      </c>
      <c r="I9" s="58"/>
      <c r="J9" s="58"/>
    </row>
    <row r="10" spans="1:10" x14ac:dyDescent="0.25">
      <c r="A10" s="151">
        <v>7</v>
      </c>
      <c r="B10" s="1" t="s">
        <v>370</v>
      </c>
      <c r="C10" s="1"/>
      <c r="D10" s="1"/>
      <c r="E10" s="1"/>
      <c r="F10" s="1"/>
      <c r="G10" s="1"/>
      <c r="H10" s="1"/>
      <c r="I10" s="58"/>
      <c r="J10" s="58"/>
    </row>
    <row r="11" spans="1:10" x14ac:dyDescent="0.25">
      <c r="A11" s="151">
        <v>8</v>
      </c>
      <c r="B11" s="167" t="s">
        <v>333</v>
      </c>
      <c r="C11" s="165">
        <v>2700</v>
      </c>
      <c r="D11" s="151">
        <v>3000</v>
      </c>
      <c r="E11" s="151">
        <v>100</v>
      </c>
      <c r="F11" s="166">
        <f>C11+D11+E11</f>
        <v>5800</v>
      </c>
      <c r="G11" s="180">
        <v>5000</v>
      </c>
      <c r="H11" s="166">
        <f>F11-G11</f>
        <v>800</v>
      </c>
      <c r="I11" s="58"/>
      <c r="J11" s="58"/>
    </row>
    <row r="12" spans="1:10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 t="shared" si="1"/>
        <v>3100</v>
      </c>
      <c r="G12" s="180">
        <v>3100</v>
      </c>
      <c r="H12" s="166">
        <f>F12-G12</f>
        <v>0</v>
      </c>
      <c r="I12" s="58"/>
      <c r="J12" s="58"/>
    </row>
    <row r="13" spans="1:10" x14ac:dyDescent="0.25">
      <c r="A13" s="151">
        <v>10</v>
      </c>
      <c r="B13" s="169" t="s">
        <v>346</v>
      </c>
      <c r="C13" s="165">
        <v>6400</v>
      </c>
      <c r="D13" s="151">
        <v>4500</v>
      </c>
      <c r="E13" s="151">
        <v>100</v>
      </c>
      <c r="F13" s="166">
        <f t="shared" si="1"/>
        <v>11000</v>
      </c>
      <c r="G13" s="180">
        <v>11000</v>
      </c>
      <c r="H13" s="166">
        <f>F13-G13</f>
        <v>0</v>
      </c>
      <c r="I13" s="58"/>
      <c r="J13" s="58"/>
    </row>
    <row r="14" spans="1:10" x14ac:dyDescent="0.25">
      <c r="A14" s="151">
        <v>11</v>
      </c>
      <c r="B14" s="169" t="s">
        <v>337</v>
      </c>
      <c r="C14" s="165">
        <v>700</v>
      </c>
      <c r="D14" s="151">
        <v>4500</v>
      </c>
      <c r="E14" s="151">
        <v>100</v>
      </c>
      <c r="F14" s="166">
        <f t="shared" si="1"/>
        <v>5300</v>
      </c>
      <c r="G14" s="180">
        <v>5300</v>
      </c>
      <c r="H14" s="166">
        <f>F14-G14</f>
        <v>0</v>
      </c>
      <c r="I14" s="58"/>
      <c r="J14" s="58"/>
    </row>
    <row r="15" spans="1:10" x14ac:dyDescent="0.25">
      <c r="A15" s="151">
        <v>13</v>
      </c>
      <c r="B15" s="197" t="s">
        <v>245</v>
      </c>
      <c r="C15" s="151"/>
      <c r="D15" s="151">
        <v>7000</v>
      </c>
      <c r="E15" s="151"/>
      <c r="F15" s="151">
        <f t="shared" si="1"/>
        <v>7000</v>
      </c>
      <c r="G15" s="181">
        <v>7000</v>
      </c>
      <c r="H15" s="151">
        <f>F15-G15</f>
        <v>0</v>
      </c>
      <c r="I15" s="58" t="s">
        <v>80</v>
      </c>
      <c r="J15" s="58"/>
    </row>
    <row r="16" spans="1:10" x14ac:dyDescent="0.25">
      <c r="A16" s="151"/>
      <c r="B16" s="171"/>
      <c r="C16" s="172"/>
      <c r="D16" s="1">
        <f>SUM(D4:D15)</f>
        <v>40000</v>
      </c>
      <c r="E16" s="139">
        <f>SUM(E4:E15)</f>
        <v>1000</v>
      </c>
      <c r="F16" s="186">
        <f>SUM(F4:F15)</f>
        <v>54200</v>
      </c>
      <c r="G16" s="195">
        <f>SUM(G4:G15)</f>
        <v>49900</v>
      </c>
      <c r="H16" s="186">
        <f>SUM(H4:H15)</f>
        <v>4300</v>
      </c>
      <c r="I16" s="58"/>
      <c r="J16" s="58"/>
    </row>
    <row r="17" spans="1:13" x14ac:dyDescent="0.25">
      <c r="A17" s="101"/>
      <c r="B17" s="58"/>
      <c r="C17" s="58"/>
      <c r="D17" s="58"/>
      <c r="E17" s="58"/>
      <c r="F17" s="58"/>
      <c r="G17" s="58"/>
      <c r="H17" s="58"/>
      <c r="I17" s="58"/>
      <c r="J17" s="58"/>
    </row>
    <row r="18" spans="1:13" x14ac:dyDescent="0.25">
      <c r="A18" s="58"/>
      <c r="B18" s="83" t="s">
        <v>121</v>
      </c>
      <c r="C18" s="144"/>
      <c r="D18" s="145"/>
      <c r="E18" s="146"/>
      <c r="F18" s="147"/>
      <c r="G18" s="148"/>
      <c r="H18" s="147"/>
      <c r="I18" s="58"/>
      <c r="J18" s="58"/>
    </row>
    <row r="19" spans="1:13" x14ac:dyDescent="0.25">
      <c r="A19" s="43"/>
      <c r="B19" s="32" t="s">
        <v>362</v>
      </c>
      <c r="C19" s="32"/>
      <c r="D19" s="32"/>
      <c r="E19" s="198"/>
      <c r="F19" s="32" t="s">
        <v>102</v>
      </c>
      <c r="G19" s="23"/>
      <c r="H19" s="23"/>
      <c r="I19" s="23"/>
      <c r="J19" s="58"/>
    </row>
    <row r="20" spans="1:13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J20" s="58"/>
    </row>
    <row r="21" spans="1:13" x14ac:dyDescent="0.25">
      <c r="A21" s="43"/>
      <c r="B21" s="151" t="s">
        <v>379</v>
      </c>
      <c r="C21" s="166">
        <f>D16</f>
        <v>40000</v>
      </c>
      <c r="D21" s="151"/>
      <c r="E21" s="151"/>
      <c r="F21" s="151" t="s">
        <v>379</v>
      </c>
      <c r="G21" s="166">
        <f>G16</f>
        <v>49900</v>
      </c>
      <c r="H21" s="151"/>
      <c r="I21" s="151"/>
      <c r="J21" s="58"/>
    </row>
    <row r="22" spans="1:13" x14ac:dyDescent="0.25">
      <c r="A22" s="43"/>
      <c r="B22" s="151" t="s">
        <v>1</v>
      </c>
      <c r="C22" s="173">
        <f>'JUNE '!E37</f>
        <v>-8035</v>
      </c>
      <c r="D22" s="151"/>
      <c r="E22" s="151"/>
      <c r="F22" s="151" t="s">
        <v>1</v>
      </c>
      <c r="G22" s="166">
        <f>'JUNE '!I37</f>
        <v>-16735</v>
      </c>
      <c r="H22" s="151"/>
      <c r="I22" s="151"/>
      <c r="J22" s="58"/>
    </row>
    <row r="23" spans="1:13" x14ac:dyDescent="0.25">
      <c r="A23" s="43"/>
      <c r="B23" s="151" t="s">
        <v>325</v>
      </c>
      <c r="C23" s="174">
        <v>0.1</v>
      </c>
      <c r="D23" s="166">
        <f>C21*C23</f>
        <v>4000</v>
      </c>
      <c r="E23" s="151"/>
      <c r="F23" s="151" t="s">
        <v>325</v>
      </c>
      <c r="G23" s="174">
        <v>0.1</v>
      </c>
      <c r="H23" s="166">
        <f>D23</f>
        <v>4000</v>
      </c>
      <c r="I23" s="151"/>
      <c r="J23" s="58"/>
    </row>
    <row r="24" spans="1:13" x14ac:dyDescent="0.25">
      <c r="A24" s="118"/>
      <c r="B24" s="175" t="s">
        <v>188</v>
      </c>
      <c r="C24" s="166">
        <f>C21+C22</f>
        <v>31965</v>
      </c>
      <c r="D24" s="151"/>
      <c r="E24" s="151"/>
      <c r="F24" s="175" t="s">
        <v>188</v>
      </c>
      <c r="G24" s="166">
        <f>G21+G22</f>
        <v>33165</v>
      </c>
      <c r="H24" s="151"/>
      <c r="I24" s="151"/>
      <c r="J24" s="58"/>
    </row>
    <row r="25" spans="1:13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51"/>
      <c r="I25" s="151"/>
      <c r="J25" s="58"/>
    </row>
    <row r="26" spans="1:13" x14ac:dyDescent="0.25">
      <c r="A26" s="118"/>
      <c r="B26" s="1" t="s">
        <v>120</v>
      </c>
      <c r="C26" s="1"/>
      <c r="D26" s="1">
        <v>7000</v>
      </c>
      <c r="E26" s="1"/>
      <c r="F26" s="1" t="s">
        <v>120</v>
      </c>
      <c r="G26" s="1"/>
      <c r="H26" s="1">
        <v>7000</v>
      </c>
      <c r="I26" s="151"/>
      <c r="J26" s="58"/>
    </row>
    <row r="27" spans="1:13" x14ac:dyDescent="0.25">
      <c r="A27" s="43"/>
      <c r="B27" s="177" t="s">
        <v>329</v>
      </c>
      <c r="C27" s="175"/>
      <c r="D27" s="151">
        <v>3500</v>
      </c>
      <c r="E27" s="151"/>
      <c r="F27" s="177" t="s">
        <v>329</v>
      </c>
      <c r="G27" s="175"/>
      <c r="H27" s="151">
        <v>3500</v>
      </c>
      <c r="I27" s="151"/>
      <c r="J27" s="58"/>
    </row>
    <row r="28" spans="1:13" x14ac:dyDescent="0.25">
      <c r="A28" s="43"/>
      <c r="B28" s="177" t="s">
        <v>350</v>
      </c>
      <c r="C28" s="175"/>
      <c r="D28" s="175">
        <v>2000</v>
      </c>
      <c r="E28" s="151"/>
      <c r="F28" s="177" t="s">
        <v>350</v>
      </c>
      <c r="G28" s="175"/>
      <c r="H28" s="175">
        <v>2000</v>
      </c>
      <c r="I28" s="151"/>
      <c r="J28" s="58"/>
    </row>
    <row r="29" spans="1:13" x14ac:dyDescent="0.25">
      <c r="A29" s="43"/>
      <c r="B29" s="178">
        <v>43286</v>
      </c>
      <c r="C29" s="151"/>
      <c r="D29" s="151">
        <v>10207</v>
      </c>
      <c r="E29" s="151"/>
      <c r="F29" s="177" t="s">
        <v>377</v>
      </c>
      <c r="G29" s="151"/>
      <c r="H29" s="151">
        <v>1000</v>
      </c>
      <c r="I29" s="1"/>
      <c r="J29" s="58"/>
    </row>
    <row r="30" spans="1:13" x14ac:dyDescent="0.25">
      <c r="A30" s="43"/>
      <c r="B30" s="109" t="s">
        <v>380</v>
      </c>
      <c r="C30" s="1"/>
      <c r="D30" s="175">
        <v>500</v>
      </c>
      <c r="E30" s="151"/>
      <c r="F30" s="178">
        <v>43286</v>
      </c>
      <c r="G30" s="151"/>
      <c r="H30" s="151">
        <v>10207</v>
      </c>
      <c r="I30" s="151"/>
      <c r="J30" s="58"/>
    </row>
    <row r="31" spans="1:13" x14ac:dyDescent="0.25">
      <c r="A31" s="43"/>
      <c r="B31" s="177">
        <v>43291</v>
      </c>
      <c r="C31" s="175"/>
      <c r="D31" s="175">
        <v>10500</v>
      </c>
      <c r="E31" s="151"/>
      <c r="F31" s="109" t="s">
        <v>380</v>
      </c>
      <c r="G31" s="1"/>
      <c r="H31" s="175">
        <v>500</v>
      </c>
      <c r="I31" s="151"/>
      <c r="J31" s="58"/>
    </row>
    <row r="32" spans="1:13" x14ac:dyDescent="0.25">
      <c r="A32" s="43"/>
      <c r="B32" s="109" t="s">
        <v>381</v>
      </c>
      <c r="C32" s="1"/>
      <c r="D32" s="1">
        <v>500</v>
      </c>
      <c r="E32" s="1"/>
      <c r="F32" s="177">
        <v>43291</v>
      </c>
      <c r="G32" s="175"/>
      <c r="H32" s="175">
        <v>10500</v>
      </c>
      <c r="I32" s="151"/>
      <c r="J32" s="58"/>
      <c r="L32">
        <v>9242</v>
      </c>
      <c r="M32">
        <f>L32-L33</f>
        <v>3200</v>
      </c>
    </row>
    <row r="33" spans="1:12" x14ac:dyDescent="0.25">
      <c r="A33" s="43"/>
      <c r="B33" s="178" t="s">
        <v>358</v>
      </c>
      <c r="C33" s="175"/>
      <c r="D33" s="175">
        <v>3000</v>
      </c>
      <c r="E33" s="151"/>
      <c r="F33" s="109" t="s">
        <v>381</v>
      </c>
      <c r="G33" s="1"/>
      <c r="H33" s="1">
        <v>500</v>
      </c>
      <c r="I33" s="151"/>
      <c r="J33" s="58"/>
      <c r="L33">
        <v>6042</v>
      </c>
    </row>
    <row r="34" spans="1:12" x14ac:dyDescent="0.25">
      <c r="A34" s="43"/>
      <c r="B34" s="177"/>
      <c r="C34" s="151"/>
      <c r="D34" s="151"/>
      <c r="E34" s="151"/>
      <c r="F34" s="177" t="s">
        <v>382</v>
      </c>
      <c r="G34" s="151"/>
      <c r="H34" s="151">
        <v>3200</v>
      </c>
      <c r="I34" s="151"/>
      <c r="J34" s="58"/>
    </row>
    <row r="35" spans="1:12" x14ac:dyDescent="0.25">
      <c r="A35" s="43"/>
      <c r="B35" s="175"/>
      <c r="C35" s="151"/>
      <c r="D35" s="151"/>
      <c r="E35" s="151"/>
      <c r="F35" s="1"/>
      <c r="G35" s="1"/>
      <c r="H35" s="1"/>
      <c r="I35" s="151"/>
      <c r="J35" s="58"/>
    </row>
    <row r="36" spans="1:12" x14ac:dyDescent="0.25">
      <c r="A36" s="118"/>
      <c r="B36" s="1"/>
      <c r="C36" s="1"/>
      <c r="D36" s="1"/>
      <c r="E36" s="151"/>
      <c r="F36" s="175"/>
      <c r="G36" s="151"/>
      <c r="H36" s="151"/>
      <c r="I36" s="151"/>
      <c r="J36" s="58"/>
    </row>
    <row r="37" spans="1:12" x14ac:dyDescent="0.25">
      <c r="A37" s="58"/>
      <c r="B37" s="69" t="s">
        <v>129</v>
      </c>
      <c r="C37" s="160">
        <f>C21+C22</f>
        <v>31965</v>
      </c>
      <c r="D37" s="160">
        <f>SUM(D23:D36)</f>
        <v>41207</v>
      </c>
      <c r="E37" s="160">
        <f>C37-D37</f>
        <v>-9242</v>
      </c>
      <c r="F37" s="69" t="s">
        <v>129</v>
      </c>
      <c r="G37" s="160">
        <f>G24</f>
        <v>33165</v>
      </c>
      <c r="H37" s="160">
        <f>SUM(H23:H36)</f>
        <v>42407</v>
      </c>
      <c r="I37" s="166">
        <f>G37-H37</f>
        <v>-9242</v>
      </c>
      <c r="J37" s="58"/>
    </row>
    <row r="38" spans="1:12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  <row r="39" spans="1:12" x14ac:dyDescent="0.25">
      <c r="A39" s="58"/>
      <c r="B39" s="58" t="s">
        <v>357</v>
      </c>
      <c r="C39" s="58"/>
      <c r="D39" s="58" t="s">
        <v>359</v>
      </c>
      <c r="E39" s="58"/>
      <c r="F39" s="58"/>
      <c r="G39" s="58" t="s">
        <v>361</v>
      </c>
      <c r="H39" s="58"/>
      <c r="I39" s="58"/>
      <c r="J39" s="58"/>
    </row>
    <row r="40" spans="1:12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spans="1:12" x14ac:dyDescent="0.25">
      <c r="A41" s="58"/>
      <c r="B41" s="58" t="s">
        <v>358</v>
      </c>
      <c r="C41" s="58"/>
      <c r="D41" s="58" t="s">
        <v>360</v>
      </c>
      <c r="E41" s="58"/>
      <c r="F41" s="58"/>
      <c r="G41" s="58" t="s">
        <v>158</v>
      </c>
      <c r="H41" s="58"/>
      <c r="I41" s="58"/>
      <c r="J41" s="58"/>
    </row>
    <row r="42" spans="1:12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35" sqref="E35"/>
    </sheetView>
  </sheetViews>
  <sheetFormatPr defaultRowHeight="15" x14ac:dyDescent="0.25"/>
  <cols>
    <col min="2" max="2" width="18.85546875" customWidth="1"/>
    <col min="5" max="5" width="11.7109375" customWidth="1"/>
    <col min="6" max="6" width="9.140625" style="58"/>
    <col min="7" max="7" width="12.140625" customWidth="1"/>
    <col min="8" max="8" width="11" customWidth="1"/>
  </cols>
  <sheetData>
    <row r="1" spans="1:8" ht="30" x14ac:dyDescent="0.4">
      <c r="A1" s="21"/>
      <c r="B1" s="21"/>
      <c r="C1" s="75"/>
      <c r="D1" s="75"/>
      <c r="E1" s="76" t="s">
        <v>19</v>
      </c>
      <c r="F1" s="76"/>
      <c r="G1" s="28"/>
      <c r="H1" s="21"/>
    </row>
    <row r="2" spans="1:8" x14ac:dyDescent="0.25">
      <c r="A2" s="21"/>
      <c r="B2" s="21"/>
      <c r="C2" s="75"/>
      <c r="D2" s="76" t="s">
        <v>59</v>
      </c>
      <c r="E2" s="76"/>
      <c r="F2" s="76"/>
      <c r="G2" s="30"/>
      <c r="H2" s="21"/>
    </row>
    <row r="3" spans="1:8" ht="16.5" x14ac:dyDescent="0.25">
      <c r="A3" s="21"/>
      <c r="B3" s="21"/>
      <c r="C3" s="75"/>
      <c r="D3" s="76" t="s">
        <v>60</v>
      </c>
      <c r="E3" s="77"/>
      <c r="F3" s="77"/>
      <c r="G3" s="24"/>
      <c r="H3" s="21"/>
    </row>
    <row r="4" spans="1:8" x14ac:dyDescent="0.25">
      <c r="A4" s="21"/>
      <c r="B4" s="21"/>
      <c r="C4" s="77"/>
      <c r="D4" s="78" t="s">
        <v>22</v>
      </c>
      <c r="E4" s="78"/>
      <c r="F4" s="78"/>
      <c r="G4" s="24"/>
      <c r="H4" s="21"/>
    </row>
    <row r="5" spans="1:8" x14ac:dyDescent="0.25">
      <c r="A5" s="31" t="s">
        <v>47</v>
      </c>
      <c r="B5" s="58"/>
      <c r="C5" s="31"/>
      <c r="D5" s="58"/>
      <c r="E5" s="31"/>
      <c r="F5" s="31"/>
      <c r="G5" s="32"/>
      <c r="H5" s="31"/>
    </row>
    <row r="6" spans="1:8" ht="23.25" x14ac:dyDescent="0.35">
      <c r="A6" s="33" t="s">
        <v>58</v>
      </c>
      <c r="B6" s="35"/>
      <c r="C6" s="34"/>
      <c r="D6" s="34"/>
      <c r="E6" s="37"/>
      <c r="F6" s="37"/>
      <c r="G6" s="35"/>
      <c r="H6" s="58"/>
    </row>
    <row r="7" spans="1:8" x14ac:dyDescent="0.25">
      <c r="A7" s="58"/>
      <c r="B7" s="58"/>
      <c r="C7" s="58"/>
      <c r="D7" s="58"/>
      <c r="E7" s="58"/>
      <c r="G7" s="58"/>
      <c r="H7" s="58"/>
    </row>
    <row r="8" spans="1:8" x14ac:dyDescent="0.25">
      <c r="A8" s="1"/>
      <c r="B8" s="8" t="s">
        <v>0</v>
      </c>
      <c r="C8" s="9" t="s">
        <v>1</v>
      </c>
      <c r="D8" s="8" t="s">
        <v>2</v>
      </c>
      <c r="E8" s="8" t="s">
        <v>3</v>
      </c>
      <c r="F8" s="8" t="s">
        <v>53</v>
      </c>
      <c r="G8" s="8" t="s">
        <v>5</v>
      </c>
    </row>
    <row r="9" spans="1:8" x14ac:dyDescent="0.25">
      <c r="A9" s="1"/>
      <c r="B9" s="11"/>
      <c r="C9" s="11"/>
      <c r="D9" s="11"/>
      <c r="E9" s="12"/>
      <c r="F9" s="12"/>
      <c r="G9" s="12"/>
    </row>
    <row r="10" spans="1:8" x14ac:dyDescent="0.25">
      <c r="A10" s="1">
        <v>1</v>
      </c>
      <c r="B10" s="13" t="s">
        <v>6</v>
      </c>
      <c r="C10" s="14">
        <v>0</v>
      </c>
      <c r="D10" s="1">
        <v>2500</v>
      </c>
      <c r="E10" s="15">
        <v>2500</v>
      </c>
      <c r="F10" s="15"/>
      <c r="G10" s="16">
        <f>D10-E10</f>
        <v>0</v>
      </c>
    </row>
    <row r="11" spans="1:8" x14ac:dyDescent="0.25">
      <c r="A11" s="1">
        <v>2</v>
      </c>
      <c r="B11" s="13" t="s">
        <v>52</v>
      </c>
      <c r="C11" s="14">
        <v>0</v>
      </c>
      <c r="D11" s="1">
        <v>2500</v>
      </c>
      <c r="E11" s="15">
        <v>2500</v>
      </c>
      <c r="F11" s="15">
        <v>2500</v>
      </c>
      <c r="G11" s="16">
        <f t="shared" ref="G11:G22" si="0">D11-E11</f>
        <v>0</v>
      </c>
    </row>
    <row r="12" spans="1:8" x14ac:dyDescent="0.25">
      <c r="A12" s="1">
        <v>3</v>
      </c>
      <c r="B12" s="13" t="s">
        <v>9</v>
      </c>
      <c r="C12" s="14">
        <v>0</v>
      </c>
      <c r="D12" s="1">
        <v>2500</v>
      </c>
      <c r="E12" s="15">
        <v>2500</v>
      </c>
      <c r="F12" s="15"/>
      <c r="G12" s="16">
        <f t="shared" si="0"/>
        <v>0</v>
      </c>
    </row>
    <row r="13" spans="1:8" x14ac:dyDescent="0.25">
      <c r="A13" s="1">
        <v>4</v>
      </c>
      <c r="B13" s="13" t="s">
        <v>10</v>
      </c>
      <c r="C13" s="14">
        <v>0</v>
      </c>
      <c r="D13" s="1">
        <v>2500</v>
      </c>
      <c r="E13" s="15">
        <v>2500</v>
      </c>
      <c r="F13" s="15"/>
      <c r="G13" s="16">
        <f t="shared" si="0"/>
        <v>0</v>
      </c>
    </row>
    <row r="14" spans="1:8" x14ac:dyDescent="0.25">
      <c r="A14" s="1">
        <v>5</v>
      </c>
      <c r="B14" s="13" t="s">
        <v>54</v>
      </c>
      <c r="C14" s="14">
        <v>0</v>
      </c>
      <c r="D14" s="1">
        <v>2500</v>
      </c>
      <c r="E14" s="68">
        <v>0</v>
      </c>
      <c r="F14" s="68"/>
      <c r="G14" s="16">
        <v>0</v>
      </c>
    </row>
    <row r="15" spans="1:8" x14ac:dyDescent="0.25">
      <c r="A15" s="1">
        <v>6</v>
      </c>
      <c r="B15" s="13" t="s">
        <v>12</v>
      </c>
      <c r="C15" s="14">
        <v>0</v>
      </c>
      <c r="D15" s="1">
        <v>5000</v>
      </c>
      <c r="E15" s="68">
        <v>0</v>
      </c>
      <c r="F15" s="68"/>
      <c r="G15" s="16">
        <f t="shared" si="0"/>
        <v>5000</v>
      </c>
    </row>
    <row r="16" spans="1:8" x14ac:dyDescent="0.25">
      <c r="A16" s="1">
        <v>7</v>
      </c>
      <c r="B16" s="13" t="s">
        <v>14</v>
      </c>
      <c r="C16" s="14">
        <v>0</v>
      </c>
      <c r="D16" s="1">
        <v>3500</v>
      </c>
      <c r="E16" s="80">
        <v>3500</v>
      </c>
      <c r="F16" s="68"/>
      <c r="G16" s="16">
        <f t="shared" si="0"/>
        <v>0</v>
      </c>
    </row>
    <row r="17" spans="1:8" x14ac:dyDescent="0.25">
      <c r="A17" s="1">
        <v>8</v>
      </c>
      <c r="B17" s="13" t="s">
        <v>13</v>
      </c>
      <c r="C17" s="14">
        <v>0</v>
      </c>
      <c r="D17" s="1">
        <v>3500</v>
      </c>
      <c r="E17" s="15">
        <v>3500</v>
      </c>
      <c r="F17" s="15"/>
      <c r="G17" s="16">
        <f t="shared" si="0"/>
        <v>0</v>
      </c>
    </row>
    <row r="18" spans="1:8" x14ac:dyDescent="0.25">
      <c r="A18" s="1">
        <v>9</v>
      </c>
      <c r="B18" s="79" t="s">
        <v>15</v>
      </c>
      <c r="C18" s="14">
        <v>0</v>
      </c>
      <c r="D18" s="1">
        <v>2500</v>
      </c>
      <c r="E18" s="15">
        <v>2500</v>
      </c>
      <c r="F18" s="15"/>
      <c r="G18" s="16">
        <v>0</v>
      </c>
    </row>
    <row r="19" spans="1:8" x14ac:dyDescent="0.25">
      <c r="A19" s="1">
        <v>10</v>
      </c>
      <c r="B19" s="79" t="s">
        <v>61</v>
      </c>
      <c r="C19" s="14"/>
      <c r="D19" s="1">
        <v>2500</v>
      </c>
      <c r="E19" s="15">
        <v>0</v>
      </c>
      <c r="F19" s="15"/>
      <c r="G19" s="16">
        <v>1500</v>
      </c>
    </row>
    <row r="20" spans="1:8" x14ac:dyDescent="0.25">
      <c r="A20" s="1">
        <v>11</v>
      </c>
      <c r="B20" s="13" t="s">
        <v>17</v>
      </c>
      <c r="C20" s="14">
        <v>0</v>
      </c>
      <c r="D20" s="1">
        <v>3500</v>
      </c>
      <c r="E20" s="15">
        <v>3500</v>
      </c>
      <c r="F20" s="15"/>
      <c r="G20" s="16">
        <f t="shared" si="0"/>
        <v>0</v>
      </c>
    </row>
    <row r="21" spans="1:8" x14ac:dyDescent="0.25">
      <c r="A21" s="1">
        <v>12</v>
      </c>
      <c r="B21" s="13" t="s">
        <v>18</v>
      </c>
      <c r="C21" s="14">
        <v>0</v>
      </c>
      <c r="D21" s="1">
        <v>2500</v>
      </c>
      <c r="E21" s="15">
        <v>2500</v>
      </c>
      <c r="F21" s="15"/>
      <c r="G21" s="16">
        <f t="shared" si="0"/>
        <v>0</v>
      </c>
    </row>
    <row r="22" spans="1:8" x14ac:dyDescent="0.25">
      <c r="A22" s="1">
        <v>13</v>
      </c>
      <c r="B22" s="13" t="s">
        <v>41</v>
      </c>
      <c r="C22" s="14"/>
      <c r="D22" s="1">
        <v>2500</v>
      </c>
      <c r="E22" s="15">
        <v>0</v>
      </c>
      <c r="F22" s="15"/>
      <c r="G22" s="16">
        <f t="shared" si="0"/>
        <v>2500</v>
      </c>
    </row>
    <row r="23" spans="1:8" x14ac:dyDescent="0.25">
      <c r="A23" s="1"/>
      <c r="B23" s="13"/>
      <c r="C23" s="67">
        <f>SUM(C9:C21)</f>
        <v>0</v>
      </c>
      <c r="D23" s="17">
        <f>SUM(D10:D22)</f>
        <v>38000</v>
      </c>
      <c r="E23" s="68">
        <f>SUM(E10:E22)</f>
        <v>25500</v>
      </c>
      <c r="F23" s="68">
        <f>SUM(F9:F22)</f>
        <v>2500</v>
      </c>
      <c r="G23" s="16">
        <f>SUM(G10:G22)</f>
        <v>9000</v>
      </c>
    </row>
    <row r="24" spans="1:8" x14ac:dyDescent="0.25">
      <c r="A24" s="1"/>
      <c r="B24" s="11"/>
      <c r="C24" s="11"/>
      <c r="D24" s="11"/>
      <c r="E24" s="12"/>
      <c r="F24" s="12"/>
      <c r="G24" s="16"/>
    </row>
    <row r="25" spans="1:8" x14ac:dyDescent="0.25">
      <c r="A25" s="58"/>
      <c r="B25" s="58"/>
      <c r="C25" s="58"/>
      <c r="D25" s="58"/>
      <c r="E25" s="58"/>
      <c r="G25" s="58"/>
      <c r="H25" s="58"/>
    </row>
    <row r="26" spans="1:8" ht="15.75" x14ac:dyDescent="0.25">
      <c r="A26" s="58"/>
      <c r="B26" s="58"/>
      <c r="C26" s="19" t="s">
        <v>24</v>
      </c>
      <c r="D26" s="38"/>
      <c r="E26" s="39"/>
      <c r="F26" s="39"/>
      <c r="G26" s="39"/>
      <c r="H26" s="40"/>
    </row>
    <row r="27" spans="1:8" x14ac:dyDescent="0.25">
      <c r="A27" s="43"/>
      <c r="B27" s="21" t="s">
        <v>25</v>
      </c>
      <c r="C27" s="41"/>
      <c r="D27" s="58"/>
      <c r="E27" s="44">
        <f>E23</f>
        <v>25500</v>
      </c>
      <c r="F27" s="44"/>
      <c r="G27" s="45"/>
      <c r="H27" s="72"/>
    </row>
    <row r="28" spans="1:8" x14ac:dyDescent="0.25">
      <c r="A28" s="43"/>
      <c r="B28" s="21" t="s">
        <v>36</v>
      </c>
      <c r="C28" s="57">
        <v>0.1</v>
      </c>
      <c r="D28" s="58"/>
      <c r="E28" s="44">
        <f>E27*C28</f>
        <v>2550</v>
      </c>
      <c r="F28" s="44"/>
      <c r="G28" s="45"/>
      <c r="H28" s="47"/>
    </row>
    <row r="29" spans="1:8" x14ac:dyDescent="0.25">
      <c r="A29" s="43"/>
      <c r="B29" s="21" t="s">
        <v>27</v>
      </c>
      <c r="C29" s="41"/>
      <c r="D29" s="58"/>
      <c r="E29" s="42"/>
      <c r="F29" s="42"/>
      <c r="G29" s="45"/>
      <c r="H29" s="47"/>
    </row>
    <row r="30" spans="1:8" x14ac:dyDescent="0.25">
      <c r="A30" s="43"/>
      <c r="B30" s="47" t="s">
        <v>28</v>
      </c>
      <c r="C30" s="58"/>
      <c r="D30" s="58"/>
      <c r="E30" s="58">
        <v>2500</v>
      </c>
      <c r="G30" s="58"/>
      <c r="H30" s="47"/>
    </row>
    <row r="31" spans="1:8" x14ac:dyDescent="0.25">
      <c r="A31" s="43"/>
      <c r="E31" s="45">
        <f>E27-E28+E30</f>
        <v>25450</v>
      </c>
      <c r="G31" s="58"/>
      <c r="H31" s="47"/>
    </row>
    <row r="32" spans="1:8" ht="16.5" x14ac:dyDescent="0.35">
      <c r="A32" s="43"/>
      <c r="B32" s="74" t="s">
        <v>56</v>
      </c>
      <c r="F32" s="51"/>
      <c r="G32" s="58"/>
      <c r="H32" s="47"/>
    </row>
    <row r="33" spans="1:8" ht="16.5" x14ac:dyDescent="0.35">
      <c r="A33" s="43"/>
      <c r="B33" s="21" t="s">
        <v>55</v>
      </c>
      <c r="C33" s="41"/>
      <c r="D33" s="58"/>
      <c r="E33" s="51">
        <v>5000</v>
      </c>
      <c r="F33" s="45"/>
      <c r="G33" s="58"/>
      <c r="H33" s="58"/>
    </row>
    <row r="34" spans="1:8" x14ac:dyDescent="0.25">
      <c r="A34" s="43"/>
      <c r="B34" s="21" t="s">
        <v>57</v>
      </c>
      <c r="C34" s="58"/>
      <c r="D34" s="58"/>
      <c r="E34" s="45">
        <f>E31-E33</f>
        <v>20450</v>
      </c>
      <c r="F34" s="45"/>
      <c r="G34" s="58"/>
      <c r="H34" s="36"/>
    </row>
    <row r="35" spans="1:8" x14ac:dyDescent="0.25">
      <c r="A35" s="55" t="s">
        <v>30</v>
      </c>
      <c r="B35" s="21" t="s">
        <v>62</v>
      </c>
      <c r="C35" s="58"/>
      <c r="D35" s="58"/>
      <c r="E35" s="45">
        <v>9000</v>
      </c>
      <c r="F35" s="56"/>
      <c r="G35" s="56"/>
      <c r="H35" s="53"/>
    </row>
    <row r="36" spans="1:8" x14ac:dyDescent="0.25">
      <c r="B36" s="21" t="s">
        <v>63</v>
      </c>
      <c r="E36" s="45">
        <f>SUM(E33:E35)</f>
        <v>34450</v>
      </c>
      <c r="G36" s="58"/>
      <c r="H36" s="58"/>
    </row>
    <row r="37" spans="1:8" x14ac:dyDescent="0.25">
      <c r="F37" s="56"/>
      <c r="G37" s="56"/>
      <c r="H37" s="56"/>
    </row>
    <row r="38" spans="1:8" x14ac:dyDescent="0.25">
      <c r="A38" s="58"/>
      <c r="B38" s="58"/>
      <c r="C38" s="58"/>
      <c r="D38" s="58"/>
      <c r="E38" s="56" t="s">
        <v>31</v>
      </c>
      <c r="F38" s="56"/>
      <c r="G38" s="56"/>
      <c r="H38" s="58"/>
    </row>
    <row r="39" spans="1:8" x14ac:dyDescent="0.25">
      <c r="A39" s="56" t="s">
        <v>46</v>
      </c>
      <c r="B39" s="58"/>
      <c r="C39" s="58"/>
      <c r="D39" s="58"/>
      <c r="E39" s="56" t="s">
        <v>33</v>
      </c>
      <c r="G39" s="58"/>
      <c r="H39" s="56"/>
    </row>
    <row r="40" spans="1:8" x14ac:dyDescent="0.25">
      <c r="A40" s="56" t="s">
        <v>34</v>
      </c>
      <c r="B40" s="58"/>
      <c r="C40" s="58"/>
      <c r="D40" s="58"/>
      <c r="E40" s="56" t="s">
        <v>34</v>
      </c>
    </row>
    <row r="41" spans="1:8" x14ac:dyDescent="0.25">
      <c r="A41" s="58" t="s">
        <v>35</v>
      </c>
      <c r="B41" s="58"/>
      <c r="C41" s="58"/>
      <c r="D41" s="58"/>
      <c r="E41" s="58"/>
    </row>
  </sheetData>
  <pageMargins left="0.7" right="0.7" top="0.75" bottom="0.75" header="0.3" footer="0.3"/>
  <pageSetup orientation="portrait" horizontalDpi="120" verticalDpi="72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selection activeCell="G21" sqref="G21"/>
    </sheetView>
  </sheetViews>
  <sheetFormatPr defaultRowHeight="15" x14ac:dyDescent="0.25"/>
  <cols>
    <col min="1" max="1" width="4" customWidth="1"/>
    <col min="2" max="2" width="20" customWidth="1"/>
    <col min="5" max="5" width="9.5703125" customWidth="1"/>
    <col min="6" max="6" width="11.140625" customWidth="1"/>
  </cols>
  <sheetData>
    <row r="1" spans="1:10" ht="33.75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  <c r="J1" s="58"/>
    </row>
    <row r="2" spans="1:10" ht="18.75" x14ac:dyDescent="0.25">
      <c r="A2" s="33" t="s">
        <v>383</v>
      </c>
      <c r="B2" s="35"/>
      <c r="C2" s="34"/>
      <c r="D2" s="34"/>
      <c r="E2" s="34"/>
      <c r="F2" s="34"/>
      <c r="G2" s="34"/>
      <c r="H2" s="58"/>
      <c r="I2" s="58"/>
      <c r="J2" s="58"/>
    </row>
    <row r="3" spans="1:10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364</v>
      </c>
      <c r="I3" s="58"/>
      <c r="J3" s="58"/>
    </row>
    <row r="4" spans="1:10" x14ac:dyDescent="0.25">
      <c r="A4" s="151">
        <v>1</v>
      </c>
      <c r="B4" s="164" t="s">
        <v>370</v>
      </c>
      <c r="C4" s="165"/>
      <c r="D4" s="151"/>
      <c r="E4" s="151"/>
      <c r="F4" s="166"/>
      <c r="G4" s="180"/>
      <c r="H4" s="166">
        <f t="shared" ref="H4:H9" si="0">F4-G4</f>
        <v>0</v>
      </c>
      <c r="I4" s="58"/>
      <c r="J4" s="58"/>
    </row>
    <row r="5" spans="1:10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3100</v>
      </c>
      <c r="H5" s="166">
        <f t="shared" si="0"/>
        <v>0</v>
      </c>
      <c r="I5" s="58"/>
      <c r="J5" s="58"/>
    </row>
    <row r="6" spans="1:10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>C6+D6+E6</f>
        <v>3100</v>
      </c>
      <c r="G6" s="180">
        <v>3100</v>
      </c>
      <c r="H6" s="166">
        <f t="shared" si="0"/>
        <v>0</v>
      </c>
      <c r="I6" s="58"/>
      <c r="J6" s="58"/>
    </row>
    <row r="7" spans="1:10" x14ac:dyDescent="0.25">
      <c r="A7" s="151">
        <v>4</v>
      </c>
      <c r="B7" s="168" t="s">
        <v>345</v>
      </c>
      <c r="C7" s="165">
        <v>400</v>
      </c>
      <c r="D7" s="151">
        <v>3000</v>
      </c>
      <c r="E7" s="151">
        <v>100</v>
      </c>
      <c r="F7" s="166">
        <f>C7+D7+E7</f>
        <v>3500</v>
      </c>
      <c r="G7" s="180">
        <v>3200</v>
      </c>
      <c r="H7" s="166">
        <f t="shared" si="0"/>
        <v>300</v>
      </c>
      <c r="I7" s="58"/>
      <c r="J7" s="58"/>
    </row>
    <row r="8" spans="1:10" x14ac:dyDescent="0.25">
      <c r="A8" s="151">
        <v>5</v>
      </c>
      <c r="B8" s="151" t="s">
        <v>369</v>
      </c>
      <c r="C8" s="165">
        <v>100</v>
      </c>
      <c r="D8" s="151">
        <v>3000</v>
      </c>
      <c r="E8" s="151">
        <v>100</v>
      </c>
      <c r="F8" s="166">
        <f>C8+D8+E8</f>
        <v>3200</v>
      </c>
      <c r="G8" s="180">
        <v>3100</v>
      </c>
      <c r="H8" s="166">
        <f t="shared" si="0"/>
        <v>100</v>
      </c>
      <c r="I8" s="58"/>
      <c r="J8" s="58"/>
    </row>
    <row r="9" spans="1:10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3100</v>
      </c>
      <c r="H9" s="166">
        <f t="shared" si="0"/>
        <v>0</v>
      </c>
      <c r="I9" s="58"/>
      <c r="J9" s="58"/>
    </row>
    <row r="10" spans="1:10" x14ac:dyDescent="0.25">
      <c r="A10" s="151">
        <v>7</v>
      </c>
      <c r="B10" s="1" t="s">
        <v>370</v>
      </c>
      <c r="C10" s="1"/>
      <c r="D10" s="1"/>
      <c r="E10" s="1"/>
      <c r="F10" s="1"/>
      <c r="G10" s="1"/>
      <c r="H10" s="1"/>
      <c r="I10" s="58"/>
      <c r="J10" s="58"/>
    </row>
    <row r="11" spans="1:10" x14ac:dyDescent="0.25">
      <c r="A11" s="151">
        <v>8</v>
      </c>
      <c r="B11" s="167" t="s">
        <v>333</v>
      </c>
      <c r="C11" s="165">
        <v>800</v>
      </c>
      <c r="D11" s="151"/>
      <c r="E11" s="151"/>
      <c r="F11" s="166">
        <f>C11+D11+E11</f>
        <v>800</v>
      </c>
      <c r="G11" s="180">
        <v>800</v>
      </c>
      <c r="H11" s="166">
        <f>F11-G11</f>
        <v>0</v>
      </c>
      <c r="I11" s="58"/>
      <c r="J11" s="58"/>
    </row>
    <row r="12" spans="1:10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>C12+D12+E12</f>
        <v>3100</v>
      </c>
      <c r="G12" s="180">
        <v>3100</v>
      </c>
      <c r="H12" s="166">
        <f>F12-G12</f>
        <v>0</v>
      </c>
      <c r="I12" s="58"/>
      <c r="J12" s="58"/>
    </row>
    <row r="13" spans="1:10" x14ac:dyDescent="0.25">
      <c r="A13" s="151">
        <v>10</v>
      </c>
      <c r="B13" s="169" t="s">
        <v>370</v>
      </c>
      <c r="C13" s="165"/>
      <c r="D13" s="151"/>
      <c r="E13" s="151"/>
      <c r="F13" s="166"/>
      <c r="G13" s="180"/>
      <c r="H13" s="166">
        <f>F13-G13</f>
        <v>0</v>
      </c>
      <c r="I13" s="58"/>
      <c r="J13" s="58"/>
    </row>
    <row r="14" spans="1:10" x14ac:dyDescent="0.25">
      <c r="A14" s="151">
        <v>11</v>
      </c>
      <c r="B14" s="169" t="s">
        <v>337</v>
      </c>
      <c r="C14" s="165"/>
      <c r="D14" s="151">
        <v>4500</v>
      </c>
      <c r="E14" s="151">
        <v>100</v>
      </c>
      <c r="F14" s="166">
        <f>C14+D14+E14</f>
        <v>4600</v>
      </c>
      <c r="G14" s="180">
        <v>4600</v>
      </c>
      <c r="H14" s="166">
        <f>F14-G14</f>
        <v>0</v>
      </c>
      <c r="I14" s="58"/>
      <c r="J14" s="58"/>
    </row>
    <row r="15" spans="1:10" x14ac:dyDescent="0.25">
      <c r="A15" s="151">
        <v>13</v>
      </c>
      <c r="B15" s="197" t="s">
        <v>245</v>
      </c>
      <c r="C15" s="151"/>
      <c r="D15" s="151">
        <v>7000</v>
      </c>
      <c r="E15" s="151"/>
      <c r="F15" s="151">
        <f>C15+D15+E15</f>
        <v>7000</v>
      </c>
      <c r="G15" s="181">
        <v>7000</v>
      </c>
      <c r="H15" s="151">
        <f>F15-G15</f>
        <v>0</v>
      </c>
      <c r="I15" s="58" t="s">
        <v>80</v>
      </c>
      <c r="J15" s="58"/>
    </row>
    <row r="16" spans="1:10" x14ac:dyDescent="0.25">
      <c r="A16" s="151"/>
      <c r="B16" s="171"/>
      <c r="C16" s="172"/>
      <c r="D16" s="1">
        <f>SUM(D4:D15)</f>
        <v>29500</v>
      </c>
      <c r="E16" s="139">
        <f>SUM(E4:E15)</f>
        <v>700</v>
      </c>
      <c r="F16" s="186">
        <f>SUM(F4:F15)</f>
        <v>31500</v>
      </c>
      <c r="G16" s="195">
        <f>SUM(G4:G15)</f>
        <v>31100</v>
      </c>
      <c r="H16" s="186">
        <f>SUM(H4:H15)</f>
        <v>400</v>
      </c>
      <c r="I16" s="58"/>
      <c r="J16" s="58"/>
    </row>
    <row r="17" spans="1:10" x14ac:dyDescent="0.25">
      <c r="A17" s="101"/>
      <c r="B17" s="58"/>
      <c r="C17" s="58"/>
      <c r="D17" s="58"/>
      <c r="E17" s="58"/>
      <c r="F17" s="58"/>
      <c r="G17" s="58"/>
      <c r="H17" s="58"/>
      <c r="I17" s="58"/>
      <c r="J17" s="58"/>
    </row>
    <row r="18" spans="1:10" x14ac:dyDescent="0.25">
      <c r="A18" s="58"/>
      <c r="B18" s="83" t="s">
        <v>121</v>
      </c>
      <c r="C18" s="144"/>
      <c r="D18" s="145"/>
      <c r="E18" s="146"/>
      <c r="F18" s="147"/>
      <c r="G18" s="148"/>
      <c r="H18" s="147"/>
      <c r="I18" s="58"/>
      <c r="J18" s="58"/>
    </row>
    <row r="19" spans="1:10" x14ac:dyDescent="0.25">
      <c r="A19" s="43"/>
      <c r="B19" s="32" t="s">
        <v>362</v>
      </c>
      <c r="C19" s="32"/>
      <c r="D19" s="32"/>
      <c r="E19" s="198"/>
      <c r="F19" s="32" t="s">
        <v>102</v>
      </c>
      <c r="G19" s="23"/>
      <c r="H19" s="23"/>
      <c r="I19" s="23"/>
      <c r="J19" s="58"/>
    </row>
    <row r="20" spans="1:10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J20" s="58"/>
    </row>
    <row r="21" spans="1:10" x14ac:dyDescent="0.25">
      <c r="A21" s="43"/>
      <c r="B21" s="151" t="s">
        <v>384</v>
      </c>
      <c r="C21" s="166">
        <f>D16</f>
        <v>29500</v>
      </c>
      <c r="D21" s="151"/>
      <c r="E21" s="151"/>
      <c r="F21" s="151" t="s">
        <v>384</v>
      </c>
      <c r="G21" s="166">
        <f>G16</f>
        <v>31100</v>
      </c>
      <c r="H21" s="151"/>
      <c r="I21" s="151"/>
      <c r="J21" s="58"/>
    </row>
    <row r="22" spans="1:10" x14ac:dyDescent="0.25">
      <c r="A22" s="43"/>
      <c r="B22" s="151" t="s">
        <v>1</v>
      </c>
      <c r="C22" s="173">
        <f>JULY!E37</f>
        <v>-9242</v>
      </c>
      <c r="D22" s="151"/>
      <c r="E22" s="151"/>
      <c r="F22" s="151" t="s">
        <v>1</v>
      </c>
      <c r="G22" s="166">
        <f>JULY!I37</f>
        <v>-9242</v>
      </c>
      <c r="H22" s="151"/>
      <c r="I22" s="151"/>
      <c r="J22" s="58"/>
    </row>
    <row r="23" spans="1:10" x14ac:dyDescent="0.25">
      <c r="A23" s="43"/>
      <c r="B23" s="151" t="s">
        <v>325</v>
      </c>
      <c r="C23" s="174">
        <v>0.1</v>
      </c>
      <c r="D23" s="166">
        <f>C21*C23</f>
        <v>2950</v>
      </c>
      <c r="E23" s="151"/>
      <c r="F23" s="151" t="s">
        <v>325</v>
      </c>
      <c r="G23" s="174">
        <v>0.1</v>
      </c>
      <c r="H23" s="166">
        <f>D23</f>
        <v>2950</v>
      </c>
      <c r="I23" s="151"/>
      <c r="J23" s="58"/>
    </row>
    <row r="24" spans="1:10" x14ac:dyDescent="0.25">
      <c r="A24" s="118"/>
      <c r="B24" s="175" t="s">
        <v>188</v>
      </c>
      <c r="C24" s="166">
        <f>C21+C22</f>
        <v>20258</v>
      </c>
      <c r="D24" s="151"/>
      <c r="E24" s="151"/>
      <c r="F24" s="175" t="s">
        <v>188</v>
      </c>
      <c r="G24" s="166">
        <f>G21+G22</f>
        <v>21858</v>
      </c>
      <c r="H24" s="151"/>
      <c r="I24" s="151"/>
      <c r="J24" s="58"/>
    </row>
    <row r="25" spans="1:10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51"/>
      <c r="I25" s="151"/>
      <c r="J25" s="58"/>
    </row>
    <row r="26" spans="1:10" x14ac:dyDescent="0.25">
      <c r="A26" s="118"/>
      <c r="B26" s="1" t="s">
        <v>120</v>
      </c>
      <c r="C26" s="1"/>
      <c r="D26" s="1">
        <v>7000</v>
      </c>
      <c r="E26" s="1"/>
      <c r="F26" s="1" t="s">
        <v>120</v>
      </c>
      <c r="G26" s="1"/>
      <c r="H26" s="1">
        <v>7000</v>
      </c>
      <c r="I26" s="151"/>
      <c r="J26" s="58"/>
    </row>
    <row r="27" spans="1:10" x14ac:dyDescent="0.25">
      <c r="A27" s="43"/>
      <c r="B27" s="177" t="s">
        <v>329</v>
      </c>
      <c r="C27" s="175"/>
      <c r="D27" s="151">
        <v>3500</v>
      </c>
      <c r="E27" s="151"/>
      <c r="F27" s="177" t="s">
        <v>329</v>
      </c>
      <c r="G27" s="175"/>
      <c r="H27" s="151">
        <v>3500</v>
      </c>
      <c r="I27" s="151"/>
      <c r="J27" s="58"/>
    </row>
    <row r="28" spans="1:10" x14ac:dyDescent="0.25">
      <c r="A28" s="43"/>
      <c r="B28" s="177" t="s">
        <v>350</v>
      </c>
      <c r="C28" s="175"/>
      <c r="D28" s="175">
        <v>2000</v>
      </c>
      <c r="E28" s="151"/>
      <c r="F28" s="177" t="s">
        <v>350</v>
      </c>
      <c r="G28" s="175"/>
      <c r="H28" s="175">
        <v>2000</v>
      </c>
      <c r="I28" s="151"/>
      <c r="J28" s="58"/>
    </row>
    <row r="29" spans="1:10" x14ac:dyDescent="0.25">
      <c r="A29" s="43"/>
      <c r="B29" s="178" t="s">
        <v>328</v>
      </c>
      <c r="C29" s="151"/>
      <c r="D29" s="151">
        <v>4000</v>
      </c>
      <c r="E29" s="151"/>
      <c r="F29" s="177" t="s">
        <v>377</v>
      </c>
      <c r="G29" s="151"/>
      <c r="H29" s="151">
        <f>E16</f>
        <v>700</v>
      </c>
      <c r="I29" s="1"/>
      <c r="J29" s="58"/>
    </row>
    <row r="30" spans="1:10" x14ac:dyDescent="0.25">
      <c r="A30" s="43"/>
      <c r="B30" s="109">
        <v>43320</v>
      </c>
      <c r="C30" s="1"/>
      <c r="D30" s="175">
        <v>3500</v>
      </c>
      <c r="E30" s="151"/>
      <c r="F30" s="178" t="s">
        <v>328</v>
      </c>
      <c r="G30" s="151"/>
      <c r="H30" s="151">
        <v>4000</v>
      </c>
      <c r="I30" s="151"/>
      <c r="J30" s="58"/>
    </row>
    <row r="31" spans="1:10" x14ac:dyDescent="0.25">
      <c r="A31" s="43"/>
      <c r="B31" s="177" t="s">
        <v>380</v>
      </c>
      <c r="C31" s="175"/>
      <c r="D31" s="175">
        <v>200</v>
      </c>
      <c r="E31" s="151"/>
      <c r="F31" s="109">
        <v>43320</v>
      </c>
      <c r="G31" s="1"/>
      <c r="H31" s="175">
        <v>3500</v>
      </c>
      <c r="I31" s="151"/>
      <c r="J31" s="58"/>
    </row>
    <row r="32" spans="1:10" x14ac:dyDescent="0.25">
      <c r="A32" s="43"/>
      <c r="B32" s="109"/>
      <c r="C32" s="1"/>
      <c r="D32" s="1"/>
      <c r="E32" s="1"/>
      <c r="F32" s="177" t="s">
        <v>380</v>
      </c>
      <c r="G32" s="175"/>
      <c r="H32" s="175">
        <v>200</v>
      </c>
      <c r="I32" s="151"/>
      <c r="J32" s="58"/>
    </row>
    <row r="33" spans="1:10" x14ac:dyDescent="0.25">
      <c r="A33" s="43"/>
      <c r="B33" s="178"/>
      <c r="C33" s="175"/>
      <c r="D33" s="175"/>
      <c r="E33" s="151"/>
      <c r="F33" s="109"/>
      <c r="G33" s="1"/>
      <c r="H33" s="1"/>
      <c r="I33" s="151"/>
      <c r="J33" s="58"/>
    </row>
    <row r="34" spans="1:10" x14ac:dyDescent="0.25">
      <c r="A34" s="43"/>
      <c r="B34" s="177"/>
      <c r="C34" s="151"/>
      <c r="D34" s="151"/>
      <c r="E34" s="151"/>
      <c r="F34" s="177"/>
      <c r="G34" s="151"/>
      <c r="H34" s="151"/>
      <c r="I34" s="151"/>
      <c r="J34" s="58"/>
    </row>
    <row r="35" spans="1:10" x14ac:dyDescent="0.25">
      <c r="A35" s="43"/>
      <c r="B35" s="175"/>
      <c r="C35" s="151"/>
      <c r="D35" s="151"/>
      <c r="E35" s="151"/>
      <c r="F35" s="1"/>
      <c r="G35" s="1"/>
      <c r="H35" s="1"/>
      <c r="I35" s="151"/>
      <c r="J35" s="58"/>
    </row>
    <row r="36" spans="1:10" x14ac:dyDescent="0.25">
      <c r="A36" s="118"/>
      <c r="B36" s="1"/>
      <c r="C36" s="1"/>
      <c r="D36" s="1"/>
      <c r="E36" s="151"/>
      <c r="F36" s="175"/>
      <c r="G36" s="151"/>
      <c r="H36" s="151"/>
      <c r="I36" s="151"/>
      <c r="J36" s="58"/>
    </row>
    <row r="37" spans="1:10" x14ac:dyDescent="0.25">
      <c r="A37" s="58"/>
      <c r="B37" s="69" t="s">
        <v>129</v>
      </c>
      <c r="C37" s="160">
        <f>C21+C22</f>
        <v>20258</v>
      </c>
      <c r="D37" s="160">
        <f>SUM(D23:D36)</f>
        <v>23150</v>
      </c>
      <c r="E37" s="160">
        <f>C37-D37</f>
        <v>-2892</v>
      </c>
      <c r="F37" s="69" t="s">
        <v>129</v>
      </c>
      <c r="G37" s="160">
        <f>G24</f>
        <v>21858</v>
      </c>
      <c r="H37" s="160">
        <f>SUM(H23:H36)</f>
        <v>23850</v>
      </c>
      <c r="I37" s="166">
        <f>G37-H37</f>
        <v>-1992</v>
      </c>
      <c r="J37" s="58"/>
    </row>
    <row r="38" spans="1:10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  <row r="39" spans="1:10" x14ac:dyDescent="0.25">
      <c r="A39" s="58"/>
      <c r="B39" s="58" t="s">
        <v>357</v>
      </c>
      <c r="C39" s="58"/>
      <c r="D39" s="58" t="s">
        <v>359</v>
      </c>
      <c r="E39" s="58"/>
      <c r="F39" s="58"/>
      <c r="G39" s="58" t="s">
        <v>361</v>
      </c>
      <c r="H39" s="58"/>
      <c r="I39" s="58"/>
      <c r="J39" s="58"/>
    </row>
    <row r="40" spans="1:10" x14ac:dyDescent="0.25">
      <c r="A40" s="58"/>
      <c r="B40" s="58"/>
      <c r="C40" s="58"/>
      <c r="D40" s="58"/>
      <c r="E40" s="58"/>
      <c r="F40" s="58"/>
      <c r="G40" s="58"/>
      <c r="H40" s="58"/>
      <c r="I40" s="73"/>
      <c r="J40" s="58"/>
    </row>
    <row r="41" spans="1:10" x14ac:dyDescent="0.25">
      <c r="A41" s="58"/>
      <c r="B41" s="58" t="s">
        <v>358</v>
      </c>
      <c r="C41" s="58"/>
      <c r="D41" s="58" t="s">
        <v>360</v>
      </c>
      <c r="E41" s="58"/>
      <c r="F41" s="58"/>
      <c r="G41" s="58" t="s">
        <v>158</v>
      </c>
      <c r="H41" s="58"/>
      <c r="I41" s="58"/>
      <c r="J41" s="58"/>
    </row>
    <row r="42" spans="1:10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C22" sqref="C22"/>
    </sheetView>
  </sheetViews>
  <sheetFormatPr defaultRowHeight="15" x14ac:dyDescent="0.25"/>
  <cols>
    <col min="1" max="1" width="4" style="58" customWidth="1"/>
    <col min="2" max="2" width="20.140625" style="58" customWidth="1"/>
    <col min="3" max="3" width="9.140625" style="58"/>
    <col min="4" max="4" width="8.28515625" style="58" customWidth="1"/>
    <col min="5" max="5" width="9.5703125" style="58" customWidth="1"/>
    <col min="6" max="6" width="20.7109375" style="58" customWidth="1"/>
    <col min="7" max="8" width="9.140625" style="58"/>
    <col min="9" max="9" width="9.85546875" style="58" customWidth="1"/>
    <col min="10" max="16384" width="9.140625" style="58"/>
  </cols>
  <sheetData>
    <row r="1" spans="1:9" ht="18.75" x14ac:dyDescent="0.3">
      <c r="C1" s="199" t="s">
        <v>222</v>
      </c>
      <c r="D1" s="199"/>
      <c r="E1" s="199"/>
      <c r="F1" s="199"/>
    </row>
    <row r="2" spans="1:9" ht="18.75" x14ac:dyDescent="0.3">
      <c r="C2" s="199" t="s">
        <v>388</v>
      </c>
      <c r="D2" s="199"/>
      <c r="E2" s="199"/>
      <c r="F2" s="199"/>
    </row>
    <row r="3" spans="1:9" ht="18.75" x14ac:dyDescent="0.3">
      <c r="C3" s="199" t="s">
        <v>389</v>
      </c>
      <c r="D3" s="199"/>
      <c r="E3" s="199"/>
      <c r="F3" s="199"/>
    </row>
    <row r="4" spans="1:9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2" t="s">
        <v>3</v>
      </c>
      <c r="H4" s="203" t="s">
        <v>364</v>
      </c>
    </row>
    <row r="5" spans="1:9" x14ac:dyDescent="0.25">
      <c r="A5" s="151">
        <v>1</v>
      </c>
      <c r="B5" s="164" t="s">
        <v>370</v>
      </c>
      <c r="C5" s="165"/>
      <c r="D5" s="151"/>
      <c r="E5" s="151"/>
      <c r="F5" s="166"/>
      <c r="G5" s="180"/>
      <c r="H5" s="166"/>
    </row>
    <row r="6" spans="1:9" x14ac:dyDescent="0.25">
      <c r="A6" s="151">
        <v>2</v>
      </c>
      <c r="B6" s="164" t="s">
        <v>205</v>
      </c>
      <c r="C6" s="165"/>
      <c r="D6" s="151">
        <v>3000</v>
      </c>
      <c r="E6" s="151">
        <v>100</v>
      </c>
      <c r="F6" s="166">
        <f t="shared" ref="F6:F16" si="0">C6+D6+E6</f>
        <v>3100</v>
      </c>
      <c r="G6" s="180">
        <v>3100</v>
      </c>
      <c r="H6" s="166">
        <f>F6-G6</f>
        <v>0</v>
      </c>
    </row>
    <row r="7" spans="1:9" x14ac:dyDescent="0.25">
      <c r="A7" s="151">
        <v>3</v>
      </c>
      <c r="B7" s="1" t="s">
        <v>390</v>
      </c>
      <c r="C7" s="1"/>
      <c r="D7" s="1">
        <v>4500</v>
      </c>
      <c r="E7" s="1"/>
      <c r="F7" s="166">
        <f t="shared" si="0"/>
        <v>4500</v>
      </c>
      <c r="G7" s="1">
        <v>4500</v>
      </c>
      <c r="H7" s="166">
        <f>F7-G7</f>
        <v>0</v>
      </c>
    </row>
    <row r="8" spans="1:9" x14ac:dyDescent="0.25">
      <c r="A8" s="151">
        <v>4</v>
      </c>
      <c r="B8" s="167" t="s">
        <v>385</v>
      </c>
      <c r="C8" s="1"/>
      <c r="D8" s="1">
        <v>6000</v>
      </c>
      <c r="E8" s="1">
        <v>100</v>
      </c>
      <c r="F8" s="166">
        <f t="shared" si="0"/>
        <v>6100</v>
      </c>
      <c r="G8" s="180">
        <v>6000</v>
      </c>
      <c r="H8" s="166">
        <f t="shared" ref="H8:H16" si="1">F8-G8</f>
        <v>100</v>
      </c>
    </row>
    <row r="9" spans="1:9" x14ac:dyDescent="0.25">
      <c r="A9" s="151">
        <v>5</v>
      </c>
      <c r="B9" s="151" t="s">
        <v>369</v>
      </c>
      <c r="C9" s="165">
        <v>100</v>
      </c>
      <c r="D9" s="151">
        <v>3000</v>
      </c>
      <c r="E9" s="151">
        <v>100</v>
      </c>
      <c r="F9" s="166">
        <f t="shared" si="0"/>
        <v>3200</v>
      </c>
      <c r="G9" s="180">
        <v>3200</v>
      </c>
      <c r="H9" s="166">
        <f t="shared" si="1"/>
        <v>0</v>
      </c>
    </row>
    <row r="10" spans="1:9" x14ac:dyDescent="0.25">
      <c r="A10" s="151">
        <v>6</v>
      </c>
      <c r="B10" s="151" t="s">
        <v>347</v>
      </c>
      <c r="C10" s="151"/>
      <c r="D10" s="151">
        <v>3000</v>
      </c>
      <c r="E10" s="151">
        <v>100</v>
      </c>
      <c r="F10" s="166">
        <f t="shared" si="0"/>
        <v>3100</v>
      </c>
      <c r="G10" s="180">
        <v>3000</v>
      </c>
      <c r="H10" s="166">
        <f t="shared" si="1"/>
        <v>100</v>
      </c>
      <c r="I10" s="58" t="s">
        <v>366</v>
      </c>
    </row>
    <row r="11" spans="1:9" x14ac:dyDescent="0.25">
      <c r="A11" s="151">
        <v>7</v>
      </c>
      <c r="B11" s="1" t="s">
        <v>370</v>
      </c>
      <c r="C11" s="1"/>
      <c r="D11" s="1"/>
      <c r="E11" s="1"/>
      <c r="F11" s="166">
        <f t="shared" si="0"/>
        <v>0</v>
      </c>
      <c r="G11" s="1"/>
      <c r="H11" s="166">
        <f t="shared" si="1"/>
        <v>0</v>
      </c>
    </row>
    <row r="12" spans="1:9" x14ac:dyDescent="0.25">
      <c r="A12" s="151">
        <v>8</v>
      </c>
      <c r="B12" s="167" t="s">
        <v>344</v>
      </c>
      <c r="C12" s="165"/>
      <c r="D12" s="151">
        <v>3000</v>
      </c>
      <c r="E12" s="151">
        <v>100</v>
      </c>
      <c r="F12" s="166">
        <f t="shared" si="0"/>
        <v>3100</v>
      </c>
      <c r="G12" s="180">
        <v>3100</v>
      </c>
      <c r="H12" s="166">
        <f t="shared" si="1"/>
        <v>0</v>
      </c>
    </row>
    <row r="13" spans="1:9" x14ac:dyDescent="0.25">
      <c r="A13" s="151">
        <v>9</v>
      </c>
      <c r="B13" s="164" t="s">
        <v>239</v>
      </c>
      <c r="C13" s="165"/>
      <c r="D13" s="151">
        <v>3000</v>
      </c>
      <c r="E13" s="151">
        <v>100</v>
      </c>
      <c r="F13" s="166">
        <f t="shared" si="0"/>
        <v>3100</v>
      </c>
      <c r="G13" s="180">
        <v>3100</v>
      </c>
      <c r="H13" s="166">
        <f t="shared" si="1"/>
        <v>0</v>
      </c>
    </row>
    <row r="14" spans="1:9" x14ac:dyDescent="0.25">
      <c r="A14" s="151">
        <v>10</v>
      </c>
      <c r="B14" s="169" t="s">
        <v>370</v>
      </c>
      <c r="C14" s="165"/>
      <c r="D14" s="151"/>
      <c r="E14" s="151"/>
      <c r="F14" s="166">
        <f t="shared" si="0"/>
        <v>0</v>
      </c>
      <c r="G14" s="180"/>
      <c r="H14" s="166">
        <f t="shared" si="1"/>
        <v>0</v>
      </c>
    </row>
    <row r="15" spans="1:9" x14ac:dyDescent="0.25">
      <c r="A15" s="151">
        <v>11</v>
      </c>
      <c r="B15" s="168" t="s">
        <v>345</v>
      </c>
      <c r="C15" s="165">
        <v>300</v>
      </c>
      <c r="D15" s="151">
        <v>6000</v>
      </c>
      <c r="E15" s="151">
        <v>100</v>
      </c>
      <c r="F15" s="166">
        <f t="shared" si="0"/>
        <v>6400</v>
      </c>
      <c r="G15" s="180">
        <v>4700</v>
      </c>
      <c r="H15" s="166">
        <f t="shared" si="1"/>
        <v>1700</v>
      </c>
    </row>
    <row r="16" spans="1:9" x14ac:dyDescent="0.25">
      <c r="A16" s="151">
        <v>13</v>
      </c>
      <c r="B16" s="197" t="s">
        <v>370</v>
      </c>
      <c r="C16" s="151"/>
      <c r="D16" s="151"/>
      <c r="E16" s="151"/>
      <c r="F16" s="166">
        <f t="shared" si="0"/>
        <v>0</v>
      </c>
      <c r="G16" s="181"/>
      <c r="H16" s="166">
        <f t="shared" si="1"/>
        <v>0</v>
      </c>
    </row>
    <row r="17" spans="1:9" x14ac:dyDescent="0.25">
      <c r="A17" s="151"/>
      <c r="B17" s="171"/>
      <c r="C17" s="172"/>
      <c r="D17" s="1">
        <f>SUM(D5:D16)</f>
        <v>31500</v>
      </c>
      <c r="E17" s="139">
        <f>SUM(E5:E16)</f>
        <v>700</v>
      </c>
      <c r="F17" s="186">
        <f>SUM(F5:F16)</f>
        <v>32600</v>
      </c>
      <c r="G17" s="195">
        <f>SUM(G5:G16)</f>
        <v>30700</v>
      </c>
      <c r="H17" s="186">
        <f>SUM(H5:H16)</f>
        <v>1900</v>
      </c>
    </row>
    <row r="18" spans="1:9" x14ac:dyDescent="0.25">
      <c r="A18" s="101"/>
    </row>
    <row r="19" spans="1:9" x14ac:dyDescent="0.25">
      <c r="B19" s="83" t="s">
        <v>121</v>
      </c>
      <c r="C19" s="144"/>
      <c r="D19" s="145"/>
      <c r="E19" s="146"/>
      <c r="F19" s="147"/>
      <c r="G19" s="148"/>
      <c r="H19" s="147"/>
    </row>
    <row r="20" spans="1:9" x14ac:dyDescent="0.25">
      <c r="A20" s="43"/>
      <c r="B20" s="32" t="s">
        <v>362</v>
      </c>
      <c r="C20" s="32"/>
      <c r="D20" s="32"/>
      <c r="E20" s="198"/>
      <c r="F20" s="32" t="s">
        <v>102</v>
      </c>
      <c r="G20" s="23"/>
      <c r="H20" s="23"/>
      <c r="I20" s="23"/>
    </row>
    <row r="21" spans="1:9" x14ac:dyDescent="0.25">
      <c r="A21" s="43"/>
      <c r="B21" s="139" t="s">
        <v>122</v>
      </c>
      <c r="C21" s="139" t="s">
        <v>123</v>
      </c>
      <c r="D21" s="139" t="s">
        <v>124</v>
      </c>
      <c r="E21" s="139" t="s">
        <v>125</v>
      </c>
      <c r="F21" s="139" t="s">
        <v>122</v>
      </c>
      <c r="G21" s="139" t="s">
        <v>123</v>
      </c>
      <c r="H21" s="139" t="s">
        <v>124</v>
      </c>
      <c r="I21" s="139" t="s">
        <v>125</v>
      </c>
    </row>
    <row r="22" spans="1:9" x14ac:dyDescent="0.25">
      <c r="A22" s="43"/>
      <c r="B22" s="151" t="s">
        <v>386</v>
      </c>
      <c r="C22" s="166">
        <f>D17</f>
        <v>31500</v>
      </c>
      <c r="D22" s="151"/>
      <c r="E22" s="151"/>
      <c r="F22" s="151" t="s">
        <v>387</v>
      </c>
      <c r="G22" s="166">
        <f>G17</f>
        <v>30700</v>
      </c>
      <c r="H22" s="151"/>
      <c r="I22" s="151"/>
    </row>
    <row r="23" spans="1:9" x14ac:dyDescent="0.25">
      <c r="A23" s="43"/>
      <c r="B23" s="151" t="s">
        <v>1</v>
      </c>
      <c r="C23" s="173">
        <f>AUG!E37</f>
        <v>-2892</v>
      </c>
      <c r="D23" s="151"/>
      <c r="E23" s="151"/>
      <c r="F23" s="151" t="s">
        <v>1</v>
      </c>
      <c r="G23" s="166">
        <f>AUG!I37</f>
        <v>-1992</v>
      </c>
      <c r="H23" s="151"/>
      <c r="I23" s="151"/>
    </row>
    <row r="24" spans="1:9" x14ac:dyDescent="0.25">
      <c r="A24" s="43"/>
      <c r="B24" s="151" t="s">
        <v>325</v>
      </c>
      <c r="C24" s="174">
        <v>0.1</v>
      </c>
      <c r="D24" s="166">
        <f>C22*C24</f>
        <v>3150</v>
      </c>
      <c r="E24" s="151"/>
      <c r="F24" s="151" t="s">
        <v>325</v>
      </c>
      <c r="G24" s="174">
        <v>0.1</v>
      </c>
      <c r="H24" s="166">
        <f>D24</f>
        <v>3150</v>
      </c>
      <c r="I24" s="151"/>
    </row>
    <row r="25" spans="1:9" x14ac:dyDescent="0.25">
      <c r="A25" s="118"/>
      <c r="B25" s="175" t="s">
        <v>188</v>
      </c>
      <c r="C25" s="166">
        <f>C22+C23</f>
        <v>28608</v>
      </c>
      <c r="D25" s="151"/>
      <c r="E25" s="151"/>
      <c r="F25" s="175" t="s">
        <v>188</v>
      </c>
      <c r="G25" s="166">
        <f>G22+G23</f>
        <v>28708</v>
      </c>
      <c r="H25" s="151"/>
      <c r="I25" s="151"/>
    </row>
    <row r="26" spans="1:9" x14ac:dyDescent="0.25">
      <c r="A26" s="118"/>
      <c r="B26" s="69" t="s">
        <v>128</v>
      </c>
      <c r="C26" s="151" t="s">
        <v>206</v>
      </c>
      <c r="D26" s="151"/>
      <c r="E26" s="151"/>
      <c r="F26" s="69" t="s">
        <v>128</v>
      </c>
      <c r="G26" s="151" t="s">
        <v>206</v>
      </c>
      <c r="H26" s="151"/>
      <c r="I26" s="151"/>
    </row>
    <row r="27" spans="1:9" x14ac:dyDescent="0.25">
      <c r="A27" s="118"/>
      <c r="B27" s="177" t="s">
        <v>350</v>
      </c>
      <c r="C27" s="175"/>
      <c r="D27" s="175">
        <v>2000</v>
      </c>
      <c r="E27" s="151"/>
      <c r="F27" s="177" t="s">
        <v>350</v>
      </c>
      <c r="G27" s="175"/>
      <c r="H27" s="175">
        <v>2000</v>
      </c>
      <c r="I27" s="151"/>
    </row>
    <row r="28" spans="1:9" x14ac:dyDescent="0.25">
      <c r="A28" s="43"/>
      <c r="B28" s="178">
        <v>43339</v>
      </c>
      <c r="C28" s="151"/>
      <c r="D28" s="151">
        <v>5400</v>
      </c>
      <c r="E28" s="151"/>
      <c r="F28" s="177" t="s">
        <v>377</v>
      </c>
      <c r="G28" s="151"/>
      <c r="H28" s="151">
        <v>700</v>
      </c>
      <c r="I28" s="151"/>
    </row>
    <row r="29" spans="1:9" x14ac:dyDescent="0.25">
      <c r="A29" s="43"/>
      <c r="B29" s="109">
        <v>43348</v>
      </c>
      <c r="C29" s="1"/>
      <c r="D29" s="1">
        <v>10597</v>
      </c>
      <c r="E29" s="1"/>
      <c r="F29" s="178">
        <v>43339</v>
      </c>
      <c r="G29" s="151"/>
      <c r="H29" s="151">
        <v>5400</v>
      </c>
      <c r="I29" s="151"/>
    </row>
    <row r="30" spans="1:9" x14ac:dyDescent="0.25">
      <c r="A30" s="43"/>
      <c r="B30" s="109">
        <v>43357</v>
      </c>
      <c r="C30" s="1"/>
      <c r="D30" s="1">
        <v>3000</v>
      </c>
      <c r="E30" s="1"/>
      <c r="F30" s="109">
        <v>43348</v>
      </c>
      <c r="G30" s="1"/>
      <c r="H30" s="1">
        <v>10597</v>
      </c>
      <c r="I30" s="1"/>
    </row>
    <row r="31" spans="1:9" x14ac:dyDescent="0.25">
      <c r="A31" s="43"/>
      <c r="B31" s="1" t="s">
        <v>391</v>
      </c>
      <c r="C31" s="1"/>
      <c r="D31" s="1">
        <v>400</v>
      </c>
      <c r="E31" s="151"/>
      <c r="F31" s="109">
        <v>43357</v>
      </c>
      <c r="G31" s="1"/>
      <c r="H31" s="1">
        <v>3000</v>
      </c>
      <c r="I31" s="1"/>
    </row>
    <row r="32" spans="1:9" x14ac:dyDescent="0.25">
      <c r="A32" s="43"/>
      <c r="B32" s="1" t="s">
        <v>104</v>
      </c>
      <c r="C32" s="1"/>
      <c r="D32" s="1">
        <v>300</v>
      </c>
      <c r="E32" s="151"/>
      <c r="F32" s="1" t="s">
        <v>391</v>
      </c>
      <c r="G32" s="1"/>
      <c r="H32" s="1">
        <v>400</v>
      </c>
      <c r="I32" s="1"/>
    </row>
    <row r="33" spans="1:13" x14ac:dyDescent="0.25">
      <c r="A33" s="43"/>
      <c r="B33" s="1" t="s">
        <v>392</v>
      </c>
      <c r="C33" s="1"/>
      <c r="D33" s="1">
        <v>3000</v>
      </c>
      <c r="E33" s="1"/>
      <c r="F33" s="1" t="s">
        <v>380</v>
      </c>
      <c r="G33" s="1"/>
      <c r="H33" s="1">
        <v>300</v>
      </c>
      <c r="I33" s="1"/>
    </row>
    <row r="34" spans="1:13" x14ac:dyDescent="0.25">
      <c r="A34" s="43"/>
      <c r="B34" s="1" t="s">
        <v>393</v>
      </c>
      <c r="C34" s="1"/>
      <c r="D34" s="1">
        <v>2250</v>
      </c>
      <c r="E34" s="1"/>
      <c r="F34" s="1" t="s">
        <v>392</v>
      </c>
      <c r="G34" s="1"/>
      <c r="H34" s="1">
        <v>3000</v>
      </c>
      <c r="I34" s="1"/>
    </row>
    <row r="35" spans="1:13" x14ac:dyDescent="0.25">
      <c r="A35" s="118"/>
      <c r="B35" s="109">
        <v>43368</v>
      </c>
      <c r="C35" s="1"/>
      <c r="D35" s="1">
        <v>2400</v>
      </c>
      <c r="E35" s="1"/>
      <c r="F35" s="1" t="s">
        <v>393</v>
      </c>
      <c r="G35" s="1"/>
      <c r="H35" s="1">
        <v>2250</v>
      </c>
      <c r="I35" s="151"/>
    </row>
    <row r="36" spans="1:13" x14ac:dyDescent="0.25">
      <c r="A36" s="118"/>
      <c r="B36" s="109" t="s">
        <v>396</v>
      </c>
      <c r="C36" s="1"/>
      <c r="D36" s="1">
        <v>2300</v>
      </c>
      <c r="E36" s="1"/>
      <c r="F36" s="109">
        <v>43368</v>
      </c>
      <c r="G36" s="1"/>
      <c r="H36" s="1">
        <v>2400</v>
      </c>
      <c r="I36" s="151"/>
      <c r="M36" s="58">
        <v>6289</v>
      </c>
    </row>
    <row r="37" spans="1:13" x14ac:dyDescent="0.25">
      <c r="A37" s="118"/>
      <c r="B37" s="1" t="s">
        <v>399</v>
      </c>
      <c r="C37" s="1"/>
      <c r="D37" s="1">
        <v>3000</v>
      </c>
      <c r="E37" s="1"/>
      <c r="F37" s="109" t="s">
        <v>396</v>
      </c>
      <c r="G37" s="1"/>
      <c r="H37" s="1">
        <v>2300</v>
      </c>
      <c r="I37" s="151"/>
      <c r="M37" s="58">
        <v>3689</v>
      </c>
    </row>
    <row r="38" spans="1:13" x14ac:dyDescent="0.25">
      <c r="A38" s="118"/>
      <c r="B38" s="1"/>
      <c r="C38" s="1"/>
      <c r="D38" s="1"/>
      <c r="E38" s="1"/>
      <c r="F38" s="1" t="s">
        <v>399</v>
      </c>
      <c r="G38" s="1"/>
      <c r="H38" s="1">
        <v>3000</v>
      </c>
      <c r="I38" s="151"/>
      <c r="M38" s="58">
        <f>M36-M37</f>
        <v>2600</v>
      </c>
    </row>
    <row r="39" spans="1:13" x14ac:dyDescent="0.25">
      <c r="A39" s="118"/>
      <c r="B39" s="1"/>
      <c r="C39" s="1"/>
      <c r="D39" s="1"/>
      <c r="E39" s="1"/>
      <c r="F39" s="1"/>
      <c r="G39" s="1"/>
      <c r="H39" s="1"/>
      <c r="I39" s="151"/>
    </row>
    <row r="40" spans="1:13" x14ac:dyDescent="0.25">
      <c r="B40" s="69" t="s">
        <v>129</v>
      </c>
      <c r="C40" s="160">
        <f>C22+C23</f>
        <v>28608</v>
      </c>
      <c r="D40" s="160">
        <f>SUM(D24:D39)</f>
        <v>37797</v>
      </c>
      <c r="E40" s="160">
        <f>C40-D40</f>
        <v>-9189</v>
      </c>
      <c r="F40" s="69" t="s">
        <v>129</v>
      </c>
      <c r="G40" s="160">
        <f>G25</f>
        <v>28708</v>
      </c>
      <c r="H40" s="160">
        <f>SUM(H24:H39)</f>
        <v>38497</v>
      </c>
      <c r="I40" s="166">
        <f>G40-H40</f>
        <v>-9789</v>
      </c>
    </row>
    <row r="42" spans="1:13" x14ac:dyDescent="0.25">
      <c r="B42" s="58" t="s">
        <v>357</v>
      </c>
      <c r="D42" s="58" t="s">
        <v>359</v>
      </c>
      <c r="G42" s="58" t="s">
        <v>361</v>
      </c>
    </row>
    <row r="44" spans="1:13" x14ac:dyDescent="0.25">
      <c r="B44" s="58" t="s">
        <v>358</v>
      </c>
      <c r="D44" s="58" t="s">
        <v>360</v>
      </c>
      <c r="G44" s="58" t="s">
        <v>158</v>
      </c>
    </row>
  </sheetData>
  <pageMargins left="0" right="0" top="0" bottom="0" header="0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7" zoomScale="110" zoomScaleNormal="110" workbookViewId="0">
      <selection activeCell="I35" sqref="I35"/>
    </sheetView>
  </sheetViews>
  <sheetFormatPr defaultRowHeight="15" x14ac:dyDescent="0.25"/>
  <cols>
    <col min="1" max="1" width="4" style="23" customWidth="1"/>
    <col min="2" max="2" width="19.7109375" style="23" customWidth="1"/>
    <col min="3" max="4" width="9.140625" style="23"/>
    <col min="5" max="5" width="9.5703125" style="23" customWidth="1"/>
    <col min="6" max="6" width="11.85546875" style="23" customWidth="1"/>
    <col min="7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395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51">
        <v>6000</v>
      </c>
      <c r="E5" s="151">
        <v>100</v>
      </c>
      <c r="F5" s="166">
        <f>C5+D5+E5</f>
        <v>6100</v>
      </c>
      <c r="G5" s="206">
        <v>6100</v>
      </c>
      <c r="H5" s="166">
        <f>F5-G5</f>
        <v>0</v>
      </c>
    </row>
    <row r="6" spans="1:8" x14ac:dyDescent="0.25">
      <c r="A6" s="151">
        <v>2</v>
      </c>
      <c r="B6" s="164" t="s">
        <v>205</v>
      </c>
      <c r="C6" s="165"/>
      <c r="D6" s="151">
        <v>3000</v>
      </c>
      <c r="E6" s="151">
        <v>100</v>
      </c>
      <c r="F6" s="166">
        <f t="shared" ref="F6:F16" si="0">C6+D6+E6</f>
        <v>3100</v>
      </c>
      <c r="G6" s="206">
        <v>3100</v>
      </c>
      <c r="H6" s="166">
        <f>F6-G6</f>
        <v>0</v>
      </c>
    </row>
    <row r="7" spans="1:8" x14ac:dyDescent="0.25">
      <c r="A7" s="151">
        <v>3</v>
      </c>
      <c r="B7" s="151" t="s">
        <v>390</v>
      </c>
      <c r="C7" s="151"/>
      <c r="D7" s="151">
        <v>3000</v>
      </c>
      <c r="E7" s="151">
        <v>100</v>
      </c>
      <c r="F7" s="166">
        <f t="shared" si="0"/>
        <v>3100</v>
      </c>
      <c r="G7" s="151">
        <v>3100</v>
      </c>
      <c r="H7" s="166">
        <f>F7-G7</f>
        <v>0</v>
      </c>
    </row>
    <row r="8" spans="1:8" x14ac:dyDescent="0.25">
      <c r="A8" s="151">
        <v>4</v>
      </c>
      <c r="B8" s="167" t="s">
        <v>385</v>
      </c>
      <c r="C8" s="151">
        <v>100</v>
      </c>
      <c r="D8" s="151">
        <v>3000</v>
      </c>
      <c r="E8" s="151">
        <v>100</v>
      </c>
      <c r="F8" s="166">
        <f t="shared" si="0"/>
        <v>3200</v>
      </c>
      <c r="G8" s="206">
        <v>3200</v>
      </c>
      <c r="H8" s="166">
        <f t="shared" ref="H8:H16" si="1">F8-G8</f>
        <v>0</v>
      </c>
    </row>
    <row r="9" spans="1:8" x14ac:dyDescent="0.25">
      <c r="A9" s="151">
        <v>5</v>
      </c>
      <c r="B9" s="151" t="s">
        <v>369</v>
      </c>
      <c r="C9" s="165"/>
      <c r="D9" s="151">
        <v>3000</v>
      </c>
      <c r="E9" s="151">
        <v>100</v>
      </c>
      <c r="F9" s="166">
        <f t="shared" si="0"/>
        <v>3100</v>
      </c>
      <c r="G9" s="206">
        <v>3100</v>
      </c>
      <c r="H9" s="166">
        <f t="shared" si="1"/>
        <v>0</v>
      </c>
    </row>
    <row r="10" spans="1:8" x14ac:dyDescent="0.25">
      <c r="A10" s="151">
        <v>6</v>
      </c>
      <c r="B10" s="151" t="s">
        <v>347</v>
      </c>
      <c r="C10" s="151">
        <v>100</v>
      </c>
      <c r="D10" s="151">
        <v>6000</v>
      </c>
      <c r="E10" s="151">
        <v>100</v>
      </c>
      <c r="F10" s="166">
        <f t="shared" si="0"/>
        <v>6200</v>
      </c>
      <c r="G10" s="206">
        <v>6200</v>
      </c>
      <c r="H10" s="166">
        <f t="shared" si="1"/>
        <v>0</v>
      </c>
    </row>
    <row r="11" spans="1:8" x14ac:dyDescent="0.25">
      <c r="A11" s="151">
        <v>7</v>
      </c>
      <c r="B11" s="151" t="s">
        <v>398</v>
      </c>
      <c r="C11" s="151"/>
      <c r="D11" s="151">
        <v>6000</v>
      </c>
      <c r="E11" s="151">
        <v>100</v>
      </c>
      <c r="F11" s="166">
        <f t="shared" si="0"/>
        <v>6100</v>
      </c>
      <c r="G11" s="151">
        <v>6000</v>
      </c>
      <c r="H11" s="166">
        <f t="shared" si="1"/>
        <v>100</v>
      </c>
    </row>
    <row r="12" spans="1:8" x14ac:dyDescent="0.25">
      <c r="A12" s="151">
        <v>8</v>
      </c>
      <c r="B12" s="167" t="s">
        <v>344</v>
      </c>
      <c r="C12" s="165"/>
      <c r="D12" s="151">
        <v>3000</v>
      </c>
      <c r="E12" s="151">
        <v>100</v>
      </c>
      <c r="F12" s="166">
        <f t="shared" si="0"/>
        <v>3100</v>
      </c>
      <c r="G12" s="206">
        <v>3100</v>
      </c>
      <c r="H12" s="166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51">
        <v>3000</v>
      </c>
      <c r="E13" s="151">
        <v>100</v>
      </c>
      <c r="F13" s="166">
        <f t="shared" si="0"/>
        <v>3100</v>
      </c>
      <c r="G13" s="206">
        <v>3100</v>
      </c>
      <c r="H13" s="166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51">
        <v>9000</v>
      </c>
      <c r="E14" s="151">
        <v>100</v>
      </c>
      <c r="F14" s="166">
        <f t="shared" si="0"/>
        <v>9100</v>
      </c>
      <c r="G14" s="206">
        <v>9100</v>
      </c>
      <c r="H14" s="166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1700</v>
      </c>
      <c r="D15" s="151">
        <v>4500</v>
      </c>
      <c r="E15" s="151">
        <v>100</v>
      </c>
      <c r="F15" s="166">
        <f t="shared" si="0"/>
        <v>6300</v>
      </c>
      <c r="G15" s="206">
        <v>4600</v>
      </c>
      <c r="H15" s="166">
        <f t="shared" si="1"/>
        <v>1700</v>
      </c>
    </row>
    <row r="16" spans="1:8" x14ac:dyDescent="0.25">
      <c r="A16" s="151">
        <v>13</v>
      </c>
      <c r="B16" s="197" t="s">
        <v>370</v>
      </c>
      <c r="C16" s="151"/>
      <c r="D16" s="151"/>
      <c r="E16" s="151"/>
      <c r="F16" s="166">
        <f t="shared" si="0"/>
        <v>0</v>
      </c>
      <c r="G16" s="151"/>
      <c r="H16" s="166">
        <f t="shared" si="1"/>
        <v>0</v>
      </c>
    </row>
    <row r="17" spans="1:9" x14ac:dyDescent="0.25">
      <c r="A17" s="212"/>
      <c r="B17" s="213" t="s">
        <v>129</v>
      </c>
      <c r="C17" s="211">
        <f t="shared" ref="C17:H17" si="2">SUM(C5:C16)</f>
        <v>1900</v>
      </c>
      <c r="D17" s="212">
        <f t="shared" si="2"/>
        <v>49500</v>
      </c>
      <c r="E17" s="212">
        <f t="shared" si="2"/>
        <v>1100</v>
      </c>
      <c r="F17" s="207">
        <f t="shared" si="2"/>
        <v>52500</v>
      </c>
      <c r="G17" s="207">
        <f t="shared" si="2"/>
        <v>50700</v>
      </c>
      <c r="H17" s="207">
        <f t="shared" si="2"/>
        <v>1800</v>
      </c>
    </row>
    <row r="18" spans="1:9" x14ac:dyDescent="0.25">
      <c r="A18" s="204"/>
    </row>
    <row r="19" spans="1:9" x14ac:dyDescent="0.25">
      <c r="B19" s="83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32" t="s">
        <v>362</v>
      </c>
      <c r="C20" s="32"/>
      <c r="D20" s="32"/>
      <c r="E20" s="198"/>
      <c r="F20" s="32" t="s">
        <v>102</v>
      </c>
    </row>
    <row r="21" spans="1:9" x14ac:dyDescent="0.25">
      <c r="A21" s="204"/>
      <c r="B21" s="139" t="s">
        <v>122</v>
      </c>
      <c r="C21" s="139" t="s">
        <v>123</v>
      </c>
      <c r="D21" s="139" t="s">
        <v>124</v>
      </c>
      <c r="E21" s="139" t="s">
        <v>125</v>
      </c>
      <c r="F21" s="139" t="s">
        <v>122</v>
      </c>
      <c r="G21" s="139" t="s">
        <v>123</v>
      </c>
      <c r="H21" s="139" t="s">
        <v>124</v>
      </c>
      <c r="I21" s="139" t="s">
        <v>125</v>
      </c>
    </row>
    <row r="22" spans="1:9" x14ac:dyDescent="0.25">
      <c r="A22" s="204"/>
      <c r="B22" s="151" t="s">
        <v>397</v>
      </c>
      <c r="C22" s="166">
        <f>D17</f>
        <v>49500</v>
      </c>
      <c r="D22" s="151"/>
      <c r="E22" s="151"/>
      <c r="F22" s="151" t="s">
        <v>397</v>
      </c>
      <c r="G22" s="166">
        <f>G17</f>
        <v>50700</v>
      </c>
      <c r="H22" s="151"/>
      <c r="I22" s="151"/>
    </row>
    <row r="23" spans="1:9" x14ac:dyDescent="0.25">
      <c r="A23" s="204"/>
      <c r="B23" s="151" t="s">
        <v>1</v>
      </c>
      <c r="C23" s="173">
        <f>SEP!E40</f>
        <v>-9189</v>
      </c>
      <c r="D23" s="151"/>
      <c r="E23" s="151"/>
      <c r="F23" s="151"/>
      <c r="G23" s="166">
        <f>SEP!I40</f>
        <v>-9789</v>
      </c>
      <c r="H23" s="151"/>
      <c r="I23" s="151"/>
    </row>
    <row r="24" spans="1:9" x14ac:dyDescent="0.25">
      <c r="A24" s="204"/>
      <c r="B24" s="151" t="s">
        <v>325</v>
      </c>
      <c r="C24" s="174">
        <v>0.1</v>
      </c>
      <c r="D24" s="166">
        <f>C22*C24</f>
        <v>4950</v>
      </c>
      <c r="E24" s="151"/>
      <c r="F24" s="151" t="s">
        <v>325</v>
      </c>
      <c r="G24" s="174">
        <v>0.1</v>
      </c>
      <c r="H24" s="166">
        <f>D24</f>
        <v>4950</v>
      </c>
      <c r="I24" s="151"/>
    </row>
    <row r="25" spans="1:9" x14ac:dyDescent="0.25">
      <c r="A25" s="205"/>
      <c r="B25" s="175" t="s">
        <v>188</v>
      </c>
      <c r="C25" s="166">
        <f>C22+C23</f>
        <v>40311</v>
      </c>
      <c r="D25" s="151"/>
      <c r="E25" s="151"/>
      <c r="F25" s="175" t="s">
        <v>188</v>
      </c>
      <c r="G25" s="166">
        <f>G22+G23</f>
        <v>40911</v>
      </c>
      <c r="H25" s="151"/>
      <c r="I25" s="151"/>
    </row>
    <row r="26" spans="1:9" x14ac:dyDescent="0.25">
      <c r="A26" s="205"/>
      <c r="B26" s="69" t="s">
        <v>128</v>
      </c>
      <c r="C26" s="151" t="s">
        <v>206</v>
      </c>
      <c r="D26" s="151"/>
      <c r="E26" s="151"/>
      <c r="F26" s="69" t="s">
        <v>128</v>
      </c>
      <c r="G26" s="151" t="s">
        <v>206</v>
      </c>
      <c r="H26" s="151"/>
      <c r="I26" s="151"/>
    </row>
    <row r="27" spans="1:9" x14ac:dyDescent="0.25">
      <c r="A27" s="205"/>
      <c r="B27" s="177" t="s">
        <v>350</v>
      </c>
      <c r="C27" s="175"/>
      <c r="D27" s="175">
        <v>2000</v>
      </c>
      <c r="E27" s="151"/>
      <c r="F27" s="177" t="s">
        <v>350</v>
      </c>
      <c r="G27" s="175"/>
      <c r="H27" s="175">
        <v>2000</v>
      </c>
      <c r="I27" s="151"/>
    </row>
    <row r="28" spans="1:9" x14ac:dyDescent="0.25">
      <c r="A28" s="204"/>
      <c r="B28" s="151" t="s">
        <v>328</v>
      </c>
      <c r="C28" s="151"/>
      <c r="D28" s="151">
        <v>3000</v>
      </c>
      <c r="E28" s="151"/>
      <c r="F28" s="177" t="s">
        <v>377</v>
      </c>
      <c r="G28" s="151"/>
      <c r="H28" s="151">
        <v>1100</v>
      </c>
      <c r="I28" s="151"/>
    </row>
    <row r="29" spans="1:9" x14ac:dyDescent="0.25">
      <c r="A29" s="204"/>
      <c r="B29" s="177">
        <v>43376</v>
      </c>
      <c r="C29" s="151"/>
      <c r="D29" s="151">
        <v>10500</v>
      </c>
      <c r="E29" s="151"/>
      <c r="F29" s="178" t="s">
        <v>328</v>
      </c>
      <c r="G29" s="151"/>
      <c r="H29" s="151">
        <v>3000</v>
      </c>
      <c r="I29" s="151"/>
    </row>
    <row r="30" spans="1:9" x14ac:dyDescent="0.25">
      <c r="A30" s="204"/>
      <c r="B30" s="177" t="s">
        <v>401</v>
      </c>
      <c r="C30" s="151"/>
      <c r="D30" s="151">
        <v>4500</v>
      </c>
      <c r="E30" s="151"/>
      <c r="F30" s="177">
        <v>43376</v>
      </c>
      <c r="G30" s="151"/>
      <c r="H30" s="151">
        <v>10500</v>
      </c>
      <c r="I30" s="151"/>
    </row>
    <row r="31" spans="1:9" x14ac:dyDescent="0.25">
      <c r="A31" s="204"/>
      <c r="B31" s="151" t="s">
        <v>393</v>
      </c>
      <c r="C31" s="151"/>
      <c r="D31" s="151">
        <v>1350</v>
      </c>
      <c r="E31" s="151"/>
      <c r="F31" s="177" t="s">
        <v>401</v>
      </c>
      <c r="G31" s="151"/>
      <c r="H31" s="151">
        <v>4500</v>
      </c>
      <c r="I31" s="151"/>
    </row>
    <row r="32" spans="1:9" x14ac:dyDescent="0.25">
      <c r="A32" s="204"/>
      <c r="B32" s="177">
        <v>43385</v>
      </c>
      <c r="C32" s="151"/>
      <c r="D32" s="151">
        <v>4600</v>
      </c>
      <c r="E32" s="151"/>
      <c r="F32" s="151" t="s">
        <v>393</v>
      </c>
      <c r="G32" s="151"/>
      <c r="H32" s="151">
        <v>1350</v>
      </c>
      <c r="I32" s="151"/>
    </row>
    <row r="33" spans="1:11" x14ac:dyDescent="0.25">
      <c r="A33" s="204"/>
      <c r="B33" s="177">
        <v>43391</v>
      </c>
      <c r="C33" s="151"/>
      <c r="D33" s="151">
        <v>9400</v>
      </c>
      <c r="E33" s="151"/>
      <c r="F33" s="177">
        <v>43385</v>
      </c>
      <c r="G33" s="151"/>
      <c r="H33" s="151">
        <v>4600</v>
      </c>
      <c r="I33" s="151"/>
    </row>
    <row r="34" spans="1:11" x14ac:dyDescent="0.25">
      <c r="A34" s="204"/>
      <c r="B34" s="151" t="s">
        <v>104</v>
      </c>
      <c r="C34" s="151"/>
      <c r="D34" s="151">
        <v>300</v>
      </c>
      <c r="E34" s="151"/>
      <c r="F34" s="177">
        <v>43391</v>
      </c>
      <c r="G34" s="151"/>
      <c r="H34" s="151">
        <v>9400</v>
      </c>
      <c r="I34" s="151"/>
    </row>
    <row r="35" spans="1:11" x14ac:dyDescent="0.25">
      <c r="A35" s="205"/>
      <c r="B35" s="151"/>
      <c r="C35" s="151"/>
      <c r="D35" s="151"/>
      <c r="E35" s="151"/>
      <c r="F35" s="151" t="s">
        <v>104</v>
      </c>
      <c r="G35" s="151"/>
      <c r="H35" s="151">
        <v>300</v>
      </c>
      <c r="I35" s="151"/>
    </row>
    <row r="36" spans="1:11" x14ac:dyDescent="0.25">
      <c r="A36" s="205"/>
      <c r="B36" s="151"/>
      <c r="C36" s="151"/>
      <c r="D36" s="151"/>
      <c r="E36" s="151"/>
      <c r="F36" s="151"/>
      <c r="G36" s="151"/>
      <c r="H36" s="151"/>
      <c r="I36" s="151"/>
    </row>
    <row r="37" spans="1:11" x14ac:dyDescent="0.25">
      <c r="B37" s="69" t="s">
        <v>129</v>
      </c>
      <c r="C37" s="160">
        <f>C22+C23</f>
        <v>40311</v>
      </c>
      <c r="D37" s="160">
        <f>SUM(D24:D36)</f>
        <v>40600</v>
      </c>
      <c r="E37" s="160">
        <f>C37-D37</f>
        <v>-289</v>
      </c>
      <c r="F37" s="69" t="s">
        <v>129</v>
      </c>
      <c r="G37" s="160">
        <f>G25</f>
        <v>40911</v>
      </c>
      <c r="H37" s="160">
        <f>SUM(H24:H36)</f>
        <v>41700</v>
      </c>
      <c r="I37" s="166">
        <f>G37-H37</f>
        <v>-789</v>
      </c>
    </row>
    <row r="39" spans="1:11" x14ac:dyDescent="0.25">
      <c r="B39" s="23" t="s">
        <v>357</v>
      </c>
      <c r="D39" s="23" t="s">
        <v>359</v>
      </c>
      <c r="G39" s="23" t="s">
        <v>361</v>
      </c>
    </row>
    <row r="41" spans="1:11" x14ac:dyDescent="0.25">
      <c r="B41" s="23" t="s">
        <v>358</v>
      </c>
      <c r="D41" s="23" t="s">
        <v>360</v>
      </c>
      <c r="G41" s="23" t="s">
        <v>158</v>
      </c>
    </row>
    <row r="42" spans="1:11" x14ac:dyDescent="0.25">
      <c r="K42" s="214">
        <f>E37-I37</f>
        <v>500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7" zoomScaleNormal="100" workbookViewId="0">
      <selection activeCell="J23" sqref="J23"/>
    </sheetView>
  </sheetViews>
  <sheetFormatPr defaultRowHeight="15" x14ac:dyDescent="0.25"/>
  <cols>
    <col min="1" max="1" width="4" style="23" customWidth="1"/>
    <col min="2" max="2" width="20.5703125" style="23" customWidth="1"/>
    <col min="3" max="3" width="7.7109375" style="23" customWidth="1"/>
    <col min="4" max="4" width="7.85546875" style="23" customWidth="1"/>
    <col min="5" max="5" width="9.5703125" style="23" customWidth="1"/>
    <col min="6" max="6" width="11.85546875" style="23" customWidth="1"/>
    <col min="7" max="7" width="12.7109375" style="23" customWidth="1"/>
    <col min="8" max="8" width="10.5703125" style="23" bestFit="1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406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>
        <v>100</v>
      </c>
      <c r="D7" s="165">
        <v>3000</v>
      </c>
      <c r="E7" s="165">
        <v>100</v>
      </c>
      <c r="F7" s="165">
        <f>C7+D7+E7</f>
        <v>3200</v>
      </c>
      <c r="G7" s="165">
        <v>3200</v>
      </c>
      <c r="H7" s="165">
        <f t="shared" ref="H7:H15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3100</v>
      </c>
      <c r="H8" s="165">
        <f t="shared" si="1"/>
        <v>0</v>
      </c>
    </row>
    <row r="9" spans="1:8" x14ac:dyDescent="0.25">
      <c r="A9" s="151">
        <v>5</v>
      </c>
      <c r="B9" s="151" t="s">
        <v>369</v>
      </c>
      <c r="C9" s="165"/>
      <c r="D9" s="165">
        <v>3000</v>
      </c>
      <c r="E9" s="165">
        <v>100</v>
      </c>
      <c r="F9" s="165">
        <f t="shared" si="0"/>
        <v>3100</v>
      </c>
      <c r="G9" s="215">
        <v>3000</v>
      </c>
      <c r="H9" s="165">
        <f t="shared" si="1"/>
        <v>100</v>
      </c>
    </row>
    <row r="10" spans="1:8" x14ac:dyDescent="0.25">
      <c r="A10" s="151">
        <v>6</v>
      </c>
      <c r="B10" s="151" t="s">
        <v>402</v>
      </c>
      <c r="C10" s="165"/>
      <c r="D10" s="165">
        <v>6000</v>
      </c>
      <c r="E10" s="165"/>
      <c r="F10" s="165">
        <f t="shared" si="0"/>
        <v>6000</v>
      </c>
      <c r="G10" s="215">
        <v>6000</v>
      </c>
      <c r="H10" s="165">
        <f t="shared" si="1"/>
        <v>0</v>
      </c>
    </row>
    <row r="11" spans="1:8" x14ac:dyDescent="0.25">
      <c r="A11" s="151">
        <v>7</v>
      </c>
      <c r="B11" s="151" t="s">
        <v>408</v>
      </c>
      <c r="C11" s="165"/>
      <c r="D11" s="165">
        <v>6000</v>
      </c>
      <c r="E11" s="165"/>
      <c r="F11" s="165">
        <f t="shared" si="0"/>
        <v>6000</v>
      </c>
      <c r="G11" s="165">
        <v>6000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1700</v>
      </c>
      <c r="D15" s="165">
        <v>4500</v>
      </c>
      <c r="E15" s="165">
        <v>100</v>
      </c>
      <c r="F15" s="165">
        <f t="shared" si="0"/>
        <v>6300</v>
      </c>
      <c r="G15" s="215">
        <v>4500</v>
      </c>
      <c r="H15" s="165">
        <f t="shared" si="1"/>
        <v>1800</v>
      </c>
    </row>
    <row r="16" spans="1:8" x14ac:dyDescent="0.25">
      <c r="A16" s="151">
        <v>13</v>
      </c>
      <c r="B16" s="197" t="s">
        <v>370</v>
      </c>
      <c r="C16" s="165"/>
      <c r="D16" s="165"/>
      <c r="E16" s="165"/>
      <c r="F16" s="165">
        <f t="shared" si="0"/>
        <v>0</v>
      </c>
      <c r="G16" s="165"/>
      <c r="H16" s="165">
        <f>F16-G16</f>
        <v>0</v>
      </c>
    </row>
    <row r="17" spans="1:9" x14ac:dyDescent="0.25">
      <c r="A17" s="212"/>
      <c r="B17" s="213" t="s">
        <v>129</v>
      </c>
      <c r="C17" s="216">
        <f t="shared" ref="C17:H17" si="2">SUM(C5:C16)</f>
        <v>1800</v>
      </c>
      <c r="D17" s="217">
        <f t="shared" si="2"/>
        <v>42000</v>
      </c>
      <c r="E17" s="217">
        <f t="shared" si="2"/>
        <v>900</v>
      </c>
      <c r="F17" s="217">
        <f t="shared" si="2"/>
        <v>44700</v>
      </c>
      <c r="G17" s="217">
        <f t="shared" si="2"/>
        <v>42800</v>
      </c>
      <c r="H17" s="217">
        <f t="shared" si="2"/>
        <v>1900</v>
      </c>
    </row>
    <row r="18" spans="1:9" x14ac:dyDescent="0.25">
      <c r="A18" s="204"/>
    </row>
    <row r="19" spans="1:9" x14ac:dyDescent="0.25">
      <c r="B19" s="83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405</v>
      </c>
      <c r="C22" s="165">
        <f>D17</f>
        <v>42000</v>
      </c>
      <c r="D22" s="165"/>
      <c r="E22" s="165"/>
      <c r="F22" s="165" t="s">
        <v>405</v>
      </c>
      <c r="G22" s="165">
        <f>G17</f>
        <v>42800</v>
      </c>
      <c r="H22" s="165"/>
      <c r="I22" s="165"/>
    </row>
    <row r="23" spans="1:9" x14ac:dyDescent="0.25">
      <c r="A23" s="204"/>
      <c r="B23" s="165" t="s">
        <v>1</v>
      </c>
      <c r="C23" s="165">
        <f>OCTOBER!E37</f>
        <v>-289</v>
      </c>
      <c r="D23" s="165"/>
      <c r="E23" s="165"/>
      <c r="F23" s="165"/>
      <c r="G23" s="165">
        <f>OCTOBER!I37</f>
        <v>-789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4200</v>
      </c>
      <c r="E24" s="165"/>
      <c r="F24" s="165" t="s">
        <v>325</v>
      </c>
      <c r="G24" s="226">
        <v>0.1</v>
      </c>
      <c r="H24" s="165">
        <f>D24</f>
        <v>4200</v>
      </c>
      <c r="I24" s="165"/>
    </row>
    <row r="25" spans="1:9" x14ac:dyDescent="0.25">
      <c r="A25" s="205"/>
      <c r="B25" s="222" t="s">
        <v>188</v>
      </c>
      <c r="C25" s="165">
        <f>C22+C23</f>
        <v>41711</v>
      </c>
      <c r="D25" s="165"/>
      <c r="E25" s="165"/>
      <c r="F25" s="222" t="s">
        <v>188</v>
      </c>
      <c r="G25" s="165">
        <f>G22+G23</f>
        <v>42011</v>
      </c>
      <c r="H25" s="165"/>
      <c r="I25" s="165"/>
    </row>
    <row r="26" spans="1:9" x14ac:dyDescent="0.25">
      <c r="A26" s="205"/>
      <c r="B26" s="223" t="s">
        <v>128</v>
      </c>
      <c r="C26" s="165" t="s">
        <v>206</v>
      </c>
      <c r="D26" s="165"/>
      <c r="E26" s="165"/>
      <c r="F26" s="223" t="s">
        <v>128</v>
      </c>
      <c r="G26" s="165" t="s">
        <v>206</v>
      </c>
      <c r="H26" s="165"/>
      <c r="I26" s="165"/>
    </row>
    <row r="27" spans="1:9" x14ac:dyDescent="0.25">
      <c r="A27" s="205"/>
      <c r="B27" s="165" t="s">
        <v>350</v>
      </c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</row>
    <row r="28" spans="1:9" x14ac:dyDescent="0.25">
      <c r="A28" s="204"/>
      <c r="B28" s="165" t="s">
        <v>403</v>
      </c>
      <c r="C28" s="165"/>
      <c r="D28" s="165">
        <v>3000</v>
      </c>
      <c r="E28" s="165"/>
      <c r="F28" s="165" t="s">
        <v>377</v>
      </c>
      <c r="G28" s="165"/>
      <c r="H28" s="165">
        <f>E17</f>
        <v>900</v>
      </c>
      <c r="I28" s="165"/>
    </row>
    <row r="29" spans="1:9" x14ac:dyDescent="0.25">
      <c r="A29" s="204"/>
      <c r="B29" s="165" t="s">
        <v>404</v>
      </c>
      <c r="C29" s="165"/>
      <c r="D29" s="165">
        <v>3000</v>
      </c>
      <c r="E29" s="165"/>
      <c r="F29" s="165" t="s">
        <v>403</v>
      </c>
      <c r="G29" s="165"/>
      <c r="H29" s="165">
        <v>3000</v>
      </c>
      <c r="I29" s="165"/>
    </row>
    <row r="30" spans="1:9" x14ac:dyDescent="0.25">
      <c r="A30" s="204"/>
      <c r="B30" s="165" t="s">
        <v>391</v>
      </c>
      <c r="C30" s="165"/>
      <c r="D30" s="165">
        <v>500</v>
      </c>
      <c r="E30" s="165"/>
      <c r="F30" s="165" t="s">
        <v>404</v>
      </c>
      <c r="G30" s="165"/>
      <c r="H30" s="165">
        <v>3000</v>
      </c>
      <c r="I30" s="165"/>
    </row>
    <row r="31" spans="1:9" x14ac:dyDescent="0.25">
      <c r="A31" s="204"/>
      <c r="B31" s="177" t="s">
        <v>415</v>
      </c>
      <c r="C31" s="224"/>
      <c r="D31" s="165">
        <v>10197</v>
      </c>
      <c r="E31" s="165"/>
      <c r="F31" s="165" t="s">
        <v>391</v>
      </c>
      <c r="G31" s="165"/>
      <c r="H31" s="165">
        <v>500</v>
      </c>
      <c r="I31" s="165"/>
    </row>
    <row r="32" spans="1:9" x14ac:dyDescent="0.25">
      <c r="A32" s="204"/>
      <c r="B32" s="165" t="s">
        <v>352</v>
      </c>
      <c r="C32" s="224"/>
      <c r="D32" s="165">
        <v>2800</v>
      </c>
      <c r="E32" s="165"/>
      <c r="F32" s="177" t="s">
        <v>415</v>
      </c>
      <c r="G32" s="165"/>
      <c r="H32" s="165">
        <v>10197</v>
      </c>
      <c r="I32" s="165"/>
    </row>
    <row r="33" spans="1:11" x14ac:dyDescent="0.25">
      <c r="A33" s="204"/>
      <c r="B33" s="165" t="s">
        <v>380</v>
      </c>
      <c r="C33" s="224"/>
      <c r="D33" s="165">
        <v>500</v>
      </c>
      <c r="E33" s="165"/>
      <c r="F33" s="165" t="s">
        <v>329</v>
      </c>
      <c r="G33" s="165"/>
      <c r="H33" s="165">
        <v>2800</v>
      </c>
      <c r="I33" s="165"/>
    </row>
    <row r="34" spans="1:11" x14ac:dyDescent="0.25">
      <c r="A34" s="204"/>
      <c r="B34" s="177" t="s">
        <v>416</v>
      </c>
      <c r="C34" s="220"/>
      <c r="D34" s="225">
        <v>1056</v>
      </c>
      <c r="E34" s="220"/>
      <c r="F34" s="165" t="s">
        <v>380</v>
      </c>
      <c r="G34" s="165"/>
      <c r="H34" s="165">
        <v>500</v>
      </c>
      <c r="I34" s="165"/>
    </row>
    <row r="35" spans="1:11" x14ac:dyDescent="0.25">
      <c r="A35" s="204"/>
      <c r="B35" s="165" t="s">
        <v>407</v>
      </c>
      <c r="C35" s="224"/>
      <c r="D35" s="165">
        <v>5000</v>
      </c>
      <c r="E35" s="165"/>
      <c r="F35" s="177" t="s">
        <v>416</v>
      </c>
      <c r="G35" s="165"/>
      <c r="H35" s="222">
        <v>1056</v>
      </c>
      <c r="I35" s="165"/>
    </row>
    <row r="36" spans="1:11" x14ac:dyDescent="0.25">
      <c r="A36" s="204"/>
      <c r="B36" s="177" t="s">
        <v>416</v>
      </c>
      <c r="C36" s="165"/>
      <c r="D36" s="165">
        <v>10000</v>
      </c>
      <c r="E36" s="165"/>
      <c r="F36" s="165" t="s">
        <v>407</v>
      </c>
      <c r="G36" s="165"/>
      <c r="H36" s="165">
        <v>5000</v>
      </c>
      <c r="I36" s="165"/>
    </row>
    <row r="37" spans="1:11" x14ac:dyDescent="0.25">
      <c r="A37" s="204"/>
      <c r="B37" s="165"/>
      <c r="C37" s="165"/>
      <c r="D37" s="165"/>
      <c r="E37" s="165"/>
      <c r="F37" s="177" t="s">
        <v>416</v>
      </c>
      <c r="G37" s="165"/>
      <c r="H37" s="165">
        <v>10000</v>
      </c>
      <c r="I37" s="165"/>
    </row>
    <row r="38" spans="1:11" x14ac:dyDescent="0.25">
      <c r="B38" s="165"/>
      <c r="C38" s="165"/>
      <c r="D38" s="165"/>
      <c r="E38" s="165"/>
      <c r="F38" s="165"/>
      <c r="G38" s="165"/>
      <c r="H38" s="165"/>
      <c r="I38" s="165"/>
    </row>
    <row r="39" spans="1:11" x14ac:dyDescent="0.25">
      <c r="A39" s="205"/>
      <c r="B39" s="165"/>
      <c r="C39" s="165"/>
      <c r="D39" s="165"/>
      <c r="E39" s="165"/>
      <c r="F39" s="165"/>
      <c r="G39" s="165"/>
      <c r="H39" s="165"/>
      <c r="I39" s="165"/>
    </row>
    <row r="40" spans="1:11" x14ac:dyDescent="0.25">
      <c r="A40" s="205"/>
      <c r="B40" s="165"/>
      <c r="C40" s="165"/>
      <c r="D40" s="165"/>
      <c r="E40" s="165"/>
      <c r="F40" s="165"/>
      <c r="G40" s="165"/>
      <c r="H40" s="165"/>
      <c r="I40" s="165"/>
    </row>
    <row r="41" spans="1:11" x14ac:dyDescent="0.25">
      <c r="B41" s="223" t="s">
        <v>129</v>
      </c>
      <c r="C41" s="223">
        <f>C22+C23-D24</f>
        <v>37511</v>
      </c>
      <c r="D41" s="223">
        <f>SUM(D27:D40)</f>
        <v>38053</v>
      </c>
      <c r="E41" s="223">
        <f>C41-D41</f>
        <v>-542</v>
      </c>
      <c r="F41" s="223" t="s">
        <v>129</v>
      </c>
      <c r="G41" s="223">
        <f>G22+G23-H24</f>
        <v>37811</v>
      </c>
      <c r="H41" s="223">
        <f>SUM(H27:H40)</f>
        <v>38953</v>
      </c>
      <c r="I41" s="165">
        <f>G41-H41</f>
        <v>-1142</v>
      </c>
    </row>
    <row r="43" spans="1:11" x14ac:dyDescent="0.25">
      <c r="B43" s="23" t="s">
        <v>357</v>
      </c>
      <c r="D43" s="23" t="s">
        <v>359</v>
      </c>
      <c r="G43" s="23" t="s">
        <v>361</v>
      </c>
    </row>
    <row r="45" spans="1:11" x14ac:dyDescent="0.25">
      <c r="B45" s="23" t="s">
        <v>358</v>
      </c>
      <c r="D45" s="23" t="s">
        <v>360</v>
      </c>
      <c r="G45" s="23" t="s">
        <v>158</v>
      </c>
    </row>
    <row r="46" spans="1:11" x14ac:dyDescent="0.25">
      <c r="K46" s="214"/>
    </row>
  </sheetData>
  <pageMargins left="0" right="0" top="0" bottom="0" header="0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H41" sqref="H41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8.710937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409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3100</v>
      </c>
      <c r="H8" s="165">
        <f t="shared" si="1"/>
        <v>0</v>
      </c>
    </row>
    <row r="9" spans="1:8" x14ac:dyDescent="0.25">
      <c r="A9" s="151">
        <v>5</v>
      </c>
      <c r="B9" s="151" t="s">
        <v>369</v>
      </c>
      <c r="C9" s="165">
        <v>100</v>
      </c>
      <c r="D9" s="165">
        <v>3000</v>
      </c>
      <c r="E9" s="165">
        <v>100</v>
      </c>
      <c r="F9" s="165">
        <f>C9+D9+E9</f>
        <v>3200</v>
      </c>
      <c r="G9" s="215">
        <v>3200</v>
      </c>
      <c r="H9" s="165">
        <f t="shared" si="1"/>
        <v>0</v>
      </c>
    </row>
    <row r="10" spans="1:8" x14ac:dyDescent="0.25">
      <c r="A10" s="151">
        <v>6</v>
      </c>
      <c r="B10" s="151" t="s">
        <v>402</v>
      </c>
      <c r="C10" s="165"/>
      <c r="D10" s="165">
        <v>3000</v>
      </c>
      <c r="E10" s="165">
        <v>100</v>
      </c>
      <c r="F10" s="165">
        <f>C10+D10+E10</f>
        <v>3100</v>
      </c>
      <c r="G10" s="215">
        <v>3000</v>
      </c>
      <c r="H10" s="165">
        <f t="shared" si="1"/>
        <v>100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3100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1800</v>
      </c>
      <c r="D15" s="165">
        <v>4500</v>
      </c>
      <c r="E15" s="165">
        <v>100</v>
      </c>
      <c r="F15" s="165">
        <f t="shared" si="0"/>
        <v>6400</v>
      </c>
      <c r="G15" s="215">
        <v>4600</v>
      </c>
      <c r="H15" s="165">
        <f t="shared" si="1"/>
        <v>1800</v>
      </c>
    </row>
    <row r="16" spans="1:8" x14ac:dyDescent="0.25">
      <c r="A16" s="151">
        <v>12</v>
      </c>
      <c r="B16" s="197" t="s">
        <v>370</v>
      </c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1900</v>
      </c>
      <c r="D17" s="217">
        <f t="shared" si="2"/>
        <v>36000</v>
      </c>
      <c r="E17" s="217">
        <f t="shared" si="2"/>
        <v>1100</v>
      </c>
      <c r="F17" s="217">
        <f t="shared" si="2"/>
        <v>39000</v>
      </c>
      <c r="G17" s="217">
        <f t="shared" si="2"/>
        <v>37100</v>
      </c>
      <c r="H17" s="217">
        <f t="shared" si="2"/>
        <v>1900</v>
      </c>
    </row>
    <row r="18" spans="1:9" x14ac:dyDescent="0.25">
      <c r="A18" s="204"/>
    </row>
    <row r="19" spans="1:9" x14ac:dyDescent="0.25">
      <c r="B19" s="83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410</v>
      </c>
      <c r="C22" s="165">
        <f>D17</f>
        <v>36000</v>
      </c>
      <c r="D22" s="165"/>
      <c r="E22" s="165"/>
      <c r="F22" s="165" t="s">
        <v>410</v>
      </c>
      <c r="G22" s="165">
        <f>G17</f>
        <v>37100</v>
      </c>
      <c r="H22" s="165"/>
      <c r="I22" s="165"/>
    </row>
    <row r="23" spans="1:9" x14ac:dyDescent="0.25">
      <c r="A23" s="204"/>
      <c r="B23" s="165" t="s">
        <v>1</v>
      </c>
      <c r="C23" s="165">
        <f>NOVE!E41</f>
        <v>-542</v>
      </c>
      <c r="D23" s="165"/>
      <c r="E23" s="165"/>
      <c r="F23" s="165" t="s">
        <v>1</v>
      </c>
      <c r="G23" s="165">
        <f>NOVE!I41</f>
        <v>-1142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23" t="s">
        <v>128</v>
      </c>
      <c r="C25" s="165" t="s">
        <v>206</v>
      </c>
      <c r="D25" s="165"/>
      <c r="E25" s="165"/>
      <c r="F25" s="223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411</v>
      </c>
      <c r="C27" s="165"/>
      <c r="D27" s="165">
        <v>1000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328</v>
      </c>
      <c r="C28" s="165"/>
      <c r="D28" s="165">
        <v>3000</v>
      </c>
      <c r="E28" s="165"/>
      <c r="F28" s="165" t="s">
        <v>411</v>
      </c>
      <c r="G28" s="165"/>
      <c r="H28" s="165">
        <v>1000</v>
      </c>
      <c r="I28" s="165"/>
    </row>
    <row r="29" spans="1:9" x14ac:dyDescent="0.25">
      <c r="A29" s="204"/>
      <c r="B29" s="177" t="s">
        <v>417</v>
      </c>
      <c r="C29" s="165"/>
      <c r="D29" s="165">
        <v>1076</v>
      </c>
      <c r="E29" s="165"/>
      <c r="F29" s="165" t="s">
        <v>328</v>
      </c>
      <c r="G29" s="165"/>
      <c r="H29" s="165">
        <v>3000</v>
      </c>
      <c r="I29" s="165"/>
    </row>
    <row r="30" spans="1:9" x14ac:dyDescent="0.25">
      <c r="A30" s="204"/>
      <c r="B30" s="165" t="s">
        <v>380</v>
      </c>
      <c r="C30" s="224"/>
      <c r="D30" s="165">
        <v>500</v>
      </c>
      <c r="E30" s="165"/>
      <c r="F30" s="177" t="s">
        <v>417</v>
      </c>
      <c r="G30" s="165"/>
      <c r="H30" s="165">
        <v>1076</v>
      </c>
      <c r="I30" s="165"/>
    </row>
    <row r="31" spans="1:9" x14ac:dyDescent="0.25">
      <c r="A31" s="204"/>
      <c r="B31" s="177" t="s">
        <v>412</v>
      </c>
      <c r="C31" s="224"/>
      <c r="D31" s="165">
        <v>10100</v>
      </c>
      <c r="E31" s="165"/>
      <c r="F31" s="165" t="s">
        <v>380</v>
      </c>
      <c r="G31" s="224"/>
      <c r="H31" s="165">
        <v>500</v>
      </c>
      <c r="I31" s="165"/>
    </row>
    <row r="32" spans="1:9" x14ac:dyDescent="0.25">
      <c r="A32" s="204"/>
      <c r="B32" s="177" t="s">
        <v>413</v>
      </c>
      <c r="C32" s="224"/>
      <c r="D32" s="165">
        <v>8187</v>
      </c>
      <c r="E32" s="165"/>
      <c r="F32" s="177" t="s">
        <v>412</v>
      </c>
      <c r="G32" s="224"/>
      <c r="H32" s="165">
        <v>10100</v>
      </c>
      <c r="I32" s="165"/>
    </row>
    <row r="33" spans="1:11" x14ac:dyDescent="0.25">
      <c r="A33" s="204"/>
      <c r="B33" s="177" t="s">
        <v>414</v>
      </c>
      <c r="C33" s="220"/>
      <c r="D33" s="225">
        <v>6000</v>
      </c>
      <c r="E33" s="220"/>
      <c r="F33" s="177" t="s">
        <v>413</v>
      </c>
      <c r="G33" s="224"/>
      <c r="H33" s="165">
        <v>8187</v>
      </c>
      <c r="I33" s="165"/>
    </row>
    <row r="34" spans="1:11" x14ac:dyDescent="0.25">
      <c r="A34" s="204"/>
      <c r="B34" s="165" t="s">
        <v>352</v>
      </c>
      <c r="C34" s="224"/>
      <c r="D34" s="165">
        <v>46</v>
      </c>
      <c r="E34" s="165"/>
      <c r="F34" s="177" t="s">
        <v>414</v>
      </c>
      <c r="G34" s="220"/>
      <c r="H34" s="225">
        <v>6000</v>
      </c>
      <c r="I34" s="165"/>
    </row>
    <row r="35" spans="1:11" x14ac:dyDescent="0.25">
      <c r="A35" s="204"/>
      <c r="B35" s="165"/>
      <c r="C35" s="165"/>
      <c r="D35" s="165"/>
      <c r="E35" s="165"/>
      <c r="F35" s="165" t="s">
        <v>352</v>
      </c>
      <c r="G35" s="224"/>
      <c r="H35" s="165">
        <v>46</v>
      </c>
      <c r="I35" s="165"/>
    </row>
    <row r="36" spans="1:11" x14ac:dyDescent="0.25">
      <c r="A36" s="204"/>
      <c r="B36" s="165"/>
      <c r="C36" s="165"/>
      <c r="D36" s="165"/>
      <c r="E36" s="165"/>
      <c r="F36" s="165"/>
      <c r="G36" s="165"/>
      <c r="H36" s="165"/>
      <c r="I36" s="165"/>
    </row>
    <row r="37" spans="1:11" x14ac:dyDescent="0.25">
      <c r="B37" s="165"/>
      <c r="C37" s="165"/>
      <c r="D37" s="165"/>
      <c r="F37" s="165"/>
      <c r="G37" s="165"/>
      <c r="H37" s="165"/>
      <c r="I37" s="165"/>
    </row>
    <row r="38" spans="1:11" x14ac:dyDescent="0.25">
      <c r="A38" s="205"/>
      <c r="B38" s="165"/>
      <c r="C38" s="165"/>
      <c r="D38" s="165"/>
      <c r="E38" s="165"/>
      <c r="F38" s="165"/>
      <c r="G38" s="165"/>
      <c r="H38" s="165"/>
      <c r="I38" s="165"/>
    </row>
    <row r="39" spans="1:11" x14ac:dyDescent="0.25">
      <c r="A39" s="205"/>
      <c r="B39" s="165"/>
      <c r="C39" s="165"/>
      <c r="D39" s="165"/>
      <c r="E39" s="165"/>
      <c r="F39" s="165"/>
      <c r="G39" s="165"/>
      <c r="H39" s="165"/>
      <c r="I39" s="165"/>
    </row>
    <row r="40" spans="1:11" x14ac:dyDescent="0.25">
      <c r="B40" s="223" t="s">
        <v>129</v>
      </c>
      <c r="C40" s="223">
        <f>C22+C23-D24</f>
        <v>31858</v>
      </c>
      <c r="D40" s="223">
        <f>SUM(D26:D39)</f>
        <v>31909</v>
      </c>
      <c r="E40" s="223">
        <f>C40-D40</f>
        <v>-51</v>
      </c>
      <c r="F40" s="223" t="s">
        <v>129</v>
      </c>
      <c r="G40" s="223">
        <f>G22+G23-H24</f>
        <v>32358</v>
      </c>
      <c r="H40" s="223">
        <f>SUM(H26:H39)</f>
        <v>33009</v>
      </c>
      <c r="I40" s="165">
        <f>G40-H40</f>
        <v>-651</v>
      </c>
    </row>
    <row r="42" spans="1:11" x14ac:dyDescent="0.25">
      <c r="B42" s="23" t="s">
        <v>357</v>
      </c>
      <c r="D42" s="23" t="s">
        <v>359</v>
      </c>
      <c r="G42" s="23" t="s">
        <v>361</v>
      </c>
    </row>
    <row r="44" spans="1:11" x14ac:dyDescent="0.25">
      <c r="B44" s="23" t="s">
        <v>358</v>
      </c>
      <c r="D44" s="23" t="s">
        <v>360</v>
      </c>
      <c r="G44" s="23" t="s">
        <v>158</v>
      </c>
    </row>
    <row r="45" spans="1:11" x14ac:dyDescent="0.25">
      <c r="K45" s="214"/>
    </row>
  </sheetData>
  <pageMargins left="0" right="0" top="0" bottom="0" header="0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7" workbookViewId="0">
      <selection activeCell="G22" sqref="G22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8.710937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418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3100</v>
      </c>
      <c r="H8" s="165">
        <f t="shared" si="1"/>
        <v>0</v>
      </c>
    </row>
    <row r="9" spans="1:8" x14ac:dyDescent="0.25">
      <c r="A9" s="151">
        <v>5</v>
      </c>
      <c r="B9" s="151" t="s">
        <v>369</v>
      </c>
      <c r="C9" s="165"/>
      <c r="D9" s="165">
        <v>3000</v>
      </c>
      <c r="E9" s="165">
        <v>100</v>
      </c>
      <c r="F9" s="165">
        <f>C9+D9+E9</f>
        <v>3100</v>
      </c>
      <c r="G9" s="215">
        <v>3000</v>
      </c>
      <c r="H9" s="165">
        <f t="shared" si="1"/>
        <v>100</v>
      </c>
    </row>
    <row r="10" spans="1:8" x14ac:dyDescent="0.25">
      <c r="A10" s="151">
        <v>6</v>
      </c>
      <c r="B10" s="151" t="s">
        <v>402</v>
      </c>
      <c r="C10" s="165">
        <v>100</v>
      </c>
      <c r="D10" s="165">
        <v>3000</v>
      </c>
      <c r="E10" s="165">
        <v>100</v>
      </c>
      <c r="F10" s="165">
        <f>C10+D10+E10</f>
        <v>3200</v>
      </c>
      <c r="G10" s="215">
        <v>3200</v>
      </c>
      <c r="H10" s="165">
        <f t="shared" si="1"/>
        <v>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3000</v>
      </c>
      <c r="H11" s="165">
        <f t="shared" si="1"/>
        <v>100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1800</v>
      </c>
      <c r="D15" s="165">
        <v>4500</v>
      </c>
      <c r="E15" s="165">
        <v>100</v>
      </c>
      <c r="F15" s="165">
        <f t="shared" si="0"/>
        <v>6400</v>
      </c>
      <c r="G15" s="215">
        <v>4600</v>
      </c>
      <c r="H15" s="165">
        <f t="shared" si="1"/>
        <v>1800</v>
      </c>
    </row>
    <row r="16" spans="1:8" x14ac:dyDescent="0.25">
      <c r="A16" s="151">
        <v>12</v>
      </c>
      <c r="B16" s="197" t="s">
        <v>423</v>
      </c>
      <c r="C16" s="165"/>
      <c r="D16" s="165">
        <v>7000</v>
      </c>
      <c r="E16" s="165">
        <v>100</v>
      </c>
      <c r="F16" s="165">
        <f t="shared" si="0"/>
        <v>7100</v>
      </c>
      <c r="G16" s="165">
        <v>7000</v>
      </c>
      <c r="H16" s="165">
        <f t="shared" si="1"/>
        <v>100</v>
      </c>
    </row>
    <row r="17" spans="1:9" x14ac:dyDescent="0.25">
      <c r="A17" s="212"/>
      <c r="B17" s="213" t="s">
        <v>129</v>
      </c>
      <c r="C17" s="216">
        <f t="shared" ref="C17:H17" si="2">SUM(C5:C16)</f>
        <v>1900</v>
      </c>
      <c r="D17" s="217">
        <f t="shared" si="2"/>
        <v>43000</v>
      </c>
      <c r="E17" s="217">
        <f t="shared" si="2"/>
        <v>1200</v>
      </c>
      <c r="F17" s="217">
        <f t="shared" si="2"/>
        <v>46100</v>
      </c>
      <c r="G17" s="217">
        <f t="shared" si="2"/>
        <v>44000</v>
      </c>
      <c r="H17" s="217">
        <f t="shared" si="2"/>
        <v>2100</v>
      </c>
    </row>
    <row r="18" spans="1:9" x14ac:dyDescent="0.25">
      <c r="A18" s="204"/>
      <c r="G18" s="23">
        <f>G17-1000</f>
        <v>43000</v>
      </c>
    </row>
    <row r="19" spans="1:9" x14ac:dyDescent="0.25">
      <c r="B19" s="83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419</v>
      </c>
      <c r="C22" s="165">
        <f>D17</f>
        <v>43000</v>
      </c>
      <c r="D22" s="165"/>
      <c r="E22" s="165"/>
      <c r="F22" s="165" t="s">
        <v>419</v>
      </c>
      <c r="G22" s="165">
        <f>G17</f>
        <v>44000</v>
      </c>
      <c r="H22" s="165"/>
      <c r="I22" s="165"/>
    </row>
    <row r="23" spans="1:9" x14ac:dyDescent="0.25">
      <c r="A23" s="204"/>
      <c r="B23" s="165" t="s">
        <v>1</v>
      </c>
      <c r="C23" s="165">
        <f>DECEMBER!E40</f>
        <v>-51</v>
      </c>
      <c r="D23" s="165"/>
      <c r="E23" s="165"/>
      <c r="F23" s="165" t="s">
        <v>1</v>
      </c>
      <c r="G23" s="165">
        <f>DECEMBER!I40</f>
        <v>-651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4300</v>
      </c>
      <c r="E24" s="165"/>
      <c r="F24" s="165" t="s">
        <v>325</v>
      </c>
      <c r="G24" s="226">
        <v>0.1</v>
      </c>
      <c r="H24" s="165">
        <f>D24</f>
        <v>4300</v>
      </c>
      <c r="I24" s="165"/>
    </row>
    <row r="25" spans="1:9" x14ac:dyDescent="0.25">
      <c r="A25" s="205"/>
      <c r="B25" s="223" t="s">
        <v>128</v>
      </c>
      <c r="C25" s="165" t="s">
        <v>206</v>
      </c>
      <c r="D25" s="165"/>
      <c r="E25" s="165"/>
      <c r="F25" s="223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420</v>
      </c>
      <c r="C27" s="165"/>
      <c r="D27" s="165">
        <v>1500</v>
      </c>
      <c r="E27" s="165"/>
      <c r="F27" s="165" t="s">
        <v>377</v>
      </c>
      <c r="G27" s="165"/>
      <c r="H27" s="165">
        <f>E17</f>
        <v>1200</v>
      </c>
      <c r="I27" s="165"/>
    </row>
    <row r="28" spans="1:9" x14ac:dyDescent="0.25">
      <c r="A28" s="204"/>
      <c r="B28" s="165" t="s">
        <v>421</v>
      </c>
      <c r="C28" s="165"/>
      <c r="D28" s="165">
        <v>10207</v>
      </c>
      <c r="E28" s="165"/>
      <c r="F28" s="165" t="s">
        <v>420</v>
      </c>
      <c r="G28" s="165"/>
      <c r="H28" s="165">
        <v>1500</v>
      </c>
      <c r="I28" s="165"/>
    </row>
    <row r="29" spans="1:9" x14ac:dyDescent="0.25">
      <c r="A29" s="204"/>
      <c r="B29" s="177" t="s">
        <v>380</v>
      </c>
      <c r="C29" s="165"/>
      <c r="D29" s="165">
        <v>500</v>
      </c>
      <c r="E29" s="165"/>
      <c r="F29" s="165" t="s">
        <v>421</v>
      </c>
      <c r="G29" s="165"/>
      <c r="H29" s="165">
        <v>10207</v>
      </c>
      <c r="I29" s="165"/>
    </row>
    <row r="30" spans="1:9" x14ac:dyDescent="0.25">
      <c r="A30" s="204"/>
      <c r="B30" s="165" t="s">
        <v>422</v>
      </c>
      <c r="C30" s="224"/>
      <c r="D30" s="165">
        <v>3000</v>
      </c>
      <c r="E30" s="165"/>
      <c r="F30" s="177" t="s">
        <v>380</v>
      </c>
      <c r="G30" s="165"/>
      <c r="H30" s="165">
        <v>500</v>
      </c>
      <c r="I30" s="165"/>
    </row>
    <row r="31" spans="1:9" x14ac:dyDescent="0.25">
      <c r="A31" s="204"/>
      <c r="B31" s="177" t="s">
        <v>424</v>
      </c>
      <c r="C31" s="224"/>
      <c r="D31" s="165">
        <v>7000</v>
      </c>
      <c r="E31" s="165"/>
      <c r="F31" s="165" t="s">
        <v>422</v>
      </c>
      <c r="G31" s="224"/>
      <c r="H31" s="165">
        <v>3000</v>
      </c>
      <c r="I31" s="165"/>
    </row>
    <row r="32" spans="1:9" x14ac:dyDescent="0.25">
      <c r="A32" s="204"/>
      <c r="B32" s="177" t="s">
        <v>425</v>
      </c>
      <c r="C32" s="224"/>
      <c r="D32" s="165">
        <v>14442</v>
      </c>
      <c r="E32" s="165"/>
      <c r="F32" s="177" t="s">
        <v>424</v>
      </c>
      <c r="G32" s="224"/>
      <c r="H32" s="165">
        <v>7000</v>
      </c>
      <c r="I32" s="165"/>
    </row>
    <row r="33" spans="1:11" x14ac:dyDescent="0.25">
      <c r="A33" s="204"/>
      <c r="B33" s="177" t="s">
        <v>426</v>
      </c>
      <c r="C33" s="220"/>
      <c r="D33" s="225">
        <v>1000</v>
      </c>
      <c r="E33" s="220"/>
      <c r="F33" s="177" t="s">
        <v>425</v>
      </c>
      <c r="G33" s="224"/>
      <c r="H33" s="165">
        <v>14442</v>
      </c>
      <c r="I33" s="165"/>
    </row>
    <row r="34" spans="1:11" x14ac:dyDescent="0.25">
      <c r="A34" s="204"/>
      <c r="B34" s="165"/>
      <c r="C34" s="224"/>
      <c r="D34" s="165"/>
      <c r="E34" s="165"/>
      <c r="F34" s="177" t="s">
        <v>426</v>
      </c>
      <c r="G34" s="220"/>
      <c r="H34" s="225">
        <v>1000</v>
      </c>
      <c r="I34" s="165"/>
    </row>
    <row r="35" spans="1:11" x14ac:dyDescent="0.25">
      <c r="A35" s="204"/>
      <c r="B35" s="165"/>
      <c r="C35" s="165"/>
      <c r="D35" s="165"/>
      <c r="E35" s="165"/>
      <c r="F35" s="165"/>
      <c r="G35" s="224"/>
      <c r="H35" s="165"/>
      <c r="I35" s="165"/>
    </row>
    <row r="36" spans="1:11" x14ac:dyDescent="0.25">
      <c r="A36" s="204"/>
      <c r="B36" s="165"/>
      <c r="C36" s="165"/>
      <c r="D36" s="165"/>
      <c r="E36" s="165"/>
      <c r="F36" s="165"/>
      <c r="G36" s="165"/>
      <c r="H36" s="165"/>
      <c r="I36" s="165"/>
    </row>
    <row r="37" spans="1:11" x14ac:dyDescent="0.25">
      <c r="B37" s="165"/>
      <c r="C37" s="165"/>
      <c r="D37" s="165"/>
      <c r="F37" s="165"/>
      <c r="G37" s="165"/>
      <c r="H37" s="165"/>
      <c r="I37" s="165"/>
    </row>
    <row r="38" spans="1:11" x14ac:dyDescent="0.25">
      <c r="A38" s="205"/>
      <c r="B38" s="165"/>
      <c r="C38" s="165"/>
      <c r="D38" s="165"/>
      <c r="E38" s="165"/>
      <c r="F38" s="165"/>
      <c r="G38" s="165"/>
      <c r="H38" s="165"/>
      <c r="I38" s="165"/>
    </row>
    <row r="39" spans="1:11" x14ac:dyDescent="0.25">
      <c r="A39" s="205"/>
      <c r="B39" s="165"/>
      <c r="C39" s="165"/>
      <c r="D39" s="165"/>
      <c r="E39" s="165"/>
      <c r="F39" s="165"/>
      <c r="G39" s="165"/>
      <c r="H39" s="165"/>
      <c r="I39" s="165"/>
    </row>
    <row r="40" spans="1:11" x14ac:dyDescent="0.25">
      <c r="B40" s="223" t="s">
        <v>129</v>
      </c>
      <c r="C40" s="223">
        <f>C22+C23-D24</f>
        <v>38649</v>
      </c>
      <c r="D40" s="223">
        <f>SUM(D26:D39)</f>
        <v>39649</v>
      </c>
      <c r="E40" s="223">
        <f>C40-D40</f>
        <v>-1000</v>
      </c>
      <c r="F40" s="223" t="s">
        <v>129</v>
      </c>
      <c r="G40" s="223">
        <f>G22+G23-H24</f>
        <v>39049</v>
      </c>
      <c r="H40" s="223">
        <f>SUM(H26:H39)</f>
        <v>40849</v>
      </c>
      <c r="I40" s="165">
        <f>G40-H40</f>
        <v>-1800</v>
      </c>
    </row>
    <row r="42" spans="1:11" x14ac:dyDescent="0.25">
      <c r="B42" s="23" t="s">
        <v>357</v>
      </c>
      <c r="D42" s="23" t="s">
        <v>359</v>
      </c>
      <c r="G42" s="23" t="s">
        <v>361</v>
      </c>
    </row>
    <row r="44" spans="1:11" x14ac:dyDescent="0.25">
      <c r="B44" s="23" t="s">
        <v>358</v>
      </c>
      <c r="D44" s="23" t="s">
        <v>360</v>
      </c>
      <c r="G44" s="23" t="s">
        <v>158</v>
      </c>
    </row>
    <row r="45" spans="1:11" x14ac:dyDescent="0.25">
      <c r="K45" s="214"/>
    </row>
  </sheetData>
  <pageMargins left="0.25" right="0.25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22" sqref="G22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8.7109375" style="23" customWidth="1"/>
    <col min="7" max="7" width="11.285156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427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3100</v>
      </c>
      <c r="H8" s="165">
        <f t="shared" si="1"/>
        <v>0</v>
      </c>
    </row>
    <row r="9" spans="1:8" x14ac:dyDescent="0.25">
      <c r="A9" s="151">
        <v>5</v>
      </c>
      <c r="B9" s="151" t="s">
        <v>369</v>
      </c>
      <c r="C9" s="165">
        <v>100</v>
      </c>
      <c r="D9" s="165">
        <v>3000</v>
      </c>
      <c r="E9" s="165">
        <v>100</v>
      </c>
      <c r="F9" s="165">
        <f>C9+D9+E9</f>
        <v>3200</v>
      </c>
      <c r="G9" s="215">
        <v>3000</v>
      </c>
      <c r="H9" s="165">
        <f t="shared" si="1"/>
        <v>200</v>
      </c>
    </row>
    <row r="10" spans="1:8" x14ac:dyDescent="0.25">
      <c r="A10" s="151">
        <v>6</v>
      </c>
      <c r="B10" s="151" t="s">
        <v>402</v>
      </c>
      <c r="C10" s="165"/>
      <c r="D10" s="165">
        <v>3000</v>
      </c>
      <c r="E10" s="165">
        <v>100</v>
      </c>
      <c r="F10" s="165">
        <f>C10+D10+E10</f>
        <v>3100</v>
      </c>
      <c r="G10" s="215">
        <v>3100</v>
      </c>
      <c r="H10" s="165">
        <f t="shared" si="1"/>
        <v>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3100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1800</v>
      </c>
      <c r="D15" s="165">
        <v>4500</v>
      </c>
      <c r="E15" s="165">
        <v>100</v>
      </c>
      <c r="F15" s="165">
        <f t="shared" si="0"/>
        <v>6400</v>
      </c>
      <c r="G15" s="215">
        <v>4500</v>
      </c>
      <c r="H15" s="165">
        <f t="shared" si="1"/>
        <v>1900</v>
      </c>
    </row>
    <row r="16" spans="1:8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1900</v>
      </c>
      <c r="D17" s="217">
        <f t="shared" si="2"/>
        <v>36000</v>
      </c>
      <c r="E17" s="217">
        <f t="shared" si="2"/>
        <v>1100</v>
      </c>
      <c r="F17" s="217">
        <f t="shared" si="2"/>
        <v>39000</v>
      </c>
      <c r="G17" s="217">
        <f t="shared" si="2"/>
        <v>36900</v>
      </c>
      <c r="H17" s="217">
        <f t="shared" si="2"/>
        <v>2100</v>
      </c>
    </row>
    <row r="18" spans="1:9" x14ac:dyDescent="0.25">
      <c r="A18" s="204"/>
    </row>
    <row r="19" spans="1:9" x14ac:dyDescent="0.25">
      <c r="B19" s="83" t="s">
        <v>121</v>
      </c>
      <c r="C19" s="208"/>
      <c r="D19" s="209"/>
      <c r="E19" s="146"/>
      <c r="F19" s="147"/>
      <c r="G19" s="210">
        <f>G17-900</f>
        <v>36000</v>
      </c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428</v>
      </c>
      <c r="C22" s="165">
        <f>D17</f>
        <v>36000</v>
      </c>
      <c r="D22" s="165"/>
      <c r="E22" s="165"/>
      <c r="F22" s="165" t="s">
        <v>428</v>
      </c>
      <c r="G22" s="232">
        <f>G17</f>
        <v>36900</v>
      </c>
      <c r="H22" s="165"/>
      <c r="I22" s="165"/>
    </row>
    <row r="23" spans="1:9" x14ac:dyDescent="0.25">
      <c r="A23" s="204"/>
      <c r="B23" s="165" t="s">
        <v>1</v>
      </c>
      <c r="C23" s="165">
        <f>JANUARY!E40</f>
        <v>-1000</v>
      </c>
      <c r="D23" s="165"/>
      <c r="E23" s="165"/>
      <c r="F23" s="165" t="s">
        <v>1</v>
      </c>
      <c r="G23" s="165">
        <f>JANUARY!I40</f>
        <v>-1800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23" t="s">
        <v>128</v>
      </c>
      <c r="C25" s="165" t="s">
        <v>206</v>
      </c>
      <c r="D25" s="165"/>
      <c r="E25" s="165"/>
      <c r="F25" s="223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328</v>
      </c>
      <c r="C27" s="165"/>
      <c r="D27" s="165">
        <v>3000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429</v>
      </c>
      <c r="C28" s="165"/>
      <c r="D28" s="165">
        <v>10197</v>
      </c>
      <c r="E28" s="165"/>
      <c r="F28" s="165" t="s">
        <v>328</v>
      </c>
      <c r="G28" s="165"/>
      <c r="H28" s="165">
        <v>3000</v>
      </c>
      <c r="I28" s="165"/>
    </row>
    <row r="29" spans="1:9" x14ac:dyDescent="0.25">
      <c r="A29" s="204"/>
      <c r="B29" s="177" t="s">
        <v>430</v>
      </c>
      <c r="C29" s="165"/>
      <c r="D29" s="165">
        <v>2500</v>
      </c>
      <c r="E29" s="165"/>
      <c r="F29" s="165" t="s">
        <v>429</v>
      </c>
      <c r="G29" s="165"/>
      <c r="H29" s="165">
        <v>10197</v>
      </c>
      <c r="I29" s="165"/>
    </row>
    <row r="30" spans="1:9" x14ac:dyDescent="0.25">
      <c r="A30" s="204"/>
      <c r="B30" s="165" t="s">
        <v>431</v>
      </c>
      <c r="C30" s="224"/>
      <c r="D30" s="165">
        <v>13700</v>
      </c>
      <c r="E30" s="165"/>
      <c r="F30" s="177" t="s">
        <v>430</v>
      </c>
      <c r="G30" s="165"/>
      <c r="H30" s="165">
        <v>2500</v>
      </c>
      <c r="I30" s="165"/>
    </row>
    <row r="31" spans="1:9" x14ac:dyDescent="0.25">
      <c r="A31" s="204"/>
      <c r="B31" s="177" t="s">
        <v>433</v>
      </c>
      <c r="C31" s="224"/>
      <c r="D31" s="165">
        <v>1000</v>
      </c>
      <c r="E31" s="165"/>
      <c r="F31" s="165" t="s">
        <v>431</v>
      </c>
      <c r="G31" s="224"/>
      <c r="H31" s="165">
        <v>13700</v>
      </c>
      <c r="I31" s="165"/>
    </row>
    <row r="32" spans="1:9" x14ac:dyDescent="0.25">
      <c r="A32" s="204"/>
      <c r="B32" s="177" t="s">
        <v>104</v>
      </c>
      <c r="C32" s="224"/>
      <c r="D32" s="165">
        <v>500</v>
      </c>
      <c r="E32" s="165"/>
      <c r="F32" s="177" t="s">
        <v>433</v>
      </c>
      <c r="G32" s="224"/>
      <c r="H32" s="165">
        <v>1000</v>
      </c>
      <c r="I32" s="165"/>
    </row>
    <row r="33" spans="1:11" x14ac:dyDescent="0.25">
      <c r="A33" s="204"/>
      <c r="B33" s="177"/>
      <c r="C33" s="220"/>
      <c r="D33" s="225"/>
      <c r="E33" s="220"/>
      <c r="F33" s="177" t="s">
        <v>104</v>
      </c>
      <c r="G33" s="224"/>
      <c r="H33" s="165">
        <v>500</v>
      </c>
      <c r="I33" s="165"/>
    </row>
    <row r="34" spans="1:11" x14ac:dyDescent="0.25">
      <c r="A34" s="204"/>
      <c r="B34" s="165"/>
      <c r="C34" s="224"/>
      <c r="D34" s="165"/>
      <c r="E34" s="165"/>
      <c r="F34" s="177"/>
      <c r="G34" s="220"/>
      <c r="H34" s="225"/>
      <c r="I34" s="165"/>
    </row>
    <row r="35" spans="1:11" x14ac:dyDescent="0.25">
      <c r="B35" s="223" t="s">
        <v>129</v>
      </c>
      <c r="C35" s="223">
        <f>C22+C23-D24</f>
        <v>31400</v>
      </c>
      <c r="D35" s="223">
        <f>SUM(D26:D34)</f>
        <v>32897</v>
      </c>
      <c r="E35" s="223">
        <f>C35-D35</f>
        <v>-1497</v>
      </c>
      <c r="F35" s="223" t="s">
        <v>129</v>
      </c>
      <c r="G35" s="223">
        <f>G22+G23-H24</f>
        <v>31500</v>
      </c>
      <c r="H35" s="223">
        <f>SUM(H26:H34)</f>
        <v>33997</v>
      </c>
      <c r="I35" s="165">
        <f>G35-H35</f>
        <v>-2497</v>
      </c>
    </row>
    <row r="37" spans="1:11" x14ac:dyDescent="0.25">
      <c r="B37" s="23" t="s">
        <v>357</v>
      </c>
      <c r="D37" s="23" t="s">
        <v>359</v>
      </c>
      <c r="G37" s="23" t="s">
        <v>361</v>
      </c>
    </row>
    <row r="39" spans="1:11" x14ac:dyDescent="0.25">
      <c r="B39" s="23" t="s">
        <v>358</v>
      </c>
      <c r="D39" s="23" t="s">
        <v>360</v>
      </c>
      <c r="G39" s="23" t="s">
        <v>158</v>
      </c>
    </row>
    <row r="40" spans="1:11" x14ac:dyDescent="0.25">
      <c r="K40" s="214"/>
    </row>
  </sheetData>
  <pageMargins left="0.25" right="0.25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22" sqref="G22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7.2851562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432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3000</v>
      </c>
      <c r="H8" s="165">
        <f t="shared" si="1"/>
        <v>100</v>
      </c>
    </row>
    <row r="9" spans="1:8" x14ac:dyDescent="0.25">
      <c r="A9" s="151">
        <v>5</v>
      </c>
      <c r="B9" s="151" t="s">
        <v>369</v>
      </c>
      <c r="C9" s="165">
        <v>200</v>
      </c>
      <c r="D9" s="165">
        <v>3000</v>
      </c>
      <c r="E9" s="165">
        <v>100</v>
      </c>
      <c r="F9" s="165">
        <f>C9+D9+E9</f>
        <v>3300</v>
      </c>
      <c r="G9" s="215">
        <v>3300</v>
      </c>
      <c r="H9" s="165">
        <f t="shared" si="1"/>
        <v>0</v>
      </c>
    </row>
    <row r="10" spans="1:8" x14ac:dyDescent="0.25">
      <c r="A10" s="151">
        <v>6</v>
      </c>
      <c r="B10" s="151" t="s">
        <v>402</v>
      </c>
      <c r="C10" s="165"/>
      <c r="D10" s="165">
        <v>3000</v>
      </c>
      <c r="E10" s="165">
        <v>100</v>
      </c>
      <c r="F10" s="165">
        <f>C10+D10+E10</f>
        <v>3100</v>
      </c>
      <c r="G10" s="215">
        <v>3100</v>
      </c>
      <c r="H10" s="165">
        <f t="shared" si="1"/>
        <v>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3000</v>
      </c>
      <c r="H11" s="165">
        <f t="shared" si="1"/>
        <v>100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1900</v>
      </c>
      <c r="D15" s="165">
        <v>4500</v>
      </c>
      <c r="E15" s="165">
        <v>100</v>
      </c>
      <c r="F15" s="165">
        <f t="shared" si="0"/>
        <v>6500</v>
      </c>
      <c r="G15" s="215">
        <v>4600</v>
      </c>
      <c r="H15" s="165">
        <f t="shared" si="1"/>
        <v>1900</v>
      </c>
    </row>
    <row r="16" spans="1:8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2100</v>
      </c>
      <c r="D17" s="217">
        <f t="shared" si="2"/>
        <v>36000</v>
      </c>
      <c r="E17" s="217">
        <f t="shared" si="2"/>
        <v>1100</v>
      </c>
      <c r="F17" s="217">
        <f t="shared" si="2"/>
        <v>39200</v>
      </c>
      <c r="G17" s="217">
        <f t="shared" si="2"/>
        <v>37100</v>
      </c>
      <c r="H17" s="217">
        <f t="shared" si="2"/>
        <v>2100</v>
      </c>
    </row>
    <row r="18" spans="1:9" x14ac:dyDescent="0.25">
      <c r="A18" s="204"/>
      <c r="G18" s="23">
        <f>G17-1100</f>
        <v>36000</v>
      </c>
    </row>
    <row r="19" spans="1:9" x14ac:dyDescent="0.25">
      <c r="B19" s="83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353</v>
      </c>
      <c r="C22" s="165">
        <f>D17</f>
        <v>36000</v>
      </c>
      <c r="D22" s="165"/>
      <c r="E22" s="165"/>
      <c r="F22" s="165" t="s">
        <v>353</v>
      </c>
      <c r="G22" s="165">
        <f>G17</f>
        <v>37100</v>
      </c>
      <c r="H22" s="165"/>
      <c r="I22" s="165"/>
    </row>
    <row r="23" spans="1:9" x14ac:dyDescent="0.25">
      <c r="A23" s="204"/>
      <c r="B23" s="165" t="s">
        <v>1</v>
      </c>
      <c r="C23" s="165">
        <f>FEBRUARY!E35</f>
        <v>-1497</v>
      </c>
      <c r="D23" s="165"/>
      <c r="E23" s="165"/>
      <c r="F23" s="165" t="s">
        <v>1</v>
      </c>
      <c r="G23" s="165">
        <f>FEBRUARY!I35</f>
        <v>-2497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23" t="s">
        <v>128</v>
      </c>
      <c r="C25" s="165" t="s">
        <v>206</v>
      </c>
      <c r="D25" s="165"/>
      <c r="E25" s="165"/>
      <c r="F25" s="223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434</v>
      </c>
      <c r="C27" s="165"/>
      <c r="D27" s="165">
        <v>10200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435</v>
      </c>
      <c r="C28" s="165"/>
      <c r="D28" s="165">
        <v>2000</v>
      </c>
      <c r="E28" s="165"/>
      <c r="F28" s="165" t="s">
        <v>434</v>
      </c>
      <c r="G28" s="165"/>
      <c r="H28" s="165">
        <v>10200</v>
      </c>
      <c r="I28" s="165"/>
    </row>
    <row r="29" spans="1:9" x14ac:dyDescent="0.25">
      <c r="A29" s="204"/>
      <c r="B29" s="177" t="s">
        <v>328</v>
      </c>
      <c r="C29" s="165"/>
      <c r="D29" s="165">
        <v>3000</v>
      </c>
      <c r="E29" s="165"/>
      <c r="F29" s="165" t="s">
        <v>435</v>
      </c>
      <c r="G29" s="165"/>
      <c r="H29" s="165">
        <v>2000</v>
      </c>
      <c r="I29" s="165"/>
    </row>
    <row r="30" spans="1:9" x14ac:dyDescent="0.25">
      <c r="A30" s="204"/>
      <c r="B30" s="165" t="s">
        <v>104</v>
      </c>
      <c r="C30" s="224"/>
      <c r="D30" s="165">
        <v>500</v>
      </c>
      <c r="E30" s="165"/>
      <c r="F30" s="177" t="s">
        <v>328</v>
      </c>
      <c r="G30" s="165"/>
      <c r="H30" s="165">
        <v>3000</v>
      </c>
      <c r="I30" s="165"/>
    </row>
    <row r="31" spans="1:9" x14ac:dyDescent="0.25">
      <c r="A31" s="204"/>
      <c r="B31" s="177" t="s">
        <v>436</v>
      </c>
      <c r="C31" s="224"/>
      <c r="D31" s="165">
        <v>13203</v>
      </c>
      <c r="E31" s="165"/>
      <c r="F31" s="165" t="s">
        <v>104</v>
      </c>
      <c r="G31" s="224"/>
      <c r="H31" s="165">
        <v>500</v>
      </c>
      <c r="I31" s="165"/>
    </row>
    <row r="32" spans="1:9" x14ac:dyDescent="0.25">
      <c r="A32" s="204"/>
      <c r="B32" s="177" t="s">
        <v>437</v>
      </c>
      <c r="C32" s="224"/>
      <c r="D32" s="165">
        <v>1000</v>
      </c>
      <c r="E32" s="165"/>
      <c r="F32" s="177" t="s">
        <v>436</v>
      </c>
      <c r="G32" s="224"/>
      <c r="H32" s="165">
        <v>13203</v>
      </c>
      <c r="I32" s="165"/>
    </row>
    <row r="33" spans="1:11" x14ac:dyDescent="0.25">
      <c r="A33" s="204"/>
      <c r="B33" s="177"/>
      <c r="C33" s="220"/>
      <c r="D33" s="225"/>
      <c r="E33" s="220"/>
      <c r="F33" s="177" t="s">
        <v>437</v>
      </c>
      <c r="G33" s="224"/>
      <c r="H33" s="165">
        <v>1000</v>
      </c>
      <c r="I33" s="165"/>
    </row>
    <row r="34" spans="1:11" x14ac:dyDescent="0.25">
      <c r="A34" s="204"/>
      <c r="B34" s="165"/>
      <c r="C34" s="224"/>
      <c r="D34" s="165"/>
      <c r="E34" s="165"/>
      <c r="F34" s="177"/>
      <c r="G34" s="220"/>
      <c r="H34" s="225"/>
      <c r="I34" s="165"/>
    </row>
    <row r="35" spans="1:11" x14ac:dyDescent="0.25">
      <c r="B35" s="223" t="s">
        <v>129</v>
      </c>
      <c r="C35" s="223">
        <f>C22+C23-D24</f>
        <v>30903</v>
      </c>
      <c r="D35" s="223">
        <f>SUM(D26:D34)</f>
        <v>31903</v>
      </c>
      <c r="E35" s="223">
        <f>C35-D35</f>
        <v>-1000</v>
      </c>
      <c r="F35" s="223" t="s">
        <v>129</v>
      </c>
      <c r="G35" s="223">
        <f>G22+G23-H24</f>
        <v>31003</v>
      </c>
      <c r="H35" s="223">
        <f>SUM(H26:H34)</f>
        <v>33003</v>
      </c>
      <c r="I35" s="165">
        <f>G35-H35</f>
        <v>-2000</v>
      </c>
    </row>
    <row r="37" spans="1:11" x14ac:dyDescent="0.25">
      <c r="B37" s="23" t="s">
        <v>357</v>
      </c>
      <c r="D37" s="23" t="s">
        <v>359</v>
      </c>
      <c r="G37" s="23" t="s">
        <v>361</v>
      </c>
    </row>
    <row r="39" spans="1:11" x14ac:dyDescent="0.25">
      <c r="B39" s="23" t="s">
        <v>358</v>
      </c>
      <c r="D39" s="23" t="s">
        <v>360</v>
      </c>
      <c r="G39" s="23" t="s">
        <v>158</v>
      </c>
    </row>
    <row r="40" spans="1:11" x14ac:dyDescent="0.25">
      <c r="K40" s="214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workbookViewId="0">
      <selection activeCell="G22" sqref="G22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7.2851562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438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>
        <v>100</v>
      </c>
      <c r="D8" s="165">
        <v>3000</v>
      </c>
      <c r="E8" s="165">
        <v>100</v>
      </c>
      <c r="F8" s="165">
        <f t="shared" si="0"/>
        <v>3200</v>
      </c>
      <c r="G8" s="215">
        <v>3200</v>
      </c>
      <c r="H8" s="165">
        <f t="shared" si="1"/>
        <v>0</v>
      </c>
    </row>
    <row r="9" spans="1:8" x14ac:dyDescent="0.25">
      <c r="A9" s="151">
        <v>5</v>
      </c>
      <c r="B9" s="151" t="s">
        <v>369</v>
      </c>
      <c r="C9" s="165"/>
      <c r="D9" s="165">
        <v>3000</v>
      </c>
      <c r="E9" s="165">
        <v>100</v>
      </c>
      <c r="F9" s="165">
        <f>C9+D9+E9</f>
        <v>3100</v>
      </c>
      <c r="G9" s="215">
        <v>3000</v>
      </c>
      <c r="H9" s="165">
        <f t="shared" si="1"/>
        <v>100</v>
      </c>
    </row>
    <row r="10" spans="1:8" x14ac:dyDescent="0.25">
      <c r="A10" s="151">
        <v>6</v>
      </c>
      <c r="B10" s="151" t="s">
        <v>402</v>
      </c>
      <c r="C10" s="165"/>
      <c r="D10" s="165">
        <v>3000</v>
      </c>
      <c r="E10" s="165">
        <v>100</v>
      </c>
      <c r="F10" s="165">
        <f>C10+D10+E10</f>
        <v>3100</v>
      </c>
      <c r="G10" s="215">
        <v>3100</v>
      </c>
      <c r="H10" s="165">
        <f t="shared" si="1"/>
        <v>0</v>
      </c>
    </row>
    <row r="11" spans="1:8" x14ac:dyDescent="0.25">
      <c r="A11" s="151">
        <v>7</v>
      </c>
      <c r="B11" s="151" t="s">
        <v>408</v>
      </c>
      <c r="C11" s="165">
        <v>100</v>
      </c>
      <c r="D11" s="165">
        <v>3000</v>
      </c>
      <c r="E11" s="165">
        <v>100</v>
      </c>
      <c r="F11" s="165">
        <f t="shared" si="0"/>
        <v>3200</v>
      </c>
      <c r="G11" s="165">
        <v>3200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2500</v>
      </c>
      <c r="H13" s="165">
        <f t="shared" si="1"/>
        <v>600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1900</v>
      </c>
      <c r="D15" s="165">
        <v>4500</v>
      </c>
      <c r="E15" s="165">
        <v>100</v>
      </c>
      <c r="F15" s="165">
        <f t="shared" si="0"/>
        <v>6500</v>
      </c>
      <c r="G15" s="215">
        <v>4100</v>
      </c>
      <c r="H15" s="165">
        <f t="shared" si="1"/>
        <v>2400</v>
      </c>
    </row>
    <row r="16" spans="1:8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2100</v>
      </c>
      <c r="D17" s="217">
        <f t="shared" si="2"/>
        <v>36000</v>
      </c>
      <c r="E17" s="217">
        <f t="shared" si="2"/>
        <v>1100</v>
      </c>
      <c r="F17" s="217">
        <f t="shared" si="2"/>
        <v>39200</v>
      </c>
      <c r="G17" s="217">
        <f t="shared" si="2"/>
        <v>36100</v>
      </c>
      <c r="H17" s="217">
        <f t="shared" si="2"/>
        <v>3100</v>
      </c>
    </row>
    <row r="18" spans="1:9" x14ac:dyDescent="0.25">
      <c r="A18" s="204"/>
    </row>
    <row r="19" spans="1:9" x14ac:dyDescent="0.25">
      <c r="B19" s="227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365</v>
      </c>
      <c r="C22" s="165">
        <f>D17</f>
        <v>36000</v>
      </c>
      <c r="D22" s="165"/>
      <c r="E22" s="165"/>
      <c r="F22" s="165" t="s">
        <v>365</v>
      </c>
      <c r="G22" s="165">
        <f>G17</f>
        <v>36100</v>
      </c>
      <c r="H22" s="165"/>
      <c r="I22" s="165"/>
    </row>
    <row r="23" spans="1:9" x14ac:dyDescent="0.25">
      <c r="A23" s="204"/>
      <c r="B23" s="165" t="s">
        <v>1</v>
      </c>
      <c r="C23" s="165">
        <f>'MARCH '!E35</f>
        <v>-1000</v>
      </c>
      <c r="D23" s="165"/>
      <c r="E23" s="165"/>
      <c r="F23" s="165" t="s">
        <v>1</v>
      </c>
      <c r="G23" s="165">
        <f>'MARCH '!I35</f>
        <v>-2000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17" t="s">
        <v>128</v>
      </c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380</v>
      </c>
      <c r="C27" s="165"/>
      <c r="D27" s="165">
        <v>500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439</v>
      </c>
      <c r="C28" s="165"/>
      <c r="D28" s="165">
        <v>10200</v>
      </c>
      <c r="E28" s="165"/>
      <c r="F28" s="165" t="s">
        <v>380</v>
      </c>
      <c r="G28" s="165"/>
      <c r="H28" s="165">
        <v>500</v>
      </c>
      <c r="I28" s="165"/>
    </row>
    <row r="29" spans="1:9" x14ac:dyDescent="0.25">
      <c r="A29" s="204"/>
      <c r="B29" s="177" t="s">
        <v>439</v>
      </c>
      <c r="C29" s="165"/>
      <c r="D29" s="165">
        <v>1000</v>
      </c>
      <c r="E29" s="165"/>
      <c r="F29" s="165" t="s">
        <v>439</v>
      </c>
      <c r="G29" s="165"/>
      <c r="H29" s="165">
        <v>10200</v>
      </c>
      <c r="I29" s="165"/>
    </row>
    <row r="30" spans="1:9" x14ac:dyDescent="0.25">
      <c r="A30" s="204"/>
      <c r="B30" s="165" t="s">
        <v>440</v>
      </c>
      <c r="C30" s="224"/>
      <c r="D30" s="165">
        <v>18000</v>
      </c>
      <c r="E30" s="165"/>
      <c r="F30" s="177" t="s">
        <v>439</v>
      </c>
      <c r="G30" s="165"/>
      <c r="H30" s="165">
        <v>1000</v>
      </c>
      <c r="I30" s="165"/>
    </row>
    <row r="31" spans="1:9" x14ac:dyDescent="0.25">
      <c r="A31" s="204"/>
      <c r="B31" s="177" t="s">
        <v>441</v>
      </c>
      <c r="C31" s="224"/>
      <c r="D31" s="165">
        <v>1056</v>
      </c>
      <c r="E31" s="165"/>
      <c r="F31" s="165" t="s">
        <v>440</v>
      </c>
      <c r="G31" s="224"/>
      <c r="H31" s="165">
        <v>18000</v>
      </c>
      <c r="I31" s="165"/>
    </row>
    <row r="32" spans="1:9" x14ac:dyDescent="0.25">
      <c r="A32" s="204"/>
      <c r="B32" s="177"/>
      <c r="C32" s="224"/>
      <c r="D32" s="165"/>
      <c r="E32" s="165"/>
      <c r="F32" s="177" t="s">
        <v>441</v>
      </c>
      <c r="G32" s="224"/>
      <c r="H32" s="165">
        <v>1056</v>
      </c>
      <c r="I32" s="165"/>
    </row>
    <row r="33" spans="1:11" x14ac:dyDescent="0.25">
      <c r="A33" s="204"/>
      <c r="B33" s="177"/>
      <c r="C33" s="220"/>
      <c r="D33" s="225"/>
      <c r="E33" s="220"/>
      <c r="F33" s="177"/>
      <c r="G33" s="224"/>
      <c r="H33" s="165"/>
      <c r="I33" s="165"/>
    </row>
    <row r="34" spans="1:11" x14ac:dyDescent="0.25">
      <c r="A34" s="204"/>
      <c r="B34" s="165"/>
      <c r="C34" s="224"/>
      <c r="D34" s="165"/>
      <c r="E34" s="165"/>
      <c r="F34" s="177"/>
      <c r="G34" s="220"/>
      <c r="H34" s="225"/>
      <c r="I34" s="165"/>
    </row>
    <row r="35" spans="1:11" x14ac:dyDescent="0.25">
      <c r="B35" s="217" t="s">
        <v>129</v>
      </c>
      <c r="C35" s="217">
        <f>C22+C23-D24</f>
        <v>31400</v>
      </c>
      <c r="D35" s="217">
        <f>SUM(D26:D34)</f>
        <v>32756</v>
      </c>
      <c r="E35" s="217">
        <f>C35-D35</f>
        <v>-1356</v>
      </c>
      <c r="F35" s="217" t="s">
        <v>129</v>
      </c>
      <c r="G35" s="217">
        <f>G22+G23-H24</f>
        <v>30500</v>
      </c>
      <c r="H35" s="217">
        <f>SUM(H26:H34)</f>
        <v>33856</v>
      </c>
      <c r="I35" s="221">
        <f>G35-H35</f>
        <v>-3356</v>
      </c>
    </row>
    <row r="37" spans="1:11" x14ac:dyDescent="0.25">
      <c r="B37" s="23" t="s">
        <v>357</v>
      </c>
      <c r="D37" s="23" t="s">
        <v>359</v>
      </c>
      <c r="G37" s="23" t="s">
        <v>361</v>
      </c>
    </row>
    <row r="39" spans="1:11" x14ac:dyDescent="0.25">
      <c r="B39" s="23" t="s">
        <v>358</v>
      </c>
      <c r="D39" s="23" t="s">
        <v>360</v>
      </c>
      <c r="G39" s="23" t="s">
        <v>158</v>
      </c>
    </row>
    <row r="40" spans="1:11" x14ac:dyDescent="0.25">
      <c r="K40" s="214"/>
    </row>
  </sheetData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22" sqref="G22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7.2851562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442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/>
      <c r="H5" s="165">
        <f>F5-G5</f>
        <v>3100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3000</v>
      </c>
      <c r="H8" s="165">
        <f t="shared" si="1"/>
        <v>100</v>
      </c>
    </row>
    <row r="9" spans="1:8" x14ac:dyDescent="0.25">
      <c r="A9" s="151">
        <v>5</v>
      </c>
      <c r="B9" s="151" t="s">
        <v>369</v>
      </c>
      <c r="C9" s="165">
        <v>100</v>
      </c>
      <c r="D9" s="165">
        <v>3000</v>
      </c>
      <c r="E9" s="165">
        <v>100</v>
      </c>
      <c r="F9" s="165">
        <f>C9+D9+E9</f>
        <v>3200</v>
      </c>
      <c r="G9" s="215">
        <v>3000</v>
      </c>
      <c r="H9" s="165">
        <f t="shared" si="1"/>
        <v>200</v>
      </c>
    </row>
    <row r="10" spans="1:8" x14ac:dyDescent="0.25">
      <c r="A10" s="151">
        <v>6</v>
      </c>
      <c r="B10" s="151" t="s">
        <v>402</v>
      </c>
      <c r="C10" s="165"/>
      <c r="D10" s="165">
        <v>3000</v>
      </c>
      <c r="E10" s="165">
        <v>100</v>
      </c>
      <c r="F10" s="165">
        <f>C10+D10+E10</f>
        <v>3100</v>
      </c>
      <c r="G10" s="215">
        <v>2800</v>
      </c>
      <c r="H10" s="165">
        <f t="shared" si="1"/>
        <v>300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3100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>
        <v>600</v>
      </c>
      <c r="D13" s="165">
        <v>3000</v>
      </c>
      <c r="E13" s="165">
        <v>100</v>
      </c>
      <c r="F13" s="165">
        <f t="shared" si="0"/>
        <v>3700</v>
      </c>
      <c r="G13" s="215">
        <v>3700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2400</v>
      </c>
      <c r="D15" s="165">
        <v>4500</v>
      </c>
      <c r="E15" s="165">
        <v>100</v>
      </c>
      <c r="F15" s="165">
        <f t="shared" si="0"/>
        <v>7000</v>
      </c>
      <c r="G15" s="215">
        <v>5000</v>
      </c>
      <c r="H15" s="165">
        <f t="shared" si="1"/>
        <v>2000</v>
      </c>
    </row>
    <row r="16" spans="1:8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3100</v>
      </c>
      <c r="D17" s="217">
        <f t="shared" si="2"/>
        <v>36000</v>
      </c>
      <c r="E17" s="217">
        <f t="shared" si="2"/>
        <v>1100</v>
      </c>
      <c r="F17" s="217">
        <f t="shared" si="2"/>
        <v>40200</v>
      </c>
      <c r="G17" s="217">
        <f t="shared" si="2"/>
        <v>34500</v>
      </c>
      <c r="H17" s="217">
        <f t="shared" si="2"/>
        <v>5700</v>
      </c>
    </row>
    <row r="18" spans="1:9" x14ac:dyDescent="0.25">
      <c r="A18" s="204"/>
    </row>
    <row r="19" spans="1:9" x14ac:dyDescent="0.25">
      <c r="B19" s="227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443</v>
      </c>
      <c r="C22" s="165">
        <f>D17</f>
        <v>36000</v>
      </c>
      <c r="D22" s="165"/>
      <c r="E22" s="165"/>
      <c r="F22" s="165" t="s">
        <v>443</v>
      </c>
      <c r="G22" s="165">
        <f>G17</f>
        <v>34500</v>
      </c>
      <c r="H22" s="165"/>
      <c r="I22" s="165"/>
    </row>
    <row r="23" spans="1:9" x14ac:dyDescent="0.25">
      <c r="A23" s="204"/>
      <c r="B23" s="165" t="s">
        <v>1</v>
      </c>
      <c r="C23" s="165">
        <f>APR!E35</f>
        <v>-1356</v>
      </c>
      <c r="D23" s="165"/>
      <c r="E23" s="165"/>
      <c r="F23" s="165" t="s">
        <v>1</v>
      </c>
      <c r="G23" s="165">
        <f>APR!I35</f>
        <v>-3356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17" t="s">
        <v>128</v>
      </c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444</v>
      </c>
      <c r="C27" s="165"/>
      <c r="D27" s="165">
        <v>10200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445</v>
      </c>
      <c r="C28" s="165"/>
      <c r="D28" s="165">
        <v>715</v>
      </c>
      <c r="E28" s="165"/>
      <c r="F28" s="165" t="s">
        <v>444</v>
      </c>
      <c r="G28" s="165"/>
      <c r="H28" s="165">
        <v>10200</v>
      </c>
      <c r="I28" s="165"/>
    </row>
    <row r="29" spans="1:9" x14ac:dyDescent="0.25">
      <c r="A29" s="204"/>
      <c r="B29" s="177" t="s">
        <v>328</v>
      </c>
      <c r="C29" s="165"/>
      <c r="D29" s="165">
        <v>3000</v>
      </c>
      <c r="E29" s="165"/>
      <c r="F29" s="165" t="s">
        <v>445</v>
      </c>
      <c r="G29" s="165"/>
      <c r="H29" s="165">
        <v>715</v>
      </c>
      <c r="I29" s="165"/>
    </row>
    <row r="30" spans="1:9" x14ac:dyDescent="0.25">
      <c r="A30" s="204"/>
      <c r="B30" s="165" t="s">
        <v>446</v>
      </c>
      <c r="C30" s="224"/>
      <c r="D30" s="165">
        <v>15097</v>
      </c>
      <c r="E30" s="165"/>
      <c r="F30" s="177" t="s">
        <v>328</v>
      </c>
      <c r="G30" s="165"/>
      <c r="H30" s="165">
        <v>3000</v>
      </c>
      <c r="I30" s="165"/>
    </row>
    <row r="31" spans="1:9" x14ac:dyDescent="0.25">
      <c r="A31" s="204"/>
      <c r="B31" s="177"/>
      <c r="C31" s="224"/>
      <c r="D31" s="165"/>
      <c r="E31" s="165"/>
      <c r="F31" s="165" t="s">
        <v>446</v>
      </c>
      <c r="G31" s="224"/>
      <c r="H31" s="165">
        <v>15097</v>
      </c>
      <c r="I31" s="165"/>
    </row>
    <row r="32" spans="1:9" x14ac:dyDescent="0.25">
      <c r="A32" s="204"/>
      <c r="B32" s="177"/>
      <c r="C32" s="224"/>
      <c r="D32" s="165"/>
      <c r="E32" s="165"/>
      <c r="F32" s="177"/>
      <c r="G32" s="224"/>
      <c r="H32" s="165"/>
      <c r="I32" s="165"/>
    </row>
    <row r="33" spans="1:11" x14ac:dyDescent="0.25">
      <c r="A33" s="204"/>
      <c r="B33" s="177"/>
      <c r="C33" s="220"/>
      <c r="D33" s="225"/>
      <c r="E33" s="220"/>
      <c r="F33" s="177"/>
      <c r="G33" s="224"/>
      <c r="H33" s="165"/>
      <c r="I33" s="165"/>
    </row>
    <row r="34" spans="1:11" x14ac:dyDescent="0.25">
      <c r="A34" s="204"/>
      <c r="B34" s="165"/>
      <c r="C34" s="224"/>
      <c r="D34" s="165"/>
      <c r="E34" s="165"/>
      <c r="F34" s="177"/>
      <c r="G34" s="220"/>
      <c r="H34" s="225"/>
      <c r="I34" s="165"/>
    </row>
    <row r="35" spans="1:11" x14ac:dyDescent="0.25">
      <c r="B35" s="217" t="s">
        <v>129</v>
      </c>
      <c r="C35" s="217">
        <f>C22+C23-D24</f>
        <v>31044</v>
      </c>
      <c r="D35" s="217">
        <f>SUM(D26:D34)</f>
        <v>31012</v>
      </c>
      <c r="E35" s="217">
        <f>C35-D35</f>
        <v>32</v>
      </c>
      <c r="F35" s="217" t="s">
        <v>129</v>
      </c>
      <c r="G35" s="217">
        <f>G22+G23-H24</f>
        <v>27544</v>
      </c>
      <c r="H35" s="217">
        <f>SUM(H26:H34)</f>
        <v>32112</v>
      </c>
      <c r="I35" s="221">
        <f>G35-H35</f>
        <v>-4568</v>
      </c>
    </row>
    <row r="37" spans="1:11" x14ac:dyDescent="0.25">
      <c r="B37" s="23" t="s">
        <v>357</v>
      </c>
      <c r="D37" s="23" t="s">
        <v>359</v>
      </c>
      <c r="G37" s="23" t="s">
        <v>361</v>
      </c>
    </row>
    <row r="39" spans="1:11" x14ac:dyDescent="0.25">
      <c r="B39" s="23" t="s">
        <v>358</v>
      </c>
      <c r="D39" s="23" t="s">
        <v>360</v>
      </c>
      <c r="G39" s="23" t="s">
        <v>158</v>
      </c>
    </row>
    <row r="40" spans="1:11" x14ac:dyDescent="0.25">
      <c r="K40" s="214"/>
    </row>
  </sheetData>
  <pageMargins left="0.25" right="0" top="0.5" bottom="0.25" header="0.3" footer="0.5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workbookViewId="0">
      <selection activeCell="A39" sqref="A39:E40"/>
    </sheetView>
  </sheetViews>
  <sheetFormatPr defaultRowHeight="15" x14ac:dyDescent="0.25"/>
  <cols>
    <col min="1" max="1" width="3.85546875" customWidth="1"/>
    <col min="2" max="2" width="19.5703125" customWidth="1"/>
    <col min="5" max="5" width="11.140625" customWidth="1"/>
    <col min="7" max="7" width="12.7109375" customWidth="1"/>
  </cols>
  <sheetData>
    <row r="1" spans="1:7" ht="30" x14ac:dyDescent="0.4">
      <c r="A1" s="21"/>
      <c r="B1" s="21"/>
      <c r="C1" s="75"/>
      <c r="D1" s="75"/>
      <c r="E1" s="76" t="s">
        <v>19</v>
      </c>
      <c r="F1" s="76"/>
      <c r="G1" s="28"/>
    </row>
    <row r="2" spans="1:7" x14ac:dyDescent="0.25">
      <c r="A2" s="21"/>
      <c r="B2" s="21"/>
      <c r="C2" s="75"/>
      <c r="D2" s="76" t="s">
        <v>59</v>
      </c>
      <c r="E2" s="76"/>
      <c r="F2" s="76"/>
      <c r="G2" s="30"/>
    </row>
    <row r="3" spans="1:7" ht="16.5" x14ac:dyDescent="0.25">
      <c r="A3" s="21"/>
      <c r="B3" s="21"/>
      <c r="C3" s="75"/>
      <c r="D3" s="76" t="s">
        <v>60</v>
      </c>
      <c r="E3" s="77"/>
      <c r="F3" s="77"/>
      <c r="G3" s="24"/>
    </row>
    <row r="4" spans="1:7" x14ac:dyDescent="0.25">
      <c r="A4" s="21"/>
      <c r="B4" s="21"/>
      <c r="C4" s="77"/>
      <c r="D4" s="78" t="s">
        <v>22</v>
      </c>
      <c r="E4" s="78"/>
      <c r="F4" s="78"/>
      <c r="G4" s="24"/>
    </row>
    <row r="5" spans="1:7" x14ac:dyDescent="0.25">
      <c r="A5" s="31" t="s">
        <v>47</v>
      </c>
      <c r="B5" s="58"/>
      <c r="C5" s="31"/>
      <c r="D5" s="58"/>
      <c r="E5" s="31"/>
      <c r="F5" s="31"/>
      <c r="G5" s="32"/>
    </row>
    <row r="6" spans="1:7" ht="23.25" x14ac:dyDescent="0.35">
      <c r="A6" s="33" t="s">
        <v>70</v>
      </c>
      <c r="B6" s="35"/>
      <c r="C6" s="34"/>
      <c r="D6" s="34"/>
      <c r="E6" s="37"/>
      <c r="F6" s="37"/>
      <c r="G6" s="35"/>
    </row>
    <row r="7" spans="1:7" x14ac:dyDescent="0.25">
      <c r="A7" s="58"/>
      <c r="B7" s="58"/>
      <c r="C7" s="58"/>
      <c r="D7" s="58"/>
      <c r="E7" s="58"/>
      <c r="F7" s="58"/>
      <c r="G7" s="58"/>
    </row>
    <row r="8" spans="1:7" x14ac:dyDescent="0.25">
      <c r="A8" s="1"/>
      <c r="B8" s="8" t="s">
        <v>0</v>
      </c>
      <c r="C8" s="9" t="s">
        <v>1</v>
      </c>
      <c r="D8" s="8" t="s">
        <v>2</v>
      </c>
      <c r="E8" s="8" t="s">
        <v>3</v>
      </c>
      <c r="F8" s="8" t="s">
        <v>53</v>
      </c>
      <c r="G8" s="8" t="s">
        <v>5</v>
      </c>
    </row>
    <row r="9" spans="1:7" x14ac:dyDescent="0.25">
      <c r="A9" s="1"/>
      <c r="B9" s="11"/>
      <c r="C9" s="11"/>
      <c r="D9" s="11"/>
      <c r="E9" s="12"/>
      <c r="F9" s="12"/>
      <c r="G9" s="12"/>
    </row>
    <row r="10" spans="1:7" x14ac:dyDescent="0.25">
      <c r="A10" s="1">
        <v>1</v>
      </c>
      <c r="B10" s="13" t="s">
        <v>68</v>
      </c>
      <c r="C10" s="14">
        <v>0</v>
      </c>
      <c r="D10" s="1">
        <v>1500</v>
      </c>
      <c r="E10" s="15"/>
      <c r="F10" s="15">
        <v>1500</v>
      </c>
      <c r="G10" s="16">
        <f>D10-E10</f>
        <v>1500</v>
      </c>
    </row>
    <row r="11" spans="1:7" x14ac:dyDescent="0.25">
      <c r="A11" s="1">
        <v>2</v>
      </c>
      <c r="B11" s="13" t="s">
        <v>52</v>
      </c>
      <c r="C11" s="14">
        <v>0</v>
      </c>
      <c r="D11" s="1">
        <v>2500</v>
      </c>
      <c r="E11" s="68">
        <v>2500</v>
      </c>
      <c r="F11" s="15"/>
      <c r="G11" s="16">
        <f t="shared" ref="G11:G22" si="0">D11-E11</f>
        <v>0</v>
      </c>
    </row>
    <row r="12" spans="1:7" x14ac:dyDescent="0.25">
      <c r="A12" s="1">
        <v>3</v>
      </c>
      <c r="B12" s="13" t="s">
        <v>9</v>
      </c>
      <c r="C12" s="14">
        <v>0</v>
      </c>
      <c r="D12" s="1">
        <v>2500</v>
      </c>
      <c r="E12" s="68">
        <v>2500</v>
      </c>
      <c r="F12" s="15"/>
      <c r="G12" s="16">
        <f t="shared" si="0"/>
        <v>0</v>
      </c>
    </row>
    <row r="13" spans="1:7" x14ac:dyDescent="0.25">
      <c r="A13" s="1">
        <v>4</v>
      </c>
      <c r="B13" s="13" t="s">
        <v>10</v>
      </c>
      <c r="C13" s="14">
        <v>0</v>
      </c>
      <c r="D13" s="1">
        <v>2500</v>
      </c>
      <c r="E13" s="68">
        <v>2500</v>
      </c>
      <c r="F13" s="15"/>
      <c r="G13" s="16">
        <f t="shared" si="0"/>
        <v>0</v>
      </c>
    </row>
    <row r="14" spans="1:7" x14ac:dyDescent="0.25">
      <c r="A14" s="1">
        <v>5</v>
      </c>
      <c r="B14" s="13" t="s">
        <v>69</v>
      </c>
      <c r="C14" s="14">
        <v>0</v>
      </c>
      <c r="D14" s="1">
        <v>2500</v>
      </c>
      <c r="E14" s="68">
        <v>0</v>
      </c>
      <c r="F14" s="68">
        <v>2500</v>
      </c>
      <c r="G14" s="16">
        <v>0</v>
      </c>
    </row>
    <row r="15" spans="1:7" x14ac:dyDescent="0.25">
      <c r="A15" s="1">
        <v>6</v>
      </c>
      <c r="B15" s="13" t="s">
        <v>12</v>
      </c>
      <c r="C15" s="14">
        <v>0</v>
      </c>
      <c r="D15" s="1">
        <v>5000</v>
      </c>
      <c r="E15" s="68">
        <v>0</v>
      </c>
      <c r="F15" s="68">
        <v>5000</v>
      </c>
      <c r="G15" s="16">
        <f t="shared" si="0"/>
        <v>5000</v>
      </c>
    </row>
    <row r="16" spans="1:7" x14ac:dyDescent="0.25">
      <c r="A16" s="1">
        <v>7</v>
      </c>
      <c r="B16" s="13" t="s">
        <v>14</v>
      </c>
      <c r="C16" s="14">
        <v>0</v>
      </c>
      <c r="D16" s="1">
        <v>3500</v>
      </c>
      <c r="E16" s="68">
        <v>3500</v>
      </c>
      <c r="F16" s="68"/>
      <c r="G16" s="16">
        <f t="shared" si="0"/>
        <v>0</v>
      </c>
    </row>
    <row r="17" spans="1:10" x14ac:dyDescent="0.25">
      <c r="A17" s="1">
        <v>8</v>
      </c>
      <c r="B17" s="13" t="s">
        <v>13</v>
      </c>
      <c r="C17" s="14">
        <v>0</v>
      </c>
      <c r="D17" s="1">
        <v>3500</v>
      </c>
      <c r="E17" s="68">
        <v>3500</v>
      </c>
      <c r="F17" s="15"/>
      <c r="G17" s="16">
        <f t="shared" si="0"/>
        <v>0</v>
      </c>
    </row>
    <row r="18" spans="1:10" x14ac:dyDescent="0.25">
      <c r="A18" s="1">
        <v>9</v>
      </c>
      <c r="B18" s="79" t="s">
        <v>15</v>
      </c>
      <c r="C18" s="14">
        <v>0</v>
      </c>
      <c r="D18" s="1">
        <v>2500</v>
      </c>
      <c r="E18" s="68">
        <v>2500</v>
      </c>
      <c r="F18" s="15"/>
      <c r="G18" s="16">
        <v>0</v>
      </c>
    </row>
    <row r="19" spans="1:10" x14ac:dyDescent="0.25">
      <c r="A19" s="1">
        <v>10</v>
      </c>
      <c r="B19" s="79" t="s">
        <v>67</v>
      </c>
      <c r="C19" s="14"/>
      <c r="D19" s="1">
        <v>2500</v>
      </c>
      <c r="E19" s="68">
        <v>2500</v>
      </c>
      <c r="F19" s="15"/>
      <c r="G19" s="16">
        <v>1500</v>
      </c>
    </row>
    <row r="20" spans="1:10" x14ac:dyDescent="0.25">
      <c r="A20" s="1">
        <v>11</v>
      </c>
      <c r="B20" s="13" t="s">
        <v>17</v>
      </c>
      <c r="C20" s="14">
        <v>0</v>
      </c>
      <c r="D20" s="1">
        <v>3500</v>
      </c>
      <c r="E20" s="68">
        <v>3500</v>
      </c>
      <c r="F20" s="15"/>
      <c r="G20" s="16">
        <f t="shared" si="0"/>
        <v>0</v>
      </c>
    </row>
    <row r="21" spans="1:10" x14ac:dyDescent="0.25">
      <c r="A21" s="1">
        <v>12</v>
      </c>
      <c r="B21" s="13" t="s">
        <v>18</v>
      </c>
      <c r="C21" s="14">
        <v>0</v>
      </c>
      <c r="D21" s="1">
        <v>2500</v>
      </c>
      <c r="E21" s="68">
        <v>2500</v>
      </c>
      <c r="F21" s="15"/>
      <c r="G21" s="16">
        <f t="shared" si="0"/>
        <v>0</v>
      </c>
    </row>
    <row r="22" spans="1:10" x14ac:dyDescent="0.25">
      <c r="A22" s="1">
        <v>13</v>
      </c>
      <c r="B22" s="13" t="s">
        <v>41</v>
      </c>
      <c r="C22" s="14"/>
      <c r="D22" s="1">
        <v>2500</v>
      </c>
      <c r="E22" s="15">
        <v>0</v>
      </c>
      <c r="F22" s="15">
        <v>2500</v>
      </c>
      <c r="G22" s="16">
        <f t="shared" si="0"/>
        <v>2500</v>
      </c>
    </row>
    <row r="23" spans="1:10" x14ac:dyDescent="0.25">
      <c r="A23" s="1"/>
      <c r="B23" s="13"/>
      <c r="C23" s="67">
        <f>SUM(C9:C21)</f>
        <v>0</v>
      </c>
      <c r="D23" s="17">
        <f>SUM(D10:D22)</f>
        <v>37000</v>
      </c>
      <c r="E23" s="68">
        <f>SUM(E10:E22)</f>
        <v>25500</v>
      </c>
      <c r="F23" s="68">
        <f>SUM(F9:F22)</f>
        <v>11500</v>
      </c>
      <c r="G23" s="16">
        <f>SUM(G10:G22)</f>
        <v>10500</v>
      </c>
    </row>
    <row r="24" spans="1:10" x14ac:dyDescent="0.25">
      <c r="A24" s="1"/>
      <c r="B24" s="11"/>
      <c r="C24" s="11"/>
      <c r="D24" s="11"/>
      <c r="E24" s="12"/>
      <c r="F24" s="12"/>
      <c r="G24" s="16"/>
    </row>
    <row r="25" spans="1:10" x14ac:dyDescent="0.25">
      <c r="A25" s="58"/>
      <c r="B25" s="58"/>
      <c r="C25" s="58"/>
      <c r="D25" s="58"/>
      <c r="E25" s="58"/>
      <c r="F25" s="58"/>
      <c r="G25" s="58"/>
    </row>
    <row r="26" spans="1:10" ht="15.75" x14ac:dyDescent="0.25">
      <c r="A26" s="58"/>
      <c r="B26" s="58"/>
      <c r="C26" s="19" t="s">
        <v>24</v>
      </c>
      <c r="D26" s="38"/>
      <c r="E26" s="39"/>
      <c r="F26" s="39"/>
      <c r="G26" s="39"/>
    </row>
    <row r="27" spans="1:10" x14ac:dyDescent="0.25">
      <c r="A27" s="43"/>
      <c r="B27" s="21" t="s">
        <v>25</v>
      </c>
      <c r="C27" s="41"/>
      <c r="D27" s="58"/>
      <c r="E27" s="92" t="s">
        <v>72</v>
      </c>
      <c r="F27" s="44"/>
      <c r="G27" s="45"/>
    </row>
    <row r="28" spans="1:10" x14ac:dyDescent="0.25">
      <c r="A28" s="43"/>
      <c r="F28" s="44"/>
      <c r="G28" s="45"/>
    </row>
    <row r="29" spans="1:10" x14ac:dyDescent="0.25">
      <c r="A29" s="43"/>
      <c r="B29" s="21" t="s">
        <v>27</v>
      </c>
      <c r="C29" s="41"/>
      <c r="D29" s="58"/>
      <c r="E29" s="86"/>
      <c r="F29" s="42"/>
      <c r="G29" s="45"/>
      <c r="H29">
        <v>37000</v>
      </c>
      <c r="I29">
        <v>25500</v>
      </c>
      <c r="J29">
        <f>H29-I29</f>
        <v>11500</v>
      </c>
    </row>
    <row r="30" spans="1:10" x14ac:dyDescent="0.25">
      <c r="A30" s="43"/>
      <c r="B30" s="47" t="s">
        <v>28</v>
      </c>
      <c r="C30" s="58"/>
      <c r="D30" s="58"/>
      <c r="E30" s="87">
        <v>5000</v>
      </c>
      <c r="F30" s="58"/>
      <c r="G30" s="58"/>
    </row>
    <row r="31" spans="1:10" x14ac:dyDescent="0.25">
      <c r="A31" s="43"/>
      <c r="B31" s="58"/>
      <c r="C31" s="58"/>
      <c r="D31" s="58"/>
      <c r="E31" s="88"/>
      <c r="F31" s="58"/>
      <c r="G31" s="58"/>
    </row>
    <row r="32" spans="1:10" ht="16.5" x14ac:dyDescent="0.35">
      <c r="A32" s="43"/>
      <c r="B32" s="84" t="s">
        <v>56</v>
      </c>
      <c r="C32" s="58"/>
      <c r="D32" s="58"/>
      <c r="E32" s="88">
        <f>E27+E30</f>
        <v>42000</v>
      </c>
      <c r="F32" s="51"/>
      <c r="G32" s="58"/>
    </row>
    <row r="33" spans="1:7" s="58" customFormat="1" ht="16.5" x14ac:dyDescent="0.35">
      <c r="A33" s="43"/>
      <c r="B33" s="21" t="s">
        <v>36</v>
      </c>
      <c r="C33" s="57">
        <v>0.1</v>
      </c>
      <c r="E33" s="89">
        <f>E27*C33</f>
        <v>3700</v>
      </c>
      <c r="F33" s="51"/>
    </row>
    <row r="34" spans="1:7" x14ac:dyDescent="0.25">
      <c r="A34" s="43"/>
      <c r="B34" s="21" t="s">
        <v>64</v>
      </c>
      <c r="C34" s="41"/>
      <c r="D34" s="58"/>
      <c r="E34" s="90">
        <v>7500</v>
      </c>
      <c r="F34" s="45"/>
      <c r="G34" s="58"/>
    </row>
    <row r="35" spans="1:7" x14ac:dyDescent="0.25">
      <c r="A35" s="81"/>
      <c r="B35" s="82" t="s">
        <v>66</v>
      </c>
      <c r="C35" s="83"/>
      <c r="D35" s="83"/>
      <c r="E35" s="91">
        <f>SUM(E33:E34)</f>
        <v>11200</v>
      </c>
      <c r="F35" s="56"/>
      <c r="G35" s="56"/>
    </row>
    <row r="36" spans="1:7" x14ac:dyDescent="0.25">
      <c r="A36" s="58"/>
      <c r="B36" s="21" t="s">
        <v>65</v>
      </c>
      <c r="C36" s="58"/>
      <c r="D36" s="58"/>
      <c r="E36" s="88">
        <f>E32-E35</f>
        <v>30800</v>
      </c>
      <c r="F36" s="58"/>
      <c r="G36" s="85"/>
    </row>
    <row r="37" spans="1:7" x14ac:dyDescent="0.25">
      <c r="A37" s="58"/>
      <c r="B37" s="21"/>
      <c r="C37" s="58"/>
      <c r="D37" s="58"/>
      <c r="E37" s="45"/>
      <c r="F37" s="93" t="s">
        <v>71</v>
      </c>
      <c r="G37" s="56"/>
    </row>
    <row r="38" spans="1:7" x14ac:dyDescent="0.25">
      <c r="A38" s="58"/>
      <c r="B38" s="21"/>
      <c r="C38" s="58"/>
      <c r="D38" s="58"/>
      <c r="E38" s="45"/>
      <c r="F38" s="93"/>
      <c r="G38" s="56"/>
    </row>
    <row r="39" spans="1:7" x14ac:dyDescent="0.25">
      <c r="A39" s="56" t="s">
        <v>46</v>
      </c>
      <c r="B39" s="58"/>
      <c r="C39" s="58"/>
      <c r="D39" s="58"/>
      <c r="E39" s="56" t="s">
        <v>33</v>
      </c>
      <c r="F39" s="85">
        <f>E36-F37</f>
        <v>29570</v>
      </c>
      <c r="G39" s="58"/>
    </row>
    <row r="40" spans="1:7" x14ac:dyDescent="0.25">
      <c r="A40" s="56" t="s">
        <v>34</v>
      </c>
      <c r="B40" s="58"/>
      <c r="C40" s="58"/>
      <c r="D40" s="58"/>
      <c r="E40" s="56" t="s">
        <v>34</v>
      </c>
      <c r="F40" s="58"/>
      <c r="G40" s="58"/>
    </row>
  </sheetData>
  <pageMargins left="0.7" right="0.7" top="0.75" bottom="0.75" header="0.3" footer="0.3"/>
  <pageSetup orientation="portrait" horizontalDpi="120" verticalDpi="72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K28" sqref="K28:L28"/>
    </sheetView>
  </sheetViews>
  <sheetFormatPr defaultRowHeight="15" x14ac:dyDescent="0.25"/>
  <cols>
    <col min="1" max="1" width="4" style="23" customWidth="1"/>
    <col min="2" max="2" width="19.7109375" style="23" customWidth="1"/>
    <col min="3" max="4" width="7.7109375" style="23" customWidth="1"/>
    <col min="5" max="5" width="9.28515625" style="23" customWidth="1"/>
    <col min="6" max="6" width="17.8554687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447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>
        <v>3100</v>
      </c>
      <c r="D5" s="165">
        <v>3000</v>
      </c>
      <c r="E5" s="165">
        <v>100</v>
      </c>
      <c r="F5" s="165">
        <f>C5+D5+E5</f>
        <v>6200</v>
      </c>
      <c r="G5" s="215">
        <v>3000</v>
      </c>
      <c r="H5" s="165">
        <f>F5-G5</f>
        <v>3200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>
        <v>100</v>
      </c>
      <c r="D8" s="165">
        <v>3000</v>
      </c>
      <c r="E8" s="165">
        <v>100</v>
      </c>
      <c r="F8" s="165">
        <f t="shared" si="0"/>
        <v>3200</v>
      </c>
      <c r="G8" s="215">
        <v>3000</v>
      </c>
      <c r="H8" s="165">
        <f t="shared" si="1"/>
        <v>200</v>
      </c>
    </row>
    <row r="9" spans="1:8" x14ac:dyDescent="0.25">
      <c r="A9" s="151">
        <v>5</v>
      </c>
      <c r="B9" s="151" t="s">
        <v>369</v>
      </c>
      <c r="C9" s="165">
        <v>200</v>
      </c>
      <c r="D9" s="165">
        <v>3000</v>
      </c>
      <c r="E9" s="165">
        <v>100</v>
      </c>
      <c r="F9" s="165">
        <f>C9+D9+E9</f>
        <v>3300</v>
      </c>
      <c r="G9" s="215">
        <v>3200</v>
      </c>
      <c r="H9" s="165">
        <f t="shared" si="1"/>
        <v>100</v>
      </c>
    </row>
    <row r="10" spans="1:8" x14ac:dyDescent="0.25">
      <c r="A10" s="151">
        <v>6</v>
      </c>
      <c r="B10" s="151" t="s">
        <v>402</v>
      </c>
      <c r="C10" s="165">
        <v>300</v>
      </c>
      <c r="D10" s="165">
        <v>3000</v>
      </c>
      <c r="E10" s="165">
        <v>100</v>
      </c>
      <c r="F10" s="165">
        <f>C10+D10+E10</f>
        <v>3400</v>
      </c>
      <c r="G10" s="215">
        <v>3000</v>
      </c>
      <c r="H10" s="165">
        <f t="shared" si="1"/>
        <v>400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3100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2000</v>
      </c>
      <c r="D15" s="165">
        <v>4500</v>
      </c>
      <c r="E15" s="165">
        <v>100</v>
      </c>
      <c r="F15" s="165">
        <f t="shared" si="0"/>
        <v>6600</v>
      </c>
      <c r="G15" s="215">
        <v>4300</v>
      </c>
      <c r="H15" s="165">
        <f t="shared" si="1"/>
        <v>2300</v>
      </c>
    </row>
    <row r="16" spans="1:8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5700</v>
      </c>
      <c r="D17" s="217">
        <f t="shared" si="2"/>
        <v>36000</v>
      </c>
      <c r="E17" s="217">
        <f t="shared" si="2"/>
        <v>1100</v>
      </c>
      <c r="F17" s="217">
        <f t="shared" si="2"/>
        <v>42800</v>
      </c>
      <c r="G17" s="217">
        <f t="shared" si="2"/>
        <v>36600</v>
      </c>
      <c r="H17" s="217">
        <f t="shared" si="2"/>
        <v>6200</v>
      </c>
    </row>
    <row r="18" spans="1:9" x14ac:dyDescent="0.25">
      <c r="A18" s="204"/>
    </row>
    <row r="19" spans="1:9" x14ac:dyDescent="0.25">
      <c r="B19" s="227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371</v>
      </c>
      <c r="C22" s="165">
        <f>D17</f>
        <v>36000</v>
      </c>
      <c r="D22" s="165"/>
      <c r="E22" s="165"/>
      <c r="F22" s="165" t="s">
        <v>448</v>
      </c>
      <c r="G22" s="165">
        <f>G17</f>
        <v>36600</v>
      </c>
      <c r="H22" s="165"/>
      <c r="I22" s="165"/>
    </row>
    <row r="23" spans="1:9" x14ac:dyDescent="0.25">
      <c r="A23" s="204"/>
      <c r="B23" s="165" t="s">
        <v>1</v>
      </c>
      <c r="C23" s="165">
        <f>'MAY '!E35</f>
        <v>32</v>
      </c>
      <c r="D23" s="165"/>
      <c r="E23" s="165"/>
      <c r="F23" s="165" t="s">
        <v>1</v>
      </c>
      <c r="G23" s="165">
        <f>'MAY '!I35</f>
        <v>-4568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17" t="s">
        <v>128</v>
      </c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222" t="s">
        <v>328</v>
      </c>
      <c r="C27" s="151"/>
      <c r="D27" s="151">
        <v>3000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449</v>
      </c>
      <c r="C28" s="165"/>
      <c r="D28" s="165">
        <v>1600</v>
      </c>
      <c r="E28" s="165"/>
      <c r="F28" s="222" t="s">
        <v>328</v>
      </c>
      <c r="G28" s="151"/>
      <c r="H28" s="151">
        <v>3000</v>
      </c>
      <c r="I28" s="165"/>
    </row>
    <row r="29" spans="1:9" x14ac:dyDescent="0.25">
      <c r="A29" s="204"/>
      <c r="B29" s="177" t="s">
        <v>450</v>
      </c>
      <c r="C29" s="165"/>
      <c r="D29" s="165">
        <v>2596</v>
      </c>
      <c r="E29" s="165"/>
      <c r="F29" s="165" t="s">
        <v>449</v>
      </c>
      <c r="G29" s="165"/>
      <c r="H29" s="165">
        <v>1600</v>
      </c>
      <c r="I29" s="165"/>
    </row>
    <row r="30" spans="1:9" x14ac:dyDescent="0.25">
      <c r="A30" s="204"/>
      <c r="B30" s="177" t="s">
        <v>451</v>
      </c>
      <c r="C30" s="165"/>
      <c r="D30" s="165">
        <v>7687</v>
      </c>
      <c r="E30" s="165"/>
      <c r="F30" s="177" t="s">
        <v>450</v>
      </c>
      <c r="G30" s="165"/>
      <c r="H30" s="165">
        <v>2596</v>
      </c>
      <c r="I30" s="165"/>
    </row>
    <row r="31" spans="1:9" x14ac:dyDescent="0.25">
      <c r="A31" s="204"/>
      <c r="B31" s="177" t="s">
        <v>452</v>
      </c>
      <c r="C31" s="165"/>
      <c r="D31" s="165">
        <v>10000</v>
      </c>
      <c r="E31" s="165"/>
      <c r="F31" s="177" t="s">
        <v>451</v>
      </c>
      <c r="G31" s="165"/>
      <c r="H31" s="165">
        <v>7687</v>
      </c>
      <c r="I31" s="165"/>
    </row>
    <row r="32" spans="1:9" x14ac:dyDescent="0.25">
      <c r="A32" s="204"/>
      <c r="B32" s="177" t="s">
        <v>453</v>
      </c>
      <c r="C32" s="165"/>
      <c r="D32" s="222">
        <v>3000</v>
      </c>
      <c r="E32" s="165"/>
      <c r="F32" s="177" t="s">
        <v>452</v>
      </c>
      <c r="G32" s="165"/>
      <c r="H32" s="165">
        <v>10000</v>
      </c>
      <c r="I32" s="165"/>
    </row>
    <row r="33" spans="1:11" x14ac:dyDescent="0.25">
      <c r="A33" s="204"/>
      <c r="B33" s="165" t="s">
        <v>454</v>
      </c>
      <c r="C33" s="165"/>
      <c r="D33" s="165">
        <v>2000</v>
      </c>
      <c r="E33" s="165"/>
      <c r="F33" s="177" t="s">
        <v>453</v>
      </c>
      <c r="G33" s="165"/>
      <c r="H33" s="222">
        <v>3000</v>
      </c>
      <c r="I33" s="151"/>
    </row>
    <row r="34" spans="1:11" x14ac:dyDescent="0.25">
      <c r="A34" s="204"/>
      <c r="B34" s="151" t="s">
        <v>455</v>
      </c>
      <c r="C34" s="151"/>
      <c r="D34" s="151">
        <v>6127</v>
      </c>
      <c r="E34" s="165"/>
      <c r="F34" s="165" t="s">
        <v>454</v>
      </c>
      <c r="G34" s="165"/>
      <c r="H34" s="165">
        <v>2000</v>
      </c>
      <c r="I34" s="151"/>
    </row>
    <row r="35" spans="1:11" x14ac:dyDescent="0.25">
      <c r="A35" s="204"/>
      <c r="B35" s="151"/>
      <c r="C35" s="151"/>
      <c r="D35" s="151"/>
      <c r="E35" s="151"/>
      <c r="F35" s="151" t="s">
        <v>455</v>
      </c>
      <c r="G35" s="151"/>
      <c r="H35" s="151">
        <v>6127</v>
      </c>
      <c r="I35" s="165"/>
    </row>
    <row r="36" spans="1:11" x14ac:dyDescent="0.25">
      <c r="B36" s="217" t="s">
        <v>129</v>
      </c>
      <c r="C36" s="217">
        <f>C22+C23-D24</f>
        <v>32432</v>
      </c>
      <c r="D36" s="217">
        <f>SUM(D26:D35)</f>
        <v>38010</v>
      </c>
      <c r="E36" s="217">
        <f>C36-D36</f>
        <v>-5578</v>
      </c>
      <c r="F36" s="217" t="s">
        <v>129</v>
      </c>
      <c r="G36" s="217">
        <f>G22+G23-H24</f>
        <v>28432</v>
      </c>
      <c r="H36" s="217">
        <f>SUM(H26:H35)</f>
        <v>39110</v>
      </c>
      <c r="I36" s="221">
        <f>G36-H36</f>
        <v>-10678</v>
      </c>
    </row>
    <row r="38" spans="1:11" x14ac:dyDescent="0.25">
      <c r="B38" s="23" t="s">
        <v>357</v>
      </c>
      <c r="D38" s="23" t="s">
        <v>359</v>
      </c>
      <c r="G38" s="23" t="s">
        <v>361</v>
      </c>
    </row>
    <row r="40" spans="1:11" x14ac:dyDescent="0.25">
      <c r="B40" s="23" t="s">
        <v>358</v>
      </c>
      <c r="D40" s="23" t="s">
        <v>360</v>
      </c>
      <c r="G40" s="23" t="s">
        <v>158</v>
      </c>
    </row>
    <row r="41" spans="1:11" x14ac:dyDescent="0.25">
      <c r="K41" s="214"/>
    </row>
  </sheetData>
  <pageMargins left="0.25" right="0" top="0.5" bottom="0.25" header="0.3" footer="0.5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J36" sqref="J36"/>
    </sheetView>
  </sheetViews>
  <sheetFormatPr defaultRowHeight="15" x14ac:dyDescent="0.25"/>
  <cols>
    <col min="1" max="1" width="4" style="23" customWidth="1"/>
    <col min="2" max="2" width="19.7109375" style="23" customWidth="1"/>
    <col min="3" max="4" width="7.7109375" style="23" customWidth="1"/>
    <col min="5" max="5" width="9.28515625" style="23" customWidth="1"/>
    <col min="6" max="6" width="17.8554687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9" x14ac:dyDescent="0.25">
      <c r="C1" s="32" t="s">
        <v>222</v>
      </c>
      <c r="D1" s="32"/>
      <c r="E1" s="32"/>
      <c r="F1" s="32"/>
    </row>
    <row r="2" spans="1:9" x14ac:dyDescent="0.25">
      <c r="C2" s="32" t="s">
        <v>388</v>
      </c>
      <c r="D2" s="32"/>
      <c r="E2" s="32"/>
      <c r="F2" s="32"/>
    </row>
    <row r="3" spans="1:9" x14ac:dyDescent="0.25">
      <c r="C3" s="32" t="s">
        <v>456</v>
      </c>
      <c r="D3" s="32"/>
      <c r="E3" s="32"/>
      <c r="F3" s="32"/>
    </row>
    <row r="4" spans="1:9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9" x14ac:dyDescent="0.25">
      <c r="A5" s="151">
        <v>1</v>
      </c>
      <c r="B5" s="164" t="s">
        <v>394</v>
      </c>
      <c r="C5" s="165">
        <v>3200</v>
      </c>
      <c r="D5" s="165"/>
      <c r="E5" s="165"/>
      <c r="F5" s="165">
        <f>C5+D5+E5</f>
        <v>3200</v>
      </c>
      <c r="G5" s="215">
        <v>3000</v>
      </c>
      <c r="H5" s="165">
        <f>F5-G5</f>
        <v>200</v>
      </c>
      <c r="I5" s="23" t="s">
        <v>460</v>
      </c>
    </row>
    <row r="6" spans="1:9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9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9" x14ac:dyDescent="0.25">
      <c r="A8" s="151">
        <v>4</v>
      </c>
      <c r="B8" s="167" t="s">
        <v>385</v>
      </c>
      <c r="C8" s="165">
        <v>200</v>
      </c>
      <c r="D8" s="165">
        <v>3000</v>
      </c>
      <c r="E8" s="165">
        <v>100</v>
      </c>
      <c r="F8" s="165">
        <f t="shared" si="0"/>
        <v>3300</v>
      </c>
      <c r="G8" s="215">
        <v>3000</v>
      </c>
      <c r="H8" s="165">
        <f t="shared" si="1"/>
        <v>300</v>
      </c>
    </row>
    <row r="9" spans="1:9" x14ac:dyDescent="0.25">
      <c r="A9" s="151">
        <v>5</v>
      </c>
      <c r="B9" s="151" t="s">
        <v>369</v>
      </c>
      <c r="C9" s="165">
        <v>100</v>
      </c>
      <c r="D9" s="165">
        <v>3000</v>
      </c>
      <c r="E9" s="165">
        <v>100</v>
      </c>
      <c r="F9" s="165">
        <f>C9+D9+E9</f>
        <v>3200</v>
      </c>
      <c r="G9" s="215">
        <v>3100</v>
      </c>
      <c r="H9" s="165">
        <f t="shared" si="1"/>
        <v>100</v>
      </c>
    </row>
    <row r="10" spans="1:9" x14ac:dyDescent="0.25">
      <c r="A10" s="151">
        <v>6</v>
      </c>
      <c r="B10" s="151" t="s">
        <v>402</v>
      </c>
      <c r="C10" s="165">
        <v>400</v>
      </c>
      <c r="D10" s="165">
        <v>3000</v>
      </c>
      <c r="E10" s="165">
        <v>100</v>
      </c>
      <c r="F10" s="165">
        <f>C10+D10+E10</f>
        <v>3500</v>
      </c>
      <c r="G10" s="215">
        <v>3500</v>
      </c>
      <c r="H10" s="165">
        <f>F10-G10</f>
        <v>0</v>
      </c>
    </row>
    <row r="11" spans="1:9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3100</v>
      </c>
      <c r="H11" s="165">
        <f t="shared" si="1"/>
        <v>0</v>
      </c>
    </row>
    <row r="12" spans="1:9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9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9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9" x14ac:dyDescent="0.25">
      <c r="A15" s="151">
        <v>11</v>
      </c>
      <c r="B15" s="168" t="s">
        <v>345</v>
      </c>
      <c r="C15" s="165">
        <v>2300</v>
      </c>
      <c r="D15" s="165">
        <v>4500</v>
      </c>
      <c r="E15" s="165">
        <v>100</v>
      </c>
      <c r="F15" s="165">
        <f>C15+D15+E15</f>
        <v>6900</v>
      </c>
      <c r="G15" s="215">
        <v>2900</v>
      </c>
      <c r="H15" s="165">
        <f t="shared" si="1"/>
        <v>4000</v>
      </c>
    </row>
    <row r="16" spans="1:9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6200</v>
      </c>
      <c r="D17" s="217">
        <f t="shared" si="2"/>
        <v>33000</v>
      </c>
      <c r="E17" s="217">
        <f t="shared" si="2"/>
        <v>1000</v>
      </c>
      <c r="F17" s="217">
        <f t="shared" si="2"/>
        <v>40200</v>
      </c>
      <c r="G17" s="217">
        <f t="shared" si="2"/>
        <v>35600</v>
      </c>
      <c r="H17" s="217">
        <f t="shared" si="2"/>
        <v>4600</v>
      </c>
    </row>
    <row r="18" spans="1:9" x14ac:dyDescent="0.25">
      <c r="A18" s="204"/>
    </row>
    <row r="19" spans="1:9" x14ac:dyDescent="0.25">
      <c r="B19" s="227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379</v>
      </c>
      <c r="C22" s="165">
        <f>D17</f>
        <v>33000</v>
      </c>
      <c r="D22" s="165"/>
      <c r="E22" s="165"/>
      <c r="F22" s="165" t="s">
        <v>379</v>
      </c>
      <c r="G22" s="165">
        <f>G17</f>
        <v>35600</v>
      </c>
      <c r="H22" s="165"/>
      <c r="I22" s="165"/>
    </row>
    <row r="23" spans="1:9" x14ac:dyDescent="0.25">
      <c r="A23" s="204"/>
      <c r="B23" s="165" t="s">
        <v>1</v>
      </c>
      <c r="C23" s="165">
        <f>JUNEE!E36</f>
        <v>-5578</v>
      </c>
      <c r="D23" s="165"/>
      <c r="E23" s="165"/>
      <c r="F23" s="165" t="s">
        <v>1</v>
      </c>
      <c r="G23" s="165">
        <f>JUNEE!I36</f>
        <v>-10678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3300</v>
      </c>
      <c r="E24" s="165"/>
      <c r="F24" s="165" t="s">
        <v>325</v>
      </c>
      <c r="G24" s="226">
        <v>0.1</v>
      </c>
      <c r="H24" s="165">
        <f>D24</f>
        <v>3300</v>
      </c>
      <c r="I24" s="165"/>
    </row>
    <row r="25" spans="1:9" x14ac:dyDescent="0.25">
      <c r="A25" s="205"/>
      <c r="B25" s="217" t="s">
        <v>128</v>
      </c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222" t="s">
        <v>457</v>
      </c>
      <c r="C27" s="151"/>
      <c r="D27" s="151">
        <v>14000</v>
      </c>
      <c r="E27" s="165"/>
      <c r="F27" s="165" t="s">
        <v>377</v>
      </c>
      <c r="G27" s="165"/>
      <c r="H27" s="165">
        <f>E17</f>
        <v>1000</v>
      </c>
      <c r="I27" s="165"/>
    </row>
    <row r="28" spans="1:9" x14ac:dyDescent="0.25">
      <c r="A28" s="204"/>
      <c r="B28" s="165" t="s">
        <v>458</v>
      </c>
      <c r="C28" s="165"/>
      <c r="D28" s="165">
        <v>3000</v>
      </c>
      <c r="E28" s="165"/>
      <c r="F28" s="222" t="s">
        <v>457</v>
      </c>
      <c r="G28" s="151"/>
      <c r="H28" s="151">
        <v>14000</v>
      </c>
      <c r="I28" s="165"/>
    </row>
    <row r="29" spans="1:9" x14ac:dyDescent="0.25">
      <c r="A29" s="204"/>
      <c r="B29" s="177" t="s">
        <v>459</v>
      </c>
      <c r="C29" s="165"/>
      <c r="D29" s="165">
        <v>2000</v>
      </c>
      <c r="E29" s="165"/>
      <c r="F29" s="165" t="s">
        <v>458</v>
      </c>
      <c r="G29" s="165"/>
      <c r="H29" s="165">
        <v>3000</v>
      </c>
      <c r="I29" s="165"/>
    </row>
    <row r="30" spans="1:9" x14ac:dyDescent="0.25">
      <c r="A30" s="204"/>
      <c r="B30" s="177" t="s">
        <v>461</v>
      </c>
      <c r="C30" s="165"/>
      <c r="D30" s="165">
        <v>8087</v>
      </c>
      <c r="E30" s="165"/>
      <c r="F30" s="177" t="s">
        <v>459</v>
      </c>
      <c r="G30" s="165"/>
      <c r="H30" s="165">
        <v>2000</v>
      </c>
      <c r="I30" s="165"/>
    </row>
    <row r="31" spans="1:9" x14ac:dyDescent="0.25">
      <c r="A31" s="204"/>
      <c r="B31" s="177"/>
      <c r="C31" s="165"/>
      <c r="D31" s="165"/>
      <c r="E31" s="165"/>
      <c r="F31" s="177" t="s">
        <v>461</v>
      </c>
      <c r="G31" s="165"/>
      <c r="H31" s="165">
        <v>8087</v>
      </c>
      <c r="I31" s="165"/>
    </row>
    <row r="32" spans="1:9" x14ac:dyDescent="0.25">
      <c r="A32" s="204"/>
      <c r="B32" s="177" t="s">
        <v>462</v>
      </c>
      <c r="C32" s="165"/>
      <c r="D32" s="222">
        <v>1226</v>
      </c>
      <c r="E32" s="165"/>
      <c r="F32" s="177" t="s">
        <v>462</v>
      </c>
      <c r="G32" s="165"/>
      <c r="H32" s="222">
        <v>1226</v>
      </c>
      <c r="I32" s="165"/>
    </row>
    <row r="33" spans="1:11" x14ac:dyDescent="0.25">
      <c r="A33" s="204"/>
      <c r="B33" s="165"/>
      <c r="C33" s="165"/>
      <c r="D33" s="165"/>
      <c r="E33" s="165"/>
      <c r="F33" s="177"/>
      <c r="G33" s="165"/>
      <c r="H33" s="222"/>
      <c r="I33" s="151"/>
    </row>
    <row r="34" spans="1:11" x14ac:dyDescent="0.25">
      <c r="A34" s="204"/>
      <c r="B34" s="151"/>
      <c r="C34" s="151"/>
      <c r="D34" s="151"/>
      <c r="E34" s="165"/>
      <c r="F34" s="165"/>
      <c r="G34" s="165"/>
      <c r="H34" s="165"/>
      <c r="I34" s="151"/>
    </row>
    <row r="35" spans="1:11" x14ac:dyDescent="0.25">
      <c r="A35" s="204"/>
      <c r="B35" s="151"/>
      <c r="C35" s="151"/>
      <c r="D35" s="151"/>
      <c r="E35" s="151"/>
      <c r="F35" s="151"/>
      <c r="G35" s="151"/>
      <c r="H35" s="151"/>
      <c r="I35" s="165"/>
    </row>
    <row r="36" spans="1:11" x14ac:dyDescent="0.25">
      <c r="B36" s="217" t="s">
        <v>129</v>
      </c>
      <c r="C36" s="217">
        <f>C22+C23-D24</f>
        <v>24122</v>
      </c>
      <c r="D36" s="217">
        <f>SUM(D26:D35)</f>
        <v>30313</v>
      </c>
      <c r="E36" s="217">
        <f>C36-D36</f>
        <v>-6191</v>
      </c>
      <c r="F36" s="217" t="s">
        <v>129</v>
      </c>
      <c r="G36" s="217">
        <f>G22+G23-H24</f>
        <v>21622</v>
      </c>
      <c r="H36" s="217">
        <f>SUM(H26:H35)</f>
        <v>31313</v>
      </c>
      <c r="I36" s="221">
        <f>G36-H36</f>
        <v>-9691</v>
      </c>
    </row>
    <row r="38" spans="1:11" x14ac:dyDescent="0.25">
      <c r="B38" s="23" t="s">
        <v>357</v>
      </c>
      <c r="D38" s="23" t="s">
        <v>359</v>
      </c>
      <c r="G38" s="23" t="s">
        <v>361</v>
      </c>
    </row>
    <row r="40" spans="1:11" x14ac:dyDescent="0.25">
      <c r="B40" s="23" t="s">
        <v>358</v>
      </c>
      <c r="D40" s="23" t="s">
        <v>360</v>
      </c>
      <c r="G40" s="23" t="s">
        <v>158</v>
      </c>
    </row>
    <row r="41" spans="1:11" x14ac:dyDescent="0.25">
      <c r="K41" s="214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4" workbookViewId="0">
      <selection activeCell="H19" sqref="H19"/>
    </sheetView>
  </sheetViews>
  <sheetFormatPr defaultRowHeight="15" x14ac:dyDescent="0.25"/>
  <cols>
    <col min="1" max="1" width="4.5703125" customWidth="1"/>
    <col min="2" max="2" width="19.7109375" customWidth="1"/>
    <col min="3" max="3" width="9.140625" style="58" customWidth="1"/>
    <col min="4" max="4" width="11.7109375" customWidth="1"/>
    <col min="5" max="5" width="8.85546875" customWidth="1"/>
    <col min="8" max="8" width="11.5703125" customWidth="1"/>
    <col min="9" max="9" width="11.140625" customWidth="1"/>
  </cols>
  <sheetData>
    <row r="1" spans="1:13" x14ac:dyDescent="0.25">
      <c r="A1" s="23"/>
      <c r="B1" s="23"/>
      <c r="C1" s="23"/>
      <c r="D1" s="32" t="s">
        <v>222</v>
      </c>
      <c r="E1" s="32"/>
      <c r="F1" s="32"/>
      <c r="G1" s="32"/>
      <c r="H1" s="23"/>
      <c r="I1" s="23"/>
      <c r="J1" s="23"/>
      <c r="K1" s="23"/>
      <c r="L1" s="23"/>
      <c r="M1" s="23"/>
    </row>
    <row r="2" spans="1:13" x14ac:dyDescent="0.25">
      <c r="A2" s="23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23"/>
      <c r="M2" s="23"/>
    </row>
    <row r="3" spans="1:13" x14ac:dyDescent="0.25">
      <c r="A3" s="23"/>
      <c r="B3" s="23"/>
      <c r="C3" s="23"/>
      <c r="D3" s="32" t="s">
        <v>463</v>
      </c>
      <c r="E3" s="32"/>
      <c r="F3" s="32"/>
      <c r="G3" s="32"/>
      <c r="H3" s="23"/>
      <c r="I3" s="23"/>
      <c r="J3" s="23"/>
      <c r="K3" s="23"/>
      <c r="L3" s="23"/>
      <c r="M3" s="23"/>
    </row>
    <row r="4" spans="1:13" x14ac:dyDescent="0.25">
      <c r="A4" s="15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23"/>
      <c r="M4" s="23"/>
    </row>
    <row r="5" spans="1:13" x14ac:dyDescent="0.25">
      <c r="A5" s="151">
        <v>1</v>
      </c>
      <c r="B5" s="164"/>
      <c r="C5" s="228"/>
      <c r="D5" s="165"/>
      <c r="E5" s="165"/>
      <c r="F5" s="165"/>
      <c r="G5" s="165"/>
      <c r="H5" s="215"/>
      <c r="I5" s="165">
        <f>G5-H5</f>
        <v>0</v>
      </c>
      <c r="J5" s="23"/>
      <c r="K5" s="23"/>
      <c r="L5" s="23"/>
      <c r="M5" s="23"/>
    </row>
    <row r="6" spans="1:13" x14ac:dyDescent="0.25">
      <c r="A6" s="151">
        <v>2</v>
      </c>
      <c r="B6" s="164" t="s">
        <v>205</v>
      </c>
      <c r="C6" s="228"/>
      <c r="D6" s="165">
        <f>'JULY  '!H6:H18</f>
        <v>0</v>
      </c>
      <c r="E6" s="165">
        <v>3000</v>
      </c>
      <c r="F6" s="165">
        <v>100</v>
      </c>
      <c r="G6" s="165">
        <f t="shared" ref="G6:G16" si="0">D6+E6+F6</f>
        <v>3100</v>
      </c>
      <c r="H6" s="215">
        <v>3100</v>
      </c>
      <c r="I6" s="165">
        <f>G6-H6</f>
        <v>0</v>
      </c>
      <c r="J6" s="23"/>
      <c r="K6" s="23"/>
      <c r="L6" s="23"/>
      <c r="M6" s="23"/>
    </row>
    <row r="7" spans="1:13" x14ac:dyDescent="0.25">
      <c r="A7" s="151">
        <v>3</v>
      </c>
      <c r="B7" s="151" t="s">
        <v>398</v>
      </c>
      <c r="C7" s="228"/>
      <c r="D7" s="165">
        <f>'JULY  '!H7:H19</f>
        <v>0</v>
      </c>
      <c r="E7" s="165">
        <v>3000</v>
      </c>
      <c r="F7" s="165">
        <v>100</v>
      </c>
      <c r="G7" s="165">
        <f>D7+E7+F7</f>
        <v>3100</v>
      </c>
      <c r="H7" s="165">
        <v>3100</v>
      </c>
      <c r="I7" s="165">
        <f t="shared" ref="I7:I16" si="1">G7-H7</f>
        <v>0</v>
      </c>
      <c r="J7" s="23"/>
      <c r="K7" s="23"/>
      <c r="L7" s="23"/>
      <c r="M7" s="23"/>
    </row>
    <row r="8" spans="1:13" x14ac:dyDescent="0.25">
      <c r="A8" s="151">
        <v>4</v>
      </c>
      <c r="B8" s="167" t="s">
        <v>385</v>
      </c>
      <c r="C8" s="228"/>
      <c r="D8" s="165">
        <f>'JULY  '!H8:H20</f>
        <v>300</v>
      </c>
      <c r="E8" s="165">
        <v>3000</v>
      </c>
      <c r="F8" s="165">
        <v>100</v>
      </c>
      <c r="G8" s="165">
        <f t="shared" si="0"/>
        <v>3400</v>
      </c>
      <c r="H8" s="215">
        <v>3400</v>
      </c>
      <c r="I8" s="165">
        <f t="shared" si="1"/>
        <v>0</v>
      </c>
      <c r="J8" s="23"/>
      <c r="K8" s="23"/>
      <c r="L8" s="23"/>
      <c r="M8" s="23"/>
    </row>
    <row r="9" spans="1:13" x14ac:dyDescent="0.25">
      <c r="A9" s="151">
        <v>5</v>
      </c>
      <c r="B9" s="151" t="s">
        <v>472</v>
      </c>
      <c r="C9" s="228"/>
      <c r="D9" s="165"/>
      <c r="E9" s="165">
        <v>3000</v>
      </c>
      <c r="F9" s="165"/>
      <c r="G9" s="165">
        <v>3000</v>
      </c>
      <c r="H9" s="215">
        <v>3000</v>
      </c>
      <c r="I9" s="165">
        <f t="shared" si="1"/>
        <v>0</v>
      </c>
      <c r="J9" s="23"/>
      <c r="K9" s="23"/>
      <c r="L9" s="23"/>
      <c r="M9" s="23"/>
    </row>
    <row r="10" spans="1:13" x14ac:dyDescent="0.25">
      <c r="A10" s="151">
        <v>6</v>
      </c>
      <c r="B10" s="151" t="s">
        <v>402</v>
      </c>
      <c r="C10" s="228"/>
      <c r="D10" s="165">
        <f>'JULY  '!H10:H22</f>
        <v>0</v>
      </c>
      <c r="E10" s="165">
        <v>3000</v>
      </c>
      <c r="F10" s="165">
        <v>100</v>
      </c>
      <c r="G10" s="165">
        <f>D10+E10+F10</f>
        <v>3100</v>
      </c>
      <c r="H10" s="215">
        <f>1500+1000</f>
        <v>2500</v>
      </c>
      <c r="I10" s="165">
        <f>G10-H10</f>
        <v>600</v>
      </c>
      <c r="J10" s="23"/>
      <c r="K10" s="23"/>
      <c r="L10" s="23"/>
      <c r="M10" s="23"/>
    </row>
    <row r="11" spans="1:13" x14ac:dyDescent="0.25">
      <c r="A11" s="151">
        <v>7</v>
      </c>
      <c r="B11" s="151" t="s">
        <v>469</v>
      </c>
      <c r="C11" s="228"/>
      <c r="D11" s="165">
        <f>'JULY  '!H11:H23</f>
        <v>0</v>
      </c>
      <c r="E11" s="165">
        <v>3000</v>
      </c>
      <c r="F11" s="165"/>
      <c r="G11" s="165">
        <f t="shared" si="0"/>
        <v>3000</v>
      </c>
      <c r="H11" s="165">
        <v>3000</v>
      </c>
      <c r="I11" s="165">
        <f t="shared" si="1"/>
        <v>0</v>
      </c>
      <c r="J11" s="23"/>
      <c r="K11" s="23"/>
      <c r="L11" s="23"/>
      <c r="M11" s="23"/>
    </row>
    <row r="12" spans="1:13" x14ac:dyDescent="0.25">
      <c r="A12" s="151">
        <v>8</v>
      </c>
      <c r="B12" s="167" t="s">
        <v>344</v>
      </c>
      <c r="C12" s="228"/>
      <c r="D12" s="165">
        <f>'JULY  '!H12:H24</f>
        <v>0</v>
      </c>
      <c r="E12" s="165">
        <v>3000</v>
      </c>
      <c r="F12" s="165">
        <v>100</v>
      </c>
      <c r="G12" s="165">
        <f>D12+E12+F12</f>
        <v>3100</v>
      </c>
      <c r="H12" s="215">
        <v>3100</v>
      </c>
      <c r="I12" s="165">
        <f t="shared" si="1"/>
        <v>0</v>
      </c>
      <c r="J12" s="23"/>
      <c r="K12" s="23"/>
      <c r="L12" s="23"/>
      <c r="M12" s="23"/>
    </row>
    <row r="13" spans="1:13" x14ac:dyDescent="0.25">
      <c r="A13" s="151">
        <v>9</v>
      </c>
      <c r="B13" s="164" t="s">
        <v>239</v>
      </c>
      <c r="C13" s="228"/>
      <c r="D13" s="165">
        <f>'JULY  '!H13:H25</f>
        <v>0</v>
      </c>
      <c r="E13" s="165">
        <v>3000</v>
      </c>
      <c r="F13" s="165">
        <v>100</v>
      </c>
      <c r="G13" s="165">
        <f t="shared" si="0"/>
        <v>3100</v>
      </c>
      <c r="H13" s="215">
        <v>3100</v>
      </c>
      <c r="I13" s="165">
        <f t="shared" si="1"/>
        <v>0</v>
      </c>
      <c r="J13" s="23"/>
      <c r="K13" s="23"/>
      <c r="L13" s="23"/>
      <c r="M13" s="23"/>
    </row>
    <row r="14" spans="1:13" x14ac:dyDescent="0.25">
      <c r="A14" s="151">
        <v>10</v>
      </c>
      <c r="B14" s="169" t="s">
        <v>400</v>
      </c>
      <c r="C14" s="228"/>
      <c r="D14" s="165">
        <f>'JULY  '!H14:H26</f>
        <v>0</v>
      </c>
      <c r="E14" s="165">
        <v>4500</v>
      </c>
      <c r="F14" s="165">
        <v>100</v>
      </c>
      <c r="G14" s="165">
        <f t="shared" si="0"/>
        <v>4600</v>
      </c>
      <c r="H14" s="215">
        <v>4600</v>
      </c>
      <c r="I14" s="165">
        <f t="shared" si="1"/>
        <v>0</v>
      </c>
      <c r="J14" s="23"/>
      <c r="K14" s="23"/>
      <c r="L14" s="23"/>
      <c r="M14" s="23"/>
    </row>
    <row r="15" spans="1:13" x14ac:dyDescent="0.25">
      <c r="A15" s="151">
        <v>11</v>
      </c>
      <c r="B15" s="168" t="s">
        <v>345</v>
      </c>
      <c r="C15" s="228"/>
      <c r="D15" s="165">
        <f>'JULY  '!H15:H27</f>
        <v>4000</v>
      </c>
      <c r="E15" s="165">
        <v>4500</v>
      </c>
      <c r="F15" s="165">
        <v>100</v>
      </c>
      <c r="G15" s="165">
        <f>D15+E15+F15</f>
        <v>8600</v>
      </c>
      <c r="H15" s="215">
        <v>6000</v>
      </c>
      <c r="I15" s="165">
        <f t="shared" si="1"/>
        <v>2600</v>
      </c>
      <c r="J15" s="23"/>
      <c r="K15" s="23"/>
      <c r="L15" s="23"/>
      <c r="M15" s="23"/>
    </row>
    <row r="16" spans="1:13" x14ac:dyDescent="0.25">
      <c r="A16" s="151">
        <v>12</v>
      </c>
      <c r="B16" s="197"/>
      <c r="C16" s="228"/>
      <c r="D16" s="165">
        <f>'JULY  '!H16:H28</f>
        <v>0</v>
      </c>
      <c r="E16" s="165"/>
      <c r="F16" s="165"/>
      <c r="G16" s="165">
        <f t="shared" si="0"/>
        <v>0</v>
      </c>
      <c r="H16" s="165"/>
      <c r="I16" s="165">
        <f t="shared" si="1"/>
        <v>0</v>
      </c>
      <c r="J16" s="23"/>
      <c r="K16" s="23"/>
      <c r="L16" s="229"/>
      <c r="M16" s="23"/>
    </row>
    <row r="17" spans="1:13" x14ac:dyDescent="0.25">
      <c r="A17" s="212"/>
      <c r="B17" s="213" t="s">
        <v>129</v>
      </c>
      <c r="C17" s="228"/>
      <c r="D17" s="165">
        <f>'JULY  '!H17:H29</f>
        <v>4600</v>
      </c>
      <c r="E17" s="217">
        <f>SUM(E5:E16)</f>
        <v>33000</v>
      </c>
      <c r="F17" s="217">
        <f>SUM(F5:F16)</f>
        <v>800</v>
      </c>
      <c r="G17" s="217">
        <f>SUM(G5:G16)</f>
        <v>38100</v>
      </c>
      <c r="H17" s="217">
        <f>SUM(H5:H16)</f>
        <v>34900</v>
      </c>
      <c r="I17" s="217">
        <f>SUM(I5:I16)</f>
        <v>3200</v>
      </c>
      <c r="J17" s="23"/>
      <c r="K17" s="23"/>
      <c r="L17" s="23"/>
      <c r="M17" s="23"/>
    </row>
    <row r="18" spans="1:13" x14ac:dyDescent="0.25">
      <c r="A18" s="204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25">
      <c r="A19" s="23"/>
      <c r="B19" s="227" t="s">
        <v>121</v>
      </c>
      <c r="C19" s="227"/>
      <c r="D19" s="208"/>
      <c r="E19" s="209"/>
      <c r="F19" s="146"/>
      <c r="G19" s="147"/>
      <c r="H19" s="210">
        <f>H17-F17</f>
        <v>34100</v>
      </c>
      <c r="I19" s="147"/>
      <c r="J19" s="23"/>
      <c r="K19" s="23"/>
      <c r="L19" s="23"/>
      <c r="M19" s="23"/>
    </row>
    <row r="20" spans="1:13" x14ac:dyDescent="0.25">
      <c r="A20" s="204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23"/>
      <c r="M20" s="23"/>
    </row>
    <row r="21" spans="1:13" x14ac:dyDescent="0.25">
      <c r="A21" s="204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23"/>
      <c r="M21" s="23"/>
    </row>
    <row r="22" spans="1:13" x14ac:dyDescent="0.25">
      <c r="A22" s="204"/>
      <c r="B22" s="165" t="s">
        <v>464</v>
      </c>
      <c r="C22" s="165"/>
      <c r="D22" s="165">
        <f>E17</f>
        <v>33000</v>
      </c>
      <c r="E22" s="165"/>
      <c r="F22" s="165"/>
      <c r="G22" s="165" t="s">
        <v>464</v>
      </c>
      <c r="H22" s="232">
        <f>H19</f>
        <v>34100</v>
      </c>
      <c r="I22" s="165"/>
      <c r="J22" s="165"/>
      <c r="K22" s="23"/>
      <c r="L22" s="23"/>
      <c r="M22" s="23"/>
    </row>
    <row r="23" spans="1:13" x14ac:dyDescent="0.25">
      <c r="A23" s="204"/>
      <c r="B23" s="165" t="s">
        <v>1</v>
      </c>
      <c r="C23" s="165"/>
      <c r="D23" s="165">
        <f>'JULY  '!E36</f>
        <v>-6191</v>
      </c>
      <c r="E23" s="165"/>
      <c r="F23" s="165"/>
      <c r="G23" s="165" t="s">
        <v>1</v>
      </c>
      <c r="H23" s="165">
        <f>'JULY  '!I36</f>
        <v>-9691</v>
      </c>
      <c r="I23" s="165"/>
      <c r="J23" s="165"/>
      <c r="K23" s="23"/>
      <c r="L23" s="23"/>
      <c r="M23" s="23"/>
    </row>
    <row r="24" spans="1:13" s="58" customFormat="1" x14ac:dyDescent="0.25">
      <c r="A24" s="204"/>
      <c r="B24" s="165" t="s">
        <v>28</v>
      </c>
      <c r="C24" s="165"/>
      <c r="D24" s="165">
        <v>5000</v>
      </c>
      <c r="E24" s="165"/>
      <c r="F24" s="165"/>
      <c r="G24" s="165" t="s">
        <v>28</v>
      </c>
      <c r="H24" s="165">
        <f>D24</f>
        <v>5000</v>
      </c>
      <c r="I24" s="165"/>
      <c r="J24" s="165"/>
      <c r="K24" s="23"/>
      <c r="L24" s="23"/>
      <c r="M24" s="23"/>
    </row>
    <row r="25" spans="1:13" x14ac:dyDescent="0.25">
      <c r="A25" s="204"/>
      <c r="B25" s="165" t="s">
        <v>325</v>
      </c>
      <c r="C25" s="165"/>
      <c r="D25" s="226">
        <v>0.1</v>
      </c>
      <c r="E25" s="165">
        <f>D22*D25</f>
        <v>3300</v>
      </c>
      <c r="F25" s="165"/>
      <c r="G25" s="165" t="s">
        <v>325</v>
      </c>
      <c r="H25" s="226">
        <v>0.1</v>
      </c>
      <c r="I25" s="165">
        <f>E25</f>
        <v>3300</v>
      </c>
      <c r="J25" s="165"/>
      <c r="K25" s="23"/>
      <c r="L25" s="23"/>
      <c r="M25" s="23"/>
    </row>
    <row r="26" spans="1:13" x14ac:dyDescent="0.25">
      <c r="A26" s="205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23"/>
      <c r="M26" s="23"/>
    </row>
    <row r="27" spans="1:13" x14ac:dyDescent="0.25">
      <c r="A27" s="205"/>
      <c r="B27" s="165" t="s">
        <v>350</v>
      </c>
      <c r="C27" s="165"/>
      <c r="D27" s="222"/>
      <c r="E27" s="222">
        <v>2000</v>
      </c>
      <c r="F27" s="165"/>
      <c r="G27" s="165" t="s">
        <v>350</v>
      </c>
      <c r="H27" s="222"/>
      <c r="I27" s="222">
        <v>2000</v>
      </c>
      <c r="J27" s="165"/>
      <c r="K27" s="23"/>
      <c r="L27" s="23"/>
      <c r="M27" s="23"/>
    </row>
    <row r="28" spans="1:13" x14ac:dyDescent="0.25">
      <c r="A28" s="204"/>
      <c r="B28" s="222" t="s">
        <v>473</v>
      </c>
      <c r="C28" s="222"/>
      <c r="D28" s="151"/>
      <c r="E28" s="151">
        <v>10197</v>
      </c>
      <c r="F28" s="165"/>
      <c r="G28" s="222" t="s">
        <v>465</v>
      </c>
      <c r="H28" s="151"/>
      <c r="I28" s="151">
        <v>10197</v>
      </c>
      <c r="J28" s="165"/>
      <c r="K28" s="23"/>
      <c r="L28" s="23"/>
      <c r="M28" s="23"/>
    </row>
    <row r="29" spans="1:13" x14ac:dyDescent="0.25">
      <c r="A29" s="204"/>
      <c r="B29" s="165" t="s">
        <v>466</v>
      </c>
      <c r="C29" s="165"/>
      <c r="D29" s="165"/>
      <c r="E29" s="165">
        <v>1700</v>
      </c>
      <c r="F29" s="165"/>
      <c r="G29" s="165" t="s">
        <v>466</v>
      </c>
      <c r="H29" s="165"/>
      <c r="I29" s="165">
        <v>1700</v>
      </c>
      <c r="J29" s="165"/>
      <c r="K29" s="23"/>
      <c r="L29" s="23"/>
      <c r="M29" s="23"/>
    </row>
    <row r="30" spans="1:13" x14ac:dyDescent="0.25">
      <c r="A30" s="204"/>
      <c r="B30" s="177" t="s">
        <v>467</v>
      </c>
      <c r="C30" s="177"/>
      <c r="D30" s="165"/>
      <c r="E30" s="165">
        <v>3000</v>
      </c>
      <c r="F30" s="165"/>
      <c r="G30" s="177" t="s">
        <v>467</v>
      </c>
      <c r="H30" s="177"/>
      <c r="I30" s="225">
        <v>3000</v>
      </c>
      <c r="J30" s="165"/>
      <c r="K30" s="23"/>
      <c r="L30" s="23"/>
      <c r="M30" s="23"/>
    </row>
    <row r="31" spans="1:13" x14ac:dyDescent="0.25">
      <c r="A31" s="204"/>
      <c r="B31" s="177" t="s">
        <v>468</v>
      </c>
      <c r="C31" s="177"/>
      <c r="D31" s="165"/>
      <c r="E31" s="165">
        <v>3000</v>
      </c>
      <c r="F31" s="165"/>
      <c r="G31" s="177" t="s">
        <v>468</v>
      </c>
      <c r="H31" s="177"/>
      <c r="I31" s="225">
        <v>3000</v>
      </c>
      <c r="J31" s="165"/>
      <c r="K31" s="23"/>
      <c r="L31" s="23"/>
      <c r="M31" s="23"/>
    </row>
    <row r="32" spans="1:13" x14ac:dyDescent="0.25">
      <c r="A32" s="204"/>
      <c r="B32" s="177" t="s">
        <v>470</v>
      </c>
      <c r="C32" s="177"/>
      <c r="D32" s="165"/>
      <c r="E32" s="165">
        <v>50</v>
      </c>
      <c r="F32" s="165"/>
      <c r="G32" s="177" t="s">
        <v>470</v>
      </c>
      <c r="H32" s="177"/>
      <c r="I32" s="225">
        <v>50</v>
      </c>
      <c r="J32" s="165"/>
      <c r="K32" s="23"/>
      <c r="L32" s="23"/>
      <c r="M32" s="23"/>
    </row>
    <row r="33" spans="1:13" x14ac:dyDescent="0.25">
      <c r="A33" s="204"/>
      <c r="B33" s="177" t="s">
        <v>471</v>
      </c>
      <c r="C33" s="177"/>
      <c r="D33" s="174"/>
      <c r="E33" s="222">
        <v>900</v>
      </c>
      <c r="F33" s="165"/>
      <c r="G33" s="177" t="s">
        <v>471</v>
      </c>
      <c r="H33" s="177"/>
      <c r="I33" s="225">
        <v>900</v>
      </c>
      <c r="J33" s="222"/>
      <c r="K33" s="23"/>
      <c r="L33" s="23"/>
      <c r="M33" s="23"/>
    </row>
    <row r="34" spans="1:13" x14ac:dyDescent="0.25">
      <c r="A34" s="204"/>
      <c r="C34" s="165"/>
      <c r="D34" s="174"/>
      <c r="E34" s="174"/>
      <c r="F34" s="165"/>
      <c r="I34" s="174"/>
      <c r="J34" s="174"/>
      <c r="K34" s="23"/>
      <c r="L34" s="23"/>
      <c r="M34" s="23"/>
    </row>
    <row r="35" spans="1:13" x14ac:dyDescent="0.25">
      <c r="A35" s="204"/>
      <c r="B35" s="165" t="s">
        <v>474</v>
      </c>
      <c r="C35" s="151"/>
      <c r="D35" s="151"/>
      <c r="E35" s="151">
        <v>7660</v>
      </c>
      <c r="F35" s="165"/>
      <c r="G35" s="165" t="s">
        <v>474</v>
      </c>
      <c r="H35" s="165"/>
      <c r="I35" s="165">
        <v>7660</v>
      </c>
      <c r="J35" s="151"/>
      <c r="K35" s="23"/>
      <c r="L35" s="23"/>
      <c r="M35" s="23"/>
    </row>
    <row r="36" spans="1:13" s="58" customFormat="1" x14ac:dyDescent="0.25">
      <c r="A36" s="204"/>
      <c r="B36" s="165" t="s">
        <v>480</v>
      </c>
      <c r="C36" s="151"/>
      <c r="D36" s="151"/>
      <c r="E36" s="151">
        <v>500</v>
      </c>
      <c r="F36" s="165"/>
      <c r="G36" s="165" t="s">
        <v>480</v>
      </c>
      <c r="H36" s="151"/>
      <c r="I36" s="165">
        <f>E36</f>
        <v>500</v>
      </c>
      <c r="J36" s="151"/>
      <c r="K36" s="23"/>
      <c r="L36" s="23"/>
      <c r="M36" s="23"/>
    </row>
    <row r="37" spans="1:13" x14ac:dyDescent="0.25">
      <c r="A37" s="204"/>
      <c r="B37" s="151" t="s">
        <v>475</v>
      </c>
      <c r="C37" s="151"/>
      <c r="D37" s="151"/>
      <c r="E37" s="151">
        <v>300</v>
      </c>
      <c r="F37" s="151"/>
      <c r="G37" s="151" t="s">
        <v>475</v>
      </c>
      <c r="H37" s="151"/>
      <c r="I37" s="151">
        <v>300</v>
      </c>
      <c r="J37" s="151"/>
      <c r="K37" s="23"/>
      <c r="L37" s="23"/>
      <c r="M37" s="23"/>
    </row>
    <row r="38" spans="1:13" x14ac:dyDescent="0.25">
      <c r="A38" s="23"/>
      <c r="B38" s="217" t="s">
        <v>129</v>
      </c>
      <c r="C38" s="217"/>
      <c r="D38" s="217">
        <f>D22+D23+D24-E25</f>
        <v>28509</v>
      </c>
      <c r="E38" s="217">
        <f>SUM(E27:E37)</f>
        <v>29307</v>
      </c>
      <c r="F38" s="217">
        <f>D38-E38</f>
        <v>-798</v>
      </c>
      <c r="G38" s="217" t="s">
        <v>129</v>
      </c>
      <c r="H38" s="217">
        <f>H22+H23+H24-I25</f>
        <v>26109</v>
      </c>
      <c r="I38" s="217">
        <f>SUM(I27:I37)</f>
        <v>29307</v>
      </c>
      <c r="J38" s="221">
        <f>H38-I38</f>
        <v>-3198</v>
      </c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 t="s">
        <v>357</v>
      </c>
      <c r="C40" s="23"/>
      <c r="D40" s="23"/>
      <c r="E40" s="23" t="s">
        <v>359</v>
      </c>
      <c r="F40" s="23"/>
      <c r="G40" s="23"/>
      <c r="H40" s="23" t="s">
        <v>361</v>
      </c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 t="s">
        <v>358</v>
      </c>
      <c r="C42" s="23"/>
      <c r="D42" s="23"/>
      <c r="E42" s="23" t="s">
        <v>360</v>
      </c>
      <c r="F42" s="23"/>
      <c r="G42" s="23"/>
      <c r="H42" s="23" t="s">
        <v>158</v>
      </c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14"/>
      <c r="M43" s="23"/>
    </row>
  </sheetData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B2" workbookViewId="0">
      <selection activeCell="I37" sqref="I37"/>
    </sheetView>
  </sheetViews>
  <sheetFormatPr defaultRowHeight="15" x14ac:dyDescent="0.25"/>
  <cols>
    <col min="2" max="2" width="20.28515625" bestFit="1" customWidth="1"/>
  </cols>
  <sheetData>
    <row r="1" spans="1:11" x14ac:dyDescent="0.25">
      <c r="A1" s="23"/>
      <c r="B1" s="23"/>
      <c r="C1" s="23"/>
      <c r="D1" s="32" t="s">
        <v>222</v>
      </c>
      <c r="E1" s="32"/>
      <c r="F1" s="32"/>
      <c r="G1" s="32"/>
      <c r="H1" s="23"/>
      <c r="I1" s="23"/>
      <c r="J1" s="23"/>
      <c r="K1" s="23"/>
    </row>
    <row r="2" spans="1:11" x14ac:dyDescent="0.25">
      <c r="A2" s="23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</row>
    <row r="3" spans="1:11" x14ac:dyDescent="0.25">
      <c r="A3" s="23"/>
      <c r="B3" s="23"/>
      <c r="C3" s="23"/>
      <c r="D3" s="32" t="s">
        <v>478</v>
      </c>
      <c r="E3" s="32"/>
      <c r="F3" s="32"/>
      <c r="G3" s="32"/>
      <c r="H3" s="23"/>
      <c r="I3" s="23"/>
      <c r="J3" s="23"/>
      <c r="K3" s="23"/>
    </row>
    <row r="4" spans="1:11" x14ac:dyDescent="0.25">
      <c r="A4" s="15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</row>
    <row r="5" spans="1:11" x14ac:dyDescent="0.25">
      <c r="A5" s="151">
        <v>1</v>
      </c>
      <c r="B5" s="164"/>
      <c r="C5" s="228"/>
      <c r="D5" s="165">
        <f>'AUGUST 19'!I5:I17</f>
        <v>0</v>
      </c>
      <c r="E5" s="165"/>
      <c r="F5" s="165"/>
      <c r="G5" s="230"/>
      <c r="H5" s="215"/>
      <c r="I5" s="165"/>
      <c r="J5" s="23"/>
      <c r="K5" s="23"/>
    </row>
    <row r="6" spans="1:11" x14ac:dyDescent="0.25">
      <c r="A6" s="151">
        <v>2</v>
      </c>
      <c r="B6" s="164" t="s">
        <v>205</v>
      </c>
      <c r="C6" s="228"/>
      <c r="D6" s="165">
        <f>'AUGUST 19'!I6:I18</f>
        <v>0</v>
      </c>
      <c r="E6" s="165">
        <v>3000</v>
      </c>
      <c r="F6" s="165">
        <v>100</v>
      </c>
      <c r="G6" s="165">
        <f>D6+E6+F6</f>
        <v>3100</v>
      </c>
      <c r="H6" s="215">
        <v>3100</v>
      </c>
      <c r="I6" s="165">
        <f>G6-H6</f>
        <v>0</v>
      </c>
      <c r="J6" s="23"/>
      <c r="K6" s="23"/>
    </row>
    <row r="7" spans="1:11" x14ac:dyDescent="0.25">
      <c r="A7" s="151">
        <v>3</v>
      </c>
      <c r="B7" s="151" t="s">
        <v>398</v>
      </c>
      <c r="C7" s="228"/>
      <c r="D7" s="165">
        <f>'AUGUST 19'!I7:I19</f>
        <v>0</v>
      </c>
      <c r="E7" s="165">
        <v>3000</v>
      </c>
      <c r="F7" s="165">
        <v>100</v>
      </c>
      <c r="G7" s="165">
        <f t="shared" ref="G7:G16" si="0">D7+E7+F7</f>
        <v>3100</v>
      </c>
      <c r="H7" s="165">
        <v>3100</v>
      </c>
      <c r="I7" s="165">
        <f t="shared" ref="I7:I16" si="1">G7-H7</f>
        <v>0</v>
      </c>
      <c r="J7" s="23"/>
      <c r="K7" s="23"/>
    </row>
    <row r="8" spans="1:11" x14ac:dyDescent="0.25">
      <c r="A8" s="151">
        <v>4</v>
      </c>
      <c r="B8" s="167" t="s">
        <v>385</v>
      </c>
      <c r="C8" s="228"/>
      <c r="D8" s="165">
        <f>'AUGUST 19'!I8:I20</f>
        <v>0</v>
      </c>
      <c r="E8" s="165">
        <v>3000</v>
      </c>
      <c r="F8" s="165">
        <v>100</v>
      </c>
      <c r="G8" s="165">
        <f t="shared" si="0"/>
        <v>3100</v>
      </c>
      <c r="H8" s="215">
        <v>2000</v>
      </c>
      <c r="I8" s="165">
        <f t="shared" si="1"/>
        <v>1100</v>
      </c>
      <c r="J8" s="23"/>
      <c r="K8" s="23"/>
    </row>
    <row r="9" spans="1:11" x14ac:dyDescent="0.25">
      <c r="A9" s="151">
        <v>5</v>
      </c>
      <c r="B9" s="151" t="s">
        <v>469</v>
      </c>
      <c r="C9" s="228"/>
      <c r="D9" s="165"/>
      <c r="E9" s="165">
        <v>3000</v>
      </c>
      <c r="F9" s="165"/>
      <c r="G9" s="165">
        <f t="shared" si="0"/>
        <v>3000</v>
      </c>
      <c r="H9" s="215">
        <v>3000</v>
      </c>
      <c r="I9" s="165">
        <f t="shared" si="1"/>
        <v>0</v>
      </c>
      <c r="J9" s="23"/>
      <c r="K9" s="23"/>
    </row>
    <row r="10" spans="1:11" x14ac:dyDescent="0.25">
      <c r="A10" s="151">
        <v>6</v>
      </c>
      <c r="B10" s="151" t="s">
        <v>402</v>
      </c>
      <c r="C10" s="228"/>
      <c r="D10" s="165">
        <f>'AUGUST 19'!I10:I22</f>
        <v>600</v>
      </c>
      <c r="E10" s="165">
        <v>3000</v>
      </c>
      <c r="F10" s="165">
        <v>100</v>
      </c>
      <c r="G10" s="165">
        <f t="shared" si="0"/>
        <v>3700</v>
      </c>
      <c r="H10" s="215">
        <v>3000</v>
      </c>
      <c r="I10" s="165">
        <f>G10-H10</f>
        <v>700</v>
      </c>
      <c r="J10" s="23"/>
      <c r="K10" s="23"/>
    </row>
    <row r="11" spans="1:11" x14ac:dyDescent="0.25">
      <c r="A11" s="151">
        <v>7</v>
      </c>
      <c r="B11" s="151" t="s">
        <v>481</v>
      </c>
      <c r="C11" s="228"/>
      <c r="D11" s="165">
        <v>1000</v>
      </c>
      <c r="E11" s="165">
        <v>3000</v>
      </c>
      <c r="F11" s="165">
        <v>100</v>
      </c>
      <c r="G11" s="165">
        <f t="shared" si="0"/>
        <v>4100</v>
      </c>
      <c r="H11" s="165">
        <v>3100</v>
      </c>
      <c r="I11" s="165">
        <f t="shared" si="1"/>
        <v>1000</v>
      </c>
      <c r="J11" s="23"/>
      <c r="K11" s="23"/>
    </row>
    <row r="12" spans="1:11" x14ac:dyDescent="0.25">
      <c r="A12" s="151">
        <v>8</v>
      </c>
      <c r="B12" s="167" t="s">
        <v>344</v>
      </c>
      <c r="C12" s="228"/>
      <c r="D12" s="165">
        <f>'AUGUST 19'!I12:I24</f>
        <v>0</v>
      </c>
      <c r="E12" s="165">
        <v>3000</v>
      </c>
      <c r="F12" s="165">
        <v>100</v>
      </c>
      <c r="G12" s="165">
        <f t="shared" si="0"/>
        <v>3100</v>
      </c>
      <c r="H12" s="215">
        <v>3100</v>
      </c>
      <c r="I12" s="165">
        <f t="shared" si="1"/>
        <v>0</v>
      </c>
      <c r="J12" s="23"/>
      <c r="K12" s="23"/>
    </row>
    <row r="13" spans="1:11" x14ac:dyDescent="0.25">
      <c r="A13" s="151">
        <v>9</v>
      </c>
      <c r="B13" s="164" t="s">
        <v>239</v>
      </c>
      <c r="C13" s="228"/>
      <c r="D13" s="165">
        <f>'AUGUST 19'!I13:I25</f>
        <v>0</v>
      </c>
      <c r="E13" s="165">
        <v>3000</v>
      </c>
      <c r="F13" s="165">
        <v>100</v>
      </c>
      <c r="G13" s="165">
        <f t="shared" si="0"/>
        <v>3100</v>
      </c>
      <c r="H13" s="215">
        <v>3100</v>
      </c>
      <c r="I13" s="165">
        <f t="shared" si="1"/>
        <v>0</v>
      </c>
      <c r="J13" s="23"/>
      <c r="K13" s="23"/>
    </row>
    <row r="14" spans="1:11" x14ac:dyDescent="0.25">
      <c r="A14" s="151">
        <v>10</v>
      </c>
      <c r="B14" s="169" t="s">
        <v>400</v>
      </c>
      <c r="C14" s="228"/>
      <c r="D14" s="165">
        <f>'AUGUST 19'!I14:I26</f>
        <v>0</v>
      </c>
      <c r="E14" s="165">
        <v>4500</v>
      </c>
      <c r="F14" s="165">
        <v>100</v>
      </c>
      <c r="G14" s="165">
        <f t="shared" si="0"/>
        <v>4600</v>
      </c>
      <c r="H14" s="215">
        <v>4600</v>
      </c>
      <c r="I14" s="165">
        <f t="shared" si="1"/>
        <v>0</v>
      </c>
      <c r="J14" s="23"/>
      <c r="K14" s="23"/>
    </row>
    <row r="15" spans="1:11" x14ac:dyDescent="0.25">
      <c r="A15" s="151">
        <v>11</v>
      </c>
      <c r="B15" s="168" t="s">
        <v>345</v>
      </c>
      <c r="C15" s="228"/>
      <c r="D15" s="165">
        <f>'AUGUST 19'!I15:I27</f>
        <v>2600</v>
      </c>
      <c r="E15" s="165">
        <v>4500</v>
      </c>
      <c r="F15" s="165"/>
      <c r="G15" s="165">
        <f t="shared" si="0"/>
        <v>7100</v>
      </c>
      <c r="H15" s="215">
        <f>2000+1500+1000</f>
        <v>4500</v>
      </c>
      <c r="I15" s="165">
        <f t="shared" si="1"/>
        <v>2600</v>
      </c>
      <c r="J15" s="23"/>
      <c r="K15" s="23"/>
    </row>
    <row r="16" spans="1:11" x14ac:dyDescent="0.25">
      <c r="A16" s="151">
        <v>12</v>
      </c>
      <c r="B16" s="197" t="s">
        <v>479</v>
      </c>
      <c r="C16" s="228"/>
      <c r="D16" s="165">
        <f>'AUGUST 19'!I16:I28</f>
        <v>0</v>
      </c>
      <c r="E16" s="165">
        <v>3000</v>
      </c>
      <c r="F16" s="165"/>
      <c r="G16" s="165">
        <f t="shared" si="0"/>
        <v>3000</v>
      </c>
      <c r="H16" s="165">
        <v>3000</v>
      </c>
      <c r="I16" s="165">
        <f t="shared" si="1"/>
        <v>0</v>
      </c>
      <c r="J16" s="23"/>
      <c r="K16" s="23"/>
    </row>
    <row r="17" spans="1:11" x14ac:dyDescent="0.25">
      <c r="A17" s="212"/>
      <c r="B17" s="213" t="s">
        <v>129</v>
      </c>
      <c r="C17" s="228"/>
      <c r="D17" s="165">
        <f>SUM(D5:D16)</f>
        <v>4200</v>
      </c>
      <c r="E17" s="217">
        <f>SUM(E5:E16)</f>
        <v>36000</v>
      </c>
      <c r="F17" s="217">
        <f>SUM(F5:F16)</f>
        <v>800</v>
      </c>
      <c r="G17" s="165">
        <f>D17+E17+F17</f>
        <v>41000</v>
      </c>
      <c r="H17" s="217">
        <f>SUM(H5:H16)</f>
        <v>35600</v>
      </c>
      <c r="I17" s="217">
        <f>SUM(I5:I16)</f>
        <v>5400</v>
      </c>
      <c r="J17" s="23"/>
      <c r="K17" s="23"/>
    </row>
    <row r="18" spans="1:11" x14ac:dyDescent="0.25">
      <c r="A18" s="204"/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19" spans="1:11" x14ac:dyDescent="0.25">
      <c r="A19" s="23"/>
      <c r="B19" s="227" t="s">
        <v>121</v>
      </c>
      <c r="C19" s="227"/>
      <c r="D19" s="208"/>
      <c r="E19" s="209"/>
      <c r="F19" s="146"/>
      <c r="G19" s="147"/>
      <c r="H19" s="210"/>
      <c r="I19" s="147"/>
      <c r="J19" s="23"/>
      <c r="K19" s="23"/>
    </row>
    <row r="20" spans="1:11" x14ac:dyDescent="0.25">
      <c r="A20" s="204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</row>
    <row r="21" spans="1:11" x14ac:dyDescent="0.25">
      <c r="A21" s="204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</row>
    <row r="22" spans="1:11" x14ac:dyDescent="0.25">
      <c r="A22" s="204"/>
      <c r="B22" s="165" t="s">
        <v>477</v>
      </c>
      <c r="C22" s="165"/>
      <c r="D22" s="165">
        <f>E17</f>
        <v>36000</v>
      </c>
      <c r="E22" s="165"/>
      <c r="F22" s="165"/>
      <c r="G22" s="165" t="s">
        <v>477</v>
      </c>
      <c r="H22" s="165">
        <f>H17</f>
        <v>35600</v>
      </c>
      <c r="I22" s="165"/>
      <c r="J22" s="165"/>
      <c r="K22" s="23"/>
    </row>
    <row r="23" spans="1:11" x14ac:dyDescent="0.25">
      <c r="A23" s="204"/>
      <c r="B23" s="165" t="s">
        <v>1</v>
      </c>
      <c r="C23" s="165"/>
      <c r="D23" s="165">
        <f>'AUGUST 19'!F38</f>
        <v>-798</v>
      </c>
      <c r="E23" s="165"/>
      <c r="F23" s="165"/>
      <c r="G23" s="165" t="s">
        <v>1</v>
      </c>
      <c r="H23" s="165">
        <f>'AUGUST 19'!J38</f>
        <v>-3198</v>
      </c>
      <c r="I23" s="165"/>
      <c r="J23" s="165"/>
      <c r="K23" s="23"/>
    </row>
    <row r="24" spans="1:11" x14ac:dyDescent="0.25">
      <c r="A24" s="204"/>
      <c r="B24" s="165" t="s">
        <v>28</v>
      </c>
      <c r="C24" s="165"/>
      <c r="D24" s="165">
        <v>3000</v>
      </c>
      <c r="E24" s="165"/>
      <c r="F24" s="165"/>
      <c r="G24" s="165" t="s">
        <v>28</v>
      </c>
      <c r="H24" s="165">
        <v>3000</v>
      </c>
      <c r="I24" s="165"/>
      <c r="J24" s="165"/>
      <c r="K24" s="23"/>
    </row>
    <row r="25" spans="1:11" x14ac:dyDescent="0.25">
      <c r="A25" s="204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</row>
    <row r="26" spans="1:11" x14ac:dyDescent="0.25">
      <c r="A26" s="205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</row>
    <row r="27" spans="1:11" x14ac:dyDescent="0.25">
      <c r="A27" s="205"/>
      <c r="B27" s="165" t="s">
        <v>350</v>
      </c>
      <c r="C27" s="165"/>
      <c r="D27" s="222"/>
      <c r="E27" s="222">
        <v>2000</v>
      </c>
      <c r="F27" s="165"/>
      <c r="G27" s="165" t="s">
        <v>350</v>
      </c>
      <c r="H27" s="222"/>
      <c r="I27" s="222">
        <v>2000</v>
      </c>
      <c r="J27" s="165"/>
      <c r="K27" s="23"/>
    </row>
    <row r="28" spans="1:11" x14ac:dyDescent="0.25">
      <c r="A28" s="204"/>
      <c r="B28" s="222" t="s">
        <v>476</v>
      </c>
      <c r="C28" s="222"/>
      <c r="D28" s="151"/>
      <c r="E28" s="151">
        <v>10000</v>
      </c>
      <c r="F28" s="165"/>
      <c r="G28" s="222" t="s">
        <v>476</v>
      </c>
      <c r="H28" s="222"/>
      <c r="I28" s="151">
        <f>E28</f>
        <v>10000</v>
      </c>
      <c r="J28" s="151"/>
      <c r="K28" s="23"/>
    </row>
    <row r="29" spans="1:11" x14ac:dyDescent="0.25">
      <c r="A29" s="204"/>
      <c r="B29" s="165" t="s">
        <v>328</v>
      </c>
      <c r="C29" s="165"/>
      <c r="D29" s="165"/>
      <c r="E29" s="165">
        <v>3000</v>
      </c>
      <c r="F29" s="165"/>
      <c r="G29" s="165" t="s">
        <v>328</v>
      </c>
      <c r="H29" s="165"/>
      <c r="I29" s="165">
        <f>E29</f>
        <v>3000</v>
      </c>
      <c r="J29" s="165"/>
      <c r="K29" s="23"/>
    </row>
    <row r="30" spans="1:11" x14ac:dyDescent="0.25">
      <c r="A30" s="204"/>
      <c r="B30" s="177" t="s">
        <v>482</v>
      </c>
      <c r="C30" s="177"/>
      <c r="D30" s="165"/>
      <c r="E30" s="165">
        <v>19602</v>
      </c>
      <c r="F30" s="165"/>
      <c r="G30" s="177" t="s">
        <v>482</v>
      </c>
      <c r="H30" s="177"/>
      <c r="I30" s="165">
        <f>E30</f>
        <v>19602</v>
      </c>
      <c r="J30" s="165"/>
      <c r="K30" s="23"/>
    </row>
    <row r="31" spans="1:11" x14ac:dyDescent="0.25">
      <c r="A31" s="204"/>
      <c r="B31" s="177" t="s">
        <v>484</v>
      </c>
      <c r="C31" s="177"/>
      <c r="D31" s="165"/>
      <c r="E31" s="165">
        <v>3000</v>
      </c>
      <c r="F31" s="165"/>
      <c r="G31" s="177" t="s">
        <v>484</v>
      </c>
      <c r="H31" s="177"/>
      <c r="I31" s="165">
        <f>E31</f>
        <v>3000</v>
      </c>
      <c r="J31" s="165"/>
      <c r="K31" s="23"/>
    </row>
    <row r="32" spans="1:11" x14ac:dyDescent="0.25">
      <c r="A32" s="204"/>
      <c r="B32" s="177"/>
      <c r="C32" s="177"/>
      <c r="D32" s="165"/>
      <c r="E32" s="165"/>
      <c r="F32" s="165"/>
      <c r="G32" s="177" t="s">
        <v>377</v>
      </c>
      <c r="H32" s="177"/>
      <c r="I32" s="225">
        <v>800</v>
      </c>
      <c r="J32" s="165"/>
      <c r="K32" s="23"/>
    </row>
    <row r="33" spans="1:11" x14ac:dyDescent="0.25">
      <c r="A33" s="204"/>
      <c r="B33" s="177"/>
      <c r="C33" s="177"/>
      <c r="D33" s="174"/>
      <c r="E33" s="222"/>
      <c r="F33" s="165"/>
      <c r="G33" s="177"/>
      <c r="H33" s="177"/>
      <c r="I33" s="225"/>
      <c r="J33" s="222"/>
      <c r="K33" s="23"/>
    </row>
    <row r="34" spans="1:11" x14ac:dyDescent="0.25">
      <c r="A34" s="204"/>
      <c r="B34" s="58"/>
      <c r="C34" s="165"/>
      <c r="D34" s="174"/>
      <c r="E34" s="174"/>
      <c r="F34" s="165"/>
      <c r="G34" s="58"/>
      <c r="H34" s="58"/>
      <c r="I34" s="174"/>
      <c r="J34" s="174"/>
      <c r="K34" s="23"/>
    </row>
    <row r="35" spans="1:11" x14ac:dyDescent="0.25">
      <c r="A35" s="204"/>
      <c r="B35" s="165"/>
      <c r="C35" s="151"/>
      <c r="D35" s="151"/>
      <c r="E35" s="151"/>
      <c r="F35" s="165"/>
      <c r="G35" s="165"/>
      <c r="H35" s="165"/>
      <c r="I35" s="165"/>
      <c r="J35" s="151"/>
      <c r="K35" s="23"/>
    </row>
    <row r="36" spans="1:11" x14ac:dyDescent="0.25">
      <c r="A36" s="204"/>
      <c r="B36" s="151"/>
      <c r="C36" s="151"/>
      <c r="D36" s="151"/>
      <c r="E36" s="151"/>
      <c r="F36" s="151"/>
      <c r="G36" s="151"/>
      <c r="H36" s="151"/>
      <c r="I36" s="151"/>
      <c r="J36" s="151"/>
      <c r="K36" s="23"/>
    </row>
    <row r="37" spans="1:11" x14ac:dyDescent="0.25">
      <c r="A37" s="23"/>
      <c r="B37" s="217" t="s">
        <v>129</v>
      </c>
      <c r="C37" s="217"/>
      <c r="D37" s="217">
        <f>D22+D23+D24-E25</f>
        <v>34602</v>
      </c>
      <c r="E37" s="217">
        <f>SUM(E27:E36)</f>
        <v>37602</v>
      </c>
      <c r="F37" s="217">
        <f>D37-E37</f>
        <v>-3000</v>
      </c>
      <c r="G37" s="217" t="s">
        <v>129</v>
      </c>
      <c r="H37" s="217">
        <f>H22+H23+H24-I25</f>
        <v>31802</v>
      </c>
      <c r="I37" s="217">
        <f>SUM(I27:I36)</f>
        <v>38402</v>
      </c>
      <c r="J37" s="221">
        <f>H37-I37</f>
        <v>-6600</v>
      </c>
      <c r="K37" s="23"/>
    </row>
    <row r="38" spans="1:1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25">
      <c r="A39" s="23"/>
      <c r="B39" s="23" t="s">
        <v>357</v>
      </c>
      <c r="C39" s="23"/>
      <c r="D39" s="23"/>
      <c r="E39" s="23" t="s">
        <v>359</v>
      </c>
      <c r="F39" s="23"/>
      <c r="G39" s="23"/>
      <c r="H39" s="23" t="s">
        <v>361</v>
      </c>
      <c r="I39" s="23"/>
      <c r="J39" s="23"/>
      <c r="K39" s="23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x14ac:dyDescent="0.25">
      <c r="A41" s="23"/>
      <c r="B41" s="23" t="s">
        <v>483</v>
      </c>
      <c r="C41" s="23"/>
      <c r="D41" s="23"/>
      <c r="E41" s="23" t="s">
        <v>360</v>
      </c>
      <c r="F41" s="23"/>
      <c r="G41" s="23"/>
      <c r="H41" s="23" t="s">
        <v>158</v>
      </c>
      <c r="I41" s="23"/>
      <c r="J41" s="23"/>
      <c r="K41" s="23"/>
    </row>
    <row r="42" spans="1:1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opLeftCell="A4" workbookViewId="0">
      <selection activeCell="H21" sqref="H21"/>
    </sheetView>
  </sheetViews>
  <sheetFormatPr defaultRowHeight="15" x14ac:dyDescent="0.25"/>
  <cols>
    <col min="5" max="5" width="7.42578125" customWidth="1"/>
  </cols>
  <sheetData>
    <row r="2" spans="2:12" x14ac:dyDescent="0.25">
      <c r="B2" s="23"/>
      <c r="C2" s="23"/>
      <c r="D2" s="32" t="s">
        <v>222</v>
      </c>
      <c r="E2" s="32"/>
      <c r="F2" s="32"/>
      <c r="G2" s="32"/>
      <c r="H2" s="23"/>
      <c r="I2" s="23"/>
      <c r="J2" s="23"/>
      <c r="K2" s="23"/>
      <c r="L2" s="58"/>
    </row>
    <row r="3" spans="2:12" x14ac:dyDescent="0.25">
      <c r="B3" s="23"/>
      <c r="C3" s="23"/>
      <c r="D3" s="32" t="s">
        <v>388</v>
      </c>
      <c r="E3" s="32"/>
      <c r="F3" s="32"/>
      <c r="G3" s="32"/>
      <c r="H3" s="23"/>
      <c r="I3" s="23"/>
      <c r="J3" s="23"/>
      <c r="K3" s="23"/>
      <c r="L3" s="58"/>
    </row>
    <row r="4" spans="2:12" x14ac:dyDescent="0.25">
      <c r="B4" s="23"/>
      <c r="C4" s="23"/>
      <c r="D4" s="32" t="s">
        <v>485</v>
      </c>
      <c r="E4" s="32"/>
      <c r="F4" s="32"/>
      <c r="G4" s="32"/>
      <c r="H4" s="23"/>
      <c r="I4" s="23"/>
      <c r="J4" s="23"/>
      <c r="K4" s="23"/>
      <c r="L4" s="58"/>
    </row>
    <row r="5" spans="2:12" x14ac:dyDescent="0.25">
      <c r="B5" s="201" t="s">
        <v>324</v>
      </c>
      <c r="C5" s="201" t="s">
        <v>28</v>
      </c>
      <c r="D5" s="200" t="s">
        <v>1</v>
      </c>
      <c r="E5" s="201" t="s">
        <v>2</v>
      </c>
      <c r="F5" s="139" t="s">
        <v>77</v>
      </c>
      <c r="G5" s="139" t="s">
        <v>129</v>
      </c>
      <c r="H5" s="201" t="s">
        <v>3</v>
      </c>
      <c r="I5" s="203" t="s">
        <v>364</v>
      </c>
      <c r="J5" s="23"/>
      <c r="K5" s="23"/>
      <c r="L5" s="58"/>
    </row>
    <row r="6" spans="2:12" x14ac:dyDescent="0.25">
      <c r="B6" s="164"/>
      <c r="C6" s="228"/>
      <c r="D6" s="165"/>
      <c r="E6" s="165"/>
      <c r="F6" s="165"/>
      <c r="G6" s="230"/>
      <c r="H6" s="215"/>
      <c r="I6" s="165"/>
      <c r="J6" s="23"/>
      <c r="K6" s="23"/>
      <c r="L6" s="58"/>
    </row>
    <row r="7" spans="2:12" x14ac:dyDescent="0.25">
      <c r="B7" s="164" t="s">
        <v>205</v>
      </c>
      <c r="C7" s="228"/>
      <c r="D7" s="165">
        <f>'SEPTEMBER 19'!I6:I16</f>
        <v>0</v>
      </c>
      <c r="E7" s="165">
        <v>3000</v>
      </c>
      <c r="F7" s="165">
        <v>100</v>
      </c>
      <c r="G7" s="165">
        <f>D7+E7+F7</f>
        <v>3100</v>
      </c>
      <c r="H7" s="215">
        <v>3100</v>
      </c>
      <c r="I7" s="165">
        <f>G7-H7</f>
        <v>0</v>
      </c>
      <c r="J7" s="23"/>
      <c r="K7" s="23"/>
      <c r="L7" s="58"/>
    </row>
    <row r="8" spans="2:12" x14ac:dyDescent="0.25">
      <c r="B8" s="151" t="s">
        <v>398</v>
      </c>
      <c r="C8" s="228"/>
      <c r="D8" s="165"/>
      <c r="E8" s="165">
        <v>3000</v>
      </c>
      <c r="F8" s="165">
        <v>100</v>
      </c>
      <c r="G8" s="165">
        <f t="shared" ref="G8:G17" si="0">D8+E8+F8</f>
        <v>3100</v>
      </c>
      <c r="H8" s="165">
        <v>3100</v>
      </c>
      <c r="I8" s="165">
        <f t="shared" ref="I8:I17" si="1">G8-H8</f>
        <v>0</v>
      </c>
      <c r="J8" s="23"/>
      <c r="K8" s="23"/>
      <c r="L8" s="58"/>
    </row>
    <row r="9" spans="2:12" x14ac:dyDescent="0.25">
      <c r="B9" s="167" t="s">
        <v>385</v>
      </c>
      <c r="C9" s="228"/>
      <c r="D9" s="165">
        <v>1100</v>
      </c>
      <c r="E9" s="165">
        <v>3000</v>
      </c>
      <c r="F9" s="165">
        <v>100</v>
      </c>
      <c r="G9" s="165">
        <f t="shared" si="0"/>
        <v>4200</v>
      </c>
      <c r="H9" s="215">
        <v>3000</v>
      </c>
      <c r="I9" s="165">
        <f>G9-H9</f>
        <v>1200</v>
      </c>
      <c r="J9" s="23"/>
      <c r="K9" s="23"/>
      <c r="L9" s="58"/>
    </row>
    <row r="10" spans="2:12" x14ac:dyDescent="0.25">
      <c r="B10" s="151" t="s">
        <v>469</v>
      </c>
      <c r="C10" s="228"/>
      <c r="D10" s="165"/>
      <c r="E10" s="165">
        <v>3000</v>
      </c>
      <c r="F10" s="165">
        <v>100</v>
      </c>
      <c r="G10" s="165">
        <f t="shared" si="0"/>
        <v>3100</v>
      </c>
      <c r="H10" s="215">
        <v>3100</v>
      </c>
      <c r="I10" s="165">
        <f t="shared" si="1"/>
        <v>0</v>
      </c>
      <c r="J10" s="23"/>
      <c r="K10" s="23"/>
      <c r="L10" s="58"/>
    </row>
    <row r="11" spans="2:12" x14ac:dyDescent="0.25">
      <c r="B11" s="151" t="s">
        <v>402</v>
      </c>
      <c r="C11" s="228"/>
      <c r="D11" s="165">
        <v>700</v>
      </c>
      <c r="E11" s="165">
        <v>3000</v>
      </c>
      <c r="F11" s="165">
        <v>100</v>
      </c>
      <c r="G11" s="165">
        <f t="shared" si="0"/>
        <v>3800</v>
      </c>
      <c r="H11" s="215">
        <v>3100</v>
      </c>
      <c r="I11" s="165">
        <f>G11-H11</f>
        <v>700</v>
      </c>
      <c r="J11" s="23"/>
      <c r="K11" s="23"/>
      <c r="L11" s="58"/>
    </row>
    <row r="12" spans="2:12" x14ac:dyDescent="0.25">
      <c r="B12" s="151" t="s">
        <v>481</v>
      </c>
      <c r="C12" s="228"/>
      <c r="D12" s="165">
        <v>1000</v>
      </c>
      <c r="E12" s="165">
        <v>3000</v>
      </c>
      <c r="F12" s="165">
        <v>100</v>
      </c>
      <c r="G12" s="165">
        <f t="shared" si="0"/>
        <v>4100</v>
      </c>
      <c r="H12" s="165">
        <v>3100</v>
      </c>
      <c r="I12" s="165">
        <f t="shared" si="1"/>
        <v>1000</v>
      </c>
      <c r="J12" s="23"/>
      <c r="K12" s="23"/>
      <c r="L12" s="58"/>
    </row>
    <row r="13" spans="2:12" x14ac:dyDescent="0.25">
      <c r="B13" s="167" t="s">
        <v>344</v>
      </c>
      <c r="C13" s="228"/>
      <c r="D13" s="165">
        <f>'SEPTEMBER 19'!I12:I22</f>
        <v>0</v>
      </c>
      <c r="E13" s="165">
        <v>3000</v>
      </c>
      <c r="F13" s="165">
        <v>100</v>
      </c>
      <c r="G13" s="165">
        <f t="shared" si="0"/>
        <v>3100</v>
      </c>
      <c r="H13" s="215">
        <v>3100</v>
      </c>
      <c r="I13" s="165">
        <f t="shared" si="1"/>
        <v>0</v>
      </c>
      <c r="J13" s="23"/>
      <c r="K13" s="23"/>
      <c r="L13" s="58"/>
    </row>
    <row r="14" spans="2:12" x14ac:dyDescent="0.25">
      <c r="B14" s="164" t="s">
        <v>239</v>
      </c>
      <c r="C14" s="228"/>
      <c r="D14" s="165">
        <f>'SEPTEMBER 19'!I13:I23</f>
        <v>0</v>
      </c>
      <c r="E14" s="165">
        <v>3000</v>
      </c>
      <c r="F14" s="165">
        <v>100</v>
      </c>
      <c r="G14" s="165">
        <f t="shared" si="0"/>
        <v>3100</v>
      </c>
      <c r="H14" s="215">
        <v>3100</v>
      </c>
      <c r="I14" s="165">
        <f t="shared" si="1"/>
        <v>0</v>
      </c>
      <c r="J14" s="23"/>
      <c r="K14" s="23"/>
      <c r="L14" s="58"/>
    </row>
    <row r="15" spans="2:12" x14ac:dyDescent="0.25">
      <c r="B15" s="169" t="s">
        <v>400</v>
      </c>
      <c r="C15" s="228"/>
      <c r="D15" s="165"/>
      <c r="E15" s="165">
        <v>4500</v>
      </c>
      <c r="F15" s="165">
        <v>100</v>
      </c>
      <c r="G15" s="165">
        <f t="shared" si="0"/>
        <v>4600</v>
      </c>
      <c r="H15" s="215">
        <v>4600</v>
      </c>
      <c r="I15" s="165">
        <f t="shared" si="1"/>
        <v>0</v>
      </c>
      <c r="J15" s="23"/>
      <c r="K15" s="23"/>
      <c r="L15" s="58"/>
    </row>
    <row r="16" spans="2:12" x14ac:dyDescent="0.25">
      <c r="B16" s="168" t="s">
        <v>345</v>
      </c>
      <c r="C16" s="228"/>
      <c r="D16" s="165">
        <v>2600</v>
      </c>
      <c r="E16" s="165">
        <v>4500</v>
      </c>
      <c r="F16" s="165">
        <v>100</v>
      </c>
      <c r="G16" s="165">
        <f t="shared" si="0"/>
        <v>7200</v>
      </c>
      <c r="H16" s="215">
        <v>5100</v>
      </c>
      <c r="I16" s="165">
        <f t="shared" si="1"/>
        <v>2100</v>
      </c>
      <c r="J16" s="23"/>
      <c r="K16" s="23"/>
      <c r="L16" s="58"/>
    </row>
    <row r="17" spans="2:12" x14ac:dyDescent="0.25">
      <c r="B17" s="197" t="s">
        <v>479</v>
      </c>
      <c r="C17" s="228"/>
      <c r="D17" s="165"/>
      <c r="E17" s="165">
        <v>3000</v>
      </c>
      <c r="F17" s="165">
        <v>100</v>
      </c>
      <c r="G17" s="165">
        <f t="shared" si="0"/>
        <v>3100</v>
      </c>
      <c r="H17" s="165">
        <v>3100</v>
      </c>
      <c r="I17" s="165">
        <f t="shared" si="1"/>
        <v>0</v>
      </c>
      <c r="J17" s="23"/>
      <c r="K17" s="23"/>
      <c r="L17" s="58"/>
    </row>
    <row r="18" spans="2:12" x14ac:dyDescent="0.25">
      <c r="B18" s="213" t="s">
        <v>129</v>
      </c>
      <c r="C18" s="228"/>
      <c r="D18" s="165">
        <f>SUM(D7:D17)</f>
        <v>5400</v>
      </c>
      <c r="E18" s="217">
        <f>SUM(E6:E17)</f>
        <v>36000</v>
      </c>
      <c r="F18" s="217">
        <f>SUM(F6:F17)</f>
        <v>1100</v>
      </c>
      <c r="G18" s="165">
        <f>D18+E18+F18</f>
        <v>42500</v>
      </c>
      <c r="H18" s="217">
        <f>SUM(H6:H17)</f>
        <v>37500</v>
      </c>
      <c r="I18" s="217">
        <f>SUM(I6:I17)</f>
        <v>5000</v>
      </c>
      <c r="J18" s="23"/>
      <c r="K18" s="23"/>
      <c r="L18" s="58"/>
    </row>
    <row r="19" spans="2:12" x14ac:dyDescent="0.25">
      <c r="B19" s="23"/>
      <c r="C19" s="23"/>
      <c r="D19" s="23"/>
      <c r="E19" s="23"/>
      <c r="F19" s="23"/>
      <c r="G19" s="23"/>
      <c r="H19" s="23">
        <f>H18+I18-F18</f>
        <v>41400</v>
      </c>
      <c r="I19" s="23"/>
      <c r="J19" s="23"/>
      <c r="K19" s="23"/>
      <c r="L19" s="58"/>
    </row>
    <row r="20" spans="2:12" x14ac:dyDescent="0.25">
      <c r="B20" s="227" t="s">
        <v>121</v>
      </c>
      <c r="C20" s="227"/>
      <c r="D20" s="208"/>
      <c r="E20" s="209"/>
      <c r="F20" s="146"/>
      <c r="G20" s="147"/>
      <c r="H20" s="210">
        <f>H19-I18</f>
        <v>36400</v>
      </c>
      <c r="I20" s="147"/>
      <c r="J20" s="23"/>
      <c r="K20" s="23"/>
      <c r="L20" s="58"/>
    </row>
    <row r="21" spans="2:12" x14ac:dyDescent="0.25">
      <c r="B21" s="218" t="s">
        <v>362</v>
      </c>
      <c r="C21" s="218"/>
      <c r="D21" s="218"/>
      <c r="E21" s="218"/>
      <c r="F21" s="219"/>
      <c r="G21" s="218" t="s">
        <v>102</v>
      </c>
      <c r="H21" s="220"/>
      <c r="I21" s="220"/>
      <c r="J21" s="220"/>
      <c r="K21" s="23"/>
      <c r="L21" s="58"/>
    </row>
    <row r="22" spans="2:12" x14ac:dyDescent="0.25">
      <c r="B22" s="221" t="s">
        <v>122</v>
      </c>
      <c r="C22" s="221"/>
      <c r="D22" s="221" t="s">
        <v>123</v>
      </c>
      <c r="E22" s="221" t="s">
        <v>124</v>
      </c>
      <c r="F22" s="221" t="s">
        <v>125</v>
      </c>
      <c r="G22" s="221" t="s">
        <v>122</v>
      </c>
      <c r="H22" s="221" t="s">
        <v>123</v>
      </c>
      <c r="I22" s="221" t="s">
        <v>124</v>
      </c>
      <c r="J22" s="221" t="s">
        <v>125</v>
      </c>
      <c r="K22" s="23"/>
      <c r="L22" s="58"/>
    </row>
    <row r="23" spans="2:12" x14ac:dyDescent="0.25">
      <c r="B23" s="165" t="s">
        <v>486</v>
      </c>
      <c r="C23" s="165"/>
      <c r="D23" s="165">
        <f>E18</f>
        <v>36000</v>
      </c>
      <c r="E23" s="165"/>
      <c r="F23" s="165"/>
      <c r="G23" s="165" t="s">
        <v>486</v>
      </c>
      <c r="H23" s="232">
        <f>H20</f>
        <v>36400</v>
      </c>
      <c r="I23" s="165"/>
      <c r="J23" s="165"/>
      <c r="K23" s="23"/>
      <c r="L23" s="58"/>
    </row>
    <row r="24" spans="2:12" x14ac:dyDescent="0.25">
      <c r="B24" s="165" t="s">
        <v>1</v>
      </c>
      <c r="C24" s="165"/>
      <c r="D24" s="165">
        <f>'SEPTEMBER 19'!F37</f>
        <v>-3000</v>
      </c>
      <c r="E24" s="165"/>
      <c r="F24" s="165"/>
      <c r="G24" s="165" t="s">
        <v>1</v>
      </c>
      <c r="H24" s="165">
        <f>'SEPTEMBER 19'!J37</f>
        <v>-6600</v>
      </c>
      <c r="I24" s="165"/>
      <c r="J24" s="165"/>
      <c r="K24" s="23"/>
      <c r="L24" s="58"/>
    </row>
    <row r="25" spans="2:12" x14ac:dyDescent="0.25">
      <c r="B25" s="165" t="s">
        <v>28</v>
      </c>
      <c r="C25" s="165"/>
      <c r="D25" s="165"/>
      <c r="E25" s="165"/>
      <c r="F25" s="165"/>
      <c r="G25" s="165" t="s">
        <v>28</v>
      </c>
      <c r="H25" s="165"/>
      <c r="I25" s="165"/>
      <c r="J25" s="165"/>
      <c r="K25" s="23"/>
      <c r="L25" s="58"/>
    </row>
    <row r="26" spans="2:12" x14ac:dyDescent="0.25">
      <c r="B26" s="165" t="s">
        <v>325</v>
      </c>
      <c r="C26" s="165"/>
      <c r="D26" s="226">
        <v>0.1</v>
      </c>
      <c r="E26" s="165">
        <f>D23*D26</f>
        <v>3600</v>
      </c>
      <c r="F26" s="165"/>
      <c r="G26" s="165" t="s">
        <v>325</v>
      </c>
      <c r="H26" s="226">
        <v>0.1</v>
      </c>
      <c r="I26" s="165">
        <f>E26</f>
        <v>3600</v>
      </c>
      <c r="J26" s="165"/>
      <c r="K26" s="23"/>
      <c r="L26" s="58"/>
    </row>
    <row r="27" spans="2:12" x14ac:dyDescent="0.25">
      <c r="B27" s="217" t="s">
        <v>128</v>
      </c>
      <c r="C27" s="217"/>
      <c r="D27" s="165" t="s">
        <v>206</v>
      </c>
      <c r="E27" s="165"/>
      <c r="F27" s="165"/>
      <c r="G27" s="217" t="s">
        <v>128</v>
      </c>
      <c r="H27" s="165" t="s">
        <v>206</v>
      </c>
      <c r="I27" s="165"/>
      <c r="J27" s="165"/>
      <c r="K27" s="23"/>
      <c r="L27" s="58"/>
    </row>
    <row r="28" spans="2:12" x14ac:dyDescent="0.25">
      <c r="B28" s="165" t="s">
        <v>350</v>
      </c>
      <c r="C28" s="165"/>
      <c r="D28" s="222"/>
      <c r="E28" s="222">
        <v>2500</v>
      </c>
      <c r="F28" s="165"/>
      <c r="G28" s="165" t="s">
        <v>350</v>
      </c>
      <c r="H28" s="222"/>
      <c r="I28" s="222">
        <v>2500</v>
      </c>
      <c r="J28" s="165"/>
      <c r="K28" s="23"/>
      <c r="L28" s="58"/>
    </row>
    <row r="29" spans="2:12" x14ac:dyDescent="0.25">
      <c r="B29" s="222" t="s">
        <v>487</v>
      </c>
      <c r="C29" s="222"/>
      <c r="D29" s="151"/>
      <c r="E29" s="151">
        <v>500</v>
      </c>
      <c r="F29" s="165"/>
      <c r="G29" s="222" t="s">
        <v>487</v>
      </c>
      <c r="H29" s="222"/>
      <c r="I29" s="151">
        <v>500</v>
      </c>
      <c r="J29" s="151"/>
      <c r="K29" s="23"/>
      <c r="L29" s="58"/>
    </row>
    <row r="30" spans="2:12" x14ac:dyDescent="0.25">
      <c r="B30" s="165" t="s">
        <v>488</v>
      </c>
      <c r="C30" s="165"/>
      <c r="D30" s="165"/>
      <c r="E30" s="165">
        <f>3000+7000</f>
        <v>10000</v>
      </c>
      <c r="F30" s="165"/>
      <c r="G30" s="165" t="s">
        <v>488</v>
      </c>
      <c r="H30" s="165"/>
      <c r="I30" s="165">
        <f>3000+7000</f>
        <v>10000</v>
      </c>
      <c r="J30" s="165"/>
      <c r="K30" s="23"/>
      <c r="L30" s="58"/>
    </row>
    <row r="31" spans="2:12" x14ac:dyDescent="0.25">
      <c r="B31" s="177" t="s">
        <v>489</v>
      </c>
      <c r="C31" s="177"/>
      <c r="D31" s="165"/>
      <c r="E31" s="165">
        <v>500</v>
      </c>
      <c r="F31" s="165"/>
      <c r="G31" s="177" t="s">
        <v>489</v>
      </c>
      <c r="H31" s="177"/>
      <c r="I31" s="165">
        <f>E31</f>
        <v>500</v>
      </c>
      <c r="J31" s="165"/>
      <c r="K31" s="23"/>
      <c r="L31" s="58"/>
    </row>
    <row r="32" spans="2:12" x14ac:dyDescent="0.25">
      <c r="B32" s="177"/>
      <c r="C32" s="177"/>
      <c r="D32" s="165"/>
      <c r="E32" s="165"/>
      <c r="F32" s="165"/>
      <c r="G32" s="177" t="s">
        <v>377</v>
      </c>
      <c r="H32" s="177"/>
      <c r="I32" s="165">
        <v>1100</v>
      </c>
      <c r="J32" s="165"/>
      <c r="K32" s="23"/>
      <c r="L32" s="58"/>
    </row>
    <row r="33" spans="2:12" x14ac:dyDescent="0.25">
      <c r="B33" s="177" t="s">
        <v>490</v>
      </c>
      <c r="C33" s="177"/>
      <c r="D33" s="165"/>
      <c r="E33" s="165">
        <v>15900</v>
      </c>
      <c r="F33" s="165"/>
      <c r="G33" s="177" t="s">
        <v>490</v>
      </c>
      <c r="H33" s="177"/>
      <c r="I33" s="165">
        <v>15900</v>
      </c>
      <c r="J33" s="165"/>
      <c r="K33" s="23"/>
      <c r="L33" s="58"/>
    </row>
    <row r="34" spans="2:12" x14ac:dyDescent="0.25">
      <c r="B34" s="177"/>
      <c r="C34" s="177"/>
      <c r="D34" s="174"/>
      <c r="E34" s="222"/>
      <c r="F34" s="165"/>
      <c r="G34" s="177"/>
      <c r="H34" s="177"/>
      <c r="I34" s="225"/>
      <c r="J34" s="222"/>
      <c r="K34" s="23"/>
      <c r="L34" s="58"/>
    </row>
    <row r="35" spans="2:12" x14ac:dyDescent="0.25">
      <c r="B35" s="58"/>
      <c r="C35" s="165"/>
      <c r="D35" s="174"/>
      <c r="E35" s="174"/>
      <c r="F35" s="165"/>
      <c r="G35" s="58"/>
      <c r="H35" s="58"/>
      <c r="I35" s="174"/>
      <c r="J35" s="174"/>
      <c r="K35" s="23"/>
      <c r="L35" s="58"/>
    </row>
    <row r="36" spans="2:12" x14ac:dyDescent="0.25">
      <c r="B36" s="165"/>
      <c r="C36" s="151"/>
      <c r="D36" s="151"/>
      <c r="E36" s="151"/>
      <c r="F36" s="165"/>
      <c r="G36" s="165"/>
      <c r="H36" s="165"/>
      <c r="I36" s="165"/>
      <c r="J36" s="151"/>
      <c r="K36" s="23"/>
      <c r="L36" s="58"/>
    </row>
    <row r="37" spans="2:12" x14ac:dyDescent="0.25">
      <c r="B37" s="151"/>
      <c r="C37" s="151"/>
      <c r="D37" s="151"/>
      <c r="E37" s="151"/>
      <c r="F37" s="151"/>
      <c r="G37" s="151"/>
      <c r="H37" s="151"/>
      <c r="I37" s="151"/>
      <c r="J37" s="151"/>
      <c r="K37" s="23"/>
      <c r="L37" s="58"/>
    </row>
    <row r="38" spans="2:12" x14ac:dyDescent="0.25">
      <c r="B38" s="217" t="s">
        <v>129</v>
      </c>
      <c r="C38" s="217"/>
      <c r="D38" s="217">
        <f>D23+D24+D25-E26</f>
        <v>29400</v>
      </c>
      <c r="E38" s="217">
        <f>SUM(E28:E37)</f>
        <v>29400</v>
      </c>
      <c r="F38" s="217">
        <f>D38-E38</f>
        <v>0</v>
      </c>
      <c r="G38" s="217" t="s">
        <v>129</v>
      </c>
      <c r="H38" s="217">
        <f>H23+H24-I26</f>
        <v>26200</v>
      </c>
      <c r="I38" s="217">
        <f>SUM(I28:I37)</f>
        <v>30500</v>
      </c>
      <c r="J38" s="221">
        <f>H38-I38</f>
        <v>-4300</v>
      </c>
      <c r="K38" s="23"/>
      <c r="L38" s="58"/>
    </row>
    <row r="39" spans="2:12" x14ac:dyDescent="0.2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58"/>
    </row>
    <row r="40" spans="2:12" x14ac:dyDescent="0.25">
      <c r="B40" s="23" t="s">
        <v>357</v>
      </c>
      <c r="C40" s="23"/>
      <c r="D40" s="23"/>
      <c r="E40" s="23" t="s">
        <v>359</v>
      </c>
      <c r="F40" s="23"/>
      <c r="G40" s="23"/>
      <c r="H40" s="23" t="s">
        <v>361</v>
      </c>
      <c r="I40" s="23"/>
      <c r="J40" s="23"/>
      <c r="K40" s="23"/>
      <c r="L40" s="58"/>
    </row>
    <row r="41" spans="2:12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58"/>
    </row>
    <row r="42" spans="2:12" x14ac:dyDescent="0.25">
      <c r="B42" s="23" t="s">
        <v>483</v>
      </c>
      <c r="C42" s="23"/>
      <c r="D42" s="23"/>
      <c r="E42" s="23" t="s">
        <v>360</v>
      </c>
      <c r="F42" s="23"/>
      <c r="G42" s="23"/>
      <c r="H42" s="23" t="s">
        <v>158</v>
      </c>
      <c r="I42" s="23"/>
      <c r="J42" s="23"/>
      <c r="K42" s="23"/>
      <c r="L42" s="58"/>
    </row>
    <row r="43" spans="2:12" x14ac:dyDescent="0.2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58"/>
    </row>
  </sheetData>
  <pageMargins left="0.7" right="0.7" top="0.75" bottom="0.75" header="0.3" footer="0.3"/>
  <pageSetup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0" workbookViewId="0">
      <selection activeCell="H23" sqref="H23"/>
    </sheetView>
  </sheetViews>
  <sheetFormatPr defaultRowHeight="15" x14ac:dyDescent="0.25"/>
  <cols>
    <col min="3" max="3" width="10.28515625" customWidth="1"/>
    <col min="4" max="4" width="9.140625" customWidth="1"/>
  </cols>
  <sheetData>
    <row r="1" spans="1:12" x14ac:dyDescent="0.25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x14ac:dyDescent="0.25">
      <c r="A2" s="58"/>
      <c r="C2" s="58"/>
      <c r="D2" s="32" t="s">
        <v>222</v>
      </c>
      <c r="E2" s="32"/>
      <c r="F2" s="32"/>
      <c r="G2" s="32"/>
      <c r="H2" s="23"/>
      <c r="I2" s="23"/>
      <c r="J2" s="23"/>
      <c r="K2" s="23"/>
      <c r="L2" s="58"/>
    </row>
    <row r="3" spans="1:12" x14ac:dyDescent="0.25">
      <c r="A3" s="58"/>
      <c r="B3" s="23"/>
      <c r="C3" s="23"/>
      <c r="D3" s="32" t="s">
        <v>388</v>
      </c>
      <c r="E3" s="32"/>
      <c r="F3" s="32"/>
      <c r="G3" s="32"/>
      <c r="H3" s="23"/>
      <c r="I3" s="23"/>
      <c r="J3" s="23"/>
      <c r="K3" s="23"/>
      <c r="L3" s="58"/>
    </row>
    <row r="4" spans="1:12" x14ac:dyDescent="0.25">
      <c r="A4" s="58"/>
      <c r="B4" s="23"/>
      <c r="C4" s="23"/>
      <c r="D4" s="32" t="s">
        <v>492</v>
      </c>
      <c r="E4" s="32"/>
      <c r="F4" s="32"/>
      <c r="G4" s="32"/>
      <c r="H4" s="23"/>
      <c r="I4" s="23"/>
      <c r="J4" s="23"/>
      <c r="K4" s="23"/>
      <c r="L4" s="58"/>
    </row>
    <row r="5" spans="1:12" x14ac:dyDescent="0.25">
      <c r="A5" s="58"/>
      <c r="B5" s="201" t="s">
        <v>324</v>
      </c>
      <c r="C5" s="201" t="s">
        <v>28</v>
      </c>
      <c r="D5" s="200" t="s">
        <v>1</v>
      </c>
      <c r="E5" s="201" t="s">
        <v>2</v>
      </c>
      <c r="F5" s="139" t="s">
        <v>77</v>
      </c>
      <c r="G5" s="139" t="s">
        <v>129</v>
      </c>
      <c r="H5" s="201" t="s">
        <v>3</v>
      </c>
      <c r="I5" s="203" t="s">
        <v>364</v>
      </c>
      <c r="J5" s="23"/>
      <c r="K5" s="23"/>
      <c r="L5" s="58"/>
    </row>
    <row r="6" spans="1:12" x14ac:dyDescent="0.25">
      <c r="A6" s="58"/>
      <c r="B6" s="164"/>
      <c r="C6" s="228"/>
      <c r="D6" s="165"/>
      <c r="E6" s="165"/>
      <c r="F6" s="165"/>
      <c r="G6" s="230"/>
      <c r="H6" s="215"/>
      <c r="I6" s="165"/>
      <c r="J6" s="23"/>
      <c r="K6" s="23"/>
      <c r="L6" s="58"/>
    </row>
    <row r="7" spans="1:12" x14ac:dyDescent="0.25">
      <c r="A7" s="58"/>
      <c r="B7" s="164" t="s">
        <v>205</v>
      </c>
      <c r="C7" s="228"/>
      <c r="D7" s="165">
        <f>'OCTOBER 19'!I7:I17</f>
        <v>0</v>
      </c>
      <c r="E7" s="165">
        <v>3000</v>
      </c>
      <c r="F7" s="165">
        <v>100</v>
      </c>
      <c r="G7" s="165">
        <f>D7+E7+F7</f>
        <v>3100</v>
      </c>
      <c r="H7" s="215">
        <v>3100</v>
      </c>
      <c r="I7" s="165">
        <f>G7-H7</f>
        <v>0</v>
      </c>
      <c r="J7" s="23"/>
      <c r="K7" s="23"/>
      <c r="L7" s="58"/>
    </row>
    <row r="8" spans="1:12" x14ac:dyDescent="0.25">
      <c r="A8" s="58"/>
      <c r="B8" s="151" t="s">
        <v>398</v>
      </c>
      <c r="C8" s="228"/>
      <c r="D8" s="165">
        <f>'OCTOBER 19'!I8:I18</f>
        <v>0</v>
      </c>
      <c r="E8" s="165">
        <v>3000</v>
      </c>
      <c r="F8" s="165">
        <v>100</v>
      </c>
      <c r="G8" s="165">
        <f t="shared" ref="G8:G17" si="0">D8+E8+F8</f>
        <v>3100</v>
      </c>
      <c r="H8" s="165">
        <v>3100</v>
      </c>
      <c r="I8" s="165">
        <f t="shared" ref="I8:I17" si="1">G8-H8</f>
        <v>0</v>
      </c>
      <c r="J8" s="23"/>
      <c r="K8" s="23"/>
      <c r="L8" s="58"/>
    </row>
    <row r="9" spans="1:12" x14ac:dyDescent="0.25">
      <c r="A9" s="58"/>
      <c r="B9" s="167" t="s">
        <v>385</v>
      </c>
      <c r="C9" s="228"/>
      <c r="D9" s="165">
        <f>'OCTOBER 19'!I9:I19</f>
        <v>1200</v>
      </c>
      <c r="E9" s="165">
        <v>3000</v>
      </c>
      <c r="F9" s="165">
        <v>100</v>
      </c>
      <c r="G9" s="165">
        <f t="shared" si="0"/>
        <v>4300</v>
      </c>
      <c r="H9" s="215">
        <v>3000</v>
      </c>
      <c r="I9" s="165">
        <f>G9-H9</f>
        <v>1300</v>
      </c>
      <c r="J9" s="23"/>
      <c r="K9" s="23"/>
      <c r="L9" s="58"/>
    </row>
    <row r="10" spans="1:12" x14ac:dyDescent="0.25">
      <c r="A10" s="58"/>
      <c r="B10" s="151" t="s">
        <v>469</v>
      </c>
      <c r="C10" s="228"/>
      <c r="D10" s="165">
        <f>'OCTOBER 19'!I10:I20</f>
        <v>0</v>
      </c>
      <c r="E10" s="165">
        <v>3000</v>
      </c>
      <c r="F10" s="165">
        <v>100</v>
      </c>
      <c r="G10" s="165">
        <f t="shared" si="0"/>
        <v>3100</v>
      </c>
      <c r="H10" s="215">
        <v>3100</v>
      </c>
      <c r="I10" s="165">
        <f t="shared" si="1"/>
        <v>0</v>
      </c>
      <c r="J10" s="23"/>
      <c r="K10" s="23"/>
      <c r="L10" s="58"/>
    </row>
    <row r="11" spans="1:12" x14ac:dyDescent="0.25">
      <c r="A11" s="58"/>
      <c r="B11" s="151" t="s">
        <v>402</v>
      </c>
      <c r="C11" s="228"/>
      <c r="D11" s="165">
        <f>'OCTOBER 19'!I11:I21</f>
        <v>700</v>
      </c>
      <c r="E11" s="165">
        <v>3000</v>
      </c>
      <c r="F11" s="165">
        <v>100</v>
      </c>
      <c r="G11" s="165">
        <f t="shared" si="0"/>
        <v>3800</v>
      </c>
      <c r="H11" s="215">
        <v>2000</v>
      </c>
      <c r="I11" s="165">
        <f>G11-H11</f>
        <v>1800</v>
      </c>
      <c r="J11" s="23"/>
      <c r="K11" s="23"/>
      <c r="L11" s="58"/>
    </row>
    <row r="12" spans="1:12" x14ac:dyDescent="0.25">
      <c r="A12" s="58"/>
      <c r="B12" s="151" t="s">
        <v>481</v>
      </c>
      <c r="C12" s="228"/>
      <c r="D12" s="165">
        <f>'OCTOBER 19'!I12:I22</f>
        <v>1000</v>
      </c>
      <c r="E12" s="165">
        <v>3000</v>
      </c>
      <c r="F12" s="165">
        <v>100</v>
      </c>
      <c r="G12" s="165">
        <f t="shared" si="0"/>
        <v>4100</v>
      </c>
      <c r="H12" s="165">
        <v>3100</v>
      </c>
      <c r="I12" s="165">
        <f t="shared" si="1"/>
        <v>1000</v>
      </c>
      <c r="J12" s="23"/>
      <c r="K12" s="23"/>
      <c r="L12" s="58"/>
    </row>
    <row r="13" spans="1:12" x14ac:dyDescent="0.25">
      <c r="A13" s="58"/>
      <c r="B13" s="167" t="s">
        <v>344</v>
      </c>
      <c r="C13" s="228"/>
      <c r="D13" s="165">
        <f>'OCTOBER 19'!I13:I23</f>
        <v>0</v>
      </c>
      <c r="E13" s="165">
        <v>3000</v>
      </c>
      <c r="F13" s="165">
        <v>100</v>
      </c>
      <c r="G13" s="165">
        <f t="shared" si="0"/>
        <v>3100</v>
      </c>
      <c r="H13" s="215">
        <v>3100</v>
      </c>
      <c r="I13" s="165">
        <f t="shared" si="1"/>
        <v>0</v>
      </c>
      <c r="J13" s="23"/>
      <c r="K13" s="23"/>
      <c r="L13" s="58"/>
    </row>
    <row r="14" spans="1:12" x14ac:dyDescent="0.25">
      <c r="A14" s="58"/>
      <c r="B14" s="164" t="s">
        <v>495</v>
      </c>
      <c r="C14" s="231"/>
      <c r="D14" s="165">
        <f>'OCTOBER 19'!I14:I24</f>
        <v>0</v>
      </c>
      <c r="E14" s="165">
        <v>3000</v>
      </c>
      <c r="F14" s="165"/>
      <c r="G14" s="165">
        <f t="shared" si="0"/>
        <v>3000</v>
      </c>
      <c r="H14" s="215">
        <v>3000</v>
      </c>
      <c r="I14" s="165">
        <f t="shared" si="1"/>
        <v>0</v>
      </c>
      <c r="J14" s="23"/>
      <c r="K14" s="23"/>
      <c r="L14" s="58"/>
    </row>
    <row r="15" spans="1:12" x14ac:dyDescent="0.25">
      <c r="A15" s="58"/>
      <c r="B15" s="169" t="s">
        <v>400</v>
      </c>
      <c r="C15" s="228"/>
      <c r="D15" s="165">
        <f>'OCTOBER 19'!I15:I25</f>
        <v>0</v>
      </c>
      <c r="E15" s="165">
        <v>4500</v>
      </c>
      <c r="F15" s="165">
        <v>100</v>
      </c>
      <c r="G15" s="165">
        <f t="shared" si="0"/>
        <v>4600</v>
      </c>
      <c r="H15" s="215">
        <v>4600</v>
      </c>
      <c r="I15" s="165">
        <f t="shared" si="1"/>
        <v>0</v>
      </c>
      <c r="J15" s="23"/>
      <c r="K15" s="23"/>
      <c r="L15" s="58"/>
    </row>
    <row r="16" spans="1:12" x14ac:dyDescent="0.25">
      <c r="A16" s="58"/>
      <c r="B16" s="168" t="s">
        <v>345</v>
      </c>
      <c r="C16" s="228"/>
      <c r="D16" s="165">
        <f>'OCTOBER 19'!I16:I26</f>
        <v>2100</v>
      </c>
      <c r="E16" s="165">
        <v>4500</v>
      </c>
      <c r="F16" s="165">
        <v>100</v>
      </c>
      <c r="G16" s="165">
        <f t="shared" si="0"/>
        <v>6700</v>
      </c>
      <c r="H16" s="215">
        <f>4100+1500</f>
        <v>5600</v>
      </c>
      <c r="I16" s="165">
        <f t="shared" si="1"/>
        <v>1100</v>
      </c>
      <c r="J16" s="23"/>
      <c r="K16" s="23"/>
      <c r="L16" s="58"/>
    </row>
    <row r="17" spans="1:12" x14ac:dyDescent="0.25">
      <c r="A17" s="58"/>
      <c r="B17" s="197" t="s">
        <v>479</v>
      </c>
      <c r="C17" s="228"/>
      <c r="D17" s="165">
        <f>'OCTOBER 19'!I17:I27</f>
        <v>0</v>
      </c>
      <c r="E17" s="165">
        <v>3000</v>
      </c>
      <c r="F17" s="165">
        <v>100</v>
      </c>
      <c r="G17" s="165">
        <f t="shared" si="0"/>
        <v>3100</v>
      </c>
      <c r="H17" s="165">
        <v>3100</v>
      </c>
      <c r="I17" s="165">
        <f t="shared" si="1"/>
        <v>0</v>
      </c>
      <c r="J17" s="23"/>
      <c r="K17" s="23"/>
      <c r="L17" s="58"/>
    </row>
    <row r="18" spans="1:12" x14ac:dyDescent="0.25">
      <c r="A18" s="58"/>
      <c r="B18" s="213" t="s">
        <v>129</v>
      </c>
      <c r="C18" s="228"/>
      <c r="D18" s="165">
        <f>SUM(D7:D17)</f>
        <v>5000</v>
      </c>
      <c r="E18" s="217">
        <f>SUM(E6:E17)</f>
        <v>36000</v>
      </c>
      <c r="F18" s="217">
        <f>SUM(F6:F17)</f>
        <v>1000</v>
      </c>
      <c r="G18" s="165">
        <f>D18+E18+F18</f>
        <v>42000</v>
      </c>
      <c r="H18" s="217">
        <f>SUM(H6:H17)</f>
        <v>36800</v>
      </c>
      <c r="I18" s="217">
        <f>SUM(I6:I17)</f>
        <v>5200</v>
      </c>
      <c r="J18" s="23"/>
      <c r="K18" s="23"/>
      <c r="L18" s="58"/>
    </row>
    <row r="19" spans="1:12" x14ac:dyDescent="0.25">
      <c r="A19" s="58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58"/>
    </row>
    <row r="20" spans="1:12" x14ac:dyDescent="0.25">
      <c r="A20" s="58"/>
      <c r="B20" s="227" t="s">
        <v>121</v>
      </c>
      <c r="C20" s="227"/>
      <c r="D20" s="208"/>
      <c r="E20" s="209"/>
      <c r="F20" s="146"/>
      <c r="G20" s="147"/>
      <c r="H20" s="210">
        <f>H18-F18</f>
        <v>35800</v>
      </c>
      <c r="I20" s="147"/>
      <c r="J20" s="23"/>
      <c r="K20" s="23"/>
      <c r="L20" s="58"/>
    </row>
    <row r="21" spans="1:12" x14ac:dyDescent="0.25">
      <c r="A21" s="58"/>
      <c r="B21" s="218" t="s">
        <v>362</v>
      </c>
      <c r="C21" s="218"/>
      <c r="D21" s="218"/>
      <c r="E21" s="218"/>
      <c r="F21" s="219"/>
      <c r="G21" s="218" t="s">
        <v>102</v>
      </c>
      <c r="H21" s="220"/>
      <c r="I21" s="220"/>
      <c r="J21" s="220"/>
      <c r="K21" s="23"/>
      <c r="L21" s="58"/>
    </row>
    <row r="22" spans="1:12" x14ac:dyDescent="0.25">
      <c r="A22" s="58"/>
      <c r="B22" s="221" t="s">
        <v>122</v>
      </c>
      <c r="C22" s="221"/>
      <c r="D22" s="221" t="s">
        <v>123</v>
      </c>
      <c r="E22" s="221" t="s">
        <v>124</v>
      </c>
      <c r="F22" s="221" t="s">
        <v>125</v>
      </c>
      <c r="G22" s="221" t="s">
        <v>122</v>
      </c>
      <c r="H22" s="221" t="s">
        <v>123</v>
      </c>
      <c r="I22" s="221" t="s">
        <v>124</v>
      </c>
      <c r="J22" s="221" t="s">
        <v>125</v>
      </c>
      <c r="K22" s="23"/>
      <c r="L22" s="58"/>
    </row>
    <row r="23" spans="1:12" x14ac:dyDescent="0.25">
      <c r="A23" s="58"/>
      <c r="B23" s="165" t="s">
        <v>491</v>
      </c>
      <c r="C23" s="165"/>
      <c r="D23" s="165">
        <f>E18</f>
        <v>36000</v>
      </c>
      <c r="E23" s="165"/>
      <c r="F23" s="165"/>
      <c r="G23" s="165" t="s">
        <v>491</v>
      </c>
      <c r="H23" s="232">
        <f>H20</f>
        <v>35800</v>
      </c>
      <c r="I23" s="165"/>
      <c r="J23" s="165"/>
      <c r="K23" s="23"/>
      <c r="L23" s="58"/>
    </row>
    <row r="24" spans="1:12" x14ac:dyDescent="0.25">
      <c r="A24" s="58"/>
      <c r="B24" s="165" t="s">
        <v>1</v>
      </c>
      <c r="C24" s="165"/>
      <c r="D24" s="165">
        <f>'OCTOBER 19'!F38</f>
        <v>0</v>
      </c>
      <c r="E24" s="165"/>
      <c r="F24" s="165"/>
      <c r="G24" s="165" t="s">
        <v>1</v>
      </c>
      <c r="H24" s="165">
        <f>'OCTOBER 19'!J38</f>
        <v>-4300</v>
      </c>
      <c r="I24" s="165"/>
      <c r="J24" s="165"/>
      <c r="K24" s="23"/>
      <c r="L24" s="58"/>
    </row>
    <row r="25" spans="1:12" x14ac:dyDescent="0.25">
      <c r="A25" s="58"/>
      <c r="B25" s="165" t="s">
        <v>28</v>
      </c>
      <c r="C25" s="165"/>
      <c r="D25" s="165">
        <v>3000</v>
      </c>
      <c r="E25" s="165"/>
      <c r="F25" s="165"/>
      <c r="G25" s="165" t="s">
        <v>28</v>
      </c>
      <c r="H25" s="165">
        <v>3000</v>
      </c>
      <c r="I25" s="165"/>
      <c r="J25" s="165"/>
      <c r="K25" s="23"/>
      <c r="L25" s="58"/>
    </row>
    <row r="26" spans="1:12" x14ac:dyDescent="0.25">
      <c r="A26" s="58"/>
      <c r="B26" s="165" t="s">
        <v>325</v>
      </c>
      <c r="C26" s="165"/>
      <c r="D26" s="226">
        <v>0.1</v>
      </c>
      <c r="E26" s="165">
        <f>D23*D26</f>
        <v>3600</v>
      </c>
      <c r="F26" s="165"/>
      <c r="G26" s="165" t="s">
        <v>325</v>
      </c>
      <c r="H26" s="226">
        <v>0.1</v>
      </c>
      <c r="I26" s="165">
        <f>E26</f>
        <v>3600</v>
      </c>
      <c r="J26" s="165"/>
      <c r="K26" s="23"/>
      <c r="L26" s="58"/>
    </row>
    <row r="27" spans="1:12" x14ac:dyDescent="0.25">
      <c r="A27" s="58"/>
      <c r="B27" s="217" t="s">
        <v>128</v>
      </c>
      <c r="C27" s="217"/>
      <c r="D27" s="165" t="s">
        <v>206</v>
      </c>
      <c r="E27" s="165"/>
      <c r="F27" s="165"/>
      <c r="G27" s="217" t="s">
        <v>128</v>
      </c>
      <c r="H27" s="165" t="s">
        <v>206</v>
      </c>
      <c r="I27" s="165"/>
      <c r="J27" s="165"/>
      <c r="K27" s="23"/>
      <c r="L27" s="58"/>
    </row>
    <row r="28" spans="1:12" x14ac:dyDescent="0.25">
      <c r="A28" s="58"/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23"/>
      <c r="L28" s="58"/>
    </row>
    <row r="29" spans="1:12" x14ac:dyDescent="0.25">
      <c r="A29" s="58"/>
      <c r="B29" s="222" t="s">
        <v>494</v>
      </c>
      <c r="C29" s="222"/>
      <c r="D29" s="151"/>
      <c r="E29" s="151">
        <v>7000</v>
      </c>
      <c r="F29" s="165"/>
      <c r="G29" s="222" t="s">
        <v>494</v>
      </c>
      <c r="H29" s="222"/>
      <c r="I29" s="151">
        <v>7000</v>
      </c>
      <c r="J29" s="151"/>
      <c r="K29" s="23"/>
      <c r="L29" s="58"/>
    </row>
    <row r="30" spans="1:12" x14ac:dyDescent="0.25">
      <c r="A30" s="58"/>
      <c r="B30" s="165" t="s">
        <v>493</v>
      </c>
      <c r="C30" s="165"/>
      <c r="D30" s="165"/>
      <c r="E30" s="165">
        <v>3000</v>
      </c>
      <c r="F30" s="165"/>
      <c r="G30" s="165" t="s">
        <v>328</v>
      </c>
      <c r="H30" s="165"/>
      <c r="I30" s="165">
        <v>2000</v>
      </c>
      <c r="J30" s="165"/>
      <c r="K30" s="23"/>
      <c r="L30" s="58"/>
    </row>
    <row r="31" spans="1:12" x14ac:dyDescent="0.25">
      <c r="A31" s="58"/>
      <c r="B31" s="177" t="s">
        <v>498</v>
      </c>
      <c r="C31" s="177"/>
      <c r="D31" s="165"/>
      <c r="E31" s="165">
        <f>500+1000+500+500</f>
        <v>2500</v>
      </c>
      <c r="F31" s="165"/>
      <c r="G31" s="177" t="s">
        <v>498</v>
      </c>
      <c r="H31" s="177"/>
      <c r="I31" s="165">
        <f>500+1000+500+500</f>
        <v>2500</v>
      </c>
      <c r="J31" s="165"/>
      <c r="K31" s="23"/>
      <c r="L31" s="58"/>
    </row>
    <row r="32" spans="1:12" ht="10.5" customHeight="1" x14ac:dyDescent="0.25">
      <c r="A32" s="58"/>
      <c r="B32" s="177"/>
      <c r="C32" s="177"/>
      <c r="D32" s="165"/>
      <c r="E32" s="165"/>
      <c r="F32" s="165"/>
      <c r="G32" s="177"/>
      <c r="H32" s="177"/>
      <c r="I32" s="165"/>
      <c r="J32" s="165"/>
      <c r="K32" s="23"/>
      <c r="L32" s="58"/>
    </row>
    <row r="33" spans="1:12" ht="15.75" customHeight="1" x14ac:dyDescent="0.25">
      <c r="A33" s="58"/>
      <c r="B33" s="177" t="s">
        <v>496</v>
      </c>
      <c r="C33" s="177"/>
      <c r="D33" s="165"/>
      <c r="E33" s="165">
        <v>2710</v>
      </c>
      <c r="F33" s="165"/>
      <c r="G33" s="177" t="s">
        <v>496</v>
      </c>
      <c r="H33" s="177"/>
      <c r="I33" s="165">
        <v>2710</v>
      </c>
      <c r="J33" s="165"/>
      <c r="K33" s="23"/>
      <c r="L33" s="58"/>
    </row>
    <row r="34" spans="1:12" x14ac:dyDescent="0.25">
      <c r="A34" s="58"/>
      <c r="B34" s="177" t="s">
        <v>497</v>
      </c>
      <c r="C34" s="177"/>
      <c r="D34" s="165"/>
      <c r="E34" s="165">
        <v>1000</v>
      </c>
      <c r="F34" s="165"/>
      <c r="G34" s="177" t="s">
        <v>497</v>
      </c>
      <c r="H34" s="177"/>
      <c r="I34" s="165">
        <v>1000</v>
      </c>
      <c r="J34" s="165"/>
      <c r="K34" s="23"/>
      <c r="L34" s="58"/>
    </row>
    <row r="35" spans="1:12" x14ac:dyDescent="0.25">
      <c r="A35" s="58"/>
      <c r="B35" s="177" t="s">
        <v>470</v>
      </c>
      <c r="C35" s="177"/>
      <c r="D35" s="165"/>
      <c r="E35" s="165">
        <v>50</v>
      </c>
      <c r="F35" s="165"/>
      <c r="G35" s="177" t="s">
        <v>470</v>
      </c>
      <c r="H35" s="177"/>
      <c r="I35" s="165">
        <v>50</v>
      </c>
      <c r="J35" s="165"/>
      <c r="K35" s="23"/>
      <c r="L35" s="58"/>
    </row>
    <row r="36" spans="1:12" x14ac:dyDescent="0.25">
      <c r="A36" s="58"/>
      <c r="B36" s="165" t="s">
        <v>499</v>
      </c>
      <c r="C36" s="151"/>
      <c r="D36" s="151"/>
      <c r="E36" s="151">
        <v>500</v>
      </c>
      <c r="F36" s="165"/>
      <c r="G36" s="165" t="s">
        <v>499</v>
      </c>
      <c r="H36" s="151"/>
      <c r="I36" s="151">
        <v>500</v>
      </c>
      <c r="J36" s="151"/>
      <c r="K36" s="23"/>
      <c r="L36" s="58"/>
    </row>
    <row r="37" spans="1:12" s="58" customFormat="1" x14ac:dyDescent="0.25">
      <c r="B37" s="151" t="s">
        <v>500</v>
      </c>
      <c r="D37" s="151"/>
      <c r="E37" s="151">
        <v>16640</v>
      </c>
      <c r="F37" s="151"/>
      <c r="G37" s="151" t="s">
        <v>500</v>
      </c>
      <c r="H37" s="151"/>
      <c r="I37" s="151">
        <v>16640</v>
      </c>
      <c r="J37" s="151"/>
      <c r="K37" s="23"/>
    </row>
    <row r="38" spans="1:12" s="58" customFormat="1" x14ac:dyDescent="0.25">
      <c r="B38" s="165" t="s">
        <v>503</v>
      </c>
      <c r="C38" s="151"/>
      <c r="D38" s="151"/>
      <c r="E38" s="151">
        <v>2650</v>
      </c>
      <c r="F38" s="165"/>
      <c r="G38" s="165" t="s">
        <v>501</v>
      </c>
      <c r="H38" s="151"/>
      <c r="I38" s="151">
        <v>2650</v>
      </c>
      <c r="J38" s="151"/>
      <c r="K38" s="23"/>
    </row>
    <row r="39" spans="1:12" x14ac:dyDescent="0.25">
      <c r="A39" s="58"/>
      <c r="B39" s="151" t="s">
        <v>502</v>
      </c>
      <c r="D39" s="151"/>
      <c r="E39" s="151">
        <v>1500</v>
      </c>
      <c r="F39" s="151"/>
      <c r="G39" s="151" t="s">
        <v>502</v>
      </c>
      <c r="H39" s="58"/>
      <c r="I39" s="151">
        <v>1500</v>
      </c>
      <c r="J39" s="151"/>
      <c r="K39" s="23"/>
      <c r="L39" s="58"/>
    </row>
    <row r="40" spans="1:12" x14ac:dyDescent="0.25">
      <c r="A40" s="58"/>
      <c r="B40" s="217" t="s">
        <v>129</v>
      </c>
      <c r="C40" s="217"/>
      <c r="D40" s="217">
        <f>D23+D24+D25-E26</f>
        <v>35400</v>
      </c>
      <c r="E40" s="217">
        <f>SUM(E28:E39)</f>
        <v>39550</v>
      </c>
      <c r="F40" s="217">
        <f>D40-E40</f>
        <v>-4150</v>
      </c>
      <c r="G40" s="217" t="s">
        <v>129</v>
      </c>
      <c r="H40" s="217">
        <f>H23+H24+H25-I26</f>
        <v>30900</v>
      </c>
      <c r="I40" s="217">
        <f>SUM(I28:I39)</f>
        <v>38550</v>
      </c>
      <c r="J40" s="221">
        <f>H40-I40</f>
        <v>-7650</v>
      </c>
      <c r="K40" s="23"/>
      <c r="L40" s="58"/>
    </row>
    <row r="41" spans="1:12" x14ac:dyDescent="0.25">
      <c r="A41" s="58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58"/>
    </row>
    <row r="42" spans="1:12" x14ac:dyDescent="0.25">
      <c r="A42" s="58"/>
      <c r="B42" s="23" t="s">
        <v>357</v>
      </c>
      <c r="C42" s="23"/>
      <c r="D42" s="23"/>
      <c r="E42" s="23" t="s">
        <v>359</v>
      </c>
      <c r="F42" s="23"/>
      <c r="G42" s="23"/>
      <c r="H42" s="23" t="s">
        <v>361</v>
      </c>
      <c r="I42" s="23"/>
      <c r="J42" s="23"/>
      <c r="K42" s="23"/>
      <c r="L42" s="58"/>
    </row>
    <row r="43" spans="1:12" x14ac:dyDescent="0.25">
      <c r="A43" s="58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58"/>
    </row>
    <row r="44" spans="1:12" x14ac:dyDescent="0.25">
      <c r="A44" s="58"/>
      <c r="B44" s="23" t="s">
        <v>483</v>
      </c>
      <c r="C44" s="23"/>
      <c r="D44" s="23"/>
      <c r="E44" s="23" t="s">
        <v>360</v>
      </c>
      <c r="F44" s="23"/>
      <c r="G44" s="23"/>
      <c r="H44" s="23" t="s">
        <v>158</v>
      </c>
      <c r="I44" s="23"/>
      <c r="J44" s="23"/>
      <c r="K44" s="58"/>
    </row>
    <row r="45" spans="1:12" x14ac:dyDescent="0.25">
      <c r="A45" s="58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58"/>
    </row>
    <row r="46" spans="1:12" x14ac:dyDescent="0.25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</row>
  </sheetData>
  <pageMargins left="0.7" right="0.7" top="0.1" bottom="0.1" header="0.3" footer="0.3"/>
  <pageSetup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5" workbookViewId="0">
      <selection activeCell="H19" sqref="H19"/>
    </sheetView>
  </sheetViews>
  <sheetFormatPr defaultRowHeight="15" x14ac:dyDescent="0.25"/>
  <cols>
    <col min="3" max="3" width="12.42578125" customWidth="1"/>
    <col min="7" max="7" width="9" customWidth="1"/>
  </cols>
  <sheetData>
    <row r="1" spans="1:14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</row>
    <row r="2" spans="1:14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</row>
    <row r="3" spans="1:14" x14ac:dyDescent="0.25">
      <c r="A3" s="58"/>
      <c r="B3" s="23"/>
      <c r="C3" s="23"/>
      <c r="D3" s="32" t="s">
        <v>505</v>
      </c>
      <c r="E3" s="32"/>
      <c r="F3" s="32"/>
      <c r="G3" s="32"/>
      <c r="H3" s="23"/>
      <c r="I3" s="23"/>
      <c r="J3" s="23"/>
      <c r="K3" s="23"/>
      <c r="L3" s="58"/>
    </row>
    <row r="4" spans="1:14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</row>
    <row r="5" spans="1:14" x14ac:dyDescent="0.25">
      <c r="A5" s="58"/>
      <c r="B5" s="164"/>
      <c r="C5" s="228"/>
      <c r="D5" s="165"/>
      <c r="E5" s="165"/>
      <c r="F5" s="165"/>
      <c r="G5" s="230"/>
      <c r="H5" s="215"/>
      <c r="I5" s="165"/>
      <c r="J5" s="23"/>
      <c r="K5" s="23"/>
      <c r="L5" s="58"/>
    </row>
    <row r="6" spans="1:14" x14ac:dyDescent="0.25">
      <c r="A6" s="58"/>
      <c r="B6" s="164" t="s">
        <v>205</v>
      </c>
      <c r="C6" s="228"/>
      <c r="D6" s="165">
        <f>'NOVEMBER 19'!I7</f>
        <v>0</v>
      </c>
      <c r="E6" s="165">
        <v>3000</v>
      </c>
      <c r="F6" s="165">
        <v>100</v>
      </c>
      <c r="G6" s="165">
        <f>D6+E6+F6</f>
        <v>3100</v>
      </c>
      <c r="H6" s="215">
        <v>3100</v>
      </c>
      <c r="I6" s="165">
        <f>G6-H6</f>
        <v>0</v>
      </c>
      <c r="J6" s="23"/>
      <c r="K6" s="23"/>
      <c r="L6" s="58"/>
    </row>
    <row r="7" spans="1:14" x14ac:dyDescent="0.25">
      <c r="A7" s="58"/>
      <c r="B7" s="151" t="s">
        <v>398</v>
      </c>
      <c r="C7" s="228"/>
      <c r="D7" s="165">
        <f>'NOVEMBER 19'!I8</f>
        <v>0</v>
      </c>
      <c r="E7" s="165">
        <v>3000</v>
      </c>
      <c r="F7" s="165">
        <v>100</v>
      </c>
      <c r="G7" s="165">
        <f t="shared" ref="G7:G16" si="0">D7+E7+F7</f>
        <v>3100</v>
      </c>
      <c r="H7" s="165">
        <v>3100</v>
      </c>
      <c r="I7" s="165">
        <f t="shared" ref="I7" si="1">G7-H7</f>
        <v>0</v>
      </c>
      <c r="J7" s="23"/>
      <c r="K7" s="23"/>
      <c r="L7" s="58"/>
      <c r="M7" s="58"/>
      <c r="N7" s="58"/>
    </row>
    <row r="8" spans="1:14" x14ac:dyDescent="0.25">
      <c r="A8" s="58"/>
      <c r="B8" s="167" t="s">
        <v>385</v>
      </c>
      <c r="C8" s="228"/>
      <c r="D8" s="165">
        <f>'NOVEMBER 19'!I9</f>
        <v>1300</v>
      </c>
      <c r="E8" s="165">
        <v>3000</v>
      </c>
      <c r="F8" s="165">
        <v>100</v>
      </c>
      <c r="G8" s="165">
        <f t="shared" si="0"/>
        <v>4400</v>
      </c>
      <c r="H8" s="215">
        <v>4400</v>
      </c>
      <c r="I8" s="165">
        <f>G8-H8</f>
        <v>0</v>
      </c>
      <c r="J8" s="23"/>
      <c r="K8" s="23"/>
      <c r="L8" s="58"/>
      <c r="M8" s="58"/>
      <c r="N8" s="58"/>
    </row>
    <row r="9" spans="1:14" x14ac:dyDescent="0.25">
      <c r="A9" s="58"/>
      <c r="B9" s="151" t="s">
        <v>469</v>
      </c>
      <c r="C9" s="228"/>
      <c r="D9" s="165">
        <f>'NOVEMBER 19'!I10</f>
        <v>0</v>
      </c>
      <c r="E9" s="165">
        <v>3000</v>
      </c>
      <c r="F9" s="165">
        <v>100</v>
      </c>
      <c r="G9" s="165">
        <f t="shared" si="0"/>
        <v>3100</v>
      </c>
      <c r="H9" s="215">
        <v>3100</v>
      </c>
      <c r="I9" s="165">
        <f t="shared" ref="I9" si="2">G9-H9</f>
        <v>0</v>
      </c>
      <c r="J9" s="23"/>
      <c r="K9" s="23"/>
      <c r="L9" s="58"/>
      <c r="M9" s="58"/>
      <c r="N9" s="58"/>
    </row>
    <row r="10" spans="1:14" x14ac:dyDescent="0.25">
      <c r="A10" s="58"/>
      <c r="B10" s="151" t="s">
        <v>402</v>
      </c>
      <c r="C10" s="228"/>
      <c r="D10" s="165">
        <f>'NOVEMBER 19'!I11</f>
        <v>1800</v>
      </c>
      <c r="E10" s="165">
        <v>3000</v>
      </c>
      <c r="F10" s="165">
        <v>100</v>
      </c>
      <c r="G10" s="165">
        <f t="shared" si="0"/>
        <v>4900</v>
      </c>
      <c r="H10" s="215">
        <f>1200+3450</f>
        <v>4650</v>
      </c>
      <c r="I10" s="165">
        <f>G10-H10</f>
        <v>250</v>
      </c>
      <c r="J10" s="23"/>
      <c r="K10" s="23"/>
      <c r="L10" s="58"/>
      <c r="M10" s="58"/>
      <c r="N10" s="58"/>
    </row>
    <row r="11" spans="1:14" x14ac:dyDescent="0.25">
      <c r="A11" s="58"/>
      <c r="B11" s="151" t="s">
        <v>481</v>
      </c>
      <c r="C11" s="228"/>
      <c r="D11" s="165"/>
      <c r="E11" s="165">
        <v>3000</v>
      </c>
      <c r="F11" s="165">
        <v>100</v>
      </c>
      <c r="G11" s="165">
        <f t="shared" si="0"/>
        <v>3100</v>
      </c>
      <c r="H11" s="165">
        <v>3000</v>
      </c>
      <c r="I11" s="165">
        <f t="shared" ref="I11:I16" si="3">G11-H11</f>
        <v>100</v>
      </c>
      <c r="J11" s="23" t="s">
        <v>366</v>
      </c>
      <c r="K11" s="23"/>
      <c r="L11" s="58"/>
      <c r="M11" s="58"/>
      <c r="N11" s="58"/>
    </row>
    <row r="12" spans="1:14" x14ac:dyDescent="0.25">
      <c r="A12" s="58"/>
      <c r="B12" s="167" t="s">
        <v>344</v>
      </c>
      <c r="C12" s="228"/>
      <c r="D12" s="165">
        <f>'NOVEMBER 19'!I13</f>
        <v>0</v>
      </c>
      <c r="E12" s="165">
        <v>3000</v>
      </c>
      <c r="F12" s="165">
        <v>100</v>
      </c>
      <c r="G12" s="165">
        <f t="shared" si="0"/>
        <v>3100</v>
      </c>
      <c r="H12" s="215">
        <v>3100</v>
      </c>
      <c r="I12" s="165">
        <f t="shared" si="3"/>
        <v>0</v>
      </c>
      <c r="J12" s="23"/>
      <c r="K12" s="23"/>
      <c r="L12" s="58"/>
      <c r="M12" s="58"/>
      <c r="N12" s="58"/>
    </row>
    <row r="13" spans="1:14" x14ac:dyDescent="0.25">
      <c r="A13" s="58"/>
      <c r="B13" s="164" t="s">
        <v>495</v>
      </c>
      <c r="C13" s="231"/>
      <c r="D13" s="165">
        <f>'NOVEMBER 19'!I7:I17</f>
        <v>0</v>
      </c>
      <c r="E13" s="165">
        <v>3000</v>
      </c>
      <c r="F13" s="165">
        <v>100</v>
      </c>
      <c r="G13" s="165">
        <f t="shared" si="0"/>
        <v>3100</v>
      </c>
      <c r="H13" s="215">
        <v>3000</v>
      </c>
      <c r="I13" s="165">
        <f t="shared" si="3"/>
        <v>100</v>
      </c>
      <c r="J13" s="23"/>
      <c r="K13" s="23"/>
      <c r="L13" s="58"/>
      <c r="M13" s="58"/>
      <c r="N13" s="58"/>
    </row>
    <row r="14" spans="1:14" x14ac:dyDescent="0.25">
      <c r="A14" s="58"/>
      <c r="B14" s="169" t="s">
        <v>400</v>
      </c>
      <c r="C14" s="228"/>
      <c r="D14" s="165">
        <f>'NOVEMBER 19'!I8:I18</f>
        <v>0</v>
      </c>
      <c r="E14" s="165">
        <v>4500</v>
      </c>
      <c r="F14" s="165">
        <v>100</v>
      </c>
      <c r="G14" s="165">
        <f t="shared" si="0"/>
        <v>4600</v>
      </c>
      <c r="H14" s="215">
        <v>4600</v>
      </c>
      <c r="I14" s="165">
        <f t="shared" si="3"/>
        <v>0</v>
      </c>
      <c r="J14" s="23"/>
      <c r="K14" s="23"/>
      <c r="L14" s="58"/>
      <c r="M14" s="58"/>
      <c r="N14" s="58"/>
    </row>
    <row r="15" spans="1:14" x14ac:dyDescent="0.25">
      <c r="A15" s="58"/>
      <c r="B15" s="168" t="s">
        <v>345</v>
      </c>
      <c r="C15" s="228"/>
      <c r="D15" s="165">
        <f>'NOVEMBER 19'!I16</f>
        <v>1100</v>
      </c>
      <c r="E15" s="165">
        <v>4500</v>
      </c>
      <c r="F15" s="165">
        <v>100</v>
      </c>
      <c r="G15" s="165">
        <f t="shared" si="0"/>
        <v>5700</v>
      </c>
      <c r="H15" s="215">
        <f>3500+1200</f>
        <v>4700</v>
      </c>
      <c r="I15" s="165">
        <f t="shared" si="3"/>
        <v>1000</v>
      </c>
      <c r="J15" s="23"/>
      <c r="K15" s="23"/>
      <c r="L15" s="58"/>
      <c r="M15" s="58"/>
      <c r="N15" s="58"/>
    </row>
    <row r="16" spans="1:14" x14ac:dyDescent="0.25">
      <c r="A16" s="58"/>
      <c r="B16" s="197" t="s">
        <v>479</v>
      </c>
      <c r="C16" s="228"/>
      <c r="D16" s="165">
        <f>'NOVEMBER 19'!I17</f>
        <v>0</v>
      </c>
      <c r="E16" s="165">
        <v>3000</v>
      </c>
      <c r="F16" s="165">
        <v>100</v>
      </c>
      <c r="G16" s="165">
        <f t="shared" si="0"/>
        <v>3100</v>
      </c>
      <c r="H16" s="165">
        <v>3100</v>
      </c>
      <c r="I16" s="165">
        <f t="shared" si="3"/>
        <v>0</v>
      </c>
      <c r="J16" s="23"/>
      <c r="K16" s="23"/>
      <c r="L16" s="58"/>
      <c r="M16" s="58"/>
      <c r="N16" s="58"/>
    </row>
    <row r="17" spans="1:14" x14ac:dyDescent="0.25">
      <c r="A17" s="58"/>
      <c r="B17" s="213" t="s">
        <v>129</v>
      </c>
      <c r="C17" s="228"/>
      <c r="D17" s="165">
        <f>SUM(D6:D16)</f>
        <v>4200</v>
      </c>
      <c r="E17" s="217">
        <f>SUM(E5:E16)</f>
        <v>36000</v>
      </c>
      <c r="F17" s="217">
        <f>SUM(F5:F16)</f>
        <v>1100</v>
      </c>
      <c r="G17" s="165">
        <f>D17+E17+F17</f>
        <v>41300</v>
      </c>
      <c r="H17" s="217">
        <f>SUM(H5:H16)</f>
        <v>39850</v>
      </c>
      <c r="I17" s="217">
        <f>SUM(I5:I16)</f>
        <v>1450</v>
      </c>
      <c r="J17" s="23"/>
      <c r="K17" s="23"/>
      <c r="L17" s="58"/>
      <c r="M17" s="58"/>
      <c r="N17" s="58"/>
    </row>
    <row r="18" spans="1:14" x14ac:dyDescent="0.25">
      <c r="A18" s="58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58"/>
      <c r="M18" s="58"/>
      <c r="N18" s="58"/>
    </row>
    <row r="19" spans="1:14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38750</v>
      </c>
      <c r="I19" s="147"/>
      <c r="J19" s="23"/>
      <c r="K19" s="23"/>
      <c r="L19" s="58"/>
      <c r="M19" s="58"/>
      <c r="N19" s="58"/>
    </row>
    <row r="20" spans="1:14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  <c r="M20" s="58"/>
      <c r="N20" s="58"/>
    </row>
    <row r="21" spans="1:14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  <c r="M21" s="58"/>
      <c r="N21" s="58"/>
    </row>
    <row r="22" spans="1:14" x14ac:dyDescent="0.25">
      <c r="A22" s="58"/>
      <c r="B22" s="165" t="s">
        <v>504</v>
      </c>
      <c r="C22" s="165"/>
      <c r="D22" s="165">
        <f>E17</f>
        <v>36000</v>
      </c>
      <c r="E22" s="165"/>
      <c r="F22" s="165"/>
      <c r="G22" s="165" t="s">
        <v>504</v>
      </c>
      <c r="H22" s="232">
        <f>H19</f>
        <v>38750</v>
      </c>
      <c r="I22" s="165"/>
      <c r="J22" s="165"/>
      <c r="K22" s="23"/>
      <c r="L22" s="58"/>
      <c r="M22" s="58"/>
      <c r="N22" s="58"/>
    </row>
    <row r="23" spans="1:14" x14ac:dyDescent="0.25">
      <c r="A23" s="58"/>
      <c r="B23" s="165" t="s">
        <v>1</v>
      </c>
      <c r="C23" s="165"/>
      <c r="D23" s="165">
        <f>'NOVEMBER 19'!F40</f>
        <v>-4150</v>
      </c>
      <c r="E23" s="165"/>
      <c r="F23" s="165"/>
      <c r="G23" s="165" t="s">
        <v>1</v>
      </c>
      <c r="H23" s="165">
        <f>'NOVEMBER 19'!J40</f>
        <v>-7650</v>
      </c>
      <c r="I23" s="165"/>
      <c r="J23" s="165"/>
      <c r="K23" s="23"/>
      <c r="L23" s="58"/>
      <c r="M23" s="58"/>
      <c r="N23" s="58"/>
    </row>
    <row r="24" spans="1:14" x14ac:dyDescent="0.25">
      <c r="A24" s="58"/>
      <c r="B24" s="165" t="s">
        <v>28</v>
      </c>
      <c r="C24" s="165"/>
      <c r="D24" s="165"/>
      <c r="E24" s="165"/>
      <c r="F24" s="165"/>
      <c r="G24" s="165" t="s">
        <v>28</v>
      </c>
      <c r="H24" s="165"/>
      <c r="I24" s="165"/>
      <c r="J24" s="165"/>
      <c r="K24" s="23"/>
      <c r="L24" s="58"/>
      <c r="M24" s="58"/>
      <c r="N24" s="58"/>
    </row>
    <row r="25" spans="1:14" x14ac:dyDescent="0.25">
      <c r="A25" s="58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  <c r="L25" s="58"/>
      <c r="M25" s="58"/>
      <c r="N25" s="58"/>
    </row>
    <row r="26" spans="1:14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  <c r="M26" s="58"/>
      <c r="N26" s="58"/>
    </row>
    <row r="27" spans="1:14" x14ac:dyDescent="0.25">
      <c r="A27" s="58"/>
      <c r="B27" s="165" t="s">
        <v>350</v>
      </c>
      <c r="C27" s="165"/>
      <c r="D27" s="222"/>
      <c r="E27" s="222">
        <v>2000</v>
      </c>
      <c r="F27" s="165"/>
      <c r="G27" s="165" t="s">
        <v>350</v>
      </c>
      <c r="H27" s="222"/>
      <c r="I27" s="222">
        <v>2000</v>
      </c>
      <c r="J27" s="165"/>
      <c r="K27" s="23"/>
      <c r="L27" s="58"/>
      <c r="M27" s="58"/>
      <c r="N27" s="58"/>
    </row>
    <row r="28" spans="1:14" x14ac:dyDescent="0.25">
      <c r="A28" s="58"/>
      <c r="B28" s="222" t="s">
        <v>506</v>
      </c>
      <c r="C28" s="222"/>
      <c r="D28" s="151"/>
      <c r="E28" s="151">
        <v>30</v>
      </c>
      <c r="F28" s="165"/>
      <c r="G28" s="222" t="s">
        <v>506</v>
      </c>
      <c r="H28" s="222"/>
      <c r="I28" s="151">
        <v>30</v>
      </c>
      <c r="J28" s="151"/>
      <c r="K28" s="23"/>
      <c r="L28" s="58"/>
      <c r="M28" s="58"/>
      <c r="N28" s="58"/>
    </row>
    <row r="29" spans="1:14" x14ac:dyDescent="0.25">
      <c r="A29" s="58"/>
      <c r="B29" s="165" t="s">
        <v>481</v>
      </c>
      <c r="C29" s="165"/>
      <c r="D29" s="165"/>
      <c r="E29" s="165">
        <v>3000</v>
      </c>
      <c r="F29" s="165"/>
      <c r="G29" s="165" t="s">
        <v>481</v>
      </c>
      <c r="H29" s="165"/>
      <c r="I29" s="165">
        <v>3000</v>
      </c>
      <c r="J29" s="165"/>
      <c r="K29" s="23"/>
      <c r="L29" s="58"/>
      <c r="M29" s="58"/>
      <c r="N29" s="58"/>
    </row>
    <row r="30" spans="1:14" x14ac:dyDescent="0.25">
      <c r="A30" s="58"/>
      <c r="B30" s="177" t="s">
        <v>508</v>
      </c>
      <c r="C30" s="177"/>
      <c r="D30" s="165"/>
      <c r="E30" s="165">
        <v>10000</v>
      </c>
      <c r="F30" s="165"/>
      <c r="G30" s="177" t="s">
        <v>509</v>
      </c>
      <c r="H30" s="177"/>
      <c r="I30" s="165">
        <v>10000</v>
      </c>
      <c r="J30" s="165"/>
      <c r="K30" s="23"/>
      <c r="L30" s="58"/>
      <c r="M30" s="58"/>
      <c r="N30" s="58"/>
    </row>
    <row r="31" spans="1:14" x14ac:dyDescent="0.25">
      <c r="A31" s="58"/>
      <c r="B31" s="177"/>
      <c r="E31" s="165"/>
      <c r="F31" s="165"/>
      <c r="G31" s="177"/>
      <c r="H31" s="58"/>
      <c r="I31" s="225"/>
      <c r="J31" s="165"/>
      <c r="K31" s="23"/>
      <c r="L31" s="58"/>
      <c r="M31" s="58"/>
      <c r="N31" s="58"/>
    </row>
    <row r="32" spans="1:14" x14ac:dyDescent="0.25">
      <c r="A32" s="58"/>
      <c r="B32" s="177" t="s">
        <v>507</v>
      </c>
      <c r="C32" s="177"/>
      <c r="D32" s="165"/>
      <c r="E32" s="165">
        <v>13220</v>
      </c>
      <c r="F32" s="165"/>
      <c r="G32" s="177" t="s">
        <v>507</v>
      </c>
      <c r="H32" s="177"/>
      <c r="I32" s="165">
        <v>13220</v>
      </c>
      <c r="J32" s="165"/>
      <c r="K32" s="23"/>
      <c r="L32" s="58"/>
      <c r="M32" s="58"/>
      <c r="N32" s="58"/>
    </row>
    <row r="33" spans="1:14" x14ac:dyDescent="0.25">
      <c r="A33" s="58"/>
      <c r="B33" s="177"/>
      <c r="C33" s="177"/>
      <c r="D33" s="165"/>
      <c r="E33" s="165"/>
      <c r="F33" s="165"/>
      <c r="G33" s="177"/>
      <c r="H33" s="177"/>
      <c r="I33" s="165"/>
      <c r="J33" s="165"/>
      <c r="K33" s="23"/>
      <c r="L33" s="58"/>
      <c r="M33" s="58"/>
      <c r="N33" s="58"/>
    </row>
    <row r="34" spans="1:14" x14ac:dyDescent="0.25">
      <c r="A34" s="58"/>
      <c r="B34" s="177"/>
      <c r="C34" s="177"/>
      <c r="D34" s="165"/>
      <c r="E34" s="165"/>
      <c r="F34" s="165"/>
      <c r="G34" s="177"/>
      <c r="H34" s="177"/>
      <c r="I34" s="165"/>
      <c r="J34" s="165"/>
      <c r="K34" s="23"/>
      <c r="L34" s="58"/>
      <c r="M34" s="58"/>
      <c r="N34" s="58"/>
    </row>
    <row r="35" spans="1:14" x14ac:dyDescent="0.25">
      <c r="A35" s="58"/>
      <c r="B35" s="165"/>
      <c r="C35" s="151"/>
      <c r="D35" s="151"/>
      <c r="E35" s="151"/>
      <c r="F35" s="165"/>
      <c r="G35" s="165"/>
      <c r="H35" s="151"/>
      <c r="I35" s="151"/>
      <c r="J35" s="151"/>
      <c r="K35" s="23"/>
      <c r="L35" s="58"/>
      <c r="M35" s="58"/>
      <c r="N35" s="58"/>
    </row>
    <row r="36" spans="1:14" x14ac:dyDescent="0.25">
      <c r="A36" s="58"/>
      <c r="B36" s="151"/>
      <c r="C36" s="58"/>
      <c r="D36" s="151"/>
      <c r="E36" s="151"/>
      <c r="F36" s="151"/>
      <c r="G36" s="151"/>
      <c r="H36" s="151"/>
      <c r="I36" s="151"/>
      <c r="J36" s="151"/>
      <c r="K36" s="23"/>
      <c r="L36" s="58"/>
      <c r="M36" s="58"/>
      <c r="N36" s="58"/>
    </row>
    <row r="37" spans="1:14" x14ac:dyDescent="0.25">
      <c r="A37" s="58"/>
      <c r="B37" s="165"/>
      <c r="C37" s="151"/>
      <c r="D37" s="151"/>
      <c r="E37" s="151"/>
      <c r="F37" s="165"/>
      <c r="G37" s="165"/>
      <c r="H37" s="151"/>
      <c r="I37" s="151"/>
      <c r="J37" s="151"/>
      <c r="K37" s="23"/>
      <c r="L37" s="58"/>
      <c r="M37" s="58"/>
      <c r="N37" s="58"/>
    </row>
    <row r="38" spans="1:14" x14ac:dyDescent="0.25">
      <c r="A38" s="58"/>
      <c r="B38" s="151"/>
      <c r="C38" s="58"/>
      <c r="D38" s="151"/>
      <c r="E38" s="151"/>
      <c r="F38" s="151"/>
      <c r="G38" s="151"/>
      <c r="H38" s="58"/>
      <c r="I38" s="151"/>
      <c r="J38" s="151"/>
      <c r="K38" s="23"/>
      <c r="L38" s="58"/>
      <c r="M38" s="58"/>
      <c r="N38" s="58"/>
    </row>
    <row r="39" spans="1:14" x14ac:dyDescent="0.25">
      <c r="A39" s="58"/>
      <c r="B39" s="217" t="s">
        <v>129</v>
      </c>
      <c r="C39" s="217"/>
      <c r="D39" s="217">
        <f>D22+D23+D24-E25</f>
        <v>28250</v>
      </c>
      <c r="E39" s="217">
        <f>SUM(E27:E38)</f>
        <v>28250</v>
      </c>
      <c r="F39" s="217">
        <f>D39-E39</f>
        <v>0</v>
      </c>
      <c r="G39" s="217" t="s">
        <v>129</v>
      </c>
      <c r="H39" s="217">
        <f>H22+H23+H24-I25</f>
        <v>27500</v>
      </c>
      <c r="I39" s="217">
        <f>SUM(I27:I38)</f>
        <v>28250</v>
      </c>
      <c r="J39" s="221">
        <f>H39-I39</f>
        <v>-750</v>
      </c>
      <c r="K39" s="23"/>
      <c r="L39" s="58"/>
      <c r="M39" s="58"/>
      <c r="N39" s="58"/>
    </row>
    <row r="40" spans="1:14" x14ac:dyDescent="0.25">
      <c r="A40" s="58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58"/>
      <c r="M40" s="58"/>
      <c r="N40" s="58"/>
    </row>
    <row r="41" spans="1:14" x14ac:dyDescent="0.25">
      <c r="A41" s="58"/>
      <c r="B41" s="23" t="s">
        <v>357</v>
      </c>
      <c r="C41" s="23"/>
      <c r="D41" s="23"/>
      <c r="E41" s="23" t="s">
        <v>359</v>
      </c>
      <c r="F41" s="23"/>
      <c r="G41" s="23"/>
      <c r="H41" s="23" t="s">
        <v>361</v>
      </c>
      <c r="I41" s="23"/>
      <c r="J41" s="23"/>
      <c r="K41" s="23"/>
      <c r="L41" s="58"/>
      <c r="M41" s="58"/>
      <c r="N41" s="58"/>
    </row>
    <row r="42" spans="1:14" x14ac:dyDescent="0.25">
      <c r="A42" s="58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58"/>
      <c r="M42" s="58"/>
      <c r="N42" s="58"/>
    </row>
    <row r="43" spans="1:14" x14ac:dyDescent="0.25">
      <c r="A43" s="58"/>
      <c r="B43" s="23" t="s">
        <v>483</v>
      </c>
      <c r="C43" s="23"/>
      <c r="D43" s="23"/>
      <c r="E43" s="23" t="s">
        <v>360</v>
      </c>
      <c r="F43" s="23"/>
      <c r="G43" s="23"/>
      <c r="H43" s="23" t="s">
        <v>158</v>
      </c>
      <c r="I43" s="23"/>
      <c r="J43" s="23"/>
      <c r="K43" s="58"/>
      <c r="L43" s="58"/>
      <c r="M43" s="58"/>
      <c r="N43" s="58"/>
    </row>
    <row r="44" spans="1:14" x14ac:dyDescent="0.25">
      <c r="A44" s="58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58"/>
      <c r="M44" s="58"/>
      <c r="N44" s="58"/>
    </row>
    <row r="45" spans="1:14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</row>
    <row r="46" spans="1:14" x14ac:dyDescent="0.25">
      <c r="A46" s="58"/>
      <c r="B46" s="23"/>
      <c r="E46" s="23"/>
      <c r="F46" s="23"/>
      <c r="G46" s="23"/>
      <c r="H46" s="23"/>
      <c r="I46" s="23"/>
      <c r="J46" s="23"/>
      <c r="K46" s="58"/>
      <c r="L46" s="58"/>
      <c r="M46" s="58"/>
      <c r="N46" s="58"/>
    </row>
    <row r="47" spans="1:14" x14ac:dyDescent="0.25">
      <c r="A47" s="58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58"/>
      <c r="M47" s="58"/>
      <c r="N47" s="58"/>
    </row>
    <row r="48" spans="1:14" x14ac:dyDescent="0.25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</row>
    <row r="49" spans="1:14" x14ac:dyDescent="0.25">
      <c r="A49" s="58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58"/>
      <c r="M49" s="58"/>
      <c r="N49" s="58"/>
    </row>
    <row r="50" spans="1:14" x14ac:dyDescent="0.25">
      <c r="A50" s="58"/>
      <c r="B50" s="23"/>
      <c r="C50" s="23"/>
      <c r="D50" s="23"/>
      <c r="E50" s="23"/>
      <c r="F50" s="23"/>
      <c r="G50" s="23"/>
      <c r="H50" s="23"/>
      <c r="I50" s="23"/>
      <c r="J50" s="23"/>
      <c r="K50" s="58"/>
      <c r="L50" s="58"/>
      <c r="M50" s="58"/>
      <c r="N50" s="58"/>
    </row>
    <row r="51" spans="1:14" x14ac:dyDescent="0.25">
      <c r="A51" s="58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58"/>
      <c r="M51" s="58"/>
      <c r="N51" s="58"/>
    </row>
    <row r="52" spans="1:14" x14ac:dyDescent="0.2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</row>
    <row r="53" spans="1:14" x14ac:dyDescent="0.25">
      <c r="A53" s="58"/>
      <c r="B53" s="23"/>
      <c r="C53" s="23"/>
      <c r="D53" s="23"/>
      <c r="E53" s="23"/>
      <c r="F53" s="23"/>
      <c r="G53" s="23"/>
      <c r="H53" s="23"/>
      <c r="I53" s="23"/>
      <c r="J53" s="23"/>
      <c r="K53" s="58"/>
      <c r="L53" s="58"/>
      <c r="M53" s="58"/>
      <c r="N53" s="58"/>
    </row>
    <row r="54" spans="1:14" x14ac:dyDescent="0.25">
      <c r="A54" s="58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58"/>
      <c r="M54" s="58"/>
      <c r="N54" s="58"/>
    </row>
    <row r="55" spans="1:14" x14ac:dyDescent="0.2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</sheetData>
  <pageMargins left="0.1" right="0.1" top="0.75" bottom="0.75" header="0.3" footer="0.3"/>
  <pageSetup orientation="portrait" horizontalDpi="203" verticalDpi="203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H19" sqref="H19"/>
    </sheetView>
  </sheetViews>
  <sheetFormatPr defaultRowHeight="15" x14ac:dyDescent="0.25"/>
  <cols>
    <col min="3" max="3" width="9" customWidth="1"/>
    <col min="4" max="4" width="7.5703125" customWidth="1"/>
    <col min="5" max="5" width="6.28515625" customWidth="1"/>
    <col min="6" max="6" width="9" customWidth="1"/>
    <col min="7" max="7" width="6.140625" customWidth="1"/>
    <col min="8" max="8" width="10" customWidth="1"/>
    <col min="9" max="9" width="7.140625" customWidth="1"/>
  </cols>
  <sheetData>
    <row r="1" spans="1:13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  <c r="M1" s="58"/>
    </row>
    <row r="2" spans="1:13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  <c r="M2" s="58"/>
    </row>
    <row r="3" spans="1:13" x14ac:dyDescent="0.25">
      <c r="A3" s="58"/>
      <c r="B3" s="23"/>
      <c r="C3" s="23"/>
      <c r="D3" s="32" t="s">
        <v>510</v>
      </c>
      <c r="E3" s="32"/>
      <c r="F3" s="32"/>
      <c r="G3" s="32"/>
      <c r="H3" s="23"/>
      <c r="I3" s="23"/>
      <c r="J3" s="23"/>
      <c r="K3" s="23"/>
      <c r="L3" s="58"/>
      <c r="M3" s="58"/>
    </row>
    <row r="4" spans="1:13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  <c r="M4" s="58"/>
    </row>
    <row r="5" spans="1:13" x14ac:dyDescent="0.25">
      <c r="A5" s="58"/>
      <c r="B5" s="164"/>
      <c r="C5" s="228"/>
      <c r="D5" s="165">
        <f>'DECEMBER 19'!I5:I16</f>
        <v>0</v>
      </c>
      <c r="E5" s="165"/>
      <c r="F5" s="165"/>
      <c r="G5" s="230"/>
      <c r="H5" s="215"/>
      <c r="I5" s="165"/>
      <c r="J5" s="23"/>
      <c r="K5" s="23"/>
      <c r="L5" s="58"/>
      <c r="M5" s="58"/>
    </row>
    <row r="6" spans="1:13" x14ac:dyDescent="0.25">
      <c r="A6" s="58"/>
      <c r="B6" s="164" t="s">
        <v>205</v>
      </c>
      <c r="C6" s="228"/>
      <c r="D6" s="165">
        <f>'DECEMBER 19'!I6:I17</f>
        <v>0</v>
      </c>
      <c r="E6" s="165">
        <v>3000</v>
      </c>
      <c r="F6" s="165">
        <v>100</v>
      </c>
      <c r="G6" s="165">
        <f>D6+E6+F6</f>
        <v>3100</v>
      </c>
      <c r="H6" s="165">
        <v>3100</v>
      </c>
      <c r="I6" s="165">
        <f t="shared" ref="I6:I13" si="0">G6-H6</f>
        <v>0</v>
      </c>
      <c r="J6" s="23"/>
      <c r="K6" s="23"/>
      <c r="L6" s="58"/>
      <c r="M6" s="58"/>
    </row>
    <row r="7" spans="1:13" x14ac:dyDescent="0.25">
      <c r="A7" s="58"/>
      <c r="B7" s="151" t="s">
        <v>515</v>
      </c>
      <c r="C7" s="228"/>
      <c r="D7" s="165">
        <f>'DECEMBER 19'!I7:I18</f>
        <v>0</v>
      </c>
      <c r="E7" s="165">
        <v>3000</v>
      </c>
      <c r="F7" s="165">
        <v>100</v>
      </c>
      <c r="G7" s="165">
        <f t="shared" ref="G7:G16" si="1">D7+E7+F7</f>
        <v>3100</v>
      </c>
      <c r="H7" s="215">
        <v>3100</v>
      </c>
      <c r="I7" s="165">
        <f t="shared" si="0"/>
        <v>0</v>
      </c>
      <c r="J7" s="23"/>
      <c r="K7" s="23"/>
      <c r="L7" s="58"/>
      <c r="M7" s="58"/>
    </row>
    <row r="8" spans="1:13" x14ac:dyDescent="0.25">
      <c r="A8" s="58"/>
      <c r="B8" s="167" t="s">
        <v>385</v>
      </c>
      <c r="C8" s="228"/>
      <c r="D8" s="165">
        <f>'DECEMBER 19'!I8:I19</f>
        <v>0</v>
      </c>
      <c r="E8" s="165">
        <v>3000</v>
      </c>
      <c r="F8" s="165">
        <v>100</v>
      </c>
      <c r="G8" s="165">
        <f t="shared" si="1"/>
        <v>3100</v>
      </c>
      <c r="H8" s="215">
        <v>3100</v>
      </c>
      <c r="I8" s="165">
        <f t="shared" si="0"/>
        <v>0</v>
      </c>
      <c r="J8" s="23"/>
      <c r="K8" s="23"/>
      <c r="L8" s="58"/>
      <c r="M8" s="58"/>
    </row>
    <row r="9" spans="1:13" x14ac:dyDescent="0.25">
      <c r="A9" s="58"/>
      <c r="B9" s="151" t="s">
        <v>469</v>
      </c>
      <c r="C9" s="228"/>
      <c r="D9" s="165">
        <f>'DECEMBER 19'!I9:I20</f>
        <v>0</v>
      </c>
      <c r="E9" s="165">
        <v>3000</v>
      </c>
      <c r="F9" s="165">
        <v>100</v>
      </c>
      <c r="G9" s="165">
        <f t="shared" si="1"/>
        <v>3100</v>
      </c>
      <c r="H9" s="215">
        <v>3100</v>
      </c>
      <c r="I9" s="165">
        <f t="shared" si="0"/>
        <v>0</v>
      </c>
      <c r="J9" s="23"/>
      <c r="K9" s="23"/>
      <c r="L9" s="58"/>
      <c r="M9" s="58"/>
    </row>
    <row r="10" spans="1:13" x14ac:dyDescent="0.25">
      <c r="A10" s="58"/>
      <c r="B10" s="151" t="s">
        <v>402</v>
      </c>
      <c r="C10" s="228"/>
      <c r="D10" s="165">
        <f>'DECEMBER 19'!I10:I21</f>
        <v>250</v>
      </c>
      <c r="E10" s="165">
        <v>3000</v>
      </c>
      <c r="F10" s="165">
        <v>100</v>
      </c>
      <c r="G10" s="165">
        <f t="shared" si="1"/>
        <v>3350</v>
      </c>
      <c r="H10" s="165">
        <f>250+1000+1000</f>
        <v>2250</v>
      </c>
      <c r="I10" s="165">
        <f t="shared" si="0"/>
        <v>1100</v>
      </c>
      <c r="J10" s="23"/>
      <c r="K10" s="23"/>
      <c r="L10" s="58"/>
      <c r="M10" s="58"/>
    </row>
    <row r="11" spans="1:13" x14ac:dyDescent="0.25">
      <c r="A11" s="58"/>
      <c r="B11" s="151" t="s">
        <v>512</v>
      </c>
      <c r="C11" s="228"/>
      <c r="D11" s="165">
        <f>'DECEMBER 19'!I11:I22</f>
        <v>100</v>
      </c>
      <c r="E11" s="165">
        <v>3000</v>
      </c>
      <c r="F11" s="165">
        <v>100</v>
      </c>
      <c r="G11" s="165">
        <f>D11+E11+F11</f>
        <v>3200</v>
      </c>
      <c r="H11" s="215">
        <v>3200</v>
      </c>
      <c r="I11" s="165">
        <f t="shared" si="0"/>
        <v>0</v>
      </c>
      <c r="J11" s="23"/>
      <c r="K11" s="23"/>
      <c r="L11" s="58"/>
      <c r="M11" s="58"/>
    </row>
    <row r="12" spans="1:13" x14ac:dyDescent="0.25">
      <c r="A12" s="58"/>
      <c r="B12" s="167" t="s">
        <v>344</v>
      </c>
      <c r="C12" s="228"/>
      <c r="D12" s="165">
        <f>'DECEMBER 19'!I12:I23</f>
        <v>0</v>
      </c>
      <c r="E12" s="165">
        <v>3000</v>
      </c>
      <c r="F12" s="165">
        <v>100</v>
      </c>
      <c r="G12" s="165">
        <f t="shared" si="1"/>
        <v>3100</v>
      </c>
      <c r="H12">
        <v>3100</v>
      </c>
      <c r="I12" s="165">
        <f t="shared" si="0"/>
        <v>0</v>
      </c>
      <c r="J12" s="23"/>
      <c r="K12" s="23"/>
      <c r="L12" s="58"/>
      <c r="M12" s="58"/>
    </row>
    <row r="13" spans="1:13" x14ac:dyDescent="0.25">
      <c r="A13" s="58"/>
      <c r="B13" s="164" t="s">
        <v>495</v>
      </c>
      <c r="C13" s="231"/>
      <c r="D13" s="165">
        <f>'DECEMBER 19'!I13:I24</f>
        <v>100</v>
      </c>
      <c r="E13" s="165">
        <v>3000</v>
      </c>
      <c r="F13" s="165">
        <v>100</v>
      </c>
      <c r="G13" s="165">
        <f t="shared" si="1"/>
        <v>3200</v>
      </c>
      <c r="H13" s="215">
        <v>3100</v>
      </c>
      <c r="I13" s="165">
        <f t="shared" si="0"/>
        <v>100</v>
      </c>
      <c r="J13" s="23"/>
      <c r="K13" s="23"/>
      <c r="L13" s="58"/>
      <c r="M13" s="58"/>
    </row>
    <row r="14" spans="1:13" x14ac:dyDescent="0.25">
      <c r="A14" s="58"/>
      <c r="B14" s="169" t="s">
        <v>400</v>
      </c>
      <c r="C14" s="228"/>
      <c r="D14" s="165">
        <f>'DECEMBER 19'!I14:I25</f>
        <v>0</v>
      </c>
      <c r="E14" s="165">
        <v>4500</v>
      </c>
      <c r="F14" s="165">
        <v>100</v>
      </c>
      <c r="G14" s="165">
        <f t="shared" si="1"/>
        <v>4600</v>
      </c>
      <c r="H14" s="215">
        <v>4600</v>
      </c>
      <c r="I14" s="165">
        <f t="shared" ref="I14:I16" si="2">G14-H14</f>
        <v>0</v>
      </c>
      <c r="J14" s="23"/>
      <c r="K14" s="23"/>
      <c r="L14" s="58"/>
      <c r="M14" s="58"/>
    </row>
    <row r="15" spans="1:13" x14ac:dyDescent="0.25">
      <c r="A15" s="58"/>
      <c r="B15" s="168" t="s">
        <v>345</v>
      </c>
      <c r="C15" s="228"/>
      <c r="D15" s="165">
        <f>'DECEMBER 19'!I15:I26</f>
        <v>1000</v>
      </c>
      <c r="E15" s="165">
        <v>4500</v>
      </c>
      <c r="F15" s="165">
        <v>100</v>
      </c>
      <c r="G15" s="165">
        <f t="shared" si="1"/>
        <v>5600</v>
      </c>
      <c r="H15" s="215">
        <v>4250</v>
      </c>
      <c r="I15" s="165">
        <f>G15-H15</f>
        <v>1350</v>
      </c>
      <c r="J15" s="23"/>
      <c r="K15" s="23"/>
      <c r="L15" s="58"/>
      <c r="M15" s="58"/>
    </row>
    <row r="16" spans="1:13" x14ac:dyDescent="0.25">
      <c r="A16" s="58"/>
      <c r="B16" s="197" t="s">
        <v>479</v>
      </c>
      <c r="C16" s="228"/>
      <c r="D16" s="165">
        <f>'DECEMBER 19'!I16:I27</f>
        <v>0</v>
      </c>
      <c r="E16" s="165">
        <v>3000</v>
      </c>
      <c r="F16" s="165">
        <v>100</v>
      </c>
      <c r="G16" s="165">
        <f t="shared" si="1"/>
        <v>3100</v>
      </c>
      <c r="H16" s="165">
        <v>3100</v>
      </c>
      <c r="I16" s="165">
        <f t="shared" si="2"/>
        <v>0</v>
      </c>
      <c r="J16" s="23"/>
      <c r="K16" s="23"/>
      <c r="L16" s="58"/>
      <c r="M16" s="58"/>
    </row>
    <row r="17" spans="1:13" x14ac:dyDescent="0.25">
      <c r="A17" s="58"/>
      <c r="B17" s="213" t="s">
        <v>129</v>
      </c>
      <c r="C17" s="228"/>
      <c r="D17" s="165">
        <f>SUM(D6:D16)</f>
        <v>1450</v>
      </c>
      <c r="E17" s="217">
        <f>SUM(E5:E16)</f>
        <v>36000</v>
      </c>
      <c r="F17" s="217">
        <f>SUM(F5:F16)</f>
        <v>1100</v>
      </c>
      <c r="G17" s="165">
        <f>D17+E17+F17</f>
        <v>38550</v>
      </c>
      <c r="H17" s="217">
        <f>SUM(H5:H16)</f>
        <v>36000</v>
      </c>
      <c r="I17" s="217">
        <f>SUM(I5:I16)</f>
        <v>2550</v>
      </c>
      <c r="J17" s="23"/>
      <c r="K17" s="23"/>
      <c r="L17" s="58"/>
      <c r="M17" s="58"/>
    </row>
    <row r="18" spans="1:13" x14ac:dyDescent="0.25">
      <c r="A18" s="58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58"/>
      <c r="M18" s="58"/>
    </row>
    <row r="19" spans="1:13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34900</v>
      </c>
      <c r="I19" s="147"/>
      <c r="J19" s="23"/>
      <c r="K19" s="23"/>
      <c r="L19" s="58"/>
      <c r="M19" s="58"/>
    </row>
    <row r="20" spans="1:13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  <c r="M20" s="58"/>
    </row>
    <row r="21" spans="1:13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  <c r="M21" s="58"/>
    </row>
    <row r="22" spans="1:13" x14ac:dyDescent="0.25">
      <c r="A22" s="58"/>
      <c r="B22" s="165" t="s">
        <v>511</v>
      </c>
      <c r="C22" s="165"/>
      <c r="D22" s="165">
        <f>E17</f>
        <v>36000</v>
      </c>
      <c r="E22" s="165"/>
      <c r="F22" s="165"/>
      <c r="G22" s="165" t="s">
        <v>511</v>
      </c>
      <c r="H22" s="232">
        <f>H19</f>
        <v>34900</v>
      </c>
      <c r="I22" s="165"/>
      <c r="J22" s="165"/>
      <c r="K22" s="23"/>
      <c r="L22" s="58"/>
      <c r="M22" s="58"/>
    </row>
    <row r="23" spans="1:13" x14ac:dyDescent="0.25">
      <c r="A23" s="58"/>
      <c r="B23" s="165" t="s">
        <v>1</v>
      </c>
      <c r="C23" s="165"/>
      <c r="D23" s="165">
        <f>'DECEMBER 19'!F39</f>
        <v>0</v>
      </c>
      <c r="E23" s="165"/>
      <c r="F23" s="165"/>
      <c r="G23" s="165" t="s">
        <v>1</v>
      </c>
      <c r="H23" s="165">
        <f>'DECEMBER 19'!J39</f>
        <v>-750</v>
      </c>
      <c r="I23" s="165"/>
      <c r="J23" s="165"/>
      <c r="K23" s="23"/>
      <c r="L23" s="58"/>
      <c r="M23" s="58"/>
    </row>
    <row r="24" spans="1:13" x14ac:dyDescent="0.25">
      <c r="A24" s="58"/>
      <c r="B24" s="165" t="s">
        <v>28</v>
      </c>
      <c r="C24" s="165"/>
      <c r="D24" s="165"/>
      <c r="E24" s="165"/>
      <c r="F24" s="165"/>
      <c r="G24" s="165" t="s">
        <v>28</v>
      </c>
      <c r="H24" s="165"/>
      <c r="I24" s="165"/>
      <c r="J24" s="165"/>
      <c r="K24" s="23"/>
      <c r="L24" s="58"/>
      <c r="M24" s="58"/>
    </row>
    <row r="25" spans="1:13" x14ac:dyDescent="0.25">
      <c r="A25" s="58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  <c r="L25" s="58"/>
      <c r="M25" s="58"/>
    </row>
    <row r="26" spans="1:13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  <c r="M26" s="58"/>
    </row>
    <row r="27" spans="1:13" x14ac:dyDescent="0.25">
      <c r="A27" s="58"/>
      <c r="B27" s="165" t="s">
        <v>350</v>
      </c>
      <c r="C27" s="165"/>
      <c r="D27" s="222"/>
      <c r="E27" s="222">
        <v>2000</v>
      </c>
      <c r="F27" s="165"/>
      <c r="G27" s="165" t="s">
        <v>350</v>
      </c>
      <c r="H27" s="222"/>
      <c r="I27" s="222">
        <v>2000</v>
      </c>
      <c r="J27" s="165"/>
      <c r="K27" s="23"/>
      <c r="L27" s="58"/>
      <c r="M27" s="58"/>
    </row>
    <row r="28" spans="1:13" x14ac:dyDescent="0.25">
      <c r="A28" s="58"/>
      <c r="B28" s="222" t="s">
        <v>513</v>
      </c>
      <c r="D28" s="151"/>
      <c r="E28" s="151">
        <v>1200</v>
      </c>
      <c r="F28" s="165"/>
      <c r="G28" s="222" t="s">
        <v>513</v>
      </c>
      <c r="H28" s="58"/>
      <c r="I28" s="151">
        <v>1200</v>
      </c>
      <c r="J28" s="151"/>
      <c r="K28" s="23"/>
      <c r="L28" s="58"/>
      <c r="M28" s="58"/>
    </row>
    <row r="29" spans="1:13" x14ac:dyDescent="0.25">
      <c r="A29" s="58"/>
      <c r="B29" s="222" t="s">
        <v>328</v>
      </c>
      <c r="C29" s="58"/>
      <c r="D29" s="151"/>
      <c r="E29" s="151">
        <v>10000</v>
      </c>
      <c r="F29" s="165"/>
      <c r="G29" s="222" t="s">
        <v>328</v>
      </c>
      <c r="H29" s="58"/>
      <c r="I29" s="151">
        <v>10000</v>
      </c>
      <c r="J29" s="165"/>
      <c r="K29" s="23"/>
      <c r="L29" s="58"/>
      <c r="M29" s="58"/>
    </row>
    <row r="30" spans="1:13" x14ac:dyDescent="0.25">
      <c r="A30" s="58"/>
      <c r="B30" s="177"/>
      <c r="C30" s="177"/>
      <c r="D30" s="165"/>
      <c r="E30" s="165"/>
      <c r="F30" s="165"/>
      <c r="G30" s="177"/>
      <c r="H30" s="177"/>
      <c r="I30" s="165"/>
      <c r="J30" s="165"/>
      <c r="K30" s="23"/>
      <c r="L30" s="58"/>
      <c r="M30" s="58"/>
    </row>
    <row r="31" spans="1:13" x14ac:dyDescent="0.25">
      <c r="A31" s="58"/>
      <c r="B31" s="177" t="s">
        <v>514</v>
      </c>
      <c r="C31" s="58"/>
      <c r="D31" s="58"/>
      <c r="E31" s="165">
        <v>19200</v>
      </c>
      <c r="F31" s="165"/>
      <c r="G31" s="177" t="s">
        <v>514</v>
      </c>
      <c r="H31" s="58"/>
      <c r="I31" s="225">
        <v>19200</v>
      </c>
      <c r="J31" s="165"/>
      <c r="K31" s="23"/>
      <c r="L31" s="58"/>
      <c r="M31" s="58"/>
    </row>
    <row r="32" spans="1:13" x14ac:dyDescent="0.25">
      <c r="A32" s="58"/>
      <c r="B32" s="177"/>
      <c r="C32" s="177"/>
      <c r="D32" s="165"/>
      <c r="E32" s="165"/>
      <c r="F32" s="165"/>
      <c r="G32" s="177"/>
      <c r="H32" s="177"/>
      <c r="I32" s="165"/>
      <c r="J32" s="165"/>
      <c r="K32" s="23"/>
      <c r="L32" s="58"/>
      <c r="M32" s="58"/>
    </row>
    <row r="33" spans="1:13" x14ac:dyDescent="0.25">
      <c r="A33" s="58"/>
      <c r="B33" s="177"/>
      <c r="C33" s="177"/>
      <c r="D33" s="165"/>
      <c r="E33" s="165"/>
      <c r="F33" s="165"/>
      <c r="G33" s="177"/>
      <c r="H33" s="177"/>
      <c r="I33" s="165"/>
      <c r="J33" s="165"/>
      <c r="K33" s="23"/>
      <c r="L33" s="58"/>
      <c r="M33" s="58"/>
    </row>
    <row r="34" spans="1:13" x14ac:dyDescent="0.25">
      <c r="A34" s="58"/>
      <c r="B34" s="177"/>
      <c r="C34" s="177"/>
      <c r="D34" s="165"/>
      <c r="E34" s="165"/>
      <c r="F34" s="165"/>
      <c r="G34" s="177"/>
      <c r="H34" s="177"/>
      <c r="I34" s="165"/>
      <c r="J34" s="165"/>
      <c r="K34" s="23"/>
      <c r="L34" s="58"/>
      <c r="M34" s="58"/>
    </row>
    <row r="35" spans="1:13" x14ac:dyDescent="0.25">
      <c r="A35" s="58"/>
      <c r="B35" s="165"/>
      <c r="C35" s="151"/>
      <c r="D35" s="151"/>
      <c r="E35" s="151"/>
      <c r="F35" s="165"/>
      <c r="G35" s="165"/>
      <c r="H35" s="151"/>
      <c r="I35" s="151"/>
      <c r="J35" s="151"/>
      <c r="K35" s="23"/>
      <c r="L35" s="58"/>
      <c r="M35" s="58"/>
    </row>
    <row r="36" spans="1:13" x14ac:dyDescent="0.25">
      <c r="A36" s="58"/>
      <c r="B36" s="151"/>
      <c r="C36" s="58"/>
      <c r="D36" s="151"/>
      <c r="E36" s="151"/>
      <c r="F36" s="151"/>
      <c r="G36" s="151"/>
      <c r="H36" s="151"/>
      <c r="I36" s="151"/>
      <c r="J36" s="151"/>
      <c r="K36" s="23"/>
      <c r="L36" s="58"/>
      <c r="M36" s="58"/>
    </row>
    <row r="37" spans="1:13" x14ac:dyDescent="0.25">
      <c r="A37" s="58"/>
      <c r="B37" s="165"/>
      <c r="C37" s="151"/>
      <c r="D37" s="151"/>
      <c r="E37" s="151"/>
      <c r="F37" s="165"/>
      <c r="G37" s="165"/>
      <c r="H37" s="151"/>
      <c r="I37" s="151"/>
      <c r="J37" s="151"/>
      <c r="K37" s="23"/>
      <c r="L37" s="58"/>
      <c r="M37" s="58"/>
    </row>
    <row r="38" spans="1:13" x14ac:dyDescent="0.25">
      <c r="A38" s="58"/>
      <c r="B38" s="151"/>
      <c r="C38" s="58"/>
      <c r="D38" s="151"/>
      <c r="E38" s="151"/>
      <c r="F38" s="151"/>
      <c r="G38" s="151"/>
      <c r="H38" s="58"/>
      <c r="I38" s="151"/>
      <c r="J38" s="151"/>
      <c r="K38" s="23"/>
      <c r="L38" s="58"/>
      <c r="M38" s="58"/>
    </row>
    <row r="39" spans="1:13" x14ac:dyDescent="0.25">
      <c r="A39" s="58"/>
      <c r="B39" s="217" t="s">
        <v>129</v>
      </c>
      <c r="C39" s="217"/>
      <c r="D39" s="217">
        <f>D22+D23+D24-E25</f>
        <v>32400</v>
      </c>
      <c r="E39" s="217">
        <f>SUM(E27:E38)</f>
        <v>32400</v>
      </c>
      <c r="F39" s="217">
        <f>D39-E39</f>
        <v>0</v>
      </c>
      <c r="G39" s="217" t="s">
        <v>129</v>
      </c>
      <c r="H39" s="217">
        <f>H22+H23+H24-I25</f>
        <v>30550</v>
      </c>
      <c r="I39" s="217">
        <f>SUM(I27:I38)</f>
        <v>32400</v>
      </c>
      <c r="J39" s="221">
        <f>H39-I39</f>
        <v>-1850</v>
      </c>
      <c r="K39" s="23"/>
      <c r="L39" s="58"/>
      <c r="M39" s="58"/>
    </row>
    <row r="40" spans="1:13" x14ac:dyDescent="0.25">
      <c r="A40" s="58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58"/>
      <c r="M40" s="58"/>
    </row>
    <row r="41" spans="1:13" x14ac:dyDescent="0.25">
      <c r="A41" s="58"/>
      <c r="B41" s="23" t="s">
        <v>357</v>
      </c>
      <c r="C41" s="23"/>
      <c r="D41" s="23"/>
      <c r="E41" s="23" t="s">
        <v>359</v>
      </c>
      <c r="F41" s="23"/>
      <c r="G41" s="23"/>
      <c r="H41" s="23" t="s">
        <v>361</v>
      </c>
      <c r="I41" s="23"/>
      <c r="J41" s="23"/>
      <c r="K41" s="23"/>
      <c r="L41" s="58"/>
      <c r="M41" s="58"/>
    </row>
    <row r="42" spans="1:13" x14ac:dyDescent="0.25">
      <c r="A42" s="58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58"/>
      <c r="M42" s="58"/>
    </row>
    <row r="43" spans="1:13" x14ac:dyDescent="0.25">
      <c r="A43" s="58"/>
      <c r="B43" s="23" t="s">
        <v>483</v>
      </c>
      <c r="C43" s="23"/>
      <c r="D43" s="23"/>
      <c r="E43" s="23" t="s">
        <v>360</v>
      </c>
      <c r="F43" s="23"/>
      <c r="G43" s="23"/>
      <c r="H43" s="23" t="s">
        <v>158</v>
      </c>
      <c r="I43" s="23"/>
      <c r="J43" s="23"/>
      <c r="K43" s="58"/>
      <c r="L43" s="58"/>
      <c r="M43" s="58"/>
    </row>
    <row r="44" spans="1:13" x14ac:dyDescent="0.25">
      <c r="A44" s="58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58"/>
      <c r="M44" s="58"/>
    </row>
    <row r="45" spans="1:13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13" x14ac:dyDescent="0.25">
      <c r="A46" s="58"/>
      <c r="B46" s="23"/>
      <c r="C46" s="58"/>
      <c r="D46" s="58"/>
      <c r="E46" s="23"/>
      <c r="F46" s="23"/>
      <c r="G46" s="23"/>
      <c r="H46" s="23"/>
      <c r="I46" s="23"/>
      <c r="J46" s="23"/>
      <c r="K46" s="58"/>
      <c r="L46" s="58"/>
      <c r="M46" s="58"/>
    </row>
  </sheetData>
  <pageMargins left="0.7" right="0.7" top="0.75" bottom="0.75" header="0.3" footer="0.3"/>
  <pageSetup orientation="portrait" horizontalDpi="203" verticalDpi="203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4" workbookViewId="0">
      <selection activeCell="N33" sqref="N33"/>
    </sheetView>
  </sheetViews>
  <sheetFormatPr defaultRowHeight="15" x14ac:dyDescent="0.25"/>
  <cols>
    <col min="1" max="1" width="9.140625" customWidth="1"/>
  </cols>
  <sheetData>
    <row r="1" spans="1:14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  <c r="M1" s="58"/>
      <c r="N1" s="58"/>
    </row>
    <row r="2" spans="1:14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  <c r="M2" s="58"/>
      <c r="N2" s="58"/>
    </row>
    <row r="3" spans="1:14" x14ac:dyDescent="0.25">
      <c r="A3" s="58"/>
      <c r="B3" s="23"/>
      <c r="C3" s="23"/>
      <c r="D3" s="32" t="s">
        <v>517</v>
      </c>
      <c r="E3" s="32"/>
      <c r="F3" s="32"/>
      <c r="G3" s="32"/>
      <c r="H3" s="23"/>
      <c r="I3" s="23"/>
      <c r="J3" s="23"/>
      <c r="K3" s="23"/>
      <c r="L3" s="58"/>
      <c r="M3" s="58"/>
      <c r="N3" s="58"/>
    </row>
    <row r="4" spans="1:14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  <c r="M4" s="58"/>
      <c r="N4" s="58"/>
    </row>
    <row r="5" spans="1:14" x14ac:dyDescent="0.25">
      <c r="A5" s="58"/>
      <c r="B5" s="164"/>
      <c r="C5" s="228"/>
      <c r="D5" s="165">
        <f>'JANUARY 20'!I5:I16</f>
        <v>0</v>
      </c>
      <c r="E5" s="165"/>
      <c r="F5" s="165"/>
      <c r="G5" s="230"/>
      <c r="H5" s="215"/>
      <c r="I5" s="165"/>
      <c r="J5" s="23"/>
      <c r="K5" s="23"/>
      <c r="L5" s="58"/>
      <c r="M5" s="58"/>
      <c r="N5" s="58"/>
    </row>
    <row r="6" spans="1:14" x14ac:dyDescent="0.25">
      <c r="A6" s="58"/>
      <c r="B6" s="164" t="s">
        <v>205</v>
      </c>
      <c r="C6" s="228"/>
      <c r="D6" s="165">
        <f>'JANUARY 20'!I6:I17</f>
        <v>0</v>
      </c>
      <c r="E6" s="165">
        <v>3000</v>
      </c>
      <c r="F6" s="165">
        <v>100</v>
      </c>
      <c r="G6" s="165">
        <f>D6+E6+F6</f>
        <v>3100</v>
      </c>
      <c r="H6" s="165">
        <v>3000</v>
      </c>
      <c r="I6" s="165">
        <f t="shared" ref="I6:I16" si="0">G6-H6</f>
        <v>100</v>
      </c>
      <c r="J6" s="23"/>
      <c r="K6" s="23"/>
      <c r="L6" s="58"/>
      <c r="M6" s="58"/>
      <c r="N6" s="58"/>
    </row>
    <row r="7" spans="1:14" x14ac:dyDescent="0.25">
      <c r="A7" s="58"/>
      <c r="B7" s="151" t="s">
        <v>479</v>
      </c>
      <c r="C7" s="228"/>
      <c r="D7" s="165">
        <f>'JANUARY 20'!I7:I18</f>
        <v>0</v>
      </c>
      <c r="E7" s="165">
        <v>3000</v>
      </c>
      <c r="F7" s="165">
        <v>100</v>
      </c>
      <c r="G7" s="165">
        <f t="shared" ref="G7:G16" si="1">D7+E7+F7</f>
        <v>3100</v>
      </c>
      <c r="H7" s="215">
        <v>3100</v>
      </c>
      <c r="I7" s="165">
        <f t="shared" si="0"/>
        <v>0</v>
      </c>
      <c r="J7" s="23"/>
      <c r="K7" s="23"/>
      <c r="L7" s="58"/>
      <c r="M7" s="58"/>
      <c r="N7" s="58"/>
    </row>
    <row r="8" spans="1:14" x14ac:dyDescent="0.25">
      <c r="A8" s="58"/>
      <c r="B8" s="167" t="s">
        <v>385</v>
      </c>
      <c r="C8" s="228"/>
      <c r="D8" s="165">
        <f>'JANUARY 20'!I8:I19</f>
        <v>0</v>
      </c>
      <c r="E8" s="165">
        <v>3000</v>
      </c>
      <c r="F8" s="165">
        <v>100</v>
      </c>
      <c r="G8" s="165">
        <f t="shared" si="1"/>
        <v>3100</v>
      </c>
      <c r="H8" s="215">
        <v>3000</v>
      </c>
      <c r="I8" s="165">
        <f t="shared" si="0"/>
        <v>100</v>
      </c>
      <c r="J8" s="23"/>
      <c r="K8" s="23"/>
      <c r="L8" s="58"/>
      <c r="M8" s="58"/>
      <c r="N8" s="58"/>
    </row>
    <row r="9" spans="1:14" x14ac:dyDescent="0.25">
      <c r="A9" s="58"/>
      <c r="B9" s="151" t="s">
        <v>469</v>
      </c>
      <c r="C9" s="228"/>
      <c r="D9" s="165">
        <f>'JANUARY 20'!I9:I20</f>
        <v>0</v>
      </c>
      <c r="E9" s="165">
        <v>3000</v>
      </c>
      <c r="F9" s="165">
        <v>100</v>
      </c>
      <c r="G9" s="165">
        <f t="shared" si="1"/>
        <v>3100</v>
      </c>
      <c r="H9" s="215">
        <v>3100</v>
      </c>
      <c r="I9" s="165">
        <f t="shared" si="0"/>
        <v>0</v>
      </c>
      <c r="J9" s="23"/>
      <c r="K9" s="23"/>
      <c r="L9" s="58"/>
      <c r="M9" s="58"/>
      <c r="N9" s="58"/>
    </row>
    <row r="10" spans="1:14" x14ac:dyDescent="0.25">
      <c r="A10" s="58"/>
      <c r="B10" s="151" t="s">
        <v>402</v>
      </c>
      <c r="C10" s="228"/>
      <c r="D10" s="165">
        <f>'JANUARY 20'!I10:I21</f>
        <v>1100</v>
      </c>
      <c r="E10" s="165">
        <v>3000</v>
      </c>
      <c r="F10" s="165">
        <v>100</v>
      </c>
      <c r="G10" s="165">
        <f t="shared" si="1"/>
        <v>4200</v>
      </c>
      <c r="H10" s="165">
        <v>4000</v>
      </c>
      <c r="I10" s="165">
        <f t="shared" si="0"/>
        <v>200</v>
      </c>
      <c r="J10" s="23"/>
      <c r="K10" s="23"/>
      <c r="L10" s="58"/>
      <c r="M10" s="58"/>
      <c r="N10" s="58"/>
    </row>
    <row r="11" spans="1:14" x14ac:dyDescent="0.25">
      <c r="A11" s="58"/>
      <c r="B11" s="168" t="s">
        <v>521</v>
      </c>
      <c r="C11" s="228"/>
      <c r="D11" s="165">
        <f>'JANUARY 20'!I11:I22</f>
        <v>0</v>
      </c>
      <c r="E11" s="165">
        <v>900</v>
      </c>
      <c r="F11" s="165"/>
      <c r="G11" s="165">
        <f>D11+E11+F11</f>
        <v>900</v>
      </c>
      <c r="H11" s="215">
        <v>900</v>
      </c>
      <c r="I11" s="165">
        <f t="shared" si="0"/>
        <v>0</v>
      </c>
      <c r="J11" s="23"/>
      <c r="K11" s="23"/>
      <c r="L11" s="58"/>
      <c r="M11" s="58"/>
      <c r="N11" s="58"/>
    </row>
    <row r="12" spans="1:14" x14ac:dyDescent="0.25">
      <c r="A12" s="58"/>
      <c r="B12" s="167" t="s">
        <v>344</v>
      </c>
      <c r="C12" s="228"/>
      <c r="D12" s="165">
        <f>'JANUARY 20'!I12:I23</f>
        <v>0</v>
      </c>
      <c r="E12" s="165">
        <v>3000</v>
      </c>
      <c r="F12" s="165">
        <v>100</v>
      </c>
      <c r="G12" s="165">
        <f t="shared" si="1"/>
        <v>3100</v>
      </c>
      <c r="H12" s="233">
        <v>3100</v>
      </c>
      <c r="I12" s="165">
        <f t="shared" si="0"/>
        <v>0</v>
      </c>
      <c r="J12" s="23"/>
      <c r="K12" s="23"/>
      <c r="L12" s="58"/>
      <c r="M12" s="58"/>
      <c r="N12" s="58"/>
    </row>
    <row r="13" spans="1:14" x14ac:dyDescent="0.25">
      <c r="A13" s="58"/>
      <c r="B13" s="164" t="s">
        <v>495</v>
      </c>
      <c r="C13" s="231"/>
      <c r="D13" s="165">
        <f>'JANUARY 20'!I13:I24</f>
        <v>100</v>
      </c>
      <c r="E13" s="165">
        <v>3000</v>
      </c>
      <c r="F13" s="165">
        <v>100</v>
      </c>
      <c r="G13" s="165">
        <f t="shared" si="1"/>
        <v>3200</v>
      </c>
      <c r="H13" s="215">
        <v>3100</v>
      </c>
      <c r="I13" s="165">
        <f t="shared" si="0"/>
        <v>100</v>
      </c>
      <c r="J13" s="23"/>
      <c r="K13" s="23"/>
      <c r="L13" s="58"/>
      <c r="M13" s="58"/>
      <c r="N13" s="58"/>
    </row>
    <row r="14" spans="1:14" x14ac:dyDescent="0.25">
      <c r="A14" s="58"/>
      <c r="B14" s="169" t="s">
        <v>400</v>
      </c>
      <c r="C14" s="228"/>
      <c r="D14" s="165">
        <f>'JANUARY 20'!I14:I25</f>
        <v>0</v>
      </c>
      <c r="E14" s="165">
        <v>4500</v>
      </c>
      <c r="F14" s="165">
        <v>100</v>
      </c>
      <c r="G14" s="165">
        <f t="shared" si="1"/>
        <v>4600</v>
      </c>
      <c r="H14" s="215">
        <v>4600</v>
      </c>
      <c r="I14" s="165">
        <f t="shared" si="0"/>
        <v>0</v>
      </c>
      <c r="J14" s="23"/>
      <c r="K14" s="23"/>
      <c r="L14" s="58"/>
      <c r="M14" s="58"/>
      <c r="N14" s="58"/>
    </row>
    <row r="15" spans="1:14" x14ac:dyDescent="0.25">
      <c r="A15" s="58"/>
      <c r="B15" s="168" t="s">
        <v>345</v>
      </c>
      <c r="C15" s="228"/>
      <c r="D15" s="165">
        <f>'JANUARY 20'!I15:I26</f>
        <v>1350</v>
      </c>
      <c r="E15" s="165">
        <v>4500</v>
      </c>
      <c r="F15" s="165">
        <v>100</v>
      </c>
      <c r="G15" s="165">
        <f t="shared" si="1"/>
        <v>5950</v>
      </c>
      <c r="H15" s="215">
        <f>4500+1100</f>
        <v>5600</v>
      </c>
      <c r="I15" s="165">
        <f>G15-H15</f>
        <v>350</v>
      </c>
      <c r="J15" s="23"/>
      <c r="K15" s="23"/>
      <c r="L15" s="58"/>
      <c r="M15" s="58"/>
      <c r="N15" s="58"/>
    </row>
    <row r="16" spans="1:14" x14ac:dyDescent="0.25">
      <c r="A16" s="58"/>
      <c r="B16" s="197" t="s">
        <v>518</v>
      </c>
      <c r="C16" s="228"/>
      <c r="D16" s="165">
        <f>'JANUARY 20'!I16:I27</f>
        <v>0</v>
      </c>
      <c r="E16" s="165">
        <v>3000</v>
      </c>
      <c r="F16" s="165">
        <v>100</v>
      </c>
      <c r="G16" s="165">
        <f t="shared" si="1"/>
        <v>3100</v>
      </c>
      <c r="H16" s="165">
        <v>3100</v>
      </c>
      <c r="I16" s="165">
        <f t="shared" si="0"/>
        <v>0</v>
      </c>
      <c r="J16" s="23"/>
      <c r="K16" s="23"/>
      <c r="L16" s="58"/>
      <c r="M16" s="58"/>
      <c r="N16" s="58"/>
    </row>
    <row r="17" spans="1:14" x14ac:dyDescent="0.25">
      <c r="A17" s="58"/>
      <c r="B17" s="213" t="s">
        <v>129</v>
      </c>
      <c r="C17" s="228"/>
      <c r="D17" s="165">
        <f>SUM(D6:D16)</f>
        <v>2550</v>
      </c>
      <c r="E17" s="217">
        <f>SUM(E5:E16)</f>
        <v>33900</v>
      </c>
      <c r="F17" s="217">
        <f>SUM(F5:F16)</f>
        <v>1000</v>
      </c>
      <c r="G17" s="165">
        <f>D17+E17+F17</f>
        <v>37450</v>
      </c>
      <c r="H17" s="217">
        <f>SUM(H5:H16)</f>
        <v>36600</v>
      </c>
      <c r="I17" s="217">
        <f>SUM(I5:I16)</f>
        <v>850</v>
      </c>
      <c r="J17" s="23"/>
      <c r="K17" s="23"/>
      <c r="L17" s="58"/>
      <c r="M17" s="58"/>
      <c r="N17" s="58"/>
    </row>
    <row r="18" spans="1:14" x14ac:dyDescent="0.25">
      <c r="A18" s="58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58"/>
      <c r="M18" s="58"/>
      <c r="N18" s="58"/>
    </row>
    <row r="19" spans="1:14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35600</v>
      </c>
      <c r="I19" s="147"/>
      <c r="J19" s="23"/>
      <c r="K19" s="23"/>
      <c r="L19" s="58"/>
      <c r="M19" s="58"/>
      <c r="N19" s="58"/>
    </row>
    <row r="20" spans="1:14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  <c r="M20" s="58"/>
      <c r="N20" s="58"/>
    </row>
    <row r="21" spans="1:14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  <c r="M21" s="58"/>
      <c r="N21" s="58"/>
    </row>
    <row r="22" spans="1:14" x14ac:dyDescent="0.25">
      <c r="A22" s="58"/>
      <c r="B22" s="165" t="s">
        <v>516</v>
      </c>
      <c r="C22" s="165"/>
      <c r="D22" s="165">
        <f>E17</f>
        <v>33900</v>
      </c>
      <c r="E22" s="165"/>
      <c r="F22" s="165"/>
      <c r="G22" s="165" t="s">
        <v>516</v>
      </c>
      <c r="H22" s="232">
        <f>H19</f>
        <v>35600</v>
      </c>
      <c r="I22" s="165"/>
      <c r="J22" s="165"/>
      <c r="K22" s="23"/>
      <c r="L22" s="58"/>
      <c r="M22" s="58"/>
      <c r="N22" s="58"/>
    </row>
    <row r="23" spans="1:14" x14ac:dyDescent="0.25">
      <c r="A23" s="58"/>
      <c r="B23" s="165" t="s">
        <v>1</v>
      </c>
      <c r="C23" s="165"/>
      <c r="D23" s="165">
        <f>'JANUARY 20'!F39</f>
        <v>0</v>
      </c>
      <c r="E23" s="165"/>
      <c r="F23" s="165"/>
      <c r="G23" s="165" t="s">
        <v>1</v>
      </c>
      <c r="H23" s="165">
        <f>'JANUARY 20'!J39</f>
        <v>-1850</v>
      </c>
      <c r="I23" s="165"/>
      <c r="J23" s="165"/>
      <c r="K23" s="23"/>
      <c r="L23" s="58"/>
      <c r="M23" s="58"/>
      <c r="N23" s="58"/>
    </row>
    <row r="24" spans="1:14" x14ac:dyDescent="0.25">
      <c r="A24" s="58"/>
      <c r="B24" s="165" t="s">
        <v>28</v>
      </c>
      <c r="C24" s="165"/>
      <c r="D24" s="165">
        <f>3000+3000</f>
        <v>6000</v>
      </c>
      <c r="E24" s="165"/>
      <c r="F24" s="165"/>
      <c r="G24" s="165" t="s">
        <v>28</v>
      </c>
      <c r="H24" s="165">
        <f>3000+3000</f>
        <v>6000</v>
      </c>
      <c r="I24" s="165"/>
      <c r="J24" s="165"/>
      <c r="K24" s="23"/>
      <c r="L24" s="58"/>
      <c r="M24" s="58"/>
      <c r="N24" s="58"/>
    </row>
    <row r="25" spans="1:14" x14ac:dyDescent="0.25">
      <c r="A25" s="58"/>
      <c r="B25" s="165" t="s">
        <v>325</v>
      </c>
      <c r="C25" s="165"/>
      <c r="D25" s="226">
        <v>0.1</v>
      </c>
      <c r="E25" s="165">
        <f>D22*D25</f>
        <v>3390</v>
      </c>
      <c r="F25" s="165"/>
      <c r="G25" s="165" t="s">
        <v>325</v>
      </c>
      <c r="H25" s="226">
        <v>0.1</v>
      </c>
      <c r="I25" s="165">
        <f>E25</f>
        <v>3390</v>
      </c>
      <c r="J25" s="165"/>
      <c r="K25" s="23"/>
      <c r="L25" s="58"/>
      <c r="M25" s="58"/>
      <c r="N25" s="58"/>
    </row>
    <row r="26" spans="1:14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  <c r="M26" s="58"/>
      <c r="N26" s="58"/>
    </row>
    <row r="27" spans="1:14" x14ac:dyDescent="0.25">
      <c r="A27" s="58"/>
      <c r="B27" s="165" t="s">
        <v>520</v>
      </c>
      <c r="C27" s="165"/>
      <c r="D27" s="234">
        <v>0.3</v>
      </c>
      <c r="E27" s="222">
        <f>D27*E16+(D27*3000)</f>
        <v>1800</v>
      </c>
      <c r="F27" s="165"/>
      <c r="G27" s="165" t="s">
        <v>520</v>
      </c>
      <c r="H27" s="174">
        <v>0.3</v>
      </c>
      <c r="I27" s="234">
        <f>H27*E16+(H27*3000)</f>
        <v>1800</v>
      </c>
      <c r="J27" s="222"/>
      <c r="K27" s="23"/>
      <c r="L27" s="58"/>
      <c r="M27" s="58"/>
      <c r="N27" s="58"/>
    </row>
    <row r="28" spans="1:14" x14ac:dyDescent="0.25">
      <c r="A28" s="58"/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23"/>
      <c r="L28" s="58"/>
      <c r="M28" s="58"/>
      <c r="N28" s="58"/>
    </row>
    <row r="29" spans="1:14" x14ac:dyDescent="0.25">
      <c r="A29" s="58"/>
      <c r="B29" s="222" t="s">
        <v>328</v>
      </c>
      <c r="C29" s="58"/>
      <c r="D29" s="151"/>
      <c r="E29" s="151">
        <v>10000</v>
      </c>
      <c r="F29" s="165"/>
      <c r="G29" s="222" t="s">
        <v>328</v>
      </c>
      <c r="H29" s="58"/>
      <c r="I29" s="151">
        <v>10000</v>
      </c>
      <c r="J29" s="151"/>
      <c r="K29" s="23"/>
      <c r="L29" s="58"/>
      <c r="M29" s="58"/>
      <c r="N29" s="58"/>
    </row>
    <row r="30" spans="1:14" s="58" customFormat="1" x14ac:dyDescent="0.25">
      <c r="B30" s="222" t="s">
        <v>519</v>
      </c>
      <c r="D30" s="151"/>
      <c r="E30" s="151">
        <v>20700</v>
      </c>
      <c r="F30" s="165"/>
      <c r="G30" s="222" t="s">
        <v>519</v>
      </c>
      <c r="I30" s="151">
        <v>20700</v>
      </c>
      <c r="J30" s="151"/>
      <c r="K30" s="23"/>
    </row>
    <row r="31" spans="1:14" s="58" customFormat="1" x14ac:dyDescent="0.25">
      <c r="B31" s="222" t="s">
        <v>348</v>
      </c>
      <c r="D31" s="151"/>
      <c r="E31" s="151">
        <v>1000</v>
      </c>
      <c r="F31" s="165"/>
      <c r="G31" s="222" t="s">
        <v>348</v>
      </c>
      <c r="I31" s="151">
        <v>1000</v>
      </c>
      <c r="J31" s="151"/>
      <c r="K31" s="23"/>
    </row>
    <row r="32" spans="1:14" s="58" customFormat="1" x14ac:dyDescent="0.25">
      <c r="B32" s="222" t="s">
        <v>526</v>
      </c>
      <c r="D32" s="151"/>
      <c r="E32" s="151">
        <f>1000+500</f>
        <v>1500</v>
      </c>
      <c r="F32" s="165"/>
      <c r="G32" s="222" t="s">
        <v>499</v>
      </c>
      <c r="I32" s="151">
        <f>1000+500</f>
        <v>1500</v>
      </c>
      <c r="J32" s="151"/>
      <c r="K32" s="23"/>
    </row>
    <row r="33" spans="1:14" s="58" customFormat="1" x14ac:dyDescent="0.25">
      <c r="B33" s="222" t="s">
        <v>522</v>
      </c>
      <c r="D33" s="151"/>
      <c r="E33" s="151">
        <v>1500</v>
      </c>
      <c r="F33" s="165"/>
      <c r="G33" s="222" t="s">
        <v>522</v>
      </c>
      <c r="I33" s="151">
        <v>1500</v>
      </c>
      <c r="J33" s="151"/>
      <c r="K33" s="23"/>
    </row>
    <row r="34" spans="1:14" s="58" customFormat="1" x14ac:dyDescent="0.25">
      <c r="B34" s="222" t="s">
        <v>524</v>
      </c>
      <c r="D34" s="151"/>
      <c r="E34" s="151">
        <v>250</v>
      </c>
      <c r="F34" s="165"/>
      <c r="G34" s="222" t="s">
        <v>524</v>
      </c>
      <c r="I34" s="151">
        <v>250</v>
      </c>
      <c r="J34" s="151"/>
      <c r="K34" s="23"/>
    </row>
    <row r="35" spans="1:14" s="58" customFormat="1" x14ac:dyDescent="0.25">
      <c r="B35" s="222" t="s">
        <v>527</v>
      </c>
      <c r="D35" s="151"/>
      <c r="E35" s="151">
        <v>500</v>
      </c>
      <c r="F35" s="165"/>
      <c r="G35" s="222" t="s">
        <v>525</v>
      </c>
      <c r="I35" s="151">
        <v>500</v>
      </c>
      <c r="J35" s="151"/>
      <c r="K35" s="23"/>
    </row>
    <row r="36" spans="1:14" s="58" customFormat="1" x14ac:dyDescent="0.25">
      <c r="B36" s="222"/>
      <c r="D36" s="151"/>
      <c r="E36" s="151"/>
      <c r="F36" s="165"/>
      <c r="G36" s="222"/>
      <c r="I36" s="151"/>
      <c r="J36" s="151"/>
      <c r="K36" s="23"/>
    </row>
    <row r="37" spans="1:14" x14ac:dyDescent="0.25">
      <c r="A37" s="58"/>
      <c r="B37" s="222"/>
      <c r="C37" s="58"/>
      <c r="D37" s="151"/>
      <c r="E37" s="151"/>
      <c r="F37" s="165"/>
      <c r="G37" s="222"/>
      <c r="H37" s="58"/>
      <c r="I37" s="151"/>
      <c r="J37" s="151"/>
      <c r="K37" s="23"/>
      <c r="L37" s="58"/>
      <c r="M37" s="58"/>
      <c r="N37" s="58"/>
    </row>
    <row r="38" spans="1:14" x14ac:dyDescent="0.25">
      <c r="A38" s="58"/>
      <c r="B38" s="217" t="s">
        <v>129</v>
      </c>
      <c r="C38" s="217"/>
      <c r="D38" s="217">
        <f>D22+D23+D24-E25</f>
        <v>36510</v>
      </c>
      <c r="E38" s="217">
        <f>SUM(E27:E37)</f>
        <v>39250</v>
      </c>
      <c r="F38" s="217">
        <f>D38-E38</f>
        <v>-2740</v>
      </c>
      <c r="G38" s="217" t="s">
        <v>129</v>
      </c>
      <c r="H38" s="217">
        <f>H22+H23+H24-I25</f>
        <v>36360</v>
      </c>
      <c r="I38" s="217">
        <f>SUM(I27:I37)</f>
        <v>39250</v>
      </c>
      <c r="J38" s="221">
        <f>H38-I38</f>
        <v>-2890</v>
      </c>
      <c r="K38" s="23"/>
      <c r="L38" s="58"/>
      <c r="M38" s="58"/>
      <c r="N38" s="58"/>
    </row>
    <row r="39" spans="1:14" x14ac:dyDescent="0.25">
      <c r="A39" s="58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58"/>
      <c r="M39" s="58"/>
      <c r="N39" s="58"/>
    </row>
    <row r="40" spans="1:14" x14ac:dyDescent="0.25">
      <c r="A40" s="58"/>
      <c r="B40" s="23" t="s">
        <v>357</v>
      </c>
      <c r="C40" s="23"/>
      <c r="D40" s="23"/>
      <c r="E40" s="23" t="s">
        <v>359</v>
      </c>
      <c r="F40" s="23"/>
      <c r="G40" s="23"/>
      <c r="H40" s="23" t="s">
        <v>361</v>
      </c>
      <c r="I40" s="23"/>
      <c r="J40" s="23"/>
      <c r="K40" s="23"/>
      <c r="L40" s="58"/>
      <c r="M40" s="58"/>
      <c r="N40" s="58"/>
    </row>
    <row r="41" spans="1:14" x14ac:dyDescent="0.25">
      <c r="A41" s="58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58"/>
      <c r="M41" s="58"/>
      <c r="N41" s="58"/>
    </row>
    <row r="42" spans="1:14" x14ac:dyDescent="0.25">
      <c r="A42" s="58"/>
      <c r="B42" s="23" t="s">
        <v>483</v>
      </c>
      <c r="C42" s="23"/>
      <c r="D42" s="23"/>
      <c r="E42" s="23" t="s">
        <v>360</v>
      </c>
      <c r="F42" s="23"/>
      <c r="G42" s="23"/>
      <c r="H42" s="23" t="s">
        <v>158</v>
      </c>
      <c r="I42" s="23"/>
      <c r="J42" s="23"/>
      <c r="K42" s="58"/>
      <c r="L42" s="58"/>
      <c r="M42" s="58"/>
      <c r="N42" s="58"/>
    </row>
    <row r="43" spans="1:14" x14ac:dyDescent="0.25">
      <c r="A43" s="58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58"/>
      <c r="M43" s="58"/>
      <c r="N43" s="58"/>
    </row>
    <row r="44" spans="1:14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</row>
    <row r="45" spans="1:14" x14ac:dyDescent="0.25">
      <c r="A45" s="58"/>
      <c r="B45" s="23"/>
      <c r="C45" s="58"/>
      <c r="D45" s="58"/>
      <c r="E45" s="23"/>
      <c r="F45" s="23"/>
      <c r="G45" s="23"/>
      <c r="H45" s="23"/>
      <c r="I45" s="23"/>
      <c r="J45" s="23"/>
      <c r="K45" s="58"/>
      <c r="L45" s="58"/>
      <c r="M45" s="58"/>
      <c r="N45" s="58"/>
    </row>
  </sheetData>
  <pageMargins left="0.7" right="0.7" top="0.75" bottom="0.75" header="0.3" footer="0.3"/>
  <pageSetup orientation="portrait" horizontalDpi="203" verticalDpi="203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B31" sqref="B31"/>
    </sheetView>
  </sheetViews>
  <sheetFormatPr defaultRowHeight="15" x14ac:dyDescent="0.25"/>
  <cols>
    <col min="3" max="3" width="10.7109375" customWidth="1"/>
  </cols>
  <sheetData>
    <row r="1" spans="1:12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</row>
    <row r="2" spans="1:12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</row>
    <row r="3" spans="1:12" x14ac:dyDescent="0.25">
      <c r="A3" s="58"/>
      <c r="B3" s="23"/>
      <c r="C3" s="23"/>
      <c r="D3" s="32" t="s">
        <v>523</v>
      </c>
      <c r="E3" s="32"/>
      <c r="F3" s="32"/>
      <c r="G3" s="32"/>
      <c r="H3" s="23"/>
      <c r="I3" s="23"/>
      <c r="J3" s="23"/>
      <c r="K3" s="23"/>
      <c r="L3" s="58"/>
    </row>
    <row r="4" spans="1:12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</row>
    <row r="5" spans="1:12" x14ac:dyDescent="0.25">
      <c r="A5" s="58"/>
      <c r="B5" s="164"/>
      <c r="C5" s="228"/>
      <c r="D5" s="165">
        <f>'FEBRUARY 20'!I5:I16</f>
        <v>0</v>
      </c>
      <c r="E5" s="165"/>
      <c r="F5" s="165"/>
      <c r="G5" s="230"/>
      <c r="H5" s="215"/>
      <c r="I5" s="165"/>
      <c r="J5" s="23"/>
      <c r="K5" s="23"/>
      <c r="L5" s="58"/>
    </row>
    <row r="6" spans="1:12" x14ac:dyDescent="0.25">
      <c r="A6" s="58"/>
      <c r="B6" s="164" t="s">
        <v>205</v>
      </c>
      <c r="C6" s="228"/>
      <c r="D6" s="165">
        <f>'FEBRUARY 20'!I6:I17</f>
        <v>100</v>
      </c>
      <c r="E6" s="165">
        <v>3000</v>
      </c>
      <c r="F6" s="165">
        <v>100</v>
      </c>
      <c r="G6" s="165">
        <f>D6+E6+F6</f>
        <v>3200</v>
      </c>
      <c r="H6" s="165">
        <v>3100</v>
      </c>
      <c r="I6" s="165">
        <f t="shared" ref="I6:I16" si="0">G6-H6</f>
        <v>100</v>
      </c>
      <c r="J6" s="23"/>
      <c r="K6" s="23"/>
      <c r="L6" s="58"/>
    </row>
    <row r="7" spans="1:12" x14ac:dyDescent="0.25">
      <c r="A7" s="58"/>
      <c r="B7" s="151" t="s">
        <v>479</v>
      </c>
      <c r="C7" s="228"/>
      <c r="D7" s="165">
        <f>'FEBRUARY 20'!I7:I18</f>
        <v>0</v>
      </c>
      <c r="E7" s="165">
        <v>3000</v>
      </c>
      <c r="F7" s="165">
        <v>100</v>
      </c>
      <c r="G7" s="165">
        <f t="shared" ref="G7:G16" si="1">D7+E7+F7</f>
        <v>3100</v>
      </c>
      <c r="H7" s="215">
        <v>3100</v>
      </c>
      <c r="I7" s="165">
        <f t="shared" si="0"/>
        <v>0</v>
      </c>
      <c r="J7" s="23"/>
      <c r="K7" s="23"/>
      <c r="L7" s="58"/>
    </row>
    <row r="8" spans="1:12" x14ac:dyDescent="0.25">
      <c r="A8" s="58"/>
      <c r="B8" s="167" t="s">
        <v>385</v>
      </c>
      <c r="C8" s="228"/>
      <c r="D8" s="165">
        <f>'FEBRUARY 20'!I8:I19</f>
        <v>100</v>
      </c>
      <c r="E8" s="165">
        <v>3000</v>
      </c>
      <c r="F8" s="165">
        <v>100</v>
      </c>
      <c r="G8" s="165">
        <f t="shared" si="1"/>
        <v>3200</v>
      </c>
      <c r="H8" s="215">
        <v>3200</v>
      </c>
      <c r="I8" s="165">
        <f t="shared" si="0"/>
        <v>0</v>
      </c>
      <c r="J8" s="23"/>
      <c r="K8" s="23"/>
      <c r="L8" s="58"/>
    </row>
    <row r="9" spans="1:12" x14ac:dyDescent="0.25">
      <c r="A9" s="58"/>
      <c r="B9" s="151" t="s">
        <v>469</v>
      </c>
      <c r="C9" s="228"/>
      <c r="D9" s="165">
        <f>'FEBRUARY 20'!I9:I20</f>
        <v>0</v>
      </c>
      <c r="E9" s="165">
        <v>3000</v>
      </c>
      <c r="F9" s="165">
        <v>100</v>
      </c>
      <c r="G9" s="165">
        <f t="shared" si="1"/>
        <v>3100</v>
      </c>
      <c r="H9" s="215">
        <v>3100</v>
      </c>
      <c r="I9" s="165">
        <f t="shared" si="0"/>
        <v>0</v>
      </c>
      <c r="J9" s="23"/>
      <c r="K9" s="23"/>
      <c r="L9" s="58"/>
    </row>
    <row r="10" spans="1:12" x14ac:dyDescent="0.25">
      <c r="A10" s="58"/>
      <c r="B10" s="151" t="s">
        <v>402</v>
      </c>
      <c r="C10" s="228"/>
      <c r="D10" s="165">
        <f>'FEBRUARY 20'!I10:I21</f>
        <v>200</v>
      </c>
      <c r="E10" s="165">
        <v>3000</v>
      </c>
      <c r="F10" s="165">
        <v>100</v>
      </c>
      <c r="G10" s="165">
        <f t="shared" si="1"/>
        <v>3300</v>
      </c>
      <c r="H10" s="165">
        <v>2900</v>
      </c>
      <c r="I10" s="165">
        <f t="shared" si="0"/>
        <v>400</v>
      </c>
      <c r="J10" s="23"/>
      <c r="K10" s="23"/>
      <c r="L10" s="58"/>
    </row>
    <row r="11" spans="1:12" x14ac:dyDescent="0.25">
      <c r="A11" s="58"/>
      <c r="B11" s="168" t="s">
        <v>521</v>
      </c>
      <c r="C11" s="228"/>
      <c r="D11" s="165">
        <f>'FEBRUARY 20'!I11:I22</f>
        <v>0</v>
      </c>
      <c r="E11" s="165">
        <v>3000</v>
      </c>
      <c r="F11" s="165">
        <v>100</v>
      </c>
      <c r="G11" s="165">
        <f>D11+E11+F11</f>
        <v>3100</v>
      </c>
      <c r="H11" s="215">
        <v>3100</v>
      </c>
      <c r="I11" s="165">
        <f t="shared" si="0"/>
        <v>0</v>
      </c>
      <c r="J11" s="23"/>
      <c r="K11" s="23"/>
      <c r="L11" s="58"/>
    </row>
    <row r="12" spans="1:12" x14ac:dyDescent="0.25">
      <c r="A12" s="58"/>
      <c r="B12" s="167" t="s">
        <v>344</v>
      </c>
      <c r="C12" s="228"/>
      <c r="D12" s="165">
        <f>'FEBRUARY 20'!I12:I23</f>
        <v>0</v>
      </c>
      <c r="E12" s="165">
        <v>3000</v>
      </c>
      <c r="F12" s="165">
        <v>100</v>
      </c>
      <c r="G12" s="165">
        <f t="shared" si="1"/>
        <v>3100</v>
      </c>
      <c r="H12" s="233">
        <v>3100</v>
      </c>
      <c r="I12" s="165">
        <f t="shared" si="0"/>
        <v>0</v>
      </c>
      <c r="J12" s="23"/>
      <c r="K12" s="23"/>
      <c r="L12" s="58"/>
    </row>
    <row r="13" spans="1:12" x14ac:dyDescent="0.25">
      <c r="A13" s="58"/>
      <c r="B13" s="164" t="s">
        <v>495</v>
      </c>
      <c r="C13" s="231"/>
      <c r="D13" s="165">
        <f>'FEBRUARY 20'!I13:I24</f>
        <v>100</v>
      </c>
      <c r="E13" s="165">
        <v>3000</v>
      </c>
      <c r="F13" s="165">
        <v>100</v>
      </c>
      <c r="G13" s="165">
        <f t="shared" si="1"/>
        <v>3200</v>
      </c>
      <c r="H13" s="215">
        <v>3200</v>
      </c>
      <c r="I13" s="165">
        <f t="shared" si="0"/>
        <v>0</v>
      </c>
      <c r="J13" s="23"/>
      <c r="K13" s="23"/>
      <c r="L13" s="58"/>
    </row>
    <row r="14" spans="1:12" x14ac:dyDescent="0.25">
      <c r="A14" s="58"/>
      <c r="B14" s="169" t="s">
        <v>400</v>
      </c>
      <c r="C14" s="228"/>
      <c r="D14" s="165">
        <f>'FEBRUARY 20'!I14:I25</f>
        <v>0</v>
      </c>
      <c r="E14" s="165">
        <v>4500</v>
      </c>
      <c r="F14" s="165">
        <v>100</v>
      </c>
      <c r="G14" s="165">
        <f t="shared" si="1"/>
        <v>4600</v>
      </c>
      <c r="H14" s="215">
        <v>4600</v>
      </c>
      <c r="I14" s="165">
        <f t="shared" si="0"/>
        <v>0</v>
      </c>
      <c r="J14" s="23"/>
      <c r="K14" s="23"/>
      <c r="L14" s="58"/>
    </row>
    <row r="15" spans="1:12" x14ac:dyDescent="0.25">
      <c r="A15" s="58"/>
      <c r="B15" s="168" t="s">
        <v>345</v>
      </c>
      <c r="C15" s="228"/>
      <c r="D15" s="165">
        <f>'FEBRUARY 20'!I15:I26</f>
        <v>350</v>
      </c>
      <c r="E15" s="165">
        <v>4500</v>
      </c>
      <c r="F15" s="165">
        <v>100</v>
      </c>
      <c r="G15" s="165">
        <f t="shared" si="1"/>
        <v>4950</v>
      </c>
      <c r="H15" s="215">
        <f>4000+500</f>
        <v>4500</v>
      </c>
      <c r="I15" s="165">
        <f>G15-H15</f>
        <v>450</v>
      </c>
      <c r="J15" s="23"/>
      <c r="K15" s="23"/>
      <c r="L15" s="58"/>
    </row>
    <row r="16" spans="1:12" x14ac:dyDescent="0.25">
      <c r="A16" s="58"/>
      <c r="B16" s="197" t="s">
        <v>518</v>
      </c>
      <c r="C16" s="228"/>
      <c r="D16" s="165">
        <f>'FEBRUARY 20'!I16:I27</f>
        <v>0</v>
      </c>
      <c r="E16" s="165">
        <v>3000</v>
      </c>
      <c r="F16" s="165">
        <v>100</v>
      </c>
      <c r="G16" s="165">
        <f t="shared" si="1"/>
        <v>3100</v>
      </c>
      <c r="H16" s="165">
        <v>3000</v>
      </c>
      <c r="I16" s="165">
        <f t="shared" si="0"/>
        <v>100</v>
      </c>
      <c r="J16" s="23"/>
      <c r="K16" s="23"/>
      <c r="L16" s="58"/>
    </row>
    <row r="17" spans="1:12" x14ac:dyDescent="0.25">
      <c r="A17" s="58"/>
      <c r="B17" s="213" t="s">
        <v>129</v>
      </c>
      <c r="C17" s="228"/>
      <c r="D17" s="165">
        <f>SUM(D6:D16)</f>
        <v>850</v>
      </c>
      <c r="E17" s="217">
        <f>SUM(E5:E16)</f>
        <v>36000</v>
      </c>
      <c r="F17" s="217">
        <f>SUM(F5:F16)</f>
        <v>1100</v>
      </c>
      <c r="G17" s="165">
        <f>D17+E17+F17</f>
        <v>37950</v>
      </c>
      <c r="H17" s="217">
        <f>SUM(H5:H16)</f>
        <v>36900</v>
      </c>
      <c r="I17" s="217">
        <f>SUM(I5:I16)</f>
        <v>1050</v>
      </c>
      <c r="J17" s="23"/>
      <c r="K17" s="23"/>
      <c r="L17" s="58"/>
    </row>
    <row r="18" spans="1:12" x14ac:dyDescent="0.25">
      <c r="A18" s="58"/>
      <c r="B18" s="23"/>
      <c r="C18" s="23"/>
      <c r="D18" s="23"/>
      <c r="E18" s="23"/>
      <c r="F18" s="23"/>
      <c r="G18" s="23"/>
      <c r="H18" s="23"/>
      <c r="I18" s="225">
        <f>I17-400</f>
        <v>650</v>
      </c>
      <c r="J18" s="23"/>
      <c r="K18" s="23"/>
      <c r="L18" s="58"/>
    </row>
    <row r="19" spans="1:12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35800</v>
      </c>
      <c r="I19" s="147"/>
      <c r="J19" s="23"/>
      <c r="K19" s="23"/>
      <c r="L19" s="58"/>
    </row>
    <row r="20" spans="1:12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</row>
    <row r="21" spans="1:12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</row>
    <row r="22" spans="1:12" x14ac:dyDescent="0.25">
      <c r="A22" s="58"/>
      <c r="B22" s="165" t="s">
        <v>353</v>
      </c>
      <c r="C22" s="165"/>
      <c r="D22" s="165">
        <f>E17</f>
        <v>36000</v>
      </c>
      <c r="E22" s="165"/>
      <c r="F22" s="165"/>
      <c r="G22" s="165" t="s">
        <v>353</v>
      </c>
      <c r="H22" s="232">
        <f>H19+I18</f>
        <v>36450</v>
      </c>
      <c r="I22" s="165"/>
      <c r="J22" s="165"/>
      <c r="K22" s="23"/>
      <c r="L22" s="58"/>
    </row>
    <row r="23" spans="1:12" x14ac:dyDescent="0.25">
      <c r="A23" s="58"/>
      <c r="B23" s="165" t="s">
        <v>1</v>
      </c>
      <c r="C23" s="165"/>
      <c r="D23" s="165">
        <f>'FEBRUARY 20'!F38</f>
        <v>-2740</v>
      </c>
      <c r="E23" s="165"/>
      <c r="F23" s="165"/>
      <c r="G23" s="165" t="s">
        <v>1</v>
      </c>
      <c r="H23" s="165">
        <f>'FEBRUARY 20'!J38</f>
        <v>-2890</v>
      </c>
      <c r="I23" s="165"/>
      <c r="J23" s="165"/>
      <c r="K23" s="23"/>
      <c r="L23" s="58"/>
    </row>
    <row r="24" spans="1:12" x14ac:dyDescent="0.25">
      <c r="A24" s="58"/>
      <c r="B24" s="165" t="s">
        <v>28</v>
      </c>
      <c r="C24" s="165"/>
      <c r="D24" s="165"/>
      <c r="E24" s="165"/>
      <c r="F24" s="165"/>
      <c r="G24" s="165" t="s">
        <v>28</v>
      </c>
      <c r="H24" s="165"/>
      <c r="I24" s="165"/>
      <c r="J24" s="165"/>
      <c r="K24" s="23"/>
      <c r="L24" s="58"/>
    </row>
    <row r="25" spans="1:12" x14ac:dyDescent="0.25">
      <c r="A25" s="58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  <c r="L25" s="58"/>
    </row>
    <row r="26" spans="1:12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</row>
    <row r="27" spans="1:12" x14ac:dyDescent="0.25">
      <c r="A27" s="58"/>
      <c r="B27" s="165" t="s">
        <v>520</v>
      </c>
      <c r="C27" s="165"/>
      <c r="D27" s="234">
        <v>0.3</v>
      </c>
      <c r="E27" s="222"/>
      <c r="F27" s="165"/>
      <c r="G27" s="165" t="s">
        <v>520</v>
      </c>
      <c r="H27" s="174">
        <v>0.3</v>
      </c>
      <c r="I27" s="234"/>
      <c r="J27" s="222"/>
      <c r="K27" s="23"/>
      <c r="L27" s="58"/>
    </row>
    <row r="28" spans="1:12" x14ac:dyDescent="0.25">
      <c r="A28" s="58"/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23"/>
      <c r="L28" s="58"/>
    </row>
    <row r="29" spans="1:12" x14ac:dyDescent="0.25">
      <c r="A29" s="58"/>
      <c r="B29" s="222" t="s">
        <v>328</v>
      </c>
      <c r="C29" s="58"/>
      <c r="D29" s="151"/>
      <c r="E29" s="151">
        <v>10000</v>
      </c>
      <c r="F29" s="165"/>
      <c r="G29" s="222" t="s">
        <v>328</v>
      </c>
      <c r="H29" s="58"/>
      <c r="I29" s="151">
        <v>10000</v>
      </c>
      <c r="J29" s="151"/>
      <c r="K29" s="23"/>
      <c r="L29" s="58"/>
    </row>
    <row r="30" spans="1:12" x14ac:dyDescent="0.25">
      <c r="A30" s="58"/>
      <c r="B30" s="222" t="s">
        <v>528</v>
      </c>
      <c r="C30" s="58"/>
      <c r="D30" s="151"/>
      <c r="E30" s="151">
        <v>17660</v>
      </c>
      <c r="F30" s="165"/>
      <c r="G30" s="222" t="s">
        <v>528</v>
      </c>
      <c r="H30" s="58"/>
      <c r="I30" s="151">
        <v>17660</v>
      </c>
      <c r="J30" s="151"/>
      <c r="K30" s="23"/>
      <c r="L30" s="58"/>
    </row>
    <row r="31" spans="1:12" x14ac:dyDescent="0.25">
      <c r="A31" s="58"/>
      <c r="B31" s="222"/>
      <c r="C31" s="58"/>
      <c r="D31" s="151"/>
      <c r="E31" s="151"/>
      <c r="F31" s="165"/>
      <c r="G31" s="222"/>
      <c r="H31" s="58"/>
      <c r="I31" s="151"/>
      <c r="J31" s="151"/>
      <c r="K31" s="23"/>
      <c r="L31" s="58"/>
    </row>
    <row r="32" spans="1:12" x14ac:dyDescent="0.25">
      <c r="A32" s="58"/>
      <c r="B32" s="222"/>
      <c r="C32" s="58"/>
      <c r="D32" s="151"/>
      <c r="E32" s="151"/>
      <c r="F32" s="165"/>
      <c r="G32" s="222"/>
      <c r="H32" s="58"/>
      <c r="I32" s="151"/>
      <c r="J32" s="151"/>
      <c r="K32" s="23"/>
      <c r="L32" s="58"/>
    </row>
    <row r="33" spans="1:12" x14ac:dyDescent="0.25">
      <c r="A33" s="58"/>
      <c r="B33" s="222"/>
      <c r="C33" s="58"/>
      <c r="D33" s="151"/>
      <c r="E33" s="151"/>
      <c r="F33" s="165"/>
      <c r="G33" s="222"/>
      <c r="H33" s="58"/>
      <c r="I33" s="151"/>
      <c r="J33" s="151"/>
      <c r="K33" s="23"/>
      <c r="L33" s="58"/>
    </row>
    <row r="34" spans="1:12" x14ac:dyDescent="0.25">
      <c r="A34" s="58"/>
      <c r="B34" s="217" t="s">
        <v>129</v>
      </c>
      <c r="C34" s="217"/>
      <c r="D34" s="217">
        <f>D22+D23+D24-E25</f>
        <v>29660</v>
      </c>
      <c r="E34" s="217">
        <f>SUM(E27:E33)</f>
        <v>29660</v>
      </c>
      <c r="F34" s="217">
        <f>D34-E34</f>
        <v>0</v>
      </c>
      <c r="G34" s="217" t="s">
        <v>129</v>
      </c>
      <c r="H34" s="217">
        <f>H22+H23+H24-I25</f>
        <v>29960</v>
      </c>
      <c r="I34" s="217">
        <f>SUM(I27:I33)</f>
        <v>29660</v>
      </c>
      <c r="J34" s="221">
        <f>H34-I34</f>
        <v>300</v>
      </c>
      <c r="K34" s="23"/>
      <c r="L34" s="58"/>
    </row>
    <row r="35" spans="1:12" x14ac:dyDescent="0.25">
      <c r="A35" s="58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58"/>
    </row>
    <row r="36" spans="1:12" x14ac:dyDescent="0.25">
      <c r="A36" s="58"/>
      <c r="B36" s="23" t="s">
        <v>357</v>
      </c>
      <c r="C36" s="23"/>
      <c r="D36" s="23"/>
      <c r="E36" s="23" t="s">
        <v>359</v>
      </c>
      <c r="F36" s="23"/>
      <c r="G36" s="23"/>
      <c r="H36" s="23" t="s">
        <v>361</v>
      </c>
      <c r="I36" s="23"/>
      <c r="J36" s="23"/>
      <c r="K36" s="23"/>
      <c r="L36" s="58"/>
    </row>
    <row r="37" spans="1:12" x14ac:dyDescent="0.25">
      <c r="A37" s="58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58"/>
    </row>
    <row r="38" spans="1:12" x14ac:dyDescent="0.25">
      <c r="A38" s="58"/>
      <c r="B38" s="23" t="s">
        <v>483</v>
      </c>
      <c r="C38" s="23"/>
      <c r="D38" s="23"/>
      <c r="E38" s="23" t="s">
        <v>360</v>
      </c>
      <c r="F38" s="23"/>
      <c r="G38" s="23"/>
      <c r="H38" s="23" t="s">
        <v>158</v>
      </c>
      <c r="I38" s="23"/>
      <c r="J38" s="23"/>
      <c r="K38" s="58"/>
      <c r="L38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K29" sqref="K29"/>
    </sheetView>
  </sheetViews>
  <sheetFormatPr defaultRowHeight="15" x14ac:dyDescent="0.25"/>
  <cols>
    <col min="2" max="2" width="17.5703125" customWidth="1"/>
    <col min="4" max="4" width="10.7109375" customWidth="1"/>
    <col min="5" max="6" width="10.7109375" style="58" customWidth="1"/>
    <col min="7" max="7" width="13.42578125" customWidth="1"/>
    <col min="8" max="8" width="17.140625" customWidth="1"/>
  </cols>
  <sheetData>
    <row r="1" spans="1:8" x14ac:dyDescent="0.25">
      <c r="A1" s="21"/>
      <c r="B1" s="21"/>
      <c r="C1" s="75"/>
      <c r="D1" s="99" t="s">
        <v>19</v>
      </c>
      <c r="E1" s="76"/>
      <c r="F1" s="98"/>
    </row>
    <row r="2" spans="1:8" x14ac:dyDescent="0.25">
      <c r="A2" s="21"/>
      <c r="B2" s="21"/>
      <c r="C2" s="75"/>
      <c r="D2" s="76" t="s">
        <v>59</v>
      </c>
      <c r="E2" s="76"/>
      <c r="F2" s="76"/>
      <c r="G2" s="76"/>
      <c r="H2" s="76"/>
    </row>
    <row r="3" spans="1:8" ht="16.5" x14ac:dyDescent="0.25">
      <c r="A3" s="21"/>
      <c r="B3" s="21"/>
      <c r="C3" s="75"/>
      <c r="D3" s="76" t="s">
        <v>60</v>
      </c>
      <c r="E3" s="76"/>
      <c r="F3" s="76"/>
      <c r="G3" s="77"/>
      <c r="H3" s="77"/>
    </row>
    <row r="4" spans="1:8" x14ac:dyDescent="0.25">
      <c r="A4" s="21"/>
      <c r="B4" s="21"/>
      <c r="C4" s="77"/>
      <c r="D4" s="78" t="s">
        <v>22</v>
      </c>
      <c r="E4" s="78"/>
      <c r="F4" s="78"/>
      <c r="G4" s="78"/>
      <c r="H4" s="78"/>
    </row>
    <row r="5" spans="1:8" x14ac:dyDescent="0.25">
      <c r="A5" s="31" t="s">
        <v>47</v>
      </c>
      <c r="B5" s="58"/>
      <c r="C5" s="31"/>
      <c r="D5" s="58"/>
      <c r="G5" s="31"/>
      <c r="H5" s="31"/>
    </row>
    <row r="6" spans="1:8" ht="23.25" x14ac:dyDescent="0.35">
      <c r="A6" s="33" t="s">
        <v>79</v>
      </c>
      <c r="B6" s="35"/>
      <c r="C6" s="34"/>
      <c r="D6" s="34"/>
      <c r="E6" s="34"/>
      <c r="F6" s="34"/>
      <c r="G6" s="37"/>
      <c r="H6" s="37"/>
    </row>
    <row r="7" spans="1:8" x14ac:dyDescent="0.25">
      <c r="A7" s="1"/>
      <c r="B7" s="8" t="s">
        <v>0</v>
      </c>
      <c r="C7" s="9" t="s">
        <v>1</v>
      </c>
      <c r="D7" s="8" t="s">
        <v>2</v>
      </c>
      <c r="E7" s="8" t="s">
        <v>3</v>
      </c>
      <c r="F7" s="1" t="s">
        <v>77</v>
      </c>
      <c r="G7" s="1" t="s">
        <v>78</v>
      </c>
      <c r="H7" s="8" t="s">
        <v>5</v>
      </c>
    </row>
    <row r="8" spans="1:8" x14ac:dyDescent="0.25">
      <c r="A8" s="1"/>
      <c r="B8" s="11"/>
      <c r="C8" s="11"/>
      <c r="D8" s="11"/>
      <c r="E8" s="12"/>
      <c r="F8" s="1"/>
      <c r="G8" s="1"/>
      <c r="H8" s="12"/>
    </row>
    <row r="9" spans="1:8" x14ac:dyDescent="0.25">
      <c r="A9" s="1">
        <v>1</v>
      </c>
      <c r="B9" s="13" t="s">
        <v>68</v>
      </c>
      <c r="C9" s="14">
        <v>0</v>
      </c>
      <c r="D9" s="1">
        <v>2500</v>
      </c>
      <c r="E9" s="15">
        <v>2500</v>
      </c>
      <c r="F9" s="1">
        <v>150</v>
      </c>
      <c r="G9" s="16">
        <f>D9+F9</f>
        <v>2650</v>
      </c>
      <c r="H9" s="15"/>
    </row>
    <row r="10" spans="1:8" x14ac:dyDescent="0.25">
      <c r="A10" s="1">
        <v>2</v>
      </c>
      <c r="B10" s="13" t="s">
        <v>52</v>
      </c>
      <c r="C10" s="14">
        <v>0</v>
      </c>
      <c r="D10" s="1">
        <v>2500</v>
      </c>
      <c r="E10" s="95">
        <v>2500</v>
      </c>
      <c r="F10" s="1">
        <v>150</v>
      </c>
      <c r="G10" s="16">
        <f t="shared" ref="G10:G22" si="0">D10+F10</f>
        <v>2650</v>
      </c>
      <c r="H10" s="15"/>
    </row>
    <row r="11" spans="1:8" x14ac:dyDescent="0.25">
      <c r="A11" s="1">
        <v>3</v>
      </c>
      <c r="B11" s="13" t="s">
        <v>9</v>
      </c>
      <c r="C11" s="14">
        <v>0</v>
      </c>
      <c r="D11" s="1">
        <v>2500</v>
      </c>
      <c r="E11" s="95">
        <v>2500</v>
      </c>
      <c r="F11" s="1">
        <v>150</v>
      </c>
      <c r="G11" s="16">
        <f t="shared" si="0"/>
        <v>2650</v>
      </c>
      <c r="H11" s="15"/>
    </row>
    <row r="12" spans="1:8" x14ac:dyDescent="0.25">
      <c r="A12" s="1">
        <v>4</v>
      </c>
      <c r="B12" s="13" t="s">
        <v>10</v>
      </c>
      <c r="C12" s="14">
        <v>0</v>
      </c>
      <c r="D12" s="1">
        <v>2500</v>
      </c>
      <c r="E12" s="95">
        <v>2500</v>
      </c>
      <c r="F12" s="1">
        <v>150</v>
      </c>
      <c r="G12" s="16">
        <f t="shared" si="0"/>
        <v>2650</v>
      </c>
      <c r="H12" s="15"/>
    </row>
    <row r="13" spans="1:8" x14ac:dyDescent="0.25">
      <c r="A13" s="1">
        <v>5</v>
      </c>
      <c r="B13" s="13" t="s">
        <v>69</v>
      </c>
      <c r="C13" s="14">
        <v>0</v>
      </c>
      <c r="D13" s="1">
        <v>2500</v>
      </c>
      <c r="E13" s="95">
        <v>2500</v>
      </c>
      <c r="F13" s="1">
        <v>150</v>
      </c>
      <c r="G13" s="16">
        <f t="shared" si="0"/>
        <v>2650</v>
      </c>
      <c r="H13" s="68"/>
    </row>
    <row r="14" spans="1:8" x14ac:dyDescent="0.25">
      <c r="A14" s="1">
        <v>6</v>
      </c>
      <c r="B14" s="13" t="s">
        <v>12</v>
      </c>
      <c r="C14" s="14">
        <v>0</v>
      </c>
      <c r="D14" s="1">
        <v>5000</v>
      </c>
      <c r="E14" s="95"/>
      <c r="F14" s="1">
        <v>150</v>
      </c>
      <c r="G14" s="16">
        <f t="shared" si="0"/>
        <v>5150</v>
      </c>
      <c r="H14" s="68">
        <v>5000</v>
      </c>
    </row>
    <row r="15" spans="1:8" x14ac:dyDescent="0.25">
      <c r="A15" s="1">
        <v>7</v>
      </c>
      <c r="B15" s="13" t="s">
        <v>14</v>
      </c>
      <c r="C15" s="14">
        <v>0</v>
      </c>
      <c r="D15" s="1">
        <v>3500</v>
      </c>
      <c r="E15" s="95">
        <v>3500</v>
      </c>
      <c r="F15" s="1">
        <v>150</v>
      </c>
      <c r="G15" s="16">
        <f t="shared" si="0"/>
        <v>3650</v>
      </c>
      <c r="H15" s="68"/>
    </row>
    <row r="16" spans="1:8" x14ac:dyDescent="0.25">
      <c r="A16" s="1">
        <v>8</v>
      </c>
      <c r="B16" s="13" t="s">
        <v>13</v>
      </c>
      <c r="C16" s="14">
        <v>0</v>
      </c>
      <c r="D16" s="1">
        <v>3500</v>
      </c>
      <c r="E16" s="95">
        <v>3500</v>
      </c>
      <c r="F16" s="1">
        <v>150</v>
      </c>
      <c r="G16" s="16">
        <f t="shared" si="0"/>
        <v>3650</v>
      </c>
      <c r="H16" s="15"/>
    </row>
    <row r="17" spans="1:11" x14ac:dyDescent="0.25">
      <c r="A17" s="1">
        <v>9</v>
      </c>
      <c r="B17" s="79" t="s">
        <v>15</v>
      </c>
      <c r="C17" s="14">
        <v>0</v>
      </c>
      <c r="D17" s="1">
        <v>2500</v>
      </c>
      <c r="E17" s="95">
        <v>2500</v>
      </c>
      <c r="F17" s="1">
        <v>150</v>
      </c>
      <c r="G17" s="16">
        <f t="shared" si="0"/>
        <v>2650</v>
      </c>
      <c r="H17" s="15"/>
    </row>
    <row r="18" spans="1:11" x14ac:dyDescent="0.25">
      <c r="A18" s="1">
        <v>10</v>
      </c>
      <c r="B18" s="79" t="s">
        <v>67</v>
      </c>
      <c r="C18" s="14"/>
      <c r="D18" s="1">
        <v>2500</v>
      </c>
      <c r="E18" s="95">
        <v>2500</v>
      </c>
      <c r="F18" s="1">
        <v>150</v>
      </c>
      <c r="G18" s="16">
        <f t="shared" si="0"/>
        <v>2650</v>
      </c>
      <c r="H18" s="15"/>
    </row>
    <row r="19" spans="1:11" x14ac:dyDescent="0.25">
      <c r="A19" s="1">
        <v>11</v>
      </c>
      <c r="B19" s="13" t="s">
        <v>17</v>
      </c>
      <c r="C19" s="14">
        <v>0</v>
      </c>
      <c r="D19" s="1">
        <v>3500</v>
      </c>
      <c r="E19" s="95">
        <v>3500</v>
      </c>
      <c r="F19" s="1"/>
      <c r="G19" s="16">
        <f t="shared" si="0"/>
        <v>3500</v>
      </c>
      <c r="H19" s="15"/>
    </row>
    <row r="20" spans="1:11" x14ac:dyDescent="0.25">
      <c r="A20" s="1">
        <v>12</v>
      </c>
      <c r="B20" s="13" t="s">
        <v>18</v>
      </c>
      <c r="C20" s="14">
        <v>0</v>
      </c>
      <c r="D20" s="1">
        <v>2500</v>
      </c>
      <c r="E20" s="95">
        <v>2500</v>
      </c>
      <c r="F20" s="1">
        <v>150</v>
      </c>
      <c r="G20" s="16">
        <f t="shared" si="0"/>
        <v>2650</v>
      </c>
      <c r="H20" s="15"/>
    </row>
    <row r="21" spans="1:11" x14ac:dyDescent="0.25">
      <c r="A21" s="1">
        <v>13</v>
      </c>
      <c r="B21" s="13" t="s">
        <v>41</v>
      </c>
      <c r="C21" s="14"/>
      <c r="D21" s="1">
        <v>2500</v>
      </c>
      <c r="E21" s="95">
        <v>0</v>
      </c>
      <c r="F21" s="1">
        <v>150</v>
      </c>
      <c r="G21" s="16">
        <f t="shared" si="0"/>
        <v>2650</v>
      </c>
      <c r="H21" s="15"/>
    </row>
    <row r="22" spans="1:11" x14ac:dyDescent="0.25">
      <c r="A22" s="1"/>
      <c r="B22" s="13"/>
      <c r="C22" s="67">
        <f>SUM(C8:C20)</f>
        <v>0</v>
      </c>
      <c r="D22" s="94">
        <f>SUM(D9:D21)</f>
        <v>38000</v>
      </c>
      <c r="E22" s="95">
        <f>SUM(E9:E21)</f>
        <v>30500</v>
      </c>
      <c r="F22" s="1">
        <f>SUM(F9:F21)</f>
        <v>1800</v>
      </c>
      <c r="G22" s="16">
        <f t="shared" si="0"/>
        <v>39800</v>
      </c>
      <c r="H22" s="68"/>
    </row>
    <row r="23" spans="1:11" x14ac:dyDescent="0.25">
      <c r="A23" s="1"/>
      <c r="B23" s="11"/>
      <c r="C23" s="11"/>
      <c r="D23" s="11"/>
      <c r="G23" s="97"/>
      <c r="H23" s="97"/>
    </row>
    <row r="24" spans="1:11" x14ac:dyDescent="0.25">
      <c r="A24" s="58"/>
      <c r="B24" s="58"/>
      <c r="C24" s="58"/>
      <c r="D24" s="58"/>
      <c r="G24" s="58"/>
      <c r="H24" s="58"/>
    </row>
    <row r="25" spans="1:11" ht="15.75" x14ac:dyDescent="0.25">
      <c r="A25" s="58"/>
      <c r="B25" s="58"/>
      <c r="C25" s="19" t="s">
        <v>24</v>
      </c>
      <c r="D25" s="38"/>
      <c r="E25" s="38"/>
      <c r="F25" s="38"/>
      <c r="G25" s="39"/>
      <c r="H25" s="39"/>
    </row>
    <row r="26" spans="1:11" x14ac:dyDescent="0.25">
      <c r="A26" s="43"/>
      <c r="B26" s="21" t="s">
        <v>73</v>
      </c>
      <c r="C26" s="41"/>
      <c r="D26" s="58"/>
      <c r="G26" s="96" t="s">
        <v>74</v>
      </c>
      <c r="H26" s="44"/>
      <c r="K26">
        <v>31750</v>
      </c>
    </row>
    <row r="27" spans="1:11" x14ac:dyDescent="0.25">
      <c r="A27" s="43"/>
      <c r="B27" s="58" t="s">
        <v>75</v>
      </c>
      <c r="C27" s="58"/>
      <c r="D27" s="58"/>
      <c r="G27" s="88" t="s">
        <v>76</v>
      </c>
      <c r="H27" s="58"/>
      <c r="K27">
        <v>12925</v>
      </c>
    </row>
    <row r="28" spans="1:11" ht="16.5" x14ac:dyDescent="0.35">
      <c r="A28" s="43"/>
      <c r="B28" s="84" t="s">
        <v>56</v>
      </c>
      <c r="C28" s="58"/>
      <c r="D28" s="58"/>
      <c r="G28" s="88"/>
      <c r="H28" s="51"/>
      <c r="K28">
        <f>K26-K27</f>
        <v>18825</v>
      </c>
    </row>
    <row r="29" spans="1:11" ht="16.5" x14ac:dyDescent="0.35">
      <c r="A29" s="43"/>
      <c r="B29" s="21" t="s">
        <v>36</v>
      </c>
      <c r="C29" s="57">
        <v>0.1</v>
      </c>
      <c r="D29" s="58"/>
      <c r="G29" s="89">
        <f>G27*C29</f>
        <v>3050</v>
      </c>
      <c r="H29" s="51"/>
    </row>
    <row r="30" spans="1:11" x14ac:dyDescent="0.25">
      <c r="A30" s="43"/>
      <c r="B30" s="21" t="s">
        <v>64</v>
      </c>
      <c r="C30" s="41"/>
      <c r="D30" s="58"/>
      <c r="G30" s="90">
        <v>7000</v>
      </c>
      <c r="H30" s="45"/>
    </row>
    <row r="31" spans="1:11" x14ac:dyDescent="0.25">
      <c r="A31" s="81"/>
      <c r="B31" s="82" t="s">
        <v>66</v>
      </c>
      <c r="C31" s="83"/>
      <c r="D31" s="83"/>
      <c r="E31" s="83"/>
      <c r="F31" s="83"/>
      <c r="G31" s="91">
        <f>SUM(G29:G30)</f>
        <v>10050</v>
      </c>
      <c r="H31" s="56"/>
    </row>
    <row r="32" spans="1:11" x14ac:dyDescent="0.25">
      <c r="A32" s="58"/>
      <c r="B32" s="21"/>
      <c r="C32" s="58"/>
      <c r="G32" s="88">
        <f>G27-G31</f>
        <v>20450</v>
      </c>
      <c r="H32" s="58"/>
    </row>
    <row r="33" spans="1:8" x14ac:dyDescent="0.25">
      <c r="A33" s="58"/>
      <c r="B33" s="56" t="s">
        <v>46</v>
      </c>
      <c r="C33" s="58"/>
      <c r="D33" s="58"/>
      <c r="G33" s="56" t="s">
        <v>33</v>
      </c>
      <c r="H33" s="93"/>
    </row>
    <row r="34" spans="1:8" x14ac:dyDescent="0.25">
      <c r="A34" s="58"/>
      <c r="B34" s="56" t="s">
        <v>34</v>
      </c>
      <c r="C34" s="58"/>
      <c r="D34" s="58"/>
      <c r="G34" s="56" t="s">
        <v>34</v>
      </c>
      <c r="H34" s="93"/>
    </row>
    <row r="35" spans="1:8" x14ac:dyDescent="0.25">
      <c r="D35" s="58"/>
      <c r="H35" s="85"/>
    </row>
    <row r="36" spans="1:8" x14ac:dyDescent="0.25">
      <c r="C36" s="58"/>
      <c r="D36" s="58"/>
      <c r="H36" s="58"/>
    </row>
  </sheetData>
  <pageMargins left="0.7" right="0.7" top="0.75" bottom="0.75" header="0.3" footer="0.3"/>
  <pageSetup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19" sqref="L19"/>
    </sheetView>
  </sheetViews>
  <sheetFormatPr defaultRowHeight="15" x14ac:dyDescent="0.25"/>
  <cols>
    <col min="1" max="1" width="4.7109375" customWidth="1"/>
  </cols>
  <sheetData>
    <row r="1" spans="1:13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  <c r="M1" s="58"/>
    </row>
    <row r="2" spans="1:13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  <c r="M2" s="58"/>
    </row>
    <row r="3" spans="1:13" x14ac:dyDescent="0.25">
      <c r="A3" s="58"/>
      <c r="B3" s="23"/>
      <c r="C3" s="23"/>
      <c r="D3" s="32" t="s">
        <v>529</v>
      </c>
      <c r="E3" s="32"/>
      <c r="F3" s="32"/>
      <c r="G3" s="32"/>
      <c r="H3" s="23"/>
      <c r="I3" s="23"/>
      <c r="J3" s="23"/>
      <c r="K3" s="23"/>
      <c r="L3" s="58"/>
      <c r="M3" s="58"/>
    </row>
    <row r="4" spans="1:13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  <c r="M4" s="58"/>
    </row>
    <row r="5" spans="1:13" x14ac:dyDescent="0.25">
      <c r="A5" s="58"/>
      <c r="B5" s="164"/>
      <c r="C5" s="228"/>
      <c r="D5" s="165">
        <f>'MARCH 20'!I5:I16</f>
        <v>0</v>
      </c>
      <c r="E5" s="165"/>
      <c r="F5" s="165"/>
      <c r="G5" s="230"/>
      <c r="H5" s="215"/>
      <c r="I5" s="165"/>
      <c r="J5" s="23"/>
      <c r="K5" s="23"/>
      <c r="L5" s="58"/>
      <c r="M5" s="58"/>
    </row>
    <row r="6" spans="1:13" x14ac:dyDescent="0.25">
      <c r="A6" s="58"/>
      <c r="B6" s="164" t="s">
        <v>205</v>
      </c>
      <c r="C6" s="228"/>
      <c r="D6" s="165">
        <f>'MARCH 20'!I6:I17</f>
        <v>100</v>
      </c>
      <c r="E6" s="165">
        <v>3000</v>
      </c>
      <c r="F6" s="165">
        <v>100</v>
      </c>
      <c r="G6" s="165">
        <f>D6+E6+F6</f>
        <v>3200</v>
      </c>
      <c r="H6" s="165">
        <v>3200</v>
      </c>
      <c r="I6" s="165">
        <f t="shared" ref="I6:I14" si="0">G6-H6</f>
        <v>0</v>
      </c>
      <c r="J6" s="23"/>
      <c r="K6" s="23"/>
      <c r="L6" s="58"/>
      <c r="M6" s="58"/>
    </row>
    <row r="7" spans="1:13" x14ac:dyDescent="0.25">
      <c r="A7" s="58"/>
      <c r="B7" s="151" t="s">
        <v>479</v>
      </c>
      <c r="C7" s="228"/>
      <c r="D7" s="165">
        <f>'MARCH 20'!I7:I18</f>
        <v>0</v>
      </c>
      <c r="E7" s="165">
        <v>3000</v>
      </c>
      <c r="F7" s="165">
        <v>100</v>
      </c>
      <c r="G7" s="165">
        <f t="shared" ref="G7:G16" si="1">D7+E7+F7</f>
        <v>3100</v>
      </c>
      <c r="H7" s="215">
        <v>3100</v>
      </c>
      <c r="I7" s="165">
        <f t="shared" si="0"/>
        <v>0</v>
      </c>
      <c r="J7" s="23"/>
      <c r="K7" s="23"/>
      <c r="L7" s="58"/>
      <c r="M7" s="58"/>
    </row>
    <row r="8" spans="1:13" x14ac:dyDescent="0.25">
      <c r="A8" s="58"/>
      <c r="B8" s="167" t="s">
        <v>385</v>
      </c>
      <c r="C8" s="228"/>
      <c r="D8" s="165">
        <f>'MARCH 20'!I8:I19</f>
        <v>0</v>
      </c>
      <c r="E8" s="165">
        <v>3000</v>
      </c>
      <c r="F8" s="165">
        <v>100</v>
      </c>
      <c r="G8" s="165">
        <f t="shared" si="1"/>
        <v>3100</v>
      </c>
      <c r="H8" s="215">
        <v>2000</v>
      </c>
      <c r="I8" s="165">
        <f t="shared" si="0"/>
        <v>1100</v>
      </c>
      <c r="J8" s="23"/>
      <c r="K8" s="23"/>
      <c r="L8" s="58"/>
      <c r="M8" s="58"/>
    </row>
    <row r="9" spans="1:13" x14ac:dyDescent="0.25">
      <c r="A9" s="58"/>
      <c r="B9" s="151" t="s">
        <v>469</v>
      </c>
      <c r="C9" s="228"/>
      <c r="D9" s="165">
        <f>'MARCH 20'!I9:I20</f>
        <v>0</v>
      </c>
      <c r="E9" s="165">
        <v>3000</v>
      </c>
      <c r="F9" s="165">
        <v>100</v>
      </c>
      <c r="G9" s="165">
        <f t="shared" si="1"/>
        <v>3100</v>
      </c>
      <c r="H9" s="215">
        <v>3100</v>
      </c>
      <c r="I9" s="165">
        <f t="shared" si="0"/>
        <v>0</v>
      </c>
      <c r="J9" s="23"/>
      <c r="K9" s="23"/>
      <c r="L9" s="58"/>
      <c r="M9" s="58"/>
    </row>
    <row r="10" spans="1:13" x14ac:dyDescent="0.25">
      <c r="A10" s="58"/>
      <c r="B10" s="151" t="s">
        <v>402</v>
      </c>
      <c r="C10" s="228"/>
      <c r="D10" s="165">
        <f>'MARCH 20'!I10:I21</f>
        <v>400</v>
      </c>
      <c r="E10" s="165">
        <v>3000</v>
      </c>
      <c r="F10" s="165">
        <v>100</v>
      </c>
      <c r="G10" s="165">
        <f t="shared" si="1"/>
        <v>3500</v>
      </c>
      <c r="H10" s="165">
        <v>2300</v>
      </c>
      <c r="I10" s="165">
        <f t="shared" si="0"/>
        <v>1200</v>
      </c>
      <c r="J10" s="23"/>
      <c r="K10" s="23"/>
      <c r="L10" s="58"/>
      <c r="M10" s="58"/>
    </row>
    <row r="11" spans="1:13" x14ac:dyDescent="0.25">
      <c r="A11" s="58"/>
      <c r="B11" s="168" t="s">
        <v>521</v>
      </c>
      <c r="C11" s="228"/>
      <c r="D11" s="165">
        <f>'MARCH 20'!I11:I22</f>
        <v>0</v>
      </c>
      <c r="E11" s="165">
        <v>3000</v>
      </c>
      <c r="F11" s="165">
        <v>100</v>
      </c>
      <c r="G11" s="165">
        <f>D11+E11+F11</f>
        <v>3100</v>
      </c>
      <c r="H11" s="215">
        <v>3100</v>
      </c>
      <c r="I11" s="165">
        <f t="shared" si="0"/>
        <v>0</v>
      </c>
      <c r="J11" s="23"/>
      <c r="K11" s="23"/>
      <c r="L11" s="58"/>
      <c r="M11" s="58"/>
    </row>
    <row r="12" spans="1:13" x14ac:dyDescent="0.25">
      <c r="A12" s="58"/>
      <c r="B12" s="167" t="s">
        <v>344</v>
      </c>
      <c r="C12" s="228"/>
      <c r="D12" s="165">
        <f>'MARCH 20'!I12:I23</f>
        <v>0</v>
      </c>
      <c r="E12" s="165">
        <v>3000</v>
      </c>
      <c r="F12" s="165">
        <v>100</v>
      </c>
      <c r="G12" s="165">
        <f t="shared" si="1"/>
        <v>3100</v>
      </c>
      <c r="H12" s="233">
        <v>2000</v>
      </c>
      <c r="I12" s="165">
        <f t="shared" si="0"/>
        <v>1100</v>
      </c>
      <c r="J12" s="23"/>
      <c r="K12" s="23"/>
      <c r="L12" s="58"/>
      <c r="M12" s="58"/>
    </row>
    <row r="13" spans="1:13" x14ac:dyDescent="0.25">
      <c r="A13" s="58"/>
      <c r="B13" s="164" t="s">
        <v>495</v>
      </c>
      <c r="C13" s="231"/>
      <c r="D13" s="165">
        <f>'MARCH 20'!I13:I24</f>
        <v>0</v>
      </c>
      <c r="E13" s="165">
        <v>3000</v>
      </c>
      <c r="F13" s="165">
        <v>100</v>
      </c>
      <c r="G13" s="165">
        <f t="shared" si="1"/>
        <v>3100</v>
      </c>
      <c r="H13" s="215">
        <v>3000</v>
      </c>
      <c r="I13" s="165">
        <f t="shared" si="0"/>
        <v>100</v>
      </c>
      <c r="J13" s="23"/>
      <c r="K13" s="23"/>
      <c r="L13" s="58"/>
      <c r="M13" s="58"/>
    </row>
    <row r="14" spans="1:13" x14ac:dyDescent="0.25">
      <c r="A14" s="58"/>
      <c r="B14" s="169" t="s">
        <v>400</v>
      </c>
      <c r="C14" s="228"/>
      <c r="D14" s="165">
        <f>'MARCH 20'!I14:I25</f>
        <v>0</v>
      </c>
      <c r="E14" s="165">
        <v>4500</v>
      </c>
      <c r="F14" s="165">
        <v>100</v>
      </c>
      <c r="G14" s="165">
        <f t="shared" si="1"/>
        <v>4600</v>
      </c>
      <c r="H14" s="215">
        <v>4600</v>
      </c>
      <c r="I14" s="165">
        <f t="shared" si="0"/>
        <v>0</v>
      </c>
      <c r="J14" s="23"/>
      <c r="K14" s="23"/>
      <c r="L14" s="58"/>
      <c r="M14" s="58"/>
    </row>
    <row r="15" spans="1:13" x14ac:dyDescent="0.25">
      <c r="A15" s="58"/>
      <c r="B15" s="168" t="s">
        <v>345</v>
      </c>
      <c r="C15" s="228"/>
      <c r="D15" s="165">
        <f>'MARCH 20'!I15:I26</f>
        <v>450</v>
      </c>
      <c r="E15" s="165">
        <v>4500</v>
      </c>
      <c r="F15" s="165">
        <v>100</v>
      </c>
      <c r="G15" s="165">
        <f t="shared" si="1"/>
        <v>5050</v>
      </c>
      <c r="H15" s="215">
        <v>4000</v>
      </c>
      <c r="I15" s="165">
        <f>G15-H15</f>
        <v>1050</v>
      </c>
      <c r="J15" s="23"/>
      <c r="K15" s="23"/>
      <c r="L15" s="58"/>
      <c r="M15" s="58"/>
    </row>
    <row r="16" spans="1:13" x14ac:dyDescent="0.25">
      <c r="A16" s="58"/>
      <c r="B16" s="197" t="s">
        <v>518</v>
      </c>
      <c r="C16" s="228"/>
      <c r="D16" s="165">
        <f>'MARCH 20'!I16:I27</f>
        <v>100</v>
      </c>
      <c r="E16" s="165">
        <v>3000</v>
      </c>
      <c r="F16" s="165">
        <v>100</v>
      </c>
      <c r="G16" s="165">
        <f t="shared" si="1"/>
        <v>3200</v>
      </c>
      <c r="H16" s="165">
        <v>3100</v>
      </c>
      <c r="I16" s="165">
        <f>G16-H16</f>
        <v>100</v>
      </c>
      <c r="J16" s="23"/>
      <c r="K16" s="23"/>
      <c r="L16" s="58"/>
      <c r="M16" s="58"/>
    </row>
    <row r="17" spans="1:13" x14ac:dyDescent="0.25">
      <c r="A17" s="58"/>
      <c r="B17" s="213" t="s">
        <v>129</v>
      </c>
      <c r="C17" s="228"/>
      <c r="D17" s="165">
        <f>SUM(D6:D16)</f>
        <v>1050</v>
      </c>
      <c r="E17" s="217">
        <f>SUM(E5:E16)</f>
        <v>36000</v>
      </c>
      <c r="F17" s="217">
        <f>SUM(F5:F16)</f>
        <v>1100</v>
      </c>
      <c r="G17" s="165">
        <f>D17+E17+F17</f>
        <v>38150</v>
      </c>
      <c r="H17" s="217">
        <f>SUM(H5:H16)</f>
        <v>33500</v>
      </c>
      <c r="I17" s="217">
        <f>SUM(I5:I16)</f>
        <v>4650</v>
      </c>
      <c r="J17" s="23"/>
      <c r="K17" s="23"/>
      <c r="L17" s="58"/>
      <c r="M17" s="58"/>
    </row>
    <row r="18" spans="1:13" x14ac:dyDescent="0.25">
      <c r="A18" s="58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58"/>
      <c r="M18" s="58"/>
    </row>
    <row r="19" spans="1:13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32400</v>
      </c>
      <c r="I19" s="147"/>
      <c r="J19" s="23"/>
      <c r="K19" s="23"/>
      <c r="L19" s="58"/>
      <c r="M19" s="58"/>
    </row>
    <row r="20" spans="1:13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  <c r="M20" s="58"/>
    </row>
    <row r="21" spans="1:13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  <c r="M21" s="58"/>
    </row>
    <row r="22" spans="1:13" x14ac:dyDescent="0.25">
      <c r="A22" s="58"/>
      <c r="B22" s="165" t="s">
        <v>365</v>
      </c>
      <c r="C22" s="165"/>
      <c r="D22" s="165">
        <f>E17</f>
        <v>36000</v>
      </c>
      <c r="E22" s="165"/>
      <c r="F22" s="165"/>
      <c r="G22" s="165" t="s">
        <v>365</v>
      </c>
      <c r="H22" s="232">
        <f>H19</f>
        <v>32400</v>
      </c>
      <c r="I22" s="165"/>
      <c r="J22" s="165"/>
      <c r="K22" s="23"/>
      <c r="L22" s="58"/>
      <c r="M22" s="58"/>
    </row>
    <row r="23" spans="1:13" x14ac:dyDescent="0.25">
      <c r="A23" s="58"/>
      <c r="B23" s="165" t="s">
        <v>1</v>
      </c>
      <c r="C23" s="165"/>
      <c r="D23" s="165">
        <f>'MARCH 20'!F34</f>
        <v>0</v>
      </c>
      <c r="E23" s="165"/>
      <c r="F23" s="165"/>
      <c r="G23" s="165" t="s">
        <v>1</v>
      </c>
      <c r="H23" s="165">
        <f>'MARCH 20'!J34</f>
        <v>300</v>
      </c>
      <c r="I23" s="165"/>
      <c r="J23" s="165"/>
      <c r="K23" s="23"/>
      <c r="L23" s="58"/>
      <c r="M23" s="58"/>
    </row>
    <row r="24" spans="1:13" x14ac:dyDescent="0.25">
      <c r="A24" s="58"/>
      <c r="B24" s="165" t="s">
        <v>28</v>
      </c>
      <c r="C24" s="165"/>
      <c r="D24" s="165"/>
      <c r="E24" s="165"/>
      <c r="F24" s="165"/>
      <c r="G24" s="165" t="s">
        <v>28</v>
      </c>
      <c r="H24" s="165"/>
      <c r="I24" s="165"/>
      <c r="J24" s="165"/>
      <c r="K24" s="23"/>
      <c r="L24" s="58"/>
      <c r="M24" s="58"/>
    </row>
    <row r="25" spans="1:13" x14ac:dyDescent="0.25">
      <c r="A25" s="58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  <c r="L25" s="58"/>
      <c r="M25" s="58"/>
    </row>
    <row r="26" spans="1:13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  <c r="M26" s="58"/>
    </row>
    <row r="27" spans="1:13" x14ac:dyDescent="0.25">
      <c r="A27" s="58"/>
      <c r="B27" s="165" t="s">
        <v>520</v>
      </c>
      <c r="C27" s="165"/>
      <c r="D27" s="234">
        <v>0.3</v>
      </c>
      <c r="E27" s="222"/>
      <c r="F27" s="165"/>
      <c r="G27" s="165" t="s">
        <v>520</v>
      </c>
      <c r="H27" s="174">
        <v>0.3</v>
      </c>
      <c r="I27" s="234"/>
      <c r="J27" s="222"/>
      <c r="K27" s="23"/>
      <c r="L27" s="58"/>
      <c r="M27" s="58"/>
    </row>
    <row r="28" spans="1:13" x14ac:dyDescent="0.25">
      <c r="A28" s="58"/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23"/>
      <c r="L28" s="58"/>
      <c r="M28" s="58"/>
    </row>
    <row r="29" spans="1:13" x14ac:dyDescent="0.25">
      <c r="A29" s="58"/>
      <c r="B29" s="222" t="s">
        <v>328</v>
      </c>
      <c r="C29" s="58"/>
      <c r="D29" s="151"/>
      <c r="E29" s="151">
        <f>3000+3000+3061</f>
        <v>9061</v>
      </c>
      <c r="F29" s="165"/>
      <c r="G29" s="222" t="s">
        <v>328</v>
      </c>
      <c r="H29" s="58"/>
      <c r="I29" s="151">
        <v>9061</v>
      </c>
      <c r="J29" s="151"/>
      <c r="K29" s="23"/>
      <c r="L29" s="58"/>
      <c r="M29" s="58"/>
    </row>
    <row r="30" spans="1:13" x14ac:dyDescent="0.25">
      <c r="A30" s="58"/>
      <c r="B30" s="222" t="s">
        <v>530</v>
      </c>
      <c r="C30" s="58"/>
      <c r="D30" s="151"/>
      <c r="E30" s="151">
        <v>4000</v>
      </c>
      <c r="F30" s="165"/>
      <c r="G30" s="222" t="s">
        <v>530</v>
      </c>
      <c r="H30" s="58"/>
      <c r="I30" s="151">
        <v>4000</v>
      </c>
      <c r="J30" s="151"/>
      <c r="K30" s="23"/>
      <c r="L30" s="58"/>
      <c r="M30" s="58"/>
    </row>
    <row r="31" spans="1:13" x14ac:dyDescent="0.25">
      <c r="A31" s="58"/>
      <c r="B31" s="222" t="s">
        <v>531</v>
      </c>
      <c r="C31" s="58"/>
      <c r="D31" s="151"/>
      <c r="E31" s="151">
        <f>3000</f>
        <v>3000</v>
      </c>
      <c r="F31" s="165"/>
      <c r="G31" s="222" t="s">
        <v>531</v>
      </c>
      <c r="H31" s="58"/>
      <c r="I31" s="151">
        <v>3000</v>
      </c>
      <c r="J31" s="151"/>
      <c r="K31" s="23"/>
      <c r="L31" s="58"/>
      <c r="M31" s="58"/>
    </row>
    <row r="32" spans="1:13" x14ac:dyDescent="0.25">
      <c r="A32" s="58"/>
      <c r="B32" s="222" t="s">
        <v>329</v>
      </c>
      <c r="C32" s="58"/>
      <c r="D32" s="151"/>
      <c r="E32" s="151">
        <v>5000</v>
      </c>
      <c r="F32" s="165"/>
      <c r="G32" s="222" t="s">
        <v>329</v>
      </c>
      <c r="H32" s="58"/>
      <c r="I32" s="151">
        <v>5000</v>
      </c>
      <c r="J32" s="151"/>
      <c r="K32" s="23"/>
      <c r="L32" s="58"/>
      <c r="M32" s="58"/>
    </row>
    <row r="33" spans="1:13" x14ac:dyDescent="0.25">
      <c r="A33" s="58"/>
      <c r="B33" s="222" t="s">
        <v>533</v>
      </c>
      <c r="C33" s="58"/>
      <c r="D33" s="151"/>
      <c r="E33" s="151">
        <v>6000</v>
      </c>
      <c r="F33" s="165"/>
      <c r="G33" s="222" t="s">
        <v>533</v>
      </c>
      <c r="H33" s="58"/>
      <c r="I33" s="151">
        <v>6000</v>
      </c>
      <c r="J33" s="151"/>
      <c r="K33" s="23"/>
      <c r="L33" s="58"/>
      <c r="M33" s="58"/>
    </row>
    <row r="34" spans="1:13" x14ac:dyDescent="0.25">
      <c r="A34" s="58"/>
      <c r="B34" s="217" t="s">
        <v>129</v>
      </c>
      <c r="C34" s="217"/>
      <c r="D34" s="217">
        <f>D22+D23+D24-E25</f>
        <v>32400</v>
      </c>
      <c r="E34" s="217">
        <f>SUM(E27:E33)</f>
        <v>29061</v>
      </c>
      <c r="F34" s="217">
        <f>D34-E34</f>
        <v>3339</v>
      </c>
      <c r="G34" s="217" t="s">
        <v>129</v>
      </c>
      <c r="H34" s="217">
        <f>H22+H23+H24-I25</f>
        <v>29100</v>
      </c>
      <c r="I34" s="217">
        <f>SUM(I27:I33)</f>
        <v>29061</v>
      </c>
      <c r="J34" s="221">
        <f>H34-I34</f>
        <v>39</v>
      </c>
      <c r="K34" s="23"/>
      <c r="L34" s="58"/>
      <c r="M34" s="58"/>
    </row>
    <row r="35" spans="1:13" x14ac:dyDescent="0.25">
      <c r="A35" s="58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58"/>
      <c r="M35" s="58"/>
    </row>
    <row r="36" spans="1:13" x14ac:dyDescent="0.25">
      <c r="A36" s="58"/>
      <c r="B36" s="23" t="s">
        <v>357</v>
      </c>
      <c r="C36" s="23"/>
      <c r="D36" s="23"/>
      <c r="E36" s="23" t="s">
        <v>359</v>
      </c>
      <c r="F36" s="23"/>
      <c r="G36" s="23"/>
      <c r="H36" s="23" t="s">
        <v>361</v>
      </c>
      <c r="I36" s="23"/>
      <c r="J36" s="23"/>
      <c r="K36" s="23"/>
      <c r="L36" s="58"/>
      <c r="M36" s="58"/>
    </row>
    <row r="37" spans="1:13" x14ac:dyDescent="0.25">
      <c r="A37" s="58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58"/>
      <c r="M37" s="58"/>
    </row>
    <row r="38" spans="1:13" x14ac:dyDescent="0.25">
      <c r="A38" s="58"/>
      <c r="B38" s="23" t="s">
        <v>483</v>
      </c>
      <c r="C38" s="23"/>
      <c r="D38" s="23"/>
      <c r="E38" s="23" t="s">
        <v>360</v>
      </c>
      <c r="F38" s="23"/>
      <c r="G38" s="23"/>
      <c r="H38" s="23" t="s">
        <v>158</v>
      </c>
      <c r="I38" s="23"/>
      <c r="J38" s="23"/>
      <c r="K38" s="58"/>
      <c r="L38" s="58"/>
      <c r="M38" s="58"/>
    </row>
    <row r="39" spans="1:13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</sheetData>
  <pageMargins left="0.7" right="0.7" top="0.75" bottom="0.75" header="0.3" footer="0.3"/>
  <pageSetup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19" sqref="H19"/>
    </sheetView>
  </sheetViews>
  <sheetFormatPr defaultRowHeight="15" x14ac:dyDescent="0.25"/>
  <cols>
    <col min="1" max="1" width="2.7109375" customWidth="1"/>
    <col min="3" max="3" width="11" customWidth="1"/>
    <col min="4" max="4" width="8.28515625" customWidth="1"/>
  </cols>
  <sheetData>
    <row r="1" spans="1:12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</row>
    <row r="2" spans="1:12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</row>
    <row r="3" spans="1:12" x14ac:dyDescent="0.25">
      <c r="A3" s="58"/>
      <c r="B3" s="23"/>
      <c r="C3" s="23"/>
      <c r="D3" s="32" t="s">
        <v>532</v>
      </c>
      <c r="E3" s="32"/>
      <c r="F3" s="32"/>
      <c r="G3" s="32"/>
      <c r="H3" s="23"/>
      <c r="I3" s="23"/>
      <c r="J3" s="23"/>
      <c r="K3" s="23"/>
      <c r="L3" s="58"/>
    </row>
    <row r="4" spans="1:12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</row>
    <row r="5" spans="1:12" x14ac:dyDescent="0.25">
      <c r="A5" s="58"/>
      <c r="B5" s="164"/>
      <c r="C5" s="228"/>
      <c r="D5" s="165">
        <f>'APRIL 20'!I5:I16</f>
        <v>0</v>
      </c>
      <c r="E5" s="165"/>
      <c r="F5" s="165"/>
      <c r="G5" s="230"/>
      <c r="H5" s="215"/>
      <c r="I5" s="165"/>
      <c r="J5" s="23"/>
      <c r="K5" s="23"/>
      <c r="L5" s="58"/>
    </row>
    <row r="6" spans="1:12" x14ac:dyDescent="0.25">
      <c r="A6" s="58"/>
      <c r="B6" s="164" t="s">
        <v>205</v>
      </c>
      <c r="C6" s="228"/>
      <c r="D6" s="165">
        <f>'APRIL 20'!I6:I17</f>
        <v>0</v>
      </c>
      <c r="E6" s="165">
        <v>3000</v>
      </c>
      <c r="F6" s="165">
        <v>100</v>
      </c>
      <c r="G6" s="165">
        <f>D6+E6+F6</f>
        <v>3100</v>
      </c>
      <c r="H6" s="165">
        <v>3100</v>
      </c>
      <c r="I6" s="165">
        <f t="shared" ref="I6:I7" si="0">G6-H6</f>
        <v>0</v>
      </c>
      <c r="J6" s="23"/>
      <c r="K6" s="23"/>
      <c r="L6" s="58"/>
    </row>
    <row r="7" spans="1:12" x14ac:dyDescent="0.25">
      <c r="A7" s="58"/>
      <c r="B7" s="151" t="s">
        <v>479</v>
      </c>
      <c r="C7" s="228"/>
      <c r="D7" s="165">
        <f>'APRIL 20'!I7:I18</f>
        <v>0</v>
      </c>
      <c r="E7" s="165">
        <v>3000</v>
      </c>
      <c r="F7" s="165">
        <v>100</v>
      </c>
      <c r="G7" s="165">
        <f t="shared" ref="G7:G16" si="1">D7+E7+F7</f>
        <v>3100</v>
      </c>
      <c r="H7" s="215">
        <v>3000</v>
      </c>
      <c r="I7" s="165">
        <f t="shared" si="0"/>
        <v>100</v>
      </c>
      <c r="J7" s="23"/>
      <c r="K7" s="23"/>
      <c r="L7" s="58"/>
    </row>
    <row r="8" spans="1:12" x14ac:dyDescent="0.25">
      <c r="A8" s="58"/>
      <c r="B8" s="167" t="s">
        <v>385</v>
      </c>
      <c r="C8" s="228"/>
      <c r="D8" s="165">
        <f>'APRIL 20'!I8:I19</f>
        <v>1100</v>
      </c>
      <c r="E8" s="165">
        <v>3000</v>
      </c>
      <c r="F8" s="165">
        <v>100</v>
      </c>
      <c r="G8" s="165">
        <f t="shared" si="1"/>
        <v>4200</v>
      </c>
      <c r="H8" s="215">
        <f>3500+700</f>
        <v>4200</v>
      </c>
      <c r="I8" s="165">
        <f t="shared" ref="I8:I16" si="2">G8-H8</f>
        <v>0</v>
      </c>
      <c r="J8" s="23"/>
      <c r="K8" s="23"/>
      <c r="L8" s="58"/>
    </row>
    <row r="9" spans="1:12" x14ac:dyDescent="0.25">
      <c r="A9" s="58"/>
      <c r="B9" s="151" t="s">
        <v>469</v>
      </c>
      <c r="C9" s="228"/>
      <c r="D9" s="165">
        <f>'APRIL 20'!I9:I20</f>
        <v>0</v>
      </c>
      <c r="E9" s="165">
        <v>3000</v>
      </c>
      <c r="F9" s="165">
        <v>100</v>
      </c>
      <c r="G9" s="165">
        <f t="shared" si="1"/>
        <v>3100</v>
      </c>
      <c r="H9" s="215">
        <v>3000</v>
      </c>
      <c r="I9" s="165">
        <f t="shared" si="2"/>
        <v>100</v>
      </c>
      <c r="J9" s="23"/>
      <c r="K9" s="23"/>
      <c r="L9" s="58"/>
    </row>
    <row r="10" spans="1:12" x14ac:dyDescent="0.25">
      <c r="A10" s="58"/>
      <c r="B10" s="151" t="s">
        <v>402</v>
      </c>
      <c r="C10" s="228"/>
      <c r="D10" s="165">
        <f>'APRIL 20'!I10:I21</f>
        <v>1200</v>
      </c>
      <c r="E10" s="165">
        <v>3000</v>
      </c>
      <c r="F10" s="165">
        <v>100</v>
      </c>
      <c r="G10" s="165">
        <f t="shared" si="1"/>
        <v>4300</v>
      </c>
      <c r="H10" s="165">
        <f>1200+900+1350+850</f>
        <v>4300</v>
      </c>
      <c r="I10" s="165">
        <f t="shared" si="2"/>
        <v>0</v>
      </c>
      <c r="J10" s="23"/>
      <c r="K10" s="23"/>
      <c r="L10" s="58"/>
    </row>
    <row r="11" spans="1:12" x14ac:dyDescent="0.25">
      <c r="A11" s="58"/>
      <c r="B11" s="168" t="s">
        <v>521</v>
      </c>
      <c r="C11" s="228"/>
      <c r="D11" s="165">
        <f>'APRIL 20'!I11:I22</f>
        <v>0</v>
      </c>
      <c r="E11" s="165">
        <v>3000</v>
      </c>
      <c r="F11" s="165">
        <v>100</v>
      </c>
      <c r="G11" s="165">
        <f>D11+E11+F11</f>
        <v>3100</v>
      </c>
      <c r="H11" s="215">
        <v>3100</v>
      </c>
      <c r="I11" s="165">
        <f t="shared" si="2"/>
        <v>0</v>
      </c>
      <c r="J11" s="23"/>
      <c r="K11" s="23"/>
      <c r="L11" s="58"/>
    </row>
    <row r="12" spans="1:12" x14ac:dyDescent="0.25">
      <c r="A12" s="58"/>
      <c r="B12" s="167" t="s">
        <v>344</v>
      </c>
      <c r="C12" s="228"/>
      <c r="D12" s="165">
        <f>'APRIL 20'!I12:I23</f>
        <v>1100</v>
      </c>
      <c r="E12" s="165">
        <v>3000</v>
      </c>
      <c r="F12" s="165">
        <v>100</v>
      </c>
      <c r="G12" s="165">
        <f t="shared" si="1"/>
        <v>4200</v>
      </c>
      <c r="H12" s="233">
        <f>2000+1000+1100</f>
        <v>4100</v>
      </c>
      <c r="I12" s="165">
        <f t="shared" si="2"/>
        <v>100</v>
      </c>
      <c r="J12" s="23"/>
      <c r="K12" s="23"/>
      <c r="L12" s="58"/>
    </row>
    <row r="13" spans="1:12" x14ac:dyDescent="0.25">
      <c r="A13" s="58"/>
      <c r="B13" s="164" t="s">
        <v>495</v>
      </c>
      <c r="C13" s="231"/>
      <c r="D13" s="165">
        <f>'APRIL 20'!I13:I24</f>
        <v>100</v>
      </c>
      <c r="E13" s="165">
        <v>3000</v>
      </c>
      <c r="F13" s="165">
        <v>100</v>
      </c>
      <c r="G13" s="165">
        <f t="shared" si="1"/>
        <v>3200</v>
      </c>
      <c r="H13" s="215">
        <v>3100</v>
      </c>
      <c r="I13" s="165">
        <f t="shared" si="2"/>
        <v>100</v>
      </c>
      <c r="J13" s="23"/>
      <c r="K13" s="23"/>
      <c r="L13" s="58"/>
    </row>
    <row r="14" spans="1:12" x14ac:dyDescent="0.25">
      <c r="A14" s="58"/>
      <c r="B14" s="169" t="s">
        <v>400</v>
      </c>
      <c r="C14" s="228"/>
      <c r="D14" s="165">
        <f>'APRIL 20'!I14:I25</f>
        <v>0</v>
      </c>
      <c r="E14" s="165">
        <v>4500</v>
      </c>
      <c r="F14" s="165">
        <v>100</v>
      </c>
      <c r="G14" s="165">
        <f t="shared" si="1"/>
        <v>4600</v>
      </c>
      <c r="H14" s="215">
        <f>3000+1600</f>
        <v>4600</v>
      </c>
      <c r="I14" s="165">
        <f t="shared" si="2"/>
        <v>0</v>
      </c>
      <c r="J14" s="23"/>
      <c r="K14" s="23"/>
      <c r="L14" s="58"/>
    </row>
    <row r="15" spans="1:12" x14ac:dyDescent="0.25">
      <c r="A15" s="58"/>
      <c r="B15" s="168" t="s">
        <v>345</v>
      </c>
      <c r="C15" s="228"/>
      <c r="D15" s="165">
        <f>'APRIL 20'!I15:I26</f>
        <v>1050</v>
      </c>
      <c r="E15" s="165">
        <v>4500</v>
      </c>
      <c r="F15" s="165">
        <v>100</v>
      </c>
      <c r="G15" s="165">
        <f t="shared" si="1"/>
        <v>5650</v>
      </c>
      <c r="H15" s="215">
        <f>2500+1000</f>
        <v>3500</v>
      </c>
      <c r="I15" s="165">
        <f t="shared" si="2"/>
        <v>2150</v>
      </c>
      <c r="J15" s="23"/>
      <c r="K15" s="23"/>
      <c r="L15" s="58"/>
    </row>
    <row r="16" spans="1:12" x14ac:dyDescent="0.25">
      <c r="A16" s="58"/>
      <c r="B16" s="197" t="s">
        <v>518</v>
      </c>
      <c r="C16" s="228"/>
      <c r="D16" s="165">
        <f>'APRIL 20'!I16:I27</f>
        <v>100</v>
      </c>
      <c r="E16" s="165">
        <v>3000</v>
      </c>
      <c r="F16" s="165">
        <v>100</v>
      </c>
      <c r="G16" s="165">
        <f t="shared" si="1"/>
        <v>3200</v>
      </c>
      <c r="H16" s="165"/>
      <c r="I16" s="165">
        <f t="shared" si="2"/>
        <v>3200</v>
      </c>
      <c r="J16" s="23"/>
      <c r="K16" s="23"/>
      <c r="L16" s="58"/>
    </row>
    <row r="17" spans="1:12" x14ac:dyDescent="0.25">
      <c r="A17" s="58"/>
      <c r="B17" s="213" t="s">
        <v>129</v>
      </c>
      <c r="C17" s="228"/>
      <c r="D17" s="165">
        <f>SUM(D6:D16)</f>
        <v>4650</v>
      </c>
      <c r="E17" s="217">
        <f>SUM(E5:E16)</f>
        <v>36000</v>
      </c>
      <c r="F17" s="217">
        <f>SUM(F5:F16)</f>
        <v>1100</v>
      </c>
      <c r="G17" s="165">
        <f>D17+E17+F17</f>
        <v>41750</v>
      </c>
      <c r="H17" s="217">
        <f>SUM(H5:H16)</f>
        <v>36000</v>
      </c>
      <c r="I17" s="217">
        <f>SUM(I5:I16)</f>
        <v>5750</v>
      </c>
      <c r="J17" s="23"/>
      <c r="K17" s="23"/>
      <c r="L17" s="58"/>
    </row>
    <row r="18" spans="1:12" x14ac:dyDescent="0.25">
      <c r="A18" s="58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58"/>
    </row>
    <row r="19" spans="1:12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34900</v>
      </c>
      <c r="I19" s="147"/>
      <c r="J19" s="23"/>
      <c r="K19" s="23"/>
      <c r="L19" s="58"/>
    </row>
    <row r="20" spans="1:12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</row>
    <row r="21" spans="1:12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</row>
    <row r="22" spans="1:12" x14ac:dyDescent="0.25">
      <c r="A22" s="58"/>
      <c r="B22" s="165" t="s">
        <v>368</v>
      </c>
      <c r="C22" s="165"/>
      <c r="D22" s="165">
        <f>E17</f>
        <v>36000</v>
      </c>
      <c r="E22" s="165"/>
      <c r="F22" s="165"/>
      <c r="G22" s="165" t="s">
        <v>368</v>
      </c>
      <c r="H22" s="232">
        <f>H19</f>
        <v>34900</v>
      </c>
      <c r="I22" s="165"/>
      <c r="J22" s="165"/>
      <c r="K22" s="23"/>
      <c r="L22" s="58"/>
    </row>
    <row r="23" spans="1:12" x14ac:dyDescent="0.25">
      <c r="A23" s="58"/>
      <c r="B23" s="165" t="s">
        <v>1</v>
      </c>
      <c r="C23" s="165"/>
      <c r="D23" s="165">
        <f>'APRIL 20'!F34</f>
        <v>3339</v>
      </c>
      <c r="E23" s="165"/>
      <c r="F23" s="165"/>
      <c r="G23" s="165" t="s">
        <v>1</v>
      </c>
      <c r="H23" s="165">
        <f>'APRIL 20'!J34</f>
        <v>39</v>
      </c>
      <c r="I23" s="165"/>
      <c r="J23" s="165"/>
      <c r="K23" s="23"/>
      <c r="L23" s="58"/>
    </row>
    <row r="24" spans="1:12" x14ac:dyDescent="0.25">
      <c r="A24" s="58"/>
      <c r="B24" s="165" t="s">
        <v>28</v>
      </c>
      <c r="C24" s="165"/>
      <c r="D24" s="165"/>
      <c r="E24" s="165"/>
      <c r="F24" s="165"/>
      <c r="G24" s="165" t="s">
        <v>28</v>
      </c>
      <c r="H24" s="165"/>
      <c r="I24" s="165"/>
      <c r="J24" s="165"/>
      <c r="K24" s="23"/>
      <c r="L24" s="58"/>
    </row>
    <row r="25" spans="1:12" x14ac:dyDescent="0.25">
      <c r="A25" s="58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  <c r="L25" s="58"/>
    </row>
    <row r="26" spans="1:12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</row>
    <row r="27" spans="1:12" x14ac:dyDescent="0.25">
      <c r="A27" s="58"/>
      <c r="B27" s="165" t="s">
        <v>520</v>
      </c>
      <c r="C27" s="165"/>
      <c r="D27" s="234">
        <v>0.3</v>
      </c>
      <c r="E27" s="222"/>
      <c r="F27" s="165"/>
      <c r="G27" s="165" t="s">
        <v>520</v>
      </c>
      <c r="H27" s="174">
        <v>0.3</v>
      </c>
      <c r="I27" s="234"/>
      <c r="J27" s="222"/>
      <c r="K27" s="23"/>
      <c r="L27" s="58"/>
    </row>
    <row r="28" spans="1:12" x14ac:dyDescent="0.25">
      <c r="A28" s="58"/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23"/>
      <c r="L28" s="58"/>
    </row>
    <row r="29" spans="1:12" x14ac:dyDescent="0.25">
      <c r="A29" s="58"/>
      <c r="B29" s="222" t="s">
        <v>328</v>
      </c>
      <c r="C29" s="58"/>
      <c r="D29" s="151"/>
      <c r="E29" s="151">
        <f>5000+1000</f>
        <v>6000</v>
      </c>
      <c r="F29" s="165"/>
      <c r="G29" s="222" t="s">
        <v>328</v>
      </c>
      <c r="H29" s="58"/>
      <c r="I29" s="151">
        <f>5000+1000</f>
        <v>6000</v>
      </c>
      <c r="J29" s="151"/>
      <c r="K29" s="23"/>
      <c r="L29" s="58"/>
    </row>
    <row r="30" spans="1:12" x14ac:dyDescent="0.25">
      <c r="A30" s="58"/>
      <c r="B30" s="222" t="s">
        <v>534</v>
      </c>
      <c r="C30" s="58"/>
      <c r="D30" s="151"/>
      <c r="E30" s="151">
        <v>3000</v>
      </c>
      <c r="F30" s="165"/>
      <c r="G30" s="222" t="s">
        <v>534</v>
      </c>
      <c r="H30" s="58"/>
      <c r="I30" s="151">
        <v>3000</v>
      </c>
      <c r="J30" s="151"/>
      <c r="K30" s="23"/>
      <c r="L30" s="58"/>
    </row>
    <row r="31" spans="1:12" x14ac:dyDescent="0.25">
      <c r="A31" s="58"/>
      <c r="B31" s="222" t="s">
        <v>535</v>
      </c>
      <c r="C31" s="58"/>
      <c r="D31" s="151"/>
      <c r="E31" s="151">
        <v>3500</v>
      </c>
      <c r="F31" s="165"/>
      <c r="G31" s="222" t="s">
        <v>535</v>
      </c>
      <c r="H31" s="58"/>
      <c r="I31" s="151">
        <v>3500</v>
      </c>
      <c r="J31" s="151"/>
      <c r="K31" s="23"/>
      <c r="L31" s="58"/>
    </row>
    <row r="32" spans="1:12" x14ac:dyDescent="0.25">
      <c r="A32" s="58"/>
      <c r="B32" s="222" t="s">
        <v>329</v>
      </c>
      <c r="C32" s="58"/>
      <c r="D32" s="151"/>
      <c r="E32" s="151">
        <v>13500</v>
      </c>
      <c r="F32" s="165"/>
      <c r="G32" s="222" t="s">
        <v>329</v>
      </c>
      <c r="H32" s="58"/>
      <c r="I32" s="151">
        <v>13500</v>
      </c>
      <c r="J32" s="151"/>
      <c r="K32" s="23"/>
      <c r="L32" s="58"/>
    </row>
    <row r="33" spans="1:12" s="58" customFormat="1" x14ac:dyDescent="0.25">
      <c r="B33" s="222" t="s">
        <v>536</v>
      </c>
      <c r="D33" s="151"/>
      <c r="E33" s="151">
        <v>2000</v>
      </c>
      <c r="F33" s="165"/>
      <c r="G33" s="222" t="s">
        <v>536</v>
      </c>
      <c r="I33" s="151">
        <v>2000</v>
      </c>
      <c r="J33" s="151"/>
      <c r="K33" s="23"/>
    </row>
    <row r="34" spans="1:12" x14ac:dyDescent="0.25">
      <c r="A34" s="58"/>
      <c r="B34" s="222"/>
      <c r="C34" s="58"/>
      <c r="D34" s="151"/>
      <c r="E34" s="151"/>
      <c r="F34" s="165"/>
      <c r="G34" s="222"/>
      <c r="H34" s="58"/>
      <c r="I34" s="151"/>
      <c r="J34" s="151"/>
      <c r="K34" s="23"/>
      <c r="L34" s="58"/>
    </row>
    <row r="35" spans="1:12" x14ac:dyDescent="0.25">
      <c r="A35" s="58"/>
      <c r="B35" s="217" t="s">
        <v>129</v>
      </c>
      <c r="C35" s="217"/>
      <c r="D35" s="217">
        <f>D22+D23+D24-E25</f>
        <v>35739</v>
      </c>
      <c r="E35" s="217">
        <f>SUM(E27:E34)</f>
        <v>30000</v>
      </c>
      <c r="F35" s="217">
        <f>D35-E35</f>
        <v>5739</v>
      </c>
      <c r="G35" s="217" t="s">
        <v>129</v>
      </c>
      <c r="H35" s="217">
        <f>H22+H23+H24-I25</f>
        <v>31339</v>
      </c>
      <c r="I35" s="217">
        <f>SUM(I27:I34)</f>
        <v>30000</v>
      </c>
      <c r="J35" s="221">
        <f>H35-I35</f>
        <v>1339</v>
      </c>
      <c r="K35" s="23"/>
      <c r="L35" s="58"/>
    </row>
    <row r="36" spans="1:12" x14ac:dyDescent="0.25">
      <c r="A36" s="58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58"/>
    </row>
    <row r="37" spans="1:12" x14ac:dyDescent="0.25">
      <c r="A37" s="58"/>
      <c r="B37" s="23" t="s">
        <v>357</v>
      </c>
      <c r="C37" s="23"/>
      <c r="D37" s="23"/>
      <c r="E37" s="23" t="s">
        <v>359</v>
      </c>
      <c r="F37" s="23"/>
      <c r="G37" s="23"/>
      <c r="H37" s="23" t="s">
        <v>361</v>
      </c>
      <c r="I37" s="23"/>
      <c r="J37" s="23"/>
      <c r="K37" s="23"/>
      <c r="L37" s="58"/>
    </row>
    <row r="38" spans="1:12" x14ac:dyDescent="0.25">
      <c r="A38" s="58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58"/>
    </row>
    <row r="39" spans="1:12" x14ac:dyDescent="0.25">
      <c r="A39" s="58"/>
      <c r="B39" s="23" t="s">
        <v>483</v>
      </c>
      <c r="C39" s="23"/>
      <c r="D39" s="23"/>
      <c r="E39" s="23" t="s">
        <v>360</v>
      </c>
      <c r="F39" s="23"/>
      <c r="G39" s="23"/>
      <c r="H39" s="23" t="s">
        <v>158</v>
      </c>
      <c r="I39" s="23"/>
      <c r="J39" s="23"/>
      <c r="K39" s="58"/>
      <c r="L39" s="58"/>
    </row>
    <row r="40" spans="1:12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</row>
  </sheetData>
  <pageMargins left="0.7" right="0.7" top="0.75" bottom="0.75" header="0.3" footer="0.3"/>
  <pageSetup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7" workbookViewId="0">
      <selection activeCell="G20" sqref="G20"/>
    </sheetView>
  </sheetViews>
  <sheetFormatPr defaultRowHeight="15" x14ac:dyDescent="0.25"/>
  <cols>
    <col min="1" max="1" width="14.5703125" customWidth="1"/>
  </cols>
  <sheetData>
    <row r="1" spans="1:14" x14ac:dyDescent="0.25">
      <c r="A1" s="58"/>
      <c r="B1" s="58"/>
      <c r="C1" s="32" t="s">
        <v>222</v>
      </c>
      <c r="D1" s="32"/>
      <c r="E1" s="32"/>
      <c r="F1" s="32"/>
      <c r="G1" s="23"/>
      <c r="H1" s="23"/>
      <c r="I1" s="23"/>
      <c r="J1" s="23"/>
      <c r="K1" s="58"/>
      <c r="L1" s="58"/>
    </row>
    <row r="2" spans="1:14" x14ac:dyDescent="0.25">
      <c r="A2" s="23"/>
      <c r="B2" s="23"/>
      <c r="C2" s="32" t="s">
        <v>388</v>
      </c>
      <c r="D2" s="32"/>
      <c r="E2" s="32"/>
      <c r="F2" s="32"/>
      <c r="G2" s="23"/>
      <c r="H2" s="23"/>
      <c r="I2" s="23"/>
      <c r="J2" s="23"/>
      <c r="K2" s="58"/>
      <c r="L2" s="58"/>
    </row>
    <row r="3" spans="1:14" x14ac:dyDescent="0.25">
      <c r="A3" s="23"/>
      <c r="B3" s="23"/>
      <c r="C3" s="32" t="s">
        <v>537</v>
      </c>
      <c r="D3" s="32"/>
      <c r="E3" s="32"/>
      <c r="F3" s="32"/>
      <c r="G3" s="23"/>
      <c r="H3" s="23"/>
      <c r="I3" s="23"/>
      <c r="J3" s="23"/>
      <c r="K3" s="58"/>
      <c r="L3" s="58"/>
    </row>
    <row r="4" spans="1:14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  <c r="J4" s="23"/>
      <c r="K4" s="58"/>
      <c r="L4" s="58"/>
    </row>
    <row r="5" spans="1:14" x14ac:dyDescent="0.25">
      <c r="A5" s="164"/>
      <c r="B5" s="228"/>
      <c r="C5" s="165">
        <f>'MAY 20'!I5:I16</f>
        <v>0</v>
      </c>
      <c r="D5" s="165"/>
      <c r="E5" s="165"/>
      <c r="F5" s="230"/>
      <c r="G5" s="215"/>
      <c r="H5" s="165"/>
      <c r="I5" s="23"/>
      <c r="J5" s="23"/>
      <c r="K5" s="58"/>
      <c r="L5" s="58"/>
    </row>
    <row r="6" spans="1:14" x14ac:dyDescent="0.25">
      <c r="A6" s="164" t="s">
        <v>205</v>
      </c>
      <c r="B6" s="228"/>
      <c r="C6" s="165">
        <f>'MAY 20'!I6:I17</f>
        <v>0</v>
      </c>
      <c r="D6" s="165">
        <v>3000</v>
      </c>
      <c r="E6" s="165">
        <v>100</v>
      </c>
      <c r="F6" s="230">
        <f>C6+D6+E6+B6</f>
        <v>3100</v>
      </c>
      <c r="G6" s="165">
        <f>3100</f>
        <v>3100</v>
      </c>
      <c r="H6" s="165">
        <f t="shared" ref="H6:H14" si="0">F6-G6</f>
        <v>0</v>
      </c>
      <c r="I6" s="23"/>
      <c r="J6" s="23"/>
      <c r="K6" s="58"/>
      <c r="L6" s="58"/>
    </row>
    <row r="7" spans="1:14" x14ac:dyDescent="0.25">
      <c r="A7" s="151" t="s">
        <v>542</v>
      </c>
      <c r="B7" s="235">
        <v>3000</v>
      </c>
      <c r="C7" s="165"/>
      <c r="D7" s="165">
        <v>1400</v>
      </c>
      <c r="E7" s="165"/>
      <c r="F7" s="230">
        <f t="shared" ref="F7:F16" si="1">C7+D7+E7+B7</f>
        <v>4400</v>
      </c>
      <c r="G7" s="215">
        <v>4400</v>
      </c>
      <c r="H7" s="165">
        <f t="shared" si="0"/>
        <v>0</v>
      </c>
      <c r="I7" s="23"/>
      <c r="J7" s="23"/>
      <c r="K7" s="58"/>
      <c r="L7" s="58"/>
    </row>
    <row r="8" spans="1:14" x14ac:dyDescent="0.25">
      <c r="A8" s="167" t="s">
        <v>385</v>
      </c>
      <c r="B8" s="228"/>
      <c r="C8" s="165">
        <f>'MAY 20'!I8:I19</f>
        <v>0</v>
      </c>
      <c r="D8" s="165">
        <v>3000</v>
      </c>
      <c r="E8" s="165">
        <v>100</v>
      </c>
      <c r="F8" s="230">
        <f t="shared" si="1"/>
        <v>3100</v>
      </c>
      <c r="G8" s="215">
        <f>2000</f>
        <v>2000</v>
      </c>
      <c r="H8" s="165">
        <f t="shared" si="0"/>
        <v>1100</v>
      </c>
      <c r="I8" s="23"/>
      <c r="J8" s="23"/>
      <c r="K8" s="58"/>
      <c r="L8" s="58"/>
    </row>
    <row r="9" spans="1:14" x14ac:dyDescent="0.25">
      <c r="A9" s="151" t="s">
        <v>469</v>
      </c>
      <c r="B9" s="228"/>
      <c r="C9" s="165">
        <f>'MAY 20'!I9:I20</f>
        <v>100</v>
      </c>
      <c r="D9" s="165">
        <v>3000</v>
      </c>
      <c r="E9" s="165"/>
      <c r="F9" s="230">
        <f t="shared" si="1"/>
        <v>3100</v>
      </c>
      <c r="G9" s="215">
        <f>2000+1000</f>
        <v>3000</v>
      </c>
      <c r="H9" s="165"/>
      <c r="I9" s="23"/>
      <c r="J9" s="23"/>
      <c r="K9" s="58"/>
      <c r="L9" s="58"/>
    </row>
    <row r="10" spans="1:14" x14ac:dyDescent="0.25">
      <c r="A10" s="151" t="s">
        <v>402</v>
      </c>
      <c r="B10" s="228"/>
      <c r="C10" s="165">
        <f>'MAY 20'!I10:I21</f>
        <v>0</v>
      </c>
      <c r="D10" s="165">
        <v>3000</v>
      </c>
      <c r="E10" s="165">
        <v>100</v>
      </c>
      <c r="F10" s="230">
        <f t="shared" si="1"/>
        <v>3100</v>
      </c>
      <c r="G10" s="165">
        <f>100+2000+1000</f>
        <v>3100</v>
      </c>
      <c r="H10" s="165">
        <f>F10-G10</f>
        <v>0</v>
      </c>
      <c r="I10" s="23"/>
      <c r="J10" s="23"/>
      <c r="K10" s="58"/>
      <c r="L10" s="58"/>
    </row>
    <row r="11" spans="1:14" x14ac:dyDescent="0.25">
      <c r="A11" s="168" t="s">
        <v>544</v>
      </c>
      <c r="B11" s="235">
        <v>3000</v>
      </c>
      <c r="C11" s="165">
        <f>'MAY 20'!I11:I22</f>
        <v>0</v>
      </c>
      <c r="D11" s="165">
        <v>3000</v>
      </c>
      <c r="E11" s="165"/>
      <c r="F11" s="230">
        <f t="shared" si="1"/>
        <v>6000</v>
      </c>
      <c r="G11" s="215">
        <v>6000</v>
      </c>
      <c r="H11" s="165">
        <f t="shared" si="0"/>
        <v>0</v>
      </c>
      <c r="I11" s="23"/>
      <c r="J11" s="23"/>
      <c r="K11" s="58"/>
      <c r="L11" s="58"/>
    </row>
    <row r="12" spans="1:14" x14ac:dyDescent="0.25">
      <c r="A12" s="167" t="s">
        <v>344</v>
      </c>
      <c r="B12" s="228"/>
      <c r="C12" s="165">
        <f>'MAY 20'!I12:I23</f>
        <v>100</v>
      </c>
      <c r="D12" s="165">
        <v>3000</v>
      </c>
      <c r="E12" s="165">
        <v>100</v>
      </c>
      <c r="F12" s="230">
        <f t="shared" si="1"/>
        <v>3200</v>
      </c>
      <c r="G12" s="233">
        <f>3100</f>
        <v>3100</v>
      </c>
      <c r="H12" s="165">
        <f t="shared" si="0"/>
        <v>100</v>
      </c>
      <c r="I12" s="23"/>
      <c r="J12" s="23"/>
      <c r="K12" s="58"/>
      <c r="L12" s="58"/>
    </row>
    <row r="13" spans="1:14" x14ac:dyDescent="0.25">
      <c r="A13" s="164" t="s">
        <v>495</v>
      </c>
      <c r="B13" s="231"/>
      <c r="C13" s="165">
        <f>'MAY 20'!I13:I24</f>
        <v>100</v>
      </c>
      <c r="D13" s="165">
        <v>3000</v>
      </c>
      <c r="E13" s="165">
        <v>100</v>
      </c>
      <c r="F13" s="230">
        <f t="shared" si="1"/>
        <v>3200</v>
      </c>
      <c r="G13" s="215">
        <f>3200</f>
        <v>3200</v>
      </c>
      <c r="H13" s="165">
        <f t="shared" si="0"/>
        <v>0</v>
      </c>
      <c r="I13" s="23"/>
      <c r="J13" s="23"/>
      <c r="K13" s="58"/>
      <c r="L13" s="58"/>
    </row>
    <row r="14" spans="1:14" x14ac:dyDescent="0.25">
      <c r="A14" s="169" t="s">
        <v>400</v>
      </c>
      <c r="B14" s="228"/>
      <c r="C14" s="165">
        <f>'MAY 20'!I14:I25</f>
        <v>0</v>
      </c>
      <c r="D14" s="165">
        <v>4500</v>
      </c>
      <c r="E14" s="165">
        <v>100</v>
      </c>
      <c r="F14" s="230">
        <f t="shared" si="1"/>
        <v>4600</v>
      </c>
      <c r="G14" s="215">
        <f>3000+1600</f>
        <v>4600</v>
      </c>
      <c r="H14" s="165">
        <f t="shared" si="0"/>
        <v>0</v>
      </c>
      <c r="I14" s="23"/>
      <c r="J14" s="23"/>
      <c r="K14" s="58"/>
      <c r="L14" s="58"/>
    </row>
    <row r="15" spans="1:14" x14ac:dyDescent="0.25">
      <c r="A15" s="168" t="s">
        <v>345</v>
      </c>
      <c r="B15" s="228"/>
      <c r="C15" s="165">
        <f>'MAY 20'!I15:I26</f>
        <v>2150</v>
      </c>
      <c r="D15" s="165">
        <v>4500</v>
      </c>
      <c r="E15" s="165">
        <v>100</v>
      </c>
      <c r="F15" s="230">
        <f t="shared" si="1"/>
        <v>6750</v>
      </c>
      <c r="G15" s="215">
        <f>1000+2500+2500+700+50</f>
        <v>6750</v>
      </c>
      <c r="H15" s="165">
        <f>F15-G15</f>
        <v>0</v>
      </c>
      <c r="I15" s="23"/>
      <c r="J15" s="23"/>
      <c r="K15" s="58"/>
      <c r="L15" s="58"/>
    </row>
    <row r="16" spans="1:14" x14ac:dyDescent="0.25">
      <c r="A16" s="197" t="s">
        <v>518</v>
      </c>
      <c r="B16" s="228"/>
      <c r="C16" s="165">
        <f>'MAY 20'!I16:I27</f>
        <v>3200</v>
      </c>
      <c r="D16" s="165">
        <v>3000</v>
      </c>
      <c r="E16" s="165">
        <v>100</v>
      </c>
      <c r="F16" s="230">
        <f t="shared" si="1"/>
        <v>6300</v>
      </c>
      <c r="G16" s="165">
        <v>3000</v>
      </c>
      <c r="H16" s="165">
        <f>F16-G16</f>
        <v>3300</v>
      </c>
      <c r="I16" s="23"/>
      <c r="J16" s="23"/>
      <c r="K16" s="58"/>
      <c r="L16" s="58"/>
      <c r="N16" s="228"/>
    </row>
    <row r="17" spans="1:14" x14ac:dyDescent="0.25">
      <c r="A17" s="213" t="s">
        <v>129</v>
      </c>
      <c r="B17" s="85">
        <f>SUM(B5:B16)</f>
        <v>6000</v>
      </c>
      <c r="C17" s="165">
        <f>SUM(C6:C16)</f>
        <v>5650</v>
      </c>
      <c r="D17" s="217">
        <f>SUM(D5:D16)</f>
        <v>34400</v>
      </c>
      <c r="E17" s="217">
        <f>SUM(E5:E16)</f>
        <v>800</v>
      </c>
      <c r="F17" s="85">
        <f>SUM(F6:F16)</f>
        <v>46850</v>
      </c>
      <c r="G17" s="217">
        <f>SUM(G5:G16)</f>
        <v>42250</v>
      </c>
      <c r="H17" s="217">
        <f>SUM(H5:H16)</f>
        <v>4500</v>
      </c>
      <c r="I17" s="23"/>
      <c r="J17" s="23"/>
      <c r="K17" s="58"/>
      <c r="L17" s="58"/>
    </row>
    <row r="18" spans="1:14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58"/>
      <c r="L18" s="58"/>
    </row>
    <row r="19" spans="1:14" x14ac:dyDescent="0.25">
      <c r="A19" s="227" t="s">
        <v>121</v>
      </c>
      <c r="B19" s="227"/>
      <c r="C19" s="208"/>
      <c r="D19" s="209"/>
      <c r="E19" s="146"/>
      <c r="F19" s="147"/>
      <c r="G19" s="210">
        <f>G17-E17+J16</f>
        <v>41450</v>
      </c>
      <c r="H19" s="147"/>
      <c r="I19" s="23"/>
      <c r="J19" s="23"/>
      <c r="K19" s="58"/>
      <c r="L19" s="58"/>
      <c r="N19" s="230"/>
    </row>
    <row r="20" spans="1:14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  <c r="J20" s="23"/>
      <c r="K20" s="58"/>
      <c r="L20" s="58"/>
    </row>
    <row r="21" spans="1:14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  <c r="J21" s="23"/>
      <c r="K21" s="58"/>
      <c r="L21" s="58"/>
    </row>
    <row r="22" spans="1:14" x14ac:dyDescent="0.25">
      <c r="A22" s="165" t="s">
        <v>371</v>
      </c>
      <c r="B22" s="165"/>
      <c r="C22" s="165">
        <f>D17</f>
        <v>34400</v>
      </c>
      <c r="D22" s="165"/>
      <c r="E22" s="165"/>
      <c r="F22" s="165" t="s">
        <v>371</v>
      </c>
      <c r="G22" s="232">
        <f>G19</f>
        <v>41450</v>
      </c>
      <c r="H22" s="165"/>
      <c r="I22" s="165"/>
      <c r="J22" s="23"/>
      <c r="K22" s="58"/>
      <c r="L22" s="58"/>
    </row>
    <row r="23" spans="1:14" x14ac:dyDescent="0.25">
      <c r="A23" s="165" t="s">
        <v>1</v>
      </c>
      <c r="B23" s="165"/>
      <c r="C23" s="165">
        <f>'MAY 20'!F35</f>
        <v>5739</v>
      </c>
      <c r="D23" s="165"/>
      <c r="E23" s="165"/>
      <c r="F23" s="165" t="s">
        <v>1</v>
      </c>
      <c r="G23" s="165">
        <f>'MAY 20'!J35</f>
        <v>1339</v>
      </c>
      <c r="H23" s="165"/>
      <c r="I23" s="165"/>
      <c r="J23" s="23"/>
      <c r="K23" s="58"/>
      <c r="L23" s="58"/>
    </row>
    <row r="24" spans="1:14" x14ac:dyDescent="0.25">
      <c r="A24" s="165" t="s">
        <v>28</v>
      </c>
      <c r="B24" s="165"/>
      <c r="C24" s="230">
        <f>B17</f>
        <v>6000</v>
      </c>
      <c r="D24" s="165"/>
      <c r="E24" s="165"/>
      <c r="F24" s="165" t="s">
        <v>28</v>
      </c>
      <c r="G24" s="165"/>
      <c r="H24" s="165"/>
      <c r="I24" s="165"/>
      <c r="J24" s="23"/>
      <c r="K24" s="58"/>
      <c r="L24" s="58"/>
    </row>
    <row r="25" spans="1:14" x14ac:dyDescent="0.25">
      <c r="A25" s="165" t="s">
        <v>325</v>
      </c>
      <c r="B25" s="165"/>
      <c r="C25" s="226">
        <v>0.1</v>
      </c>
      <c r="D25" s="165">
        <f>C22*C25</f>
        <v>3440</v>
      </c>
      <c r="E25" s="165"/>
      <c r="F25" s="165" t="s">
        <v>325</v>
      </c>
      <c r="G25" s="226">
        <v>0.1</v>
      </c>
      <c r="H25" s="165">
        <f>D25</f>
        <v>3440</v>
      </c>
      <c r="I25" s="165"/>
      <c r="J25" s="23"/>
      <c r="K25" s="58"/>
      <c r="L25" s="58"/>
      <c r="M25" s="234"/>
    </row>
    <row r="26" spans="1:14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  <c r="J26" s="23"/>
      <c r="K26" s="58"/>
      <c r="L26" s="58"/>
    </row>
    <row r="27" spans="1:14" x14ac:dyDescent="0.25">
      <c r="A27" s="165" t="s">
        <v>520</v>
      </c>
      <c r="B27" s="165"/>
      <c r="C27" s="234">
        <v>0.3</v>
      </c>
      <c r="D27" s="222">
        <f>C27*B7</f>
        <v>900</v>
      </c>
      <c r="E27" s="165"/>
      <c r="F27" s="165" t="s">
        <v>520</v>
      </c>
      <c r="G27" s="174">
        <v>0.3</v>
      </c>
      <c r="H27">
        <f>G27*B7</f>
        <v>900</v>
      </c>
      <c r="I27" s="222"/>
      <c r="J27" s="23"/>
      <c r="K27" s="58"/>
      <c r="L27" s="58"/>
    </row>
    <row r="28" spans="1:14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  <c r="J28" s="23"/>
      <c r="K28" s="58"/>
      <c r="L28" s="58"/>
    </row>
    <row r="29" spans="1:14" x14ac:dyDescent="0.25">
      <c r="A29" s="222" t="s">
        <v>328</v>
      </c>
      <c r="B29" s="58"/>
      <c r="C29" s="151"/>
      <c r="D29" s="151">
        <f>3000+3000</f>
        <v>6000</v>
      </c>
      <c r="E29" s="165"/>
      <c r="F29" s="222" t="s">
        <v>328</v>
      </c>
      <c r="G29" s="58"/>
      <c r="H29" s="151">
        <f>3000+3000</f>
        <v>6000</v>
      </c>
      <c r="I29" s="151"/>
      <c r="J29" s="23"/>
      <c r="K29" s="58"/>
      <c r="L29" s="58"/>
    </row>
    <row r="30" spans="1:14" x14ac:dyDescent="0.25">
      <c r="A30" s="222" t="s">
        <v>538</v>
      </c>
      <c r="B30" s="58"/>
      <c r="C30" s="151"/>
      <c r="D30" s="151">
        <v>2300</v>
      </c>
      <c r="E30" s="165"/>
      <c r="F30" s="222" t="s">
        <v>538</v>
      </c>
      <c r="G30" s="58"/>
      <c r="H30" s="151">
        <v>2300</v>
      </c>
      <c r="I30" s="151"/>
      <c r="J30" s="23"/>
      <c r="K30" s="58"/>
      <c r="L30" s="58"/>
    </row>
    <row r="31" spans="1:14" x14ac:dyDescent="0.25">
      <c r="A31" s="222" t="s">
        <v>539</v>
      </c>
      <c r="B31" s="58"/>
      <c r="C31" s="151"/>
      <c r="D31" s="151">
        <v>5000</v>
      </c>
      <c r="E31" s="165"/>
      <c r="F31" s="222" t="s">
        <v>539</v>
      </c>
      <c r="G31" s="58"/>
      <c r="H31" s="151">
        <v>5000</v>
      </c>
      <c r="I31" s="151"/>
      <c r="J31" s="23"/>
      <c r="K31" s="58"/>
      <c r="L31" s="58"/>
    </row>
    <row r="32" spans="1:14" x14ac:dyDescent="0.25">
      <c r="A32" s="222" t="s">
        <v>545</v>
      </c>
      <c r="B32" s="58"/>
      <c r="C32" s="151"/>
      <c r="D32" s="151">
        <v>3000</v>
      </c>
      <c r="E32" s="165"/>
      <c r="F32" s="222" t="s">
        <v>545</v>
      </c>
      <c r="G32" s="58"/>
      <c r="H32" s="151">
        <v>3000</v>
      </c>
      <c r="I32" s="151"/>
      <c r="J32" s="23"/>
      <c r="K32" s="58"/>
      <c r="L32" s="58"/>
    </row>
    <row r="33" spans="1:12" x14ac:dyDescent="0.25">
      <c r="A33" s="222" t="s">
        <v>540</v>
      </c>
      <c r="B33" s="58"/>
      <c r="C33" s="151"/>
      <c r="D33" s="151">
        <v>3000</v>
      </c>
      <c r="E33" s="165"/>
      <c r="F33" s="222" t="s">
        <v>540</v>
      </c>
      <c r="G33" s="58"/>
      <c r="H33" s="151">
        <v>3000</v>
      </c>
      <c r="I33" s="151"/>
      <c r="J33" s="23"/>
      <c r="K33" s="58"/>
      <c r="L33" s="58"/>
    </row>
    <row r="34" spans="1:12" s="58" customFormat="1" x14ac:dyDescent="0.25">
      <c r="A34" s="222" t="s">
        <v>543</v>
      </c>
      <c r="C34" s="151"/>
      <c r="D34" s="165">
        <v>6000</v>
      </c>
      <c r="E34" s="165"/>
      <c r="F34" s="222" t="s">
        <v>543</v>
      </c>
      <c r="H34" s="230">
        <f>D34</f>
        <v>6000</v>
      </c>
      <c r="I34" s="230"/>
      <c r="J34" s="23"/>
    </row>
    <row r="35" spans="1:12" s="58" customFormat="1" x14ac:dyDescent="0.25">
      <c r="A35" s="222" t="s">
        <v>541</v>
      </c>
      <c r="C35" s="151"/>
      <c r="D35" s="165">
        <v>7650</v>
      </c>
      <c r="E35" s="165"/>
      <c r="F35" s="222" t="s">
        <v>541</v>
      </c>
      <c r="H35" s="151">
        <v>7650</v>
      </c>
      <c r="I35" s="165"/>
      <c r="J35" s="23"/>
    </row>
    <row r="36" spans="1:12" s="58" customFormat="1" x14ac:dyDescent="0.25">
      <c r="A36" s="222" t="s">
        <v>518</v>
      </c>
      <c r="C36" s="151"/>
      <c r="D36" s="165">
        <f>H16+100</f>
        <v>3400</v>
      </c>
      <c r="E36" s="165"/>
      <c r="F36" s="222"/>
      <c r="H36" s="151"/>
      <c r="I36" s="165"/>
      <c r="J36" s="23"/>
    </row>
    <row r="37" spans="1:12" x14ac:dyDescent="0.25">
      <c r="A37" s="222"/>
      <c r="B37" s="58"/>
      <c r="C37" s="151"/>
      <c r="D37" s="151"/>
      <c r="E37" s="165"/>
      <c r="F37" s="222"/>
      <c r="G37" s="58"/>
      <c r="H37" s="151"/>
      <c r="I37" s="151"/>
      <c r="J37" s="23"/>
      <c r="K37" s="58"/>
      <c r="L37" s="58"/>
    </row>
    <row r="38" spans="1:12" x14ac:dyDescent="0.25">
      <c r="A38" s="217" t="s">
        <v>129</v>
      </c>
      <c r="B38" s="217"/>
      <c r="C38" s="213">
        <f>C22+C23+C24-D25</f>
        <v>42699</v>
      </c>
      <c r="D38" s="217">
        <f>SUM(D27:D37)</f>
        <v>39250</v>
      </c>
      <c r="E38" s="217">
        <f>C38-D38</f>
        <v>3449</v>
      </c>
      <c r="F38" s="217" t="s">
        <v>129</v>
      </c>
      <c r="G38" s="236">
        <f>G22+G23+G24-H25</f>
        <v>39349</v>
      </c>
      <c r="H38" s="217">
        <f>SUM(H27:H37)</f>
        <v>35850</v>
      </c>
      <c r="I38" s="221">
        <f>G38-H38</f>
        <v>3499</v>
      </c>
      <c r="J38" s="23"/>
      <c r="K38" s="58"/>
      <c r="L38" s="58"/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58">
        <f>I38-E38</f>
        <v>50</v>
      </c>
      <c r="L39" s="58"/>
    </row>
    <row r="40" spans="1:12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  <c r="J40" s="23"/>
      <c r="K40" s="58"/>
      <c r="L40" s="58"/>
    </row>
    <row r="41" spans="1:12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58"/>
      <c r="L41" s="58"/>
    </row>
    <row r="42" spans="1:12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  <c r="J42" s="58"/>
      <c r="K42" s="58"/>
      <c r="L42" s="58"/>
    </row>
    <row r="43" spans="1:12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4" workbookViewId="0">
      <selection activeCell="K21" sqref="K21"/>
    </sheetView>
  </sheetViews>
  <sheetFormatPr defaultRowHeight="15" x14ac:dyDescent="0.25"/>
  <cols>
    <col min="2" max="2" width="12.85546875" customWidth="1"/>
  </cols>
  <sheetData>
    <row r="1" spans="1:10" x14ac:dyDescent="0.25">
      <c r="A1" s="58"/>
      <c r="B1" s="58"/>
      <c r="C1" s="32" t="s">
        <v>222</v>
      </c>
      <c r="D1" s="32"/>
      <c r="E1" s="32"/>
      <c r="F1" s="32"/>
      <c r="G1" s="23"/>
      <c r="H1" s="23"/>
      <c r="I1" s="23"/>
      <c r="J1" s="23"/>
    </row>
    <row r="2" spans="1:10" x14ac:dyDescent="0.25">
      <c r="A2" s="23"/>
      <c r="B2" s="23"/>
      <c r="C2" s="32" t="s">
        <v>388</v>
      </c>
      <c r="D2" s="32"/>
      <c r="E2" s="32"/>
      <c r="F2" s="32"/>
      <c r="G2" s="23"/>
      <c r="H2" s="23"/>
      <c r="I2" s="23"/>
      <c r="J2" s="23"/>
    </row>
    <row r="3" spans="1:10" x14ac:dyDescent="0.25">
      <c r="A3" s="23"/>
      <c r="B3" s="23"/>
      <c r="C3" s="32" t="s">
        <v>550</v>
      </c>
      <c r="D3" s="32"/>
      <c r="E3" s="32"/>
      <c r="F3" s="32"/>
      <c r="G3" s="23"/>
      <c r="H3" s="23"/>
      <c r="I3" s="23"/>
      <c r="J3" s="23"/>
    </row>
    <row r="4" spans="1:10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  <c r="J4" s="23"/>
    </row>
    <row r="5" spans="1:10" x14ac:dyDescent="0.25">
      <c r="A5" s="164"/>
      <c r="B5" s="228"/>
      <c r="C5" s="165">
        <f>'JUNE 20'!H5:H16</f>
        <v>0</v>
      </c>
      <c r="D5" s="165"/>
      <c r="E5" s="165"/>
      <c r="F5" s="230"/>
      <c r="G5" s="215"/>
      <c r="H5" s="165"/>
      <c r="I5" s="23"/>
      <c r="J5" s="23"/>
    </row>
    <row r="6" spans="1:10" x14ac:dyDescent="0.25">
      <c r="A6" s="164" t="s">
        <v>205</v>
      </c>
      <c r="B6" s="228"/>
      <c r="C6" s="165">
        <f>'JUNE 20'!H6:H17</f>
        <v>0</v>
      </c>
      <c r="D6" s="165">
        <v>3000</v>
      </c>
      <c r="E6" s="165">
        <v>100</v>
      </c>
      <c r="F6" s="230">
        <f>C6+D6+E6+B6</f>
        <v>3100</v>
      </c>
      <c r="G6" s="165">
        <v>3100</v>
      </c>
      <c r="H6" s="165">
        <f t="shared" ref="H6:H14" si="0">F6-G6</f>
        <v>0</v>
      </c>
      <c r="I6" s="23"/>
      <c r="J6" s="23"/>
    </row>
    <row r="7" spans="1:10" x14ac:dyDescent="0.25">
      <c r="A7" s="151" t="s">
        <v>542</v>
      </c>
      <c r="B7" s="235"/>
      <c r="C7" s="165">
        <f>'JUNE 20'!H7:H18</f>
        <v>0</v>
      </c>
      <c r="D7" s="165">
        <v>3000</v>
      </c>
      <c r="E7" s="165">
        <v>100</v>
      </c>
      <c r="F7" s="230">
        <f t="shared" ref="F7:F16" si="1">C7+D7+E7+B7</f>
        <v>3100</v>
      </c>
      <c r="G7" s="215">
        <v>3100</v>
      </c>
      <c r="H7" s="165">
        <f t="shared" si="0"/>
        <v>0</v>
      </c>
      <c r="I7" s="23"/>
      <c r="J7" s="23"/>
    </row>
    <row r="8" spans="1:10" x14ac:dyDescent="0.25">
      <c r="A8" s="167" t="s">
        <v>385</v>
      </c>
      <c r="B8" s="228"/>
      <c r="C8" s="165">
        <f>'JUNE 20'!H8:H19</f>
        <v>1100</v>
      </c>
      <c r="D8" s="165">
        <v>3000</v>
      </c>
      <c r="E8" s="165">
        <v>100</v>
      </c>
      <c r="F8" s="230">
        <f t="shared" si="1"/>
        <v>4200</v>
      </c>
      <c r="G8" s="215">
        <f>3000</f>
        <v>3000</v>
      </c>
      <c r="H8" s="165">
        <f t="shared" si="0"/>
        <v>1200</v>
      </c>
      <c r="I8" s="23"/>
      <c r="J8" s="23"/>
    </row>
    <row r="9" spans="1:10" x14ac:dyDescent="0.25">
      <c r="A9" s="151"/>
      <c r="B9" s="228"/>
      <c r="C9" s="165">
        <f>'JUNE 20'!H9:H20</f>
        <v>0</v>
      </c>
      <c r="D9" s="165"/>
      <c r="E9" s="165"/>
      <c r="F9" s="230">
        <f t="shared" si="1"/>
        <v>0</v>
      </c>
      <c r="G9" s="215"/>
      <c r="H9" s="165">
        <f t="shared" si="0"/>
        <v>0</v>
      </c>
      <c r="I9" s="23"/>
      <c r="J9" s="23"/>
    </row>
    <row r="10" spans="1:10" x14ac:dyDescent="0.25">
      <c r="A10" s="151" t="s">
        <v>402</v>
      </c>
      <c r="B10" s="228"/>
      <c r="C10" s="165">
        <f>'JUNE 20'!H10:H21</f>
        <v>0</v>
      </c>
      <c r="D10" s="165">
        <v>3000</v>
      </c>
      <c r="E10" s="165">
        <v>100</v>
      </c>
      <c r="F10" s="230">
        <f t="shared" si="1"/>
        <v>3100</v>
      </c>
      <c r="G10" s="165">
        <f>400+250+1000+1450</f>
        <v>3100</v>
      </c>
      <c r="H10" s="165">
        <f>F10-G10</f>
        <v>0</v>
      </c>
      <c r="I10" s="23"/>
      <c r="J10" s="23"/>
    </row>
    <row r="11" spans="1:10" x14ac:dyDescent="0.25">
      <c r="A11" s="168" t="s">
        <v>544</v>
      </c>
      <c r="B11" s="235"/>
      <c r="C11" s="165">
        <f>'JUNE 20'!H11:H22</f>
        <v>0</v>
      </c>
      <c r="D11" s="165">
        <v>3000</v>
      </c>
      <c r="E11" s="165">
        <v>100</v>
      </c>
      <c r="F11" s="230">
        <f t="shared" si="1"/>
        <v>3100</v>
      </c>
      <c r="G11" s="215">
        <f>3000+100</f>
        <v>3100</v>
      </c>
      <c r="H11" s="165">
        <f t="shared" si="0"/>
        <v>0</v>
      </c>
      <c r="I11" s="23"/>
      <c r="J11" s="23"/>
    </row>
    <row r="12" spans="1:10" x14ac:dyDescent="0.25">
      <c r="A12" s="167" t="s">
        <v>344</v>
      </c>
      <c r="B12" s="228"/>
      <c r="C12" s="165">
        <f>'JUNE 20'!H12:H23</f>
        <v>100</v>
      </c>
      <c r="D12" s="165">
        <v>3000</v>
      </c>
      <c r="E12" s="165">
        <v>100</v>
      </c>
      <c r="F12" s="230">
        <f t="shared" si="1"/>
        <v>3200</v>
      </c>
      <c r="G12" s="233">
        <v>3200</v>
      </c>
      <c r="H12" s="165">
        <f t="shared" si="0"/>
        <v>0</v>
      </c>
      <c r="I12" s="23"/>
      <c r="J12" s="23"/>
    </row>
    <row r="13" spans="1:10" x14ac:dyDescent="0.25">
      <c r="A13" s="164" t="s">
        <v>495</v>
      </c>
      <c r="B13" s="231"/>
      <c r="C13" s="165">
        <f>'JUNE 20'!H13:H24</f>
        <v>0</v>
      </c>
      <c r="D13" s="165">
        <v>3000</v>
      </c>
      <c r="E13" s="165">
        <v>100</v>
      </c>
      <c r="F13" s="230">
        <f t="shared" si="1"/>
        <v>3100</v>
      </c>
      <c r="G13" s="215">
        <v>3100</v>
      </c>
      <c r="H13" s="165">
        <f t="shared" si="0"/>
        <v>0</v>
      </c>
      <c r="I13" s="23"/>
      <c r="J13" s="23"/>
    </row>
    <row r="14" spans="1:10" x14ac:dyDescent="0.25">
      <c r="A14" s="169" t="s">
        <v>400</v>
      </c>
      <c r="B14" s="228"/>
      <c r="C14" s="165">
        <f>'JUNE 20'!H14:H25</f>
        <v>0</v>
      </c>
      <c r="D14" s="165">
        <v>4500</v>
      </c>
      <c r="E14" s="165">
        <v>100</v>
      </c>
      <c r="F14" s="230">
        <f t="shared" si="1"/>
        <v>4600</v>
      </c>
      <c r="G14" s="215">
        <v>4600</v>
      </c>
      <c r="H14" s="165">
        <f t="shared" si="0"/>
        <v>0</v>
      </c>
      <c r="I14" s="23"/>
      <c r="J14" s="23"/>
    </row>
    <row r="15" spans="1:10" x14ac:dyDescent="0.25">
      <c r="A15" s="168" t="s">
        <v>345</v>
      </c>
      <c r="B15" s="228"/>
      <c r="C15" s="165">
        <f>'JUNE 20'!H15:H26</f>
        <v>0</v>
      </c>
      <c r="D15" s="165">
        <v>4500</v>
      </c>
      <c r="E15" s="165">
        <v>100</v>
      </c>
      <c r="F15" s="230">
        <f t="shared" si="1"/>
        <v>4600</v>
      </c>
      <c r="G15" s="215">
        <f>3000+500</f>
        <v>3500</v>
      </c>
      <c r="H15" s="165">
        <f>F15-G15</f>
        <v>1100</v>
      </c>
      <c r="I15" s="23"/>
      <c r="J15" s="23"/>
    </row>
    <row r="16" spans="1:10" x14ac:dyDescent="0.25">
      <c r="A16" s="197" t="s">
        <v>80</v>
      </c>
      <c r="B16" s="228"/>
      <c r="C16" s="165"/>
      <c r="D16" s="165"/>
      <c r="E16" s="165">
        <v>100</v>
      </c>
      <c r="F16" s="230">
        <f t="shared" si="1"/>
        <v>100</v>
      </c>
      <c r="G16" s="165">
        <v>100</v>
      </c>
      <c r="H16" s="165">
        <f>F16-G16</f>
        <v>0</v>
      </c>
      <c r="I16" s="23"/>
      <c r="J16" s="23"/>
    </row>
    <row r="17" spans="1:10" x14ac:dyDescent="0.25">
      <c r="A17" s="213" t="s">
        <v>129</v>
      </c>
      <c r="B17" s="85">
        <f t="shared" ref="B17:H17" si="2">SUM(B5:B16)</f>
        <v>0</v>
      </c>
      <c r="C17" s="85">
        <f t="shared" si="2"/>
        <v>1200</v>
      </c>
      <c r="D17" s="217">
        <f t="shared" si="2"/>
        <v>30000</v>
      </c>
      <c r="E17" s="217">
        <f t="shared" si="2"/>
        <v>1000</v>
      </c>
      <c r="F17" s="213">
        <f t="shared" si="2"/>
        <v>32200</v>
      </c>
      <c r="G17" s="217">
        <f t="shared" si="2"/>
        <v>29900</v>
      </c>
      <c r="H17" s="217">
        <f t="shared" si="2"/>
        <v>2300</v>
      </c>
      <c r="I17" s="23"/>
      <c r="J17" s="23"/>
    </row>
    <row r="18" spans="1:10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227" t="s">
        <v>121</v>
      </c>
      <c r="B19" s="227"/>
      <c r="C19" s="208"/>
      <c r="D19" s="209"/>
      <c r="E19" s="146"/>
      <c r="F19" s="147"/>
      <c r="G19" s="210">
        <f>G17-E17</f>
        <v>28900</v>
      </c>
      <c r="H19" s="147"/>
      <c r="I19" s="23"/>
      <c r="J19" s="23"/>
    </row>
    <row r="20" spans="1:10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  <c r="J20" s="23"/>
    </row>
    <row r="21" spans="1:10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  <c r="J21" s="23"/>
    </row>
    <row r="22" spans="1:10" x14ac:dyDescent="0.25">
      <c r="A22" s="165" t="s">
        <v>379</v>
      </c>
      <c r="B22" s="165"/>
      <c r="C22" s="165">
        <f>D17</f>
        <v>30000</v>
      </c>
      <c r="D22" s="165"/>
      <c r="E22" s="165"/>
      <c r="F22" s="165" t="s">
        <v>379</v>
      </c>
      <c r="G22" s="232">
        <f>G19</f>
        <v>28900</v>
      </c>
      <c r="H22" s="165"/>
      <c r="I22" s="165"/>
      <c r="J22" s="23"/>
    </row>
    <row r="23" spans="1:10" x14ac:dyDescent="0.25">
      <c r="A23" s="165" t="s">
        <v>1</v>
      </c>
      <c r="B23" s="165"/>
      <c r="C23" s="165">
        <f>'JUNE 20'!E38</f>
        <v>3449</v>
      </c>
      <c r="D23" s="165"/>
      <c r="E23" s="165"/>
      <c r="F23" s="165" t="s">
        <v>1</v>
      </c>
      <c r="G23" s="165">
        <f>'JUNE 20'!I38</f>
        <v>3499</v>
      </c>
      <c r="H23" s="165"/>
      <c r="I23" s="165"/>
      <c r="J23" s="23"/>
    </row>
    <row r="24" spans="1:10" x14ac:dyDescent="0.25">
      <c r="A24" s="165" t="s">
        <v>28</v>
      </c>
      <c r="B24" s="165"/>
      <c r="C24" s="230">
        <f>B17</f>
        <v>0</v>
      </c>
      <c r="D24" s="165"/>
      <c r="E24" s="165"/>
      <c r="F24" s="165" t="s">
        <v>28</v>
      </c>
      <c r="G24" s="165"/>
      <c r="H24" s="165"/>
      <c r="I24" s="165"/>
      <c r="J24" s="23"/>
    </row>
    <row r="25" spans="1:10" x14ac:dyDescent="0.25">
      <c r="A25" s="165" t="s">
        <v>325</v>
      </c>
      <c r="B25" s="165"/>
      <c r="C25" s="226">
        <v>0.1</v>
      </c>
      <c r="D25" s="165">
        <f>C22*C25</f>
        <v>3000</v>
      </c>
      <c r="E25" s="165"/>
      <c r="F25" s="165" t="s">
        <v>325</v>
      </c>
      <c r="G25" s="226">
        <v>0.1</v>
      </c>
      <c r="H25" s="165">
        <f>D25</f>
        <v>3000</v>
      </c>
      <c r="I25" s="165"/>
      <c r="J25" s="23"/>
    </row>
    <row r="26" spans="1:10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  <c r="J26" s="23"/>
    </row>
    <row r="27" spans="1:10" x14ac:dyDescent="0.25">
      <c r="A27" s="165" t="s">
        <v>520</v>
      </c>
      <c r="B27" s="165"/>
      <c r="C27" s="234">
        <v>0.3</v>
      </c>
      <c r="D27" s="222">
        <f>C27*B7</f>
        <v>0</v>
      </c>
      <c r="E27" s="165"/>
      <c r="F27" s="165" t="s">
        <v>520</v>
      </c>
      <c r="G27" s="174">
        <v>0.3</v>
      </c>
      <c r="H27" s="58">
        <f>G27*B7</f>
        <v>0</v>
      </c>
      <c r="I27" s="222"/>
      <c r="J27" s="23"/>
    </row>
    <row r="28" spans="1:10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  <c r="J28" s="23"/>
    </row>
    <row r="29" spans="1:10" x14ac:dyDescent="0.25">
      <c r="A29" s="222" t="s">
        <v>328</v>
      </c>
      <c r="B29" s="58"/>
      <c r="C29" s="151"/>
      <c r="D29" s="151"/>
      <c r="E29" s="165"/>
      <c r="F29" s="222" t="s">
        <v>328</v>
      </c>
      <c r="G29" s="58"/>
      <c r="H29" s="151"/>
      <c r="I29" s="151"/>
      <c r="J29" s="23"/>
    </row>
    <row r="30" spans="1:10" x14ac:dyDescent="0.25">
      <c r="A30" s="222" t="s">
        <v>546</v>
      </c>
      <c r="B30" s="58"/>
      <c r="C30" s="151"/>
      <c r="D30" s="151">
        <v>5000</v>
      </c>
      <c r="E30" s="165"/>
      <c r="F30" s="222" t="s">
        <v>546</v>
      </c>
      <c r="G30" s="58"/>
      <c r="H30" s="151">
        <v>5000</v>
      </c>
      <c r="I30" s="151"/>
      <c r="J30" s="23"/>
    </row>
    <row r="31" spans="1:10" x14ac:dyDescent="0.25">
      <c r="A31" s="222" t="s">
        <v>547</v>
      </c>
      <c r="B31" s="58"/>
      <c r="C31" s="151"/>
      <c r="D31" s="151">
        <v>3000</v>
      </c>
      <c r="E31" s="165"/>
      <c r="F31" s="222" t="s">
        <v>547</v>
      </c>
      <c r="G31" s="58"/>
      <c r="H31" s="151">
        <v>3000</v>
      </c>
      <c r="I31" s="151"/>
      <c r="J31" s="23"/>
    </row>
    <row r="32" spans="1:10" x14ac:dyDescent="0.25">
      <c r="A32" s="222" t="s">
        <v>548</v>
      </c>
      <c r="B32" s="58"/>
      <c r="C32" s="151"/>
      <c r="D32" s="151">
        <f>1300+2000+2000</f>
        <v>5300</v>
      </c>
      <c r="E32" s="165"/>
      <c r="F32" s="222" t="s">
        <v>548</v>
      </c>
      <c r="G32" s="58"/>
      <c r="H32" s="151">
        <f>1300+2000+2000</f>
        <v>5300</v>
      </c>
      <c r="I32" s="151"/>
      <c r="J32" s="23"/>
    </row>
    <row r="33" spans="1:10" x14ac:dyDescent="0.25">
      <c r="A33" s="222" t="s">
        <v>549</v>
      </c>
      <c r="B33" s="58"/>
      <c r="C33" s="151"/>
      <c r="D33" s="151">
        <f>500+3056+7177</f>
        <v>10733</v>
      </c>
      <c r="E33" s="165"/>
      <c r="F33" s="222" t="s">
        <v>549</v>
      </c>
      <c r="G33" s="58"/>
      <c r="H33" s="151">
        <f>500+3056+7177</f>
        <v>10733</v>
      </c>
      <c r="I33" s="151"/>
      <c r="J33" s="23"/>
    </row>
    <row r="34" spans="1:10" x14ac:dyDescent="0.25">
      <c r="A34" s="222" t="s">
        <v>377</v>
      </c>
      <c r="B34" s="58"/>
      <c r="C34" s="151"/>
      <c r="D34" s="165">
        <v>100</v>
      </c>
      <c r="E34" s="165"/>
      <c r="F34" s="222"/>
      <c r="G34" s="58"/>
      <c r="H34" s="230"/>
      <c r="I34" s="230"/>
      <c r="J34" s="23"/>
    </row>
    <row r="35" spans="1:10" x14ac:dyDescent="0.25">
      <c r="A35" s="222"/>
      <c r="B35" s="58"/>
      <c r="C35" s="151"/>
      <c r="D35" s="165"/>
      <c r="E35" s="165"/>
      <c r="F35" s="222"/>
      <c r="G35" s="58"/>
      <c r="H35" s="151"/>
      <c r="I35" s="165"/>
      <c r="J35" s="23"/>
    </row>
    <row r="36" spans="1:10" x14ac:dyDescent="0.25">
      <c r="A36" s="222"/>
      <c r="B36" s="58"/>
      <c r="C36" s="151"/>
      <c r="D36" s="165"/>
      <c r="E36" s="165"/>
      <c r="F36" s="222"/>
      <c r="G36" s="58"/>
      <c r="H36" s="151"/>
      <c r="I36" s="165"/>
      <c r="J36" s="23"/>
    </row>
    <row r="37" spans="1:10" x14ac:dyDescent="0.25">
      <c r="A37" s="222"/>
      <c r="B37" s="58"/>
      <c r="C37" s="151"/>
      <c r="D37" s="151"/>
      <c r="E37" s="165"/>
      <c r="F37" s="222"/>
      <c r="G37" s="58"/>
      <c r="H37" s="151"/>
      <c r="I37" s="151"/>
      <c r="J37" s="23"/>
    </row>
    <row r="38" spans="1:10" x14ac:dyDescent="0.25">
      <c r="A38" s="217" t="s">
        <v>129</v>
      </c>
      <c r="B38" s="217"/>
      <c r="C38" s="213">
        <f>C22+C23+C24-D25</f>
        <v>30449</v>
      </c>
      <c r="D38" s="217">
        <f>SUM(D27:D37)</f>
        <v>26133</v>
      </c>
      <c r="E38" s="217">
        <f>C38-D38</f>
        <v>4316</v>
      </c>
      <c r="F38" s="217" t="s">
        <v>129</v>
      </c>
      <c r="G38" s="236">
        <f>G22+G23+G24-H25</f>
        <v>29399</v>
      </c>
      <c r="H38" s="217">
        <f>SUM(H27:H37)</f>
        <v>26033</v>
      </c>
      <c r="I38" s="221">
        <f>G38-H38</f>
        <v>3366</v>
      </c>
      <c r="J38" s="23"/>
    </row>
    <row r="39" spans="1:10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</row>
    <row r="40" spans="1:10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  <c r="J40" s="23"/>
    </row>
    <row r="41" spans="1:10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 spans="1:10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  <c r="J42" s="58"/>
    </row>
    <row r="43" spans="1:10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</row>
    <row r="44" spans="1:10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</row>
  </sheetData>
  <pageMargins left="0.7" right="0.7" top="0.75" bottom="0.75" header="0.3" footer="0.3"/>
  <pageSetup orientation="portrait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4" workbookViewId="0">
      <selection activeCell="K33" sqref="K33"/>
    </sheetView>
  </sheetViews>
  <sheetFormatPr defaultRowHeight="15" x14ac:dyDescent="0.25"/>
  <sheetData>
    <row r="1" spans="1:10" x14ac:dyDescent="0.25">
      <c r="B1" s="58"/>
      <c r="C1" s="32" t="s">
        <v>222</v>
      </c>
      <c r="D1" s="32"/>
      <c r="E1" s="32"/>
      <c r="F1" s="32"/>
      <c r="G1" s="23"/>
      <c r="H1" s="23"/>
      <c r="I1" s="23"/>
      <c r="J1" s="23"/>
    </row>
    <row r="2" spans="1:10" x14ac:dyDescent="0.25">
      <c r="A2" s="23"/>
      <c r="B2" s="58"/>
      <c r="C2" s="32" t="s">
        <v>388</v>
      </c>
      <c r="D2" s="32"/>
      <c r="E2" s="32"/>
      <c r="F2" s="32"/>
      <c r="G2" s="23"/>
      <c r="H2" s="23"/>
      <c r="I2" s="23"/>
      <c r="J2" s="23"/>
    </row>
    <row r="3" spans="1:10" x14ac:dyDescent="0.25">
      <c r="A3" s="23"/>
      <c r="B3" s="23"/>
      <c r="C3" s="32" t="s">
        <v>551</v>
      </c>
      <c r="D3" s="32"/>
      <c r="E3" s="32"/>
      <c r="F3" s="32"/>
      <c r="G3" s="23"/>
      <c r="H3" s="23"/>
      <c r="I3" s="23"/>
      <c r="J3" s="23"/>
    </row>
    <row r="4" spans="1:10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  <c r="J4" s="23"/>
    </row>
    <row r="5" spans="1:10" x14ac:dyDescent="0.25">
      <c r="A5" s="164"/>
      <c r="B5" s="228"/>
      <c r="C5" s="165">
        <f>'JULY 20'!H5:H16</f>
        <v>0</v>
      </c>
      <c r="D5" s="165"/>
      <c r="E5" s="165"/>
      <c r="F5" s="230"/>
      <c r="G5" s="215"/>
      <c r="H5" s="165"/>
      <c r="I5" s="23"/>
      <c r="J5" s="23"/>
    </row>
    <row r="6" spans="1:10" x14ac:dyDescent="0.25">
      <c r="A6" s="164" t="s">
        <v>205</v>
      </c>
      <c r="B6" s="228"/>
      <c r="C6" s="165">
        <f>'JULY 20'!H6:H17</f>
        <v>0</v>
      </c>
      <c r="D6" s="165">
        <v>3000</v>
      </c>
      <c r="E6" s="165">
        <v>100</v>
      </c>
      <c r="F6" s="230">
        <f>C6+D6+E6+B6</f>
        <v>3100</v>
      </c>
      <c r="G6" s="165">
        <v>3100</v>
      </c>
      <c r="H6" s="165">
        <f t="shared" ref="H6:H14" si="0">F6-G6</f>
        <v>0</v>
      </c>
      <c r="I6" s="23"/>
      <c r="J6" s="23"/>
    </row>
    <row r="7" spans="1:10" x14ac:dyDescent="0.25">
      <c r="A7" s="151" t="s">
        <v>542</v>
      </c>
      <c r="B7" s="235"/>
      <c r="C7" s="165">
        <f>'JULY 20'!H7:H18</f>
        <v>0</v>
      </c>
      <c r="D7" s="165">
        <v>3000</v>
      </c>
      <c r="E7" s="165">
        <v>100</v>
      </c>
      <c r="F7" s="230">
        <f t="shared" ref="F7:F16" si="1">C7+D7+E7+B7</f>
        <v>3100</v>
      </c>
      <c r="G7" s="215">
        <f>3000</f>
        <v>3000</v>
      </c>
      <c r="H7" s="165">
        <f t="shared" si="0"/>
        <v>100</v>
      </c>
      <c r="I7" s="23"/>
      <c r="J7" s="23"/>
    </row>
    <row r="8" spans="1:10" x14ac:dyDescent="0.25">
      <c r="A8" s="167" t="s">
        <v>385</v>
      </c>
      <c r="B8" s="228"/>
      <c r="C8" s="165">
        <f>'JULY 20'!H8:H19</f>
        <v>1200</v>
      </c>
      <c r="D8" s="165">
        <v>3000</v>
      </c>
      <c r="E8" s="165">
        <v>100</v>
      </c>
      <c r="F8" s="230">
        <f t="shared" si="1"/>
        <v>4300</v>
      </c>
      <c r="G8" s="215">
        <v>4000</v>
      </c>
      <c r="H8" s="165">
        <f t="shared" si="0"/>
        <v>300</v>
      </c>
      <c r="I8" s="23"/>
      <c r="J8" s="23"/>
    </row>
    <row r="9" spans="1:10" x14ac:dyDescent="0.25">
      <c r="A9" s="151"/>
      <c r="B9" s="228"/>
      <c r="C9" s="165">
        <f>'JULY 20'!H9:H20</f>
        <v>0</v>
      </c>
      <c r="D9" s="165"/>
      <c r="E9" s="165"/>
      <c r="F9" s="230">
        <f t="shared" si="1"/>
        <v>0</v>
      </c>
      <c r="G9" s="215"/>
      <c r="H9" s="165">
        <f t="shared" si="0"/>
        <v>0</v>
      </c>
      <c r="I9" s="23"/>
      <c r="J9" s="23"/>
    </row>
    <row r="10" spans="1:10" x14ac:dyDescent="0.25">
      <c r="A10" s="151" t="s">
        <v>402</v>
      </c>
      <c r="B10" s="228"/>
      <c r="C10" s="165">
        <f>'JULY 20'!H10:H21</f>
        <v>0</v>
      </c>
      <c r="D10" s="165">
        <v>3000</v>
      </c>
      <c r="E10" s="165">
        <v>100</v>
      </c>
      <c r="F10" s="230">
        <f t="shared" si="1"/>
        <v>3100</v>
      </c>
      <c r="G10" s="165">
        <f>2000+1000</f>
        <v>3000</v>
      </c>
      <c r="H10" s="165">
        <f>F10-G10</f>
        <v>100</v>
      </c>
      <c r="I10" s="23"/>
      <c r="J10" s="23"/>
    </row>
    <row r="11" spans="1:10" x14ac:dyDescent="0.25">
      <c r="A11" s="168" t="s">
        <v>544</v>
      </c>
      <c r="B11" s="235"/>
      <c r="C11" s="165">
        <f>'JULY 20'!H11:H22</f>
        <v>0</v>
      </c>
      <c r="D11" s="165">
        <v>3000</v>
      </c>
      <c r="E11" s="165">
        <v>100</v>
      </c>
      <c r="F11" s="230">
        <f t="shared" si="1"/>
        <v>3100</v>
      </c>
      <c r="G11" s="215">
        <f>3000+100</f>
        <v>3100</v>
      </c>
      <c r="H11" s="165">
        <f t="shared" si="0"/>
        <v>0</v>
      </c>
      <c r="I11" s="23" t="s">
        <v>80</v>
      </c>
      <c r="J11" s="23"/>
    </row>
    <row r="12" spans="1:10" x14ac:dyDescent="0.25">
      <c r="A12" s="167" t="s">
        <v>344</v>
      </c>
      <c r="B12" s="228"/>
      <c r="C12" s="165">
        <f>'JULY 20'!H12:H23</f>
        <v>0</v>
      </c>
      <c r="D12" s="165">
        <v>3000</v>
      </c>
      <c r="E12" s="165">
        <v>100</v>
      </c>
      <c r="F12" s="230">
        <f t="shared" si="1"/>
        <v>3100</v>
      </c>
      <c r="G12" s="233">
        <v>3100</v>
      </c>
      <c r="H12" s="165">
        <f t="shared" si="0"/>
        <v>0</v>
      </c>
      <c r="I12" s="23"/>
      <c r="J12" s="23"/>
    </row>
    <row r="13" spans="1:10" x14ac:dyDescent="0.25">
      <c r="A13" s="164" t="s">
        <v>495</v>
      </c>
      <c r="B13" s="231"/>
      <c r="C13" s="165">
        <f>'JULY 20'!H13:H24</f>
        <v>0</v>
      </c>
      <c r="D13" s="165">
        <v>3000</v>
      </c>
      <c r="E13" s="165">
        <v>100</v>
      </c>
      <c r="F13" s="230">
        <f t="shared" si="1"/>
        <v>3100</v>
      </c>
      <c r="G13" s="215">
        <v>3100</v>
      </c>
      <c r="H13" s="165">
        <f t="shared" si="0"/>
        <v>0</v>
      </c>
      <c r="I13" s="23"/>
      <c r="J13" s="23"/>
    </row>
    <row r="14" spans="1:10" x14ac:dyDescent="0.25">
      <c r="A14" s="169" t="s">
        <v>400</v>
      </c>
      <c r="B14" s="228"/>
      <c r="C14" s="165">
        <f>'JULY 20'!H14:H25</f>
        <v>0</v>
      </c>
      <c r="D14" s="165">
        <v>4500</v>
      </c>
      <c r="E14" s="165">
        <v>100</v>
      </c>
      <c r="F14" s="230">
        <f t="shared" si="1"/>
        <v>4600</v>
      </c>
      <c r="G14" s="215">
        <f>4600</f>
        <v>4600</v>
      </c>
      <c r="H14" s="165">
        <f t="shared" si="0"/>
        <v>0</v>
      </c>
      <c r="I14" s="23"/>
      <c r="J14" s="23"/>
    </row>
    <row r="15" spans="1:10" x14ac:dyDescent="0.25">
      <c r="A15" s="168" t="s">
        <v>345</v>
      </c>
      <c r="B15" s="228"/>
      <c r="C15" s="165">
        <f>'JULY 20'!H15:H26</f>
        <v>1100</v>
      </c>
      <c r="D15" s="165">
        <v>4500</v>
      </c>
      <c r="E15" s="165">
        <v>100</v>
      </c>
      <c r="F15" s="230">
        <f t="shared" si="1"/>
        <v>5700</v>
      </c>
      <c r="G15" s="215">
        <f>4000+500</f>
        <v>4500</v>
      </c>
      <c r="H15" s="165">
        <f>F15-G15</f>
        <v>1200</v>
      </c>
      <c r="I15" s="23"/>
      <c r="J15" s="23"/>
    </row>
    <row r="16" spans="1:10" x14ac:dyDescent="0.25">
      <c r="A16" s="197" t="s">
        <v>80</v>
      </c>
      <c r="B16" s="228"/>
      <c r="C16" s="165"/>
      <c r="D16" s="165"/>
      <c r="E16" s="165">
        <v>100</v>
      </c>
      <c r="F16" s="230">
        <f t="shared" si="1"/>
        <v>100</v>
      </c>
      <c r="G16" s="165">
        <v>100</v>
      </c>
      <c r="H16" s="165">
        <f>F16-G16</f>
        <v>0</v>
      </c>
      <c r="I16" s="23"/>
      <c r="J16" s="23">
        <f>H8+H9+H10+H12</f>
        <v>400</v>
      </c>
    </row>
    <row r="17" spans="1:10" x14ac:dyDescent="0.25">
      <c r="A17" s="213" t="s">
        <v>129</v>
      </c>
      <c r="B17" s="85">
        <f t="shared" ref="B17:G17" si="2">SUM(B5:B16)</f>
        <v>0</v>
      </c>
      <c r="C17" s="85" t="s">
        <v>560</v>
      </c>
      <c r="D17" s="217">
        <f t="shared" si="2"/>
        <v>30000</v>
      </c>
      <c r="E17" s="217">
        <f t="shared" si="2"/>
        <v>1000</v>
      </c>
      <c r="F17" s="213">
        <f t="shared" si="2"/>
        <v>33300</v>
      </c>
      <c r="G17" s="217">
        <f t="shared" si="2"/>
        <v>31600</v>
      </c>
      <c r="H17" s="217">
        <f>SUM(H5:H16)</f>
        <v>1700</v>
      </c>
      <c r="I17" s="23"/>
      <c r="J17" s="23"/>
    </row>
    <row r="18" spans="1:10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227" t="s">
        <v>557</v>
      </c>
      <c r="B19" s="227"/>
      <c r="C19" s="208"/>
      <c r="D19" s="209"/>
      <c r="E19" s="146"/>
      <c r="F19" s="147"/>
      <c r="G19" s="210">
        <f>G17-E17</f>
        <v>30600</v>
      </c>
      <c r="H19" s="147"/>
      <c r="I19" s="23"/>
      <c r="J19" s="23"/>
    </row>
    <row r="20" spans="1:10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  <c r="J20" s="23"/>
    </row>
    <row r="21" spans="1:10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  <c r="J21" s="23"/>
    </row>
    <row r="22" spans="1:10" x14ac:dyDescent="0.25">
      <c r="A22" s="165" t="s">
        <v>464</v>
      </c>
      <c r="B22" s="165"/>
      <c r="C22" s="165">
        <f>D17</f>
        <v>30000</v>
      </c>
      <c r="D22" s="165"/>
      <c r="E22" s="165"/>
      <c r="F22" s="165" t="s">
        <v>464</v>
      </c>
      <c r="G22" s="232">
        <f>G19</f>
        <v>30600</v>
      </c>
      <c r="H22" s="165"/>
      <c r="I22" s="165"/>
      <c r="J22" s="23"/>
    </row>
    <row r="23" spans="1:10" x14ac:dyDescent="0.25">
      <c r="A23" s="165" t="s">
        <v>1</v>
      </c>
      <c r="B23" s="165"/>
      <c r="C23" s="165">
        <f>'JULY 20'!E38</f>
        <v>4316</v>
      </c>
      <c r="D23" s="165"/>
      <c r="E23" s="165"/>
      <c r="F23" s="165" t="s">
        <v>1</v>
      </c>
      <c r="G23" s="165">
        <f>'JULY 20'!I38</f>
        <v>3366</v>
      </c>
      <c r="H23" s="165"/>
      <c r="I23" s="165"/>
      <c r="J23" s="23"/>
    </row>
    <row r="24" spans="1:10" x14ac:dyDescent="0.25">
      <c r="A24" s="165" t="s">
        <v>28</v>
      </c>
      <c r="B24" s="165"/>
      <c r="C24" s="230">
        <f>B17</f>
        <v>0</v>
      </c>
      <c r="D24" s="165"/>
      <c r="E24" s="165"/>
      <c r="F24" s="165" t="s">
        <v>28</v>
      </c>
      <c r="G24" s="165"/>
      <c r="H24" s="165"/>
      <c r="I24" s="165"/>
      <c r="J24" s="23"/>
    </row>
    <row r="25" spans="1:10" x14ac:dyDescent="0.25">
      <c r="A25" s="165" t="s">
        <v>325</v>
      </c>
      <c r="B25" s="165"/>
      <c r="C25" s="226">
        <v>0.1</v>
      </c>
      <c r="D25" s="165">
        <f>C22*C25</f>
        <v>3000</v>
      </c>
      <c r="E25" s="165"/>
      <c r="F25" s="165" t="s">
        <v>325</v>
      </c>
      <c r="G25" s="226">
        <v>0.1</v>
      </c>
      <c r="H25" s="165">
        <f>D25</f>
        <v>3000</v>
      </c>
      <c r="I25" s="165"/>
      <c r="J25" s="23"/>
    </row>
    <row r="26" spans="1:10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  <c r="J26" s="23"/>
    </row>
    <row r="27" spans="1:10" x14ac:dyDescent="0.25">
      <c r="A27" s="165" t="s">
        <v>520</v>
      </c>
      <c r="B27" s="165"/>
      <c r="C27" s="234">
        <v>0.3</v>
      </c>
      <c r="D27" s="222">
        <f>C27*B7</f>
        <v>0</v>
      </c>
      <c r="E27" s="165"/>
      <c r="F27" s="165" t="s">
        <v>520</v>
      </c>
      <c r="G27" s="174">
        <v>0.3</v>
      </c>
      <c r="H27" s="58">
        <f>G27*B7</f>
        <v>0</v>
      </c>
      <c r="I27" s="222"/>
      <c r="J27" s="23"/>
    </row>
    <row r="28" spans="1:10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  <c r="J28" s="23"/>
    </row>
    <row r="29" spans="1:10" x14ac:dyDescent="0.25">
      <c r="A29" s="222" t="s">
        <v>328</v>
      </c>
      <c r="B29" s="58"/>
      <c r="C29" s="151"/>
      <c r="D29" s="151"/>
      <c r="E29" s="165"/>
      <c r="F29" s="222" t="s">
        <v>328</v>
      </c>
      <c r="G29" s="58"/>
      <c r="H29" s="151"/>
      <c r="I29" s="151"/>
      <c r="J29" s="23"/>
    </row>
    <row r="30" spans="1:10" x14ac:dyDescent="0.25">
      <c r="A30" s="222" t="s">
        <v>377</v>
      </c>
      <c r="B30" s="58"/>
      <c r="C30" s="151"/>
      <c r="D30">
        <v>100</v>
      </c>
      <c r="E30" s="151"/>
      <c r="F30" s="222"/>
      <c r="G30" s="58"/>
      <c r="H30" s="151"/>
      <c r="I30" s="151"/>
      <c r="J30" s="23"/>
    </row>
    <row r="31" spans="1:10" x14ac:dyDescent="0.25">
      <c r="A31" s="222" t="s">
        <v>552</v>
      </c>
      <c r="B31" s="58"/>
      <c r="C31" s="151"/>
      <c r="D31" s="151">
        <v>1000</v>
      </c>
      <c r="E31" s="165"/>
      <c r="F31" s="222" t="s">
        <v>552</v>
      </c>
      <c r="G31" s="58"/>
      <c r="H31" s="151">
        <v>1000</v>
      </c>
      <c r="I31" s="151"/>
      <c r="J31" s="23"/>
    </row>
    <row r="32" spans="1:10" x14ac:dyDescent="0.25">
      <c r="A32" s="222" t="s">
        <v>553</v>
      </c>
      <c r="B32" s="58"/>
      <c r="C32" s="151"/>
      <c r="D32" s="151">
        <v>3100</v>
      </c>
      <c r="E32" s="165"/>
      <c r="F32" s="222" t="s">
        <v>553</v>
      </c>
      <c r="G32" s="58"/>
      <c r="H32" s="151">
        <v>3100</v>
      </c>
      <c r="I32" s="151"/>
      <c r="J32" s="23"/>
    </row>
    <row r="33" spans="1:10" x14ac:dyDescent="0.25">
      <c r="A33" s="222" t="s">
        <v>554</v>
      </c>
      <c r="B33" s="58"/>
      <c r="C33" s="151"/>
      <c r="D33" s="151">
        <v>3000</v>
      </c>
      <c r="E33" s="165"/>
      <c r="F33" s="222" t="s">
        <v>554</v>
      </c>
      <c r="G33" s="58"/>
      <c r="H33" s="151">
        <v>3000</v>
      </c>
      <c r="I33" s="151"/>
      <c r="J33" s="23"/>
    </row>
    <row r="34" spans="1:10" x14ac:dyDescent="0.25">
      <c r="A34" s="222" t="s">
        <v>555</v>
      </c>
      <c r="B34" s="58"/>
      <c r="C34" s="151"/>
      <c r="D34" s="165">
        <v>5200</v>
      </c>
      <c r="E34" s="165"/>
      <c r="F34" s="222" t="s">
        <v>555</v>
      </c>
      <c r="G34" s="58"/>
      <c r="H34" s="151">
        <f>D34</f>
        <v>5200</v>
      </c>
      <c r="I34" s="165"/>
      <c r="J34" s="23"/>
    </row>
    <row r="35" spans="1:10" x14ac:dyDescent="0.25">
      <c r="A35" s="222" t="s">
        <v>556</v>
      </c>
      <c r="B35" s="58"/>
      <c r="C35" s="151"/>
      <c r="D35" s="165">
        <v>3000</v>
      </c>
      <c r="E35" s="165"/>
      <c r="F35" s="222" t="s">
        <v>556</v>
      </c>
      <c r="G35" s="58"/>
      <c r="H35" s="151">
        <v>3000</v>
      </c>
      <c r="I35" s="165"/>
      <c r="J35" s="23"/>
    </row>
    <row r="36" spans="1:10" x14ac:dyDescent="0.25">
      <c r="A36" s="222" t="s">
        <v>561</v>
      </c>
      <c r="B36" s="58"/>
      <c r="C36" s="151"/>
      <c r="D36" s="165">
        <v>13000</v>
      </c>
      <c r="E36" s="165"/>
      <c r="F36" s="222" t="s">
        <v>561</v>
      </c>
      <c r="G36" s="58"/>
      <c r="H36" s="151">
        <v>13000</v>
      </c>
      <c r="I36" s="165"/>
      <c r="J36" s="23"/>
    </row>
    <row r="37" spans="1:10" x14ac:dyDescent="0.25">
      <c r="A37" s="222" t="s">
        <v>563</v>
      </c>
      <c r="B37" s="58"/>
      <c r="C37" s="151"/>
      <c r="D37" s="151">
        <v>200</v>
      </c>
      <c r="E37" s="165"/>
      <c r="F37" s="222" t="s">
        <v>562</v>
      </c>
      <c r="G37" s="58"/>
      <c r="H37" s="151">
        <v>200</v>
      </c>
      <c r="I37" s="151"/>
      <c r="J37" s="23"/>
    </row>
    <row r="38" spans="1:10" x14ac:dyDescent="0.25">
      <c r="A38" s="217" t="s">
        <v>129</v>
      </c>
      <c r="B38" s="217"/>
      <c r="C38" s="213">
        <f>C22+C23+C24-D25</f>
        <v>31316</v>
      </c>
      <c r="D38" s="217">
        <f>SUM(D27:D37)</f>
        <v>30600</v>
      </c>
      <c r="E38" s="217">
        <f>C38-D38</f>
        <v>716</v>
      </c>
      <c r="F38" s="217" t="s">
        <v>129</v>
      </c>
      <c r="G38" s="236">
        <f>G22+G23+G24-H25</f>
        <v>30966</v>
      </c>
      <c r="H38" s="217">
        <f>SUM(H27:H37)</f>
        <v>30500</v>
      </c>
      <c r="I38" s="221">
        <f>G38-H38</f>
        <v>466</v>
      </c>
      <c r="J38" s="23"/>
    </row>
    <row r="39" spans="1:10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</row>
    <row r="40" spans="1:10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  <c r="J40" s="23"/>
    </row>
    <row r="41" spans="1:10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 spans="1:10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  <c r="J42" s="58"/>
    </row>
    <row r="43" spans="1:10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</row>
    <row r="44" spans="1:10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</row>
  </sheetData>
  <pageMargins left="0.7" right="0.7" top="0.75" bottom="0.75" header="0.3" footer="0.3"/>
  <pageSetup orientation="portrait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M18" sqref="M18"/>
    </sheetView>
  </sheetViews>
  <sheetFormatPr defaultRowHeight="15" x14ac:dyDescent="0.25"/>
  <cols>
    <col min="2" max="2" width="10.5703125" customWidth="1"/>
    <col min="3" max="3" width="8.85546875" customWidth="1"/>
  </cols>
  <sheetData>
    <row r="1" spans="1:9" x14ac:dyDescent="0.25">
      <c r="A1" s="58"/>
      <c r="B1" s="58"/>
      <c r="C1" s="32" t="s">
        <v>222</v>
      </c>
      <c r="D1" s="32"/>
      <c r="E1" s="32"/>
      <c r="F1" s="32"/>
      <c r="G1" s="23"/>
      <c r="H1" s="23"/>
      <c r="I1" s="23"/>
    </row>
    <row r="2" spans="1:9" x14ac:dyDescent="0.25">
      <c r="A2" s="23"/>
      <c r="B2" s="58"/>
      <c r="C2" s="32" t="s">
        <v>388</v>
      </c>
      <c r="D2" s="32"/>
      <c r="E2" s="32"/>
      <c r="F2" s="32"/>
      <c r="G2" s="23"/>
      <c r="H2" s="23"/>
      <c r="I2" s="23"/>
    </row>
    <row r="3" spans="1:9" x14ac:dyDescent="0.25">
      <c r="A3" s="23"/>
      <c r="B3" s="23"/>
      <c r="C3" s="32" t="s">
        <v>565</v>
      </c>
      <c r="D3" s="32"/>
      <c r="E3" s="32"/>
      <c r="F3" s="32"/>
      <c r="G3" s="23"/>
      <c r="H3" s="23"/>
      <c r="I3" s="23"/>
    </row>
    <row r="4" spans="1:9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</row>
    <row r="5" spans="1:9" x14ac:dyDescent="0.25">
      <c r="A5" s="164"/>
      <c r="B5" s="228"/>
      <c r="C5" s="165">
        <f>'AUGUST 20'!H5:H16</f>
        <v>0</v>
      </c>
      <c r="D5" s="165"/>
      <c r="E5" s="165"/>
      <c r="F5" s="230"/>
      <c r="G5" s="215"/>
      <c r="H5" s="165"/>
      <c r="I5" s="23"/>
    </row>
    <row r="6" spans="1:9" x14ac:dyDescent="0.25">
      <c r="A6" s="164" t="s">
        <v>205</v>
      </c>
      <c r="B6" s="228"/>
      <c r="C6" s="165">
        <f>'AUGUST 20'!H6:H17</f>
        <v>0</v>
      </c>
      <c r="D6" s="165">
        <v>3000</v>
      </c>
      <c r="E6" s="165">
        <v>100</v>
      </c>
      <c r="F6" s="230">
        <f>C6+D6+E6+B6</f>
        <v>3100</v>
      </c>
      <c r="G6" s="165">
        <f>3100</f>
        <v>3100</v>
      </c>
      <c r="H6" s="165">
        <f t="shared" ref="H6:H14" si="0">F6-G6</f>
        <v>0</v>
      </c>
      <c r="I6" s="23"/>
    </row>
    <row r="7" spans="1:9" x14ac:dyDescent="0.25">
      <c r="A7" s="151" t="s">
        <v>542</v>
      </c>
      <c r="B7" s="235"/>
      <c r="C7" s="165">
        <f>'AUGUST 20'!H7:H18</f>
        <v>100</v>
      </c>
      <c r="D7" s="165">
        <v>3000</v>
      </c>
      <c r="E7" s="165">
        <v>100</v>
      </c>
      <c r="F7" s="230">
        <f t="shared" ref="F7:F16" si="1">C7+D7+E7+B7</f>
        <v>3200</v>
      </c>
      <c r="G7" s="215">
        <v>3000</v>
      </c>
      <c r="H7" s="165">
        <f t="shared" si="0"/>
        <v>200</v>
      </c>
      <c r="I7" s="23"/>
    </row>
    <row r="8" spans="1:9" x14ac:dyDescent="0.25">
      <c r="A8" s="167" t="s">
        <v>385</v>
      </c>
      <c r="B8" s="228"/>
      <c r="C8" s="165">
        <f>'AUGUST 20'!H8:H19</f>
        <v>300</v>
      </c>
      <c r="D8" s="165">
        <v>3000</v>
      </c>
      <c r="E8" s="165">
        <v>100</v>
      </c>
      <c r="F8" s="230">
        <f t="shared" si="1"/>
        <v>3400</v>
      </c>
      <c r="G8" s="215">
        <f>3000</f>
        <v>3000</v>
      </c>
      <c r="H8" s="165">
        <f t="shared" si="0"/>
        <v>400</v>
      </c>
      <c r="I8" s="23"/>
    </row>
    <row r="9" spans="1:9" x14ac:dyDescent="0.25">
      <c r="A9" s="151"/>
      <c r="B9" s="228"/>
      <c r="C9" s="165">
        <f>'AUGUST 20'!H9:H20</f>
        <v>0</v>
      </c>
      <c r="D9" s="165"/>
      <c r="E9" s="165"/>
      <c r="F9" s="230">
        <f t="shared" si="1"/>
        <v>0</v>
      </c>
      <c r="G9" s="215"/>
      <c r="H9" s="165">
        <f t="shared" si="0"/>
        <v>0</v>
      </c>
      <c r="I9" s="23"/>
    </row>
    <row r="10" spans="1:9" x14ac:dyDescent="0.25">
      <c r="A10" s="151" t="s">
        <v>402</v>
      </c>
      <c r="B10" s="228"/>
      <c r="C10" s="165">
        <f>'AUGUST 20'!H10:H21</f>
        <v>100</v>
      </c>
      <c r="D10" s="165">
        <v>3000</v>
      </c>
      <c r="E10" s="165">
        <v>100</v>
      </c>
      <c r="F10" s="230">
        <f t="shared" si="1"/>
        <v>3200</v>
      </c>
      <c r="G10" s="165">
        <f>1000</f>
        <v>1000</v>
      </c>
      <c r="H10" s="165">
        <f>F10-G10</f>
        <v>2200</v>
      </c>
      <c r="I10" s="23"/>
    </row>
    <row r="11" spans="1:9" x14ac:dyDescent="0.25">
      <c r="A11" s="168"/>
      <c r="B11" s="235"/>
      <c r="C11" s="165">
        <f>'AUGUST 20'!H11:H22</f>
        <v>0</v>
      </c>
      <c r="D11" s="165"/>
      <c r="E11" s="165"/>
      <c r="F11" s="230">
        <f t="shared" si="1"/>
        <v>0</v>
      </c>
      <c r="G11" s="215"/>
      <c r="H11" s="165">
        <f t="shared" si="0"/>
        <v>0</v>
      </c>
      <c r="I11" s="23" t="s">
        <v>80</v>
      </c>
    </row>
    <row r="12" spans="1:9" x14ac:dyDescent="0.25">
      <c r="A12" s="167" t="s">
        <v>344</v>
      </c>
      <c r="B12" s="228"/>
      <c r="C12" s="165">
        <f>'AUGUST 20'!H12:H23</f>
        <v>0</v>
      </c>
      <c r="D12" s="165">
        <v>3000</v>
      </c>
      <c r="E12" s="165">
        <v>100</v>
      </c>
      <c r="F12" s="230">
        <f t="shared" si="1"/>
        <v>3100</v>
      </c>
      <c r="G12" s="233">
        <v>3100</v>
      </c>
      <c r="H12" s="165">
        <f t="shared" si="0"/>
        <v>0</v>
      </c>
      <c r="I12" s="23"/>
    </row>
    <row r="13" spans="1:9" x14ac:dyDescent="0.25">
      <c r="A13" s="164" t="s">
        <v>495</v>
      </c>
      <c r="B13" s="231"/>
      <c r="C13" s="165">
        <f>'AUGUST 20'!H13:H24</f>
        <v>0</v>
      </c>
      <c r="D13" s="165">
        <v>3000</v>
      </c>
      <c r="E13" s="165">
        <v>100</v>
      </c>
      <c r="F13" s="230">
        <f t="shared" si="1"/>
        <v>3100</v>
      </c>
      <c r="G13" s="215">
        <f>3000+100</f>
        <v>3100</v>
      </c>
      <c r="H13" s="165">
        <f t="shared" si="0"/>
        <v>0</v>
      </c>
      <c r="I13" s="23"/>
    </row>
    <row r="14" spans="1:9" x14ac:dyDescent="0.25">
      <c r="A14" s="169" t="s">
        <v>400</v>
      </c>
      <c r="B14" s="228"/>
      <c r="C14" s="165">
        <f>'AUGUST 20'!H14:H25</f>
        <v>0</v>
      </c>
      <c r="D14" s="165">
        <v>4500</v>
      </c>
      <c r="E14" s="165">
        <v>100</v>
      </c>
      <c r="F14" s="230">
        <f t="shared" si="1"/>
        <v>4600</v>
      </c>
      <c r="G14" s="215">
        <f>2600+2000</f>
        <v>4600</v>
      </c>
      <c r="H14" s="165">
        <f t="shared" si="0"/>
        <v>0</v>
      </c>
      <c r="I14" s="23"/>
    </row>
    <row r="15" spans="1:9" x14ac:dyDescent="0.25">
      <c r="A15" s="168" t="s">
        <v>345</v>
      </c>
      <c r="B15" s="228"/>
      <c r="C15" s="165">
        <f>'AUGUST 20'!H15:H26</f>
        <v>1200</v>
      </c>
      <c r="D15" s="165">
        <v>4500</v>
      </c>
      <c r="E15" s="165">
        <v>100</v>
      </c>
      <c r="F15" s="230">
        <f t="shared" si="1"/>
        <v>5800</v>
      </c>
      <c r="G15" s="215">
        <f>4000+1000</f>
        <v>5000</v>
      </c>
      <c r="H15" s="165">
        <f>F15-G15</f>
        <v>800</v>
      </c>
      <c r="I15" s="23"/>
    </row>
    <row r="16" spans="1:9" x14ac:dyDescent="0.25">
      <c r="A16" s="197" t="s">
        <v>80</v>
      </c>
      <c r="B16" s="228"/>
      <c r="C16" s="165"/>
      <c r="D16" s="165"/>
      <c r="E16" s="165">
        <v>100</v>
      </c>
      <c r="F16" s="230">
        <f t="shared" si="1"/>
        <v>100</v>
      </c>
      <c r="G16" s="165">
        <v>100</v>
      </c>
      <c r="H16" s="165">
        <f>F16-G16</f>
        <v>0</v>
      </c>
      <c r="I16" s="23"/>
    </row>
    <row r="17" spans="1:9" x14ac:dyDescent="0.25">
      <c r="A17" s="213" t="s">
        <v>129</v>
      </c>
      <c r="B17" s="85">
        <f t="shared" ref="B17:H17" si="2">SUM(B5:B16)</f>
        <v>0</v>
      </c>
      <c r="C17" s="85" t="s">
        <v>571</v>
      </c>
      <c r="D17" s="217">
        <f t="shared" si="2"/>
        <v>27000</v>
      </c>
      <c r="E17" s="217">
        <f t="shared" si="2"/>
        <v>900</v>
      </c>
      <c r="F17" s="213">
        <f t="shared" si="2"/>
        <v>29600</v>
      </c>
      <c r="G17" s="217">
        <f t="shared" si="2"/>
        <v>26000</v>
      </c>
      <c r="H17" s="217">
        <f t="shared" si="2"/>
        <v>3600</v>
      </c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25">
      <c r="A19" s="227" t="s">
        <v>557</v>
      </c>
      <c r="B19" s="227"/>
      <c r="C19" s="208"/>
      <c r="D19" s="209"/>
      <c r="E19" s="146"/>
      <c r="F19" s="147"/>
      <c r="G19" s="210"/>
      <c r="H19" s="147"/>
      <c r="I19" s="23"/>
    </row>
    <row r="20" spans="1:9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165" t="s">
        <v>559</v>
      </c>
      <c r="B22" s="165"/>
      <c r="C22" s="165">
        <f>D17</f>
        <v>27000</v>
      </c>
      <c r="D22" s="165"/>
      <c r="E22" s="165"/>
      <c r="F22" s="165" t="s">
        <v>558</v>
      </c>
      <c r="G22" s="232">
        <f>G17</f>
        <v>26000</v>
      </c>
      <c r="H22" s="165"/>
      <c r="I22" s="165"/>
    </row>
    <row r="23" spans="1:9" x14ac:dyDescent="0.25">
      <c r="A23" s="165" t="s">
        <v>1</v>
      </c>
      <c r="B23" s="165"/>
      <c r="C23" s="165">
        <f>'AUGUST 20'!E38</f>
        <v>716</v>
      </c>
      <c r="D23" s="165"/>
      <c r="E23" s="165"/>
      <c r="F23" s="165" t="s">
        <v>1</v>
      </c>
      <c r="G23" s="165">
        <f>'AUGUST 20'!I38</f>
        <v>466</v>
      </c>
      <c r="H23" s="165"/>
      <c r="I23" s="165"/>
    </row>
    <row r="24" spans="1:9" x14ac:dyDescent="0.25">
      <c r="A24" s="165" t="s">
        <v>28</v>
      </c>
      <c r="B24" s="165"/>
      <c r="C24" s="230">
        <f>B17</f>
        <v>0</v>
      </c>
      <c r="D24" s="165"/>
      <c r="E24" s="165"/>
      <c r="F24" s="165" t="s">
        <v>28</v>
      </c>
      <c r="G24" s="165"/>
      <c r="H24" s="165"/>
      <c r="I24" s="165"/>
    </row>
    <row r="25" spans="1:9" x14ac:dyDescent="0.25">
      <c r="A25" s="165" t="s">
        <v>325</v>
      </c>
      <c r="B25" s="165"/>
      <c r="C25" s="226">
        <v>0.1</v>
      </c>
      <c r="D25" s="165">
        <f>C22*C25</f>
        <v>2700</v>
      </c>
      <c r="E25" s="165"/>
      <c r="F25" s="165" t="s">
        <v>325</v>
      </c>
      <c r="G25" s="226">
        <v>0.1</v>
      </c>
      <c r="H25" s="165">
        <f>D25</f>
        <v>2700</v>
      </c>
      <c r="I25" s="165"/>
    </row>
    <row r="26" spans="1:9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</row>
    <row r="27" spans="1:9" x14ac:dyDescent="0.25">
      <c r="A27" s="165" t="s">
        <v>520</v>
      </c>
      <c r="B27" s="165"/>
      <c r="C27" s="234">
        <v>0.3</v>
      </c>
      <c r="D27" s="222">
        <f>C27*B7</f>
        <v>0</v>
      </c>
      <c r="E27" s="165"/>
      <c r="F27" s="165" t="s">
        <v>520</v>
      </c>
      <c r="G27" s="174">
        <v>0.3</v>
      </c>
      <c r="H27" s="58">
        <f>G27*B7</f>
        <v>0</v>
      </c>
      <c r="I27" s="222"/>
    </row>
    <row r="28" spans="1:9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</row>
    <row r="29" spans="1:9" x14ac:dyDescent="0.25">
      <c r="A29" s="222" t="s">
        <v>377</v>
      </c>
      <c r="B29" s="58"/>
      <c r="C29" s="151"/>
      <c r="D29" s="151">
        <v>100</v>
      </c>
      <c r="E29" s="165"/>
      <c r="F29" s="222" t="s">
        <v>377</v>
      </c>
      <c r="G29" s="58"/>
      <c r="H29" s="151">
        <f>E17</f>
        <v>900</v>
      </c>
      <c r="I29" s="151"/>
    </row>
    <row r="30" spans="1:9" x14ac:dyDescent="0.25">
      <c r="A30" s="222" t="s">
        <v>328</v>
      </c>
      <c r="B30" s="58"/>
      <c r="C30" s="151"/>
      <c r="D30" s="151"/>
      <c r="E30" s="165"/>
      <c r="F30" s="222" t="s">
        <v>328</v>
      </c>
      <c r="G30" s="58"/>
      <c r="H30" s="151"/>
      <c r="I30" s="151"/>
    </row>
    <row r="31" spans="1:9" x14ac:dyDescent="0.25">
      <c r="A31" s="222" t="s">
        <v>564</v>
      </c>
      <c r="B31" s="58"/>
      <c r="C31" s="151"/>
      <c r="D31" s="58">
        <v>2000</v>
      </c>
      <c r="E31" s="151"/>
      <c r="F31" s="222" t="s">
        <v>564</v>
      </c>
      <c r="G31" s="58"/>
      <c r="H31" s="151">
        <v>2000</v>
      </c>
      <c r="I31" s="58"/>
    </row>
    <row r="32" spans="1:9" x14ac:dyDescent="0.25">
      <c r="A32" s="222" t="s">
        <v>566</v>
      </c>
      <c r="B32" s="58"/>
      <c r="C32" s="151"/>
      <c r="D32" s="151">
        <v>5500</v>
      </c>
      <c r="E32" s="165"/>
      <c r="F32" s="222" t="s">
        <v>566</v>
      </c>
      <c r="G32" s="58"/>
      <c r="H32" s="151">
        <v>5500</v>
      </c>
      <c r="I32" s="151"/>
    </row>
    <row r="33" spans="1:9" x14ac:dyDescent="0.25">
      <c r="A33" s="222" t="s">
        <v>567</v>
      </c>
      <c r="B33" s="58"/>
      <c r="C33" s="151"/>
      <c r="D33" s="151">
        <v>5500</v>
      </c>
      <c r="E33" s="165"/>
      <c r="F33" s="222" t="s">
        <v>567</v>
      </c>
      <c r="G33" s="58"/>
      <c r="H33" s="151">
        <v>5500</v>
      </c>
      <c r="I33" s="151"/>
    </row>
    <row r="34" spans="1:9" x14ac:dyDescent="0.25">
      <c r="A34" s="222" t="s">
        <v>568</v>
      </c>
      <c r="B34" s="58"/>
      <c r="C34" s="151"/>
      <c r="D34" s="165">
        <v>2000</v>
      </c>
      <c r="E34" s="165"/>
      <c r="F34" s="222" t="s">
        <v>568</v>
      </c>
      <c r="G34" s="58"/>
      <c r="H34" s="151">
        <v>2000</v>
      </c>
      <c r="I34" s="165"/>
    </row>
    <row r="35" spans="1:9" x14ac:dyDescent="0.25">
      <c r="A35" s="222" t="s">
        <v>499</v>
      </c>
      <c r="B35" s="58"/>
      <c r="C35" s="151"/>
      <c r="D35" s="165">
        <v>1000</v>
      </c>
      <c r="E35" s="165"/>
      <c r="F35" s="222" t="s">
        <v>499</v>
      </c>
      <c r="G35" s="58"/>
      <c r="H35" s="151">
        <v>1000</v>
      </c>
      <c r="I35" s="165"/>
    </row>
    <row r="36" spans="1:9" x14ac:dyDescent="0.25">
      <c r="A36" s="222" t="s">
        <v>569</v>
      </c>
      <c r="B36" s="58"/>
      <c r="C36" s="151"/>
      <c r="D36" s="165">
        <v>200</v>
      </c>
      <c r="E36" s="165"/>
      <c r="F36" s="222" t="s">
        <v>569</v>
      </c>
      <c r="G36" s="58"/>
      <c r="H36" s="151">
        <v>200</v>
      </c>
      <c r="I36" s="165"/>
    </row>
    <row r="37" spans="1:9" x14ac:dyDescent="0.25">
      <c r="A37" s="222" t="s">
        <v>572</v>
      </c>
      <c r="B37" s="58"/>
      <c r="C37" s="151"/>
      <c r="D37" s="151">
        <v>3500</v>
      </c>
      <c r="E37" s="165"/>
      <c r="F37" s="222" t="s">
        <v>572</v>
      </c>
      <c r="G37" s="58"/>
      <c r="H37" s="151">
        <v>3500</v>
      </c>
      <c r="I37" s="151"/>
    </row>
    <row r="38" spans="1:9" x14ac:dyDescent="0.25">
      <c r="A38" s="217" t="s">
        <v>129</v>
      </c>
      <c r="B38" s="217"/>
      <c r="C38" s="213">
        <f>C22+C23+C24-D25</f>
        <v>25016</v>
      </c>
      <c r="D38" s="217">
        <f>SUM(D27:D37)</f>
        <v>21800</v>
      </c>
      <c r="E38" s="217">
        <f>C38-D38</f>
        <v>3216</v>
      </c>
      <c r="F38" s="217" t="s">
        <v>129</v>
      </c>
      <c r="G38" s="236">
        <f>G22+G23+G24-H25</f>
        <v>23766</v>
      </c>
      <c r="H38" s="217">
        <f>SUM(H27:H37)</f>
        <v>22600</v>
      </c>
      <c r="I38" s="221">
        <f>G38-H38</f>
        <v>1166</v>
      </c>
    </row>
    <row r="39" spans="1:9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</row>
    <row r="41" spans="1:9" x14ac:dyDescent="0.25">
      <c r="A41" s="23"/>
      <c r="B41" s="23"/>
      <c r="C41" s="23"/>
      <c r="D41" s="23"/>
      <c r="E41" s="23"/>
      <c r="F41" s="23"/>
      <c r="G41" s="23"/>
      <c r="H41" s="23"/>
      <c r="I41" s="23"/>
    </row>
    <row r="42" spans="1:9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</row>
    <row r="43" spans="1:9" x14ac:dyDescent="0.25">
      <c r="A43" s="58"/>
      <c r="B43" s="58"/>
      <c r="C43" s="58"/>
      <c r="D43" s="58"/>
      <c r="E43" s="58"/>
      <c r="F43" s="58"/>
      <c r="G43" s="58"/>
      <c r="H43" s="58"/>
      <c r="I43" s="58"/>
    </row>
    <row r="44" spans="1:9" x14ac:dyDescent="0.25">
      <c r="A44" s="58"/>
      <c r="B44" s="58"/>
      <c r="C44" s="58"/>
      <c r="D44" s="58"/>
      <c r="E44" s="58"/>
      <c r="F44" s="58"/>
      <c r="G44" s="58"/>
      <c r="H44" s="58"/>
      <c r="I44" s="58"/>
    </row>
  </sheetData>
  <pageMargins left="0.7" right="0.7" top="0.75" bottom="0.75" header="0.3" footer="0.3"/>
  <pageSetup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4" workbookViewId="0">
      <selection activeCell="K40" sqref="K40"/>
    </sheetView>
  </sheetViews>
  <sheetFormatPr defaultRowHeight="15" x14ac:dyDescent="0.25"/>
  <cols>
    <col min="1" max="1" width="19.28515625" customWidth="1"/>
    <col min="2" max="2" width="9.140625" customWidth="1"/>
    <col min="6" max="6" width="9.140625" customWidth="1"/>
    <col min="9" max="9" width="9.85546875" bestFit="1" customWidth="1"/>
  </cols>
  <sheetData>
    <row r="1" spans="1:11" x14ac:dyDescent="0.25">
      <c r="A1" s="58"/>
      <c r="B1" s="58"/>
      <c r="C1" s="32" t="s">
        <v>222</v>
      </c>
      <c r="D1" s="32"/>
      <c r="E1" s="32"/>
      <c r="F1" s="32"/>
      <c r="G1" s="23"/>
      <c r="H1" s="23"/>
      <c r="I1" s="23"/>
      <c r="J1" s="58"/>
      <c r="K1" s="58"/>
    </row>
    <row r="2" spans="1:11" x14ac:dyDescent="0.25">
      <c r="A2" s="23"/>
      <c r="B2" s="58"/>
      <c r="C2" s="32" t="s">
        <v>388</v>
      </c>
      <c r="D2" s="32"/>
      <c r="E2" s="32"/>
      <c r="F2" s="32"/>
      <c r="G2" s="23"/>
      <c r="H2" s="23"/>
      <c r="I2" s="23"/>
      <c r="J2" s="58"/>
      <c r="K2" s="58"/>
    </row>
    <row r="3" spans="1:11" x14ac:dyDescent="0.25">
      <c r="A3" s="23"/>
      <c r="B3" s="23"/>
      <c r="C3" s="32" t="s">
        <v>576</v>
      </c>
      <c r="D3" s="32"/>
      <c r="E3" s="32"/>
      <c r="F3" s="32"/>
      <c r="G3" s="23"/>
      <c r="H3" s="23"/>
      <c r="I3" s="23"/>
      <c r="J3" s="58"/>
      <c r="K3" s="58"/>
    </row>
    <row r="4" spans="1:11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  <c r="J4" s="58"/>
      <c r="K4" s="58"/>
    </row>
    <row r="5" spans="1:11" x14ac:dyDescent="0.25">
      <c r="A5" s="164"/>
      <c r="B5" s="228"/>
      <c r="C5" s="165">
        <f>SEPTEMBER20!H5:H17</f>
        <v>0</v>
      </c>
      <c r="D5" s="165"/>
      <c r="E5" s="165"/>
      <c r="F5" s="230"/>
      <c r="G5" s="215"/>
      <c r="H5" s="165"/>
      <c r="I5" s="23"/>
      <c r="J5" s="58"/>
      <c r="K5" s="58"/>
    </row>
    <row r="6" spans="1:11" x14ac:dyDescent="0.25">
      <c r="A6" s="164" t="s">
        <v>205</v>
      </c>
      <c r="B6" s="228"/>
      <c r="C6" s="165">
        <f>SEPTEMBER20!H6:H18</f>
        <v>0</v>
      </c>
      <c r="D6" s="165">
        <v>3000</v>
      </c>
      <c r="E6" s="165">
        <v>100</v>
      </c>
      <c r="F6" s="230">
        <f>C6+D6+E6+B6</f>
        <v>3100</v>
      </c>
      <c r="G6" s="165">
        <v>3100</v>
      </c>
      <c r="H6" s="165">
        <f t="shared" ref="H6:H14" si="0">F6-G6</f>
        <v>0</v>
      </c>
      <c r="I6" s="23"/>
      <c r="J6" s="58"/>
      <c r="K6" s="58"/>
    </row>
    <row r="7" spans="1:11" x14ac:dyDescent="0.25">
      <c r="A7" s="151" t="s">
        <v>542</v>
      </c>
      <c r="B7" s="235"/>
      <c r="C7" s="165">
        <f>SEPTEMBER20!H7:H19</f>
        <v>200</v>
      </c>
      <c r="D7" s="165">
        <v>3000</v>
      </c>
      <c r="E7" s="165">
        <v>100</v>
      </c>
      <c r="F7" s="230">
        <f t="shared" ref="F7:F17" si="1">C7+D7+E7+B7</f>
        <v>3300</v>
      </c>
      <c r="G7" s="215">
        <f>3100+200</f>
        <v>3300</v>
      </c>
      <c r="H7" s="165">
        <f t="shared" si="0"/>
        <v>0</v>
      </c>
      <c r="I7" s="23"/>
      <c r="J7" s="58"/>
      <c r="K7" s="58"/>
    </row>
    <row r="8" spans="1:11" x14ac:dyDescent="0.25">
      <c r="A8" s="167" t="s">
        <v>370</v>
      </c>
      <c r="B8" s="228"/>
      <c r="C8" s="165"/>
      <c r="D8" s="165"/>
      <c r="E8" s="165"/>
      <c r="F8" s="230">
        <f t="shared" si="1"/>
        <v>0</v>
      </c>
      <c r="G8" s="215"/>
      <c r="H8" s="165">
        <f t="shared" si="0"/>
        <v>0</v>
      </c>
      <c r="I8" s="23"/>
      <c r="J8" s="58"/>
      <c r="K8" s="58"/>
    </row>
    <row r="9" spans="1:11" x14ac:dyDescent="0.25">
      <c r="A9" s="151" t="s">
        <v>574</v>
      </c>
      <c r="B9" s="235">
        <v>3000</v>
      </c>
      <c r="C9" s="165">
        <f>SEPTEMBER20!H9:H21</f>
        <v>0</v>
      </c>
      <c r="D9" s="165">
        <v>3000</v>
      </c>
      <c r="E9" s="165">
        <v>100</v>
      </c>
      <c r="F9" s="230">
        <f t="shared" si="1"/>
        <v>6100</v>
      </c>
      <c r="G9" s="215">
        <v>4500</v>
      </c>
      <c r="H9" s="165">
        <f t="shared" si="0"/>
        <v>1600</v>
      </c>
      <c r="I9" s="23"/>
      <c r="J9" s="58"/>
      <c r="K9" s="58"/>
    </row>
    <row r="10" spans="1:11" x14ac:dyDescent="0.25">
      <c r="A10" s="151" t="s">
        <v>402</v>
      </c>
      <c r="B10" s="228"/>
      <c r="C10" s="165">
        <f>SEPTEMBER20!H10:H22</f>
        <v>2200</v>
      </c>
      <c r="D10" s="165">
        <v>3000</v>
      </c>
      <c r="E10" s="165"/>
      <c r="F10" s="230">
        <f t="shared" si="1"/>
        <v>5200</v>
      </c>
      <c r="G10" s="165">
        <f>1000+3000</f>
        <v>4000</v>
      </c>
      <c r="H10" s="165">
        <f>F10-G10</f>
        <v>1200</v>
      </c>
      <c r="I10" s="23"/>
      <c r="J10" s="58"/>
      <c r="K10" s="58"/>
    </row>
    <row r="11" spans="1:11" x14ac:dyDescent="0.25">
      <c r="A11" s="168" t="s">
        <v>573</v>
      </c>
      <c r="B11" s="235"/>
      <c r="C11" s="165">
        <f>SEPTEMBER20!H11:H23</f>
        <v>0</v>
      </c>
      <c r="D11" s="165">
        <v>3000</v>
      </c>
      <c r="E11" s="165">
        <v>100</v>
      </c>
      <c r="F11" s="230">
        <f t="shared" si="1"/>
        <v>3100</v>
      </c>
      <c r="G11" s="215"/>
      <c r="H11" s="230"/>
      <c r="I11" s="23" t="s">
        <v>582</v>
      </c>
      <c r="J11" s="58"/>
      <c r="K11" s="58"/>
    </row>
    <row r="12" spans="1:11" x14ac:dyDescent="0.25">
      <c r="A12" s="167" t="s">
        <v>344</v>
      </c>
      <c r="B12" s="228"/>
      <c r="C12" s="165">
        <f>SEPTEMBER20!H12:H24</f>
        <v>0</v>
      </c>
      <c r="D12" s="165">
        <v>3000</v>
      </c>
      <c r="E12" s="165">
        <v>100</v>
      </c>
      <c r="F12" s="230">
        <f t="shared" si="1"/>
        <v>3100</v>
      </c>
      <c r="G12" s="233">
        <v>3100</v>
      </c>
      <c r="H12" s="165">
        <f t="shared" si="0"/>
        <v>0</v>
      </c>
      <c r="I12" s="23"/>
      <c r="J12" s="58"/>
      <c r="K12" s="58"/>
    </row>
    <row r="13" spans="1:11" x14ac:dyDescent="0.25">
      <c r="A13" s="164" t="s">
        <v>495</v>
      </c>
      <c r="B13" s="231"/>
      <c r="C13" s="165">
        <f>SEPTEMBER20!H13:H25</f>
        <v>0</v>
      </c>
      <c r="D13" s="165">
        <v>3000</v>
      </c>
      <c r="E13" s="165">
        <v>100</v>
      </c>
      <c r="F13" s="230">
        <f t="shared" si="1"/>
        <v>3100</v>
      </c>
      <c r="G13" s="215">
        <f>3100</f>
        <v>3100</v>
      </c>
      <c r="H13" s="165">
        <f t="shared" si="0"/>
        <v>0</v>
      </c>
      <c r="I13" s="23"/>
      <c r="J13" s="58"/>
      <c r="K13" s="58"/>
    </row>
    <row r="14" spans="1:11" x14ac:dyDescent="0.25">
      <c r="A14" s="169" t="s">
        <v>400</v>
      </c>
      <c r="B14" s="228"/>
      <c r="C14" s="165">
        <f>SEPTEMBER20!H14:H26</f>
        <v>0</v>
      </c>
      <c r="D14" s="165">
        <v>4500</v>
      </c>
      <c r="E14" s="165">
        <v>100</v>
      </c>
      <c r="F14" s="230">
        <f t="shared" si="1"/>
        <v>4600</v>
      </c>
      <c r="G14" s="215">
        <f>2000+2600</f>
        <v>4600</v>
      </c>
      <c r="H14" s="165">
        <f t="shared" si="0"/>
        <v>0</v>
      </c>
      <c r="I14" s="23">
        <f>H15+H10</f>
        <v>3600</v>
      </c>
      <c r="J14" s="58"/>
      <c r="K14" s="58"/>
    </row>
    <row r="15" spans="1:11" x14ac:dyDescent="0.25">
      <c r="A15" s="168" t="s">
        <v>345</v>
      </c>
      <c r="B15" s="228"/>
      <c r="C15" s="165">
        <f>SEPTEMBER20!H15:H27</f>
        <v>800</v>
      </c>
      <c r="D15" s="165">
        <v>4500</v>
      </c>
      <c r="E15" s="165">
        <v>100</v>
      </c>
      <c r="F15" s="230">
        <f t="shared" si="1"/>
        <v>5400</v>
      </c>
      <c r="G15" s="215">
        <f>2000+1000</f>
        <v>3000</v>
      </c>
      <c r="H15" s="230">
        <f>F15-G15</f>
        <v>2400</v>
      </c>
      <c r="I15" s="23"/>
      <c r="J15" s="58"/>
      <c r="K15" s="58"/>
    </row>
    <row r="16" spans="1:11" x14ac:dyDescent="0.25">
      <c r="A16" s="197" t="s">
        <v>80</v>
      </c>
      <c r="B16" s="228"/>
      <c r="C16" s="165">
        <f>SEPTEMBER20!H16:H28</f>
        <v>0</v>
      </c>
      <c r="D16" s="165"/>
      <c r="E16" s="165">
        <v>100</v>
      </c>
      <c r="F16" s="230">
        <f t="shared" si="1"/>
        <v>100</v>
      </c>
      <c r="G16" s="165">
        <v>100</v>
      </c>
      <c r="H16" s="165">
        <f>F16-G16</f>
        <v>0</v>
      </c>
      <c r="I16" s="23"/>
      <c r="J16" s="58"/>
      <c r="K16" s="58"/>
    </row>
    <row r="17" spans="1:16" x14ac:dyDescent="0.25">
      <c r="A17" s="213" t="s">
        <v>129</v>
      </c>
      <c r="B17" s="85">
        <f>SUM(B5:B16)</f>
        <v>3000</v>
      </c>
      <c r="C17" s="165">
        <f>SEPTEMBER20!H17:H29</f>
        <v>3600</v>
      </c>
      <c r="D17" s="217">
        <f t="shared" ref="D17:E17" si="2">SUM(D5:D16)</f>
        <v>30000</v>
      </c>
      <c r="E17" s="217">
        <f t="shared" si="2"/>
        <v>900</v>
      </c>
      <c r="F17" s="230">
        <f t="shared" si="1"/>
        <v>37500</v>
      </c>
      <c r="G17" s="217">
        <f>SUM(G5:G16)</f>
        <v>28800</v>
      </c>
      <c r="H17" s="217">
        <f>SUM(H5:H16)</f>
        <v>5200</v>
      </c>
      <c r="I17" s="23"/>
      <c r="J17" s="58"/>
      <c r="K17" s="58"/>
    </row>
    <row r="18" spans="1:16" x14ac:dyDescent="0.25">
      <c r="A18" s="23"/>
      <c r="B18" s="23"/>
      <c r="C18" s="23"/>
      <c r="D18" s="23"/>
      <c r="E18" s="23"/>
      <c r="F18" s="23"/>
      <c r="G18" s="23"/>
      <c r="H18" s="237" t="s">
        <v>592</v>
      </c>
      <c r="I18" s="23"/>
      <c r="J18" s="58"/>
      <c r="K18" s="58"/>
    </row>
    <row r="19" spans="1:16" x14ac:dyDescent="0.25">
      <c r="A19" s="227" t="s">
        <v>557</v>
      </c>
      <c r="B19" s="227"/>
      <c r="C19" s="208"/>
      <c r="D19" s="209"/>
      <c r="E19" s="146"/>
      <c r="F19" s="147"/>
      <c r="G19" s="210"/>
      <c r="H19" s="147"/>
      <c r="I19" s="23"/>
      <c r="J19" s="58"/>
      <c r="K19" s="100"/>
    </row>
    <row r="20" spans="1:16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  <c r="J20" s="58"/>
      <c r="K20" s="58"/>
      <c r="O20" s="213" t="s">
        <v>586</v>
      </c>
    </row>
    <row r="21" spans="1:16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  <c r="J21" s="58"/>
      <c r="K21" s="58"/>
    </row>
    <row r="22" spans="1:16" x14ac:dyDescent="0.25">
      <c r="A22" s="165" t="s">
        <v>570</v>
      </c>
      <c r="B22" s="165"/>
      <c r="C22" s="165">
        <f>D17</f>
        <v>30000</v>
      </c>
      <c r="D22" s="165"/>
      <c r="E22" s="165"/>
      <c r="F22" s="165" t="s">
        <v>570</v>
      </c>
      <c r="G22" s="232">
        <f>G17</f>
        <v>28800</v>
      </c>
      <c r="H22" s="165"/>
      <c r="I22" s="165"/>
      <c r="J22" s="58"/>
      <c r="K22" s="58"/>
    </row>
    <row r="23" spans="1:16" x14ac:dyDescent="0.25">
      <c r="A23" s="165" t="s">
        <v>1</v>
      </c>
      <c r="B23" s="165"/>
      <c r="C23" s="165">
        <f>SEPTEMBER20!E38</f>
        <v>3216</v>
      </c>
      <c r="D23" s="165"/>
      <c r="E23" s="165"/>
      <c r="F23" s="165" t="s">
        <v>1</v>
      </c>
      <c r="G23" s="165">
        <f>SEPTEMBER20!I38</f>
        <v>1166</v>
      </c>
      <c r="H23" s="165"/>
      <c r="I23" s="165"/>
      <c r="J23" s="58"/>
      <c r="K23" s="58"/>
      <c r="P23" s="213" t="s">
        <v>587</v>
      </c>
    </row>
    <row r="24" spans="1:16" x14ac:dyDescent="0.25">
      <c r="A24" s="165" t="s">
        <v>28</v>
      </c>
      <c r="B24" s="165"/>
      <c r="C24" s="165">
        <v>1500</v>
      </c>
      <c r="D24" s="165"/>
      <c r="E24" s="165"/>
      <c r="F24" s="165" t="s">
        <v>28</v>
      </c>
      <c r="G24" s="165"/>
      <c r="H24" s="165"/>
      <c r="I24" s="165"/>
      <c r="J24" s="58"/>
      <c r="K24" s="58"/>
    </row>
    <row r="25" spans="1:16" x14ac:dyDescent="0.25">
      <c r="A25" s="165" t="s">
        <v>325</v>
      </c>
      <c r="B25" s="165"/>
      <c r="C25" s="226">
        <v>0.1</v>
      </c>
      <c r="D25" s="165">
        <f>C22*C25</f>
        <v>3000</v>
      </c>
      <c r="E25" s="165"/>
      <c r="F25" s="165" t="s">
        <v>325</v>
      </c>
      <c r="G25" s="226">
        <v>0.1</v>
      </c>
      <c r="H25" s="165">
        <f>D25</f>
        <v>3000</v>
      </c>
      <c r="I25" s="165"/>
      <c r="J25" s="58"/>
      <c r="K25" s="58"/>
    </row>
    <row r="26" spans="1:16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  <c r="J26" s="58"/>
      <c r="K26" s="58"/>
    </row>
    <row r="27" spans="1:16" x14ac:dyDescent="0.25">
      <c r="A27" s="165" t="s">
        <v>520</v>
      </c>
      <c r="B27" s="165"/>
      <c r="C27" s="234">
        <v>0.3</v>
      </c>
      <c r="D27" s="222">
        <f>C27*B7</f>
        <v>0</v>
      </c>
      <c r="E27" s="165"/>
      <c r="F27" s="165"/>
      <c r="G27" s="174"/>
      <c r="H27" s="58"/>
      <c r="I27" s="222"/>
      <c r="J27" s="58"/>
      <c r="K27" s="58"/>
    </row>
    <row r="28" spans="1:16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  <c r="J28" s="58"/>
      <c r="K28" s="58"/>
    </row>
    <row r="29" spans="1:16" x14ac:dyDescent="0.25">
      <c r="A29" s="222" t="s">
        <v>377</v>
      </c>
      <c r="B29" s="58"/>
      <c r="C29" s="151"/>
      <c r="D29" s="151">
        <v>100</v>
      </c>
      <c r="E29" s="165"/>
      <c r="F29" s="222" t="s">
        <v>377</v>
      </c>
      <c r="G29" s="58"/>
      <c r="H29" s="151">
        <f>E17</f>
        <v>900</v>
      </c>
      <c r="I29" s="151"/>
      <c r="J29" s="58"/>
      <c r="K29" s="58"/>
    </row>
    <row r="30" spans="1:16" x14ac:dyDescent="0.25">
      <c r="A30" s="222" t="s">
        <v>328</v>
      </c>
      <c r="B30" s="58"/>
      <c r="C30" s="151"/>
      <c r="D30" s="151">
        <f>3500+7000</f>
        <v>10500</v>
      </c>
      <c r="E30" s="165"/>
      <c r="F30" s="222" t="s">
        <v>328</v>
      </c>
      <c r="G30" s="58"/>
      <c r="H30" s="151">
        <f>3500+7000</f>
        <v>10500</v>
      </c>
      <c r="I30" s="151"/>
      <c r="J30" s="58"/>
      <c r="K30" s="58"/>
    </row>
    <row r="31" spans="1:16" x14ac:dyDescent="0.25">
      <c r="A31" s="222" t="s">
        <v>575</v>
      </c>
      <c r="B31" s="58"/>
      <c r="C31" s="151"/>
      <c r="D31" s="58">
        <v>3000</v>
      </c>
      <c r="E31" s="151"/>
      <c r="F31" s="222" t="s">
        <v>575</v>
      </c>
      <c r="G31" s="58"/>
      <c r="H31" s="151">
        <v>3000</v>
      </c>
      <c r="I31" s="58"/>
      <c r="J31" s="58"/>
      <c r="K31" s="58"/>
    </row>
    <row r="32" spans="1:16" x14ac:dyDescent="0.25">
      <c r="A32" s="222" t="s">
        <v>470</v>
      </c>
      <c r="B32" s="58"/>
      <c r="C32" s="151"/>
      <c r="D32" s="151">
        <v>50</v>
      </c>
      <c r="E32" s="165"/>
      <c r="F32" s="222" t="s">
        <v>470</v>
      </c>
      <c r="G32" s="58"/>
      <c r="H32" s="151">
        <v>50</v>
      </c>
      <c r="I32" s="151"/>
      <c r="J32" s="58"/>
      <c r="K32" s="58"/>
    </row>
    <row r="33" spans="1:13" x14ac:dyDescent="0.25">
      <c r="A33" s="222" t="s">
        <v>577</v>
      </c>
      <c r="B33" s="58"/>
      <c r="C33" s="151"/>
      <c r="D33" s="151">
        <v>4500</v>
      </c>
      <c r="E33" s="165"/>
      <c r="F33" s="222" t="s">
        <v>577</v>
      </c>
      <c r="G33" s="58"/>
      <c r="H33" s="151">
        <v>4500</v>
      </c>
      <c r="I33" s="151"/>
      <c r="J33" s="58"/>
      <c r="K33" s="58"/>
    </row>
    <row r="34" spans="1:13" x14ac:dyDescent="0.25">
      <c r="A34" s="222" t="s">
        <v>578</v>
      </c>
      <c r="B34" s="58"/>
      <c r="C34" s="151"/>
      <c r="D34" s="165">
        <v>2000</v>
      </c>
      <c r="E34" s="165"/>
      <c r="F34" s="222" t="s">
        <v>578</v>
      </c>
      <c r="G34" s="58"/>
      <c r="H34" s="151">
        <v>2000</v>
      </c>
      <c r="I34" s="165"/>
      <c r="J34" s="58"/>
      <c r="K34" s="58"/>
    </row>
    <row r="35" spans="1:13" x14ac:dyDescent="0.25">
      <c r="A35" s="222" t="s">
        <v>581</v>
      </c>
      <c r="B35" s="58"/>
      <c r="C35" s="151"/>
      <c r="D35" s="165">
        <v>2600</v>
      </c>
      <c r="E35" s="165"/>
      <c r="F35" s="222" t="s">
        <v>581</v>
      </c>
      <c r="G35" s="58"/>
      <c r="H35" s="151">
        <v>2600</v>
      </c>
      <c r="I35" s="165"/>
      <c r="J35" s="58"/>
      <c r="K35" s="58"/>
    </row>
    <row r="36" spans="1:13" x14ac:dyDescent="0.25">
      <c r="A36" s="222" t="s">
        <v>583</v>
      </c>
      <c r="B36" s="58"/>
      <c r="C36" s="151"/>
      <c r="D36" s="165">
        <v>3100</v>
      </c>
      <c r="E36" s="165"/>
      <c r="F36" s="222"/>
      <c r="G36" s="58"/>
      <c r="H36" s="151"/>
      <c r="I36" s="165"/>
      <c r="J36" s="58"/>
      <c r="K36" s="58"/>
    </row>
    <row r="37" spans="1:13" x14ac:dyDescent="0.25">
      <c r="A37" s="222"/>
      <c r="B37" s="58"/>
      <c r="C37" s="151"/>
      <c r="D37" s="151"/>
      <c r="E37" s="165"/>
      <c r="F37" s="222"/>
      <c r="G37" s="58"/>
      <c r="H37" s="151"/>
      <c r="I37" s="151"/>
      <c r="J37" s="58"/>
      <c r="K37" s="58"/>
    </row>
    <row r="38" spans="1:13" x14ac:dyDescent="0.25">
      <c r="A38" s="217" t="s">
        <v>129</v>
      </c>
      <c r="B38" s="217"/>
      <c r="C38">
        <f>C22+C23+C24-D25</f>
        <v>31716</v>
      </c>
      <c r="D38" s="217">
        <f>SUM(D27:D37)</f>
        <v>27850</v>
      </c>
      <c r="E38" s="1">
        <f>C38-D38</f>
        <v>3866</v>
      </c>
      <c r="F38" s="217" t="s">
        <v>129</v>
      </c>
      <c r="G38" s="236">
        <f>G22+G23+G24-H25</f>
        <v>26966</v>
      </c>
      <c r="H38" s="217">
        <f>SUM(H27:H37)</f>
        <v>25550</v>
      </c>
      <c r="I38" s="140">
        <f>G38-H38</f>
        <v>1416</v>
      </c>
      <c r="J38" s="58"/>
      <c r="K38" s="58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58"/>
      <c r="K39" s="58"/>
    </row>
    <row r="40" spans="1:13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  <c r="J40" s="58"/>
      <c r="K40" s="58"/>
      <c r="M40" s="100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58"/>
      <c r="K41" s="58"/>
    </row>
    <row r="42" spans="1:13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  <c r="J42" s="58"/>
      <c r="K42" s="58"/>
    </row>
    <row r="43" spans="1:13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</row>
  </sheetData>
  <pageMargins left="0.7" right="0.7" top="0.75" bottom="0.75" header="0.3" footer="0.3"/>
  <pageSetup orientation="portrait" horizontalDpi="203" verticalDpi="203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4" workbookViewId="0">
      <selection activeCell="J37" sqref="J37"/>
    </sheetView>
  </sheetViews>
  <sheetFormatPr defaultRowHeight="15" x14ac:dyDescent="0.25"/>
  <cols>
    <col min="1" max="1" width="19.7109375" customWidth="1"/>
    <col min="2" max="2" width="9.140625" customWidth="1"/>
    <col min="6" max="6" width="9.140625" customWidth="1"/>
    <col min="8" max="8" width="7.85546875" customWidth="1"/>
    <col min="9" max="9" width="12.28515625" customWidth="1"/>
  </cols>
  <sheetData>
    <row r="1" spans="1:17" x14ac:dyDescent="0.25">
      <c r="A1" s="58"/>
      <c r="C1" s="32" t="s">
        <v>222</v>
      </c>
      <c r="D1" s="32"/>
      <c r="E1" s="32"/>
      <c r="F1" s="32"/>
      <c r="G1" s="23"/>
      <c r="H1" s="23"/>
      <c r="I1" s="23"/>
    </row>
    <row r="2" spans="1:17" x14ac:dyDescent="0.25">
      <c r="A2" s="23"/>
      <c r="B2" s="58"/>
      <c r="C2" s="32" t="s">
        <v>388</v>
      </c>
      <c r="D2" s="32"/>
      <c r="E2" s="32"/>
      <c r="F2" s="32"/>
      <c r="G2" s="23"/>
      <c r="H2" s="23"/>
      <c r="I2" s="23"/>
    </row>
    <row r="3" spans="1:17" x14ac:dyDescent="0.25">
      <c r="A3" s="23"/>
      <c r="B3" s="23"/>
      <c r="C3" s="32" t="s">
        <v>579</v>
      </c>
      <c r="D3" s="32"/>
      <c r="E3" s="32"/>
      <c r="F3" s="32"/>
      <c r="G3" s="23"/>
      <c r="H3" s="23"/>
      <c r="I3" s="23"/>
    </row>
    <row r="4" spans="1:17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</row>
    <row r="5" spans="1:17" x14ac:dyDescent="0.25">
      <c r="A5" s="164"/>
      <c r="B5" s="228"/>
      <c r="C5" s="165">
        <f>OCTOBER20!H5:H17</f>
        <v>0</v>
      </c>
      <c r="D5" s="165"/>
      <c r="E5" s="165"/>
      <c r="F5" s="230"/>
      <c r="G5" s="215"/>
      <c r="H5" s="165"/>
      <c r="I5" s="23"/>
    </row>
    <row r="6" spans="1:17" x14ac:dyDescent="0.25">
      <c r="A6" s="164" t="s">
        <v>205</v>
      </c>
      <c r="B6" s="228"/>
      <c r="C6" s="165">
        <f>OCTOBER20!H6:H18</f>
        <v>0</v>
      </c>
      <c r="D6" s="165">
        <v>3000</v>
      </c>
      <c r="E6" s="165">
        <v>100</v>
      </c>
      <c r="F6" s="230">
        <f>C6+D6+E6+B6</f>
        <v>3100</v>
      </c>
      <c r="G6" s="165">
        <v>3100</v>
      </c>
      <c r="H6" s="165">
        <f t="shared" ref="H6:H14" si="0">F6-G6</f>
        <v>0</v>
      </c>
      <c r="I6" s="23"/>
      <c r="M6" s="230"/>
      <c r="Q6" s="230"/>
    </row>
    <row r="7" spans="1:17" x14ac:dyDescent="0.25">
      <c r="A7" s="151" t="s">
        <v>542</v>
      </c>
      <c r="B7" s="235"/>
      <c r="C7" s="165">
        <f>OCTOBER20!H7:H19</f>
        <v>0</v>
      </c>
      <c r="D7" s="165">
        <v>3000</v>
      </c>
      <c r="E7" s="165">
        <v>100</v>
      </c>
      <c r="F7" s="230">
        <f t="shared" ref="F7:F16" si="1">C7+D7+E7+B7</f>
        <v>3100</v>
      </c>
      <c r="G7" s="215">
        <v>3100</v>
      </c>
      <c r="H7" s="165">
        <f t="shared" si="0"/>
        <v>0</v>
      </c>
      <c r="I7" s="23"/>
    </row>
    <row r="8" spans="1:17" x14ac:dyDescent="0.25">
      <c r="A8" s="167" t="s">
        <v>370</v>
      </c>
      <c r="B8" s="228"/>
      <c r="C8" s="165">
        <f>OCTOBER20!H8:H20</f>
        <v>0</v>
      </c>
      <c r="D8" s="165"/>
      <c r="E8" s="165"/>
      <c r="F8" s="230">
        <f t="shared" si="1"/>
        <v>0</v>
      </c>
      <c r="G8" s="215"/>
      <c r="H8" s="165">
        <f t="shared" si="0"/>
        <v>0</v>
      </c>
      <c r="I8" s="23"/>
    </row>
    <row r="9" spans="1:17" x14ac:dyDescent="0.25">
      <c r="A9" s="151" t="s">
        <v>574</v>
      </c>
      <c r="B9" s="235">
        <v>1600</v>
      </c>
      <c r="C9" s="165"/>
      <c r="D9" s="165">
        <v>3000</v>
      </c>
      <c r="E9" s="165">
        <v>100</v>
      </c>
      <c r="F9" s="230">
        <f t="shared" si="1"/>
        <v>4700</v>
      </c>
      <c r="G9" s="215">
        <v>4700</v>
      </c>
      <c r="H9" s="165">
        <f t="shared" si="0"/>
        <v>0</v>
      </c>
      <c r="I9" s="23"/>
    </row>
    <row r="10" spans="1:17" x14ac:dyDescent="0.25">
      <c r="A10" s="151" t="s">
        <v>402</v>
      </c>
      <c r="B10" s="228"/>
      <c r="C10" s="165">
        <f>OCTOBER20!H10:H22</f>
        <v>1200</v>
      </c>
      <c r="D10" s="165">
        <v>3000</v>
      </c>
      <c r="E10" s="165"/>
      <c r="F10" s="230">
        <f t="shared" si="1"/>
        <v>4200</v>
      </c>
      <c r="G10" s="165">
        <f>3100+700</f>
        <v>3800</v>
      </c>
      <c r="H10" s="165">
        <f>F10-G10</f>
        <v>400</v>
      </c>
      <c r="I10" s="23"/>
    </row>
    <row r="11" spans="1:17" x14ac:dyDescent="0.25">
      <c r="A11" s="168" t="s">
        <v>588</v>
      </c>
      <c r="B11" s="235">
        <v>3000</v>
      </c>
      <c r="C11" s="165"/>
      <c r="D11" s="165">
        <v>1500</v>
      </c>
      <c r="E11" s="165">
        <v>100</v>
      </c>
      <c r="F11" s="230">
        <f t="shared" si="1"/>
        <v>4600</v>
      </c>
      <c r="G11" s="215">
        <v>4600</v>
      </c>
      <c r="H11" s="230">
        <f>F11-G11</f>
        <v>0</v>
      </c>
      <c r="I11" s="23"/>
    </row>
    <row r="12" spans="1:17" x14ac:dyDescent="0.25">
      <c r="A12" s="167"/>
      <c r="B12" s="228"/>
      <c r="C12" s="165">
        <f>OCTOBER20!H12:H24</f>
        <v>0</v>
      </c>
      <c r="D12" s="165"/>
      <c r="E12" s="165"/>
      <c r="F12" s="230">
        <f t="shared" si="1"/>
        <v>0</v>
      </c>
      <c r="G12" s="233"/>
      <c r="H12" s="165">
        <f t="shared" si="0"/>
        <v>0</v>
      </c>
      <c r="I12" s="23"/>
    </row>
    <row r="13" spans="1:17" x14ac:dyDescent="0.25">
      <c r="A13" s="164" t="s">
        <v>495</v>
      </c>
      <c r="B13" s="231"/>
      <c r="C13" s="165">
        <f>OCTOBER20!H13:H25</f>
        <v>0</v>
      </c>
      <c r="D13" s="165">
        <v>3000</v>
      </c>
      <c r="E13" s="165">
        <v>100</v>
      </c>
      <c r="F13" s="230">
        <f t="shared" si="1"/>
        <v>3100</v>
      </c>
      <c r="G13" s="215">
        <f>1000+2100</f>
        <v>3100</v>
      </c>
      <c r="H13" s="165">
        <f t="shared" si="0"/>
        <v>0</v>
      </c>
      <c r="I13" s="23"/>
    </row>
    <row r="14" spans="1:17" x14ac:dyDescent="0.25">
      <c r="A14" s="169" t="s">
        <v>400</v>
      </c>
      <c r="B14" s="228"/>
      <c r="C14" s="165">
        <f>OCTOBER20!H14:H26</f>
        <v>0</v>
      </c>
      <c r="D14" s="165">
        <v>4500</v>
      </c>
      <c r="E14" s="165">
        <v>100</v>
      </c>
      <c r="F14" s="230">
        <f t="shared" si="1"/>
        <v>4600</v>
      </c>
      <c r="G14" s="215">
        <f>2500+2100</f>
        <v>4600</v>
      </c>
      <c r="H14" s="165">
        <f t="shared" si="0"/>
        <v>0</v>
      </c>
      <c r="I14" s="23"/>
    </row>
    <row r="15" spans="1:17" x14ac:dyDescent="0.25">
      <c r="A15" s="168" t="s">
        <v>345</v>
      </c>
      <c r="B15" s="228"/>
      <c r="C15" s="165">
        <f>OCTOBER20!H15:H27</f>
        <v>2400</v>
      </c>
      <c r="D15" s="165">
        <v>4500</v>
      </c>
      <c r="E15" s="165">
        <v>100</v>
      </c>
      <c r="F15" s="230">
        <f t="shared" si="1"/>
        <v>7000</v>
      </c>
      <c r="G15" s="215">
        <f t="shared" ref="G15" si="2">2500+2100</f>
        <v>4600</v>
      </c>
      <c r="H15" s="230">
        <f>F15-G15</f>
        <v>2400</v>
      </c>
      <c r="I15" s="23"/>
    </row>
    <row r="16" spans="1:17" x14ac:dyDescent="0.25">
      <c r="A16" s="197" t="s">
        <v>80</v>
      </c>
      <c r="B16" s="228"/>
      <c r="C16" s="165">
        <f>OCTOBER20!H16:H28</f>
        <v>0</v>
      </c>
      <c r="D16" s="165"/>
      <c r="E16" s="165">
        <v>100</v>
      </c>
      <c r="F16" s="230">
        <f t="shared" si="1"/>
        <v>100</v>
      </c>
      <c r="G16" s="215">
        <v>100</v>
      </c>
      <c r="H16" s="165">
        <f>F16-G16</f>
        <v>0</v>
      </c>
      <c r="I16" s="23"/>
    </row>
    <row r="17" spans="1:18" x14ac:dyDescent="0.25">
      <c r="A17" s="213" t="s">
        <v>129</v>
      </c>
      <c r="B17" s="85">
        <f>SUM(B5:B16)</f>
        <v>4600</v>
      </c>
      <c r="C17" s="165">
        <f>SUM(C5:C16)</f>
        <v>3600</v>
      </c>
      <c r="D17" s="217">
        <f>SUM(D5:D16)</f>
        <v>25500</v>
      </c>
      <c r="E17" s="217">
        <f t="shared" ref="E17" si="3">SUM(E5:E16)</f>
        <v>800</v>
      </c>
      <c r="F17" s="85" t="s">
        <v>580</v>
      </c>
      <c r="G17" s="217">
        <f>SUM(G5:G16)</f>
        <v>31700</v>
      </c>
      <c r="H17" s="217">
        <f>SUM(H5:H16)</f>
        <v>2800</v>
      </c>
      <c r="I17" s="23"/>
    </row>
    <row r="18" spans="1:18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18" x14ac:dyDescent="0.25">
      <c r="A19" s="227" t="s">
        <v>557</v>
      </c>
      <c r="B19" s="227"/>
      <c r="C19" s="208"/>
      <c r="D19" s="209"/>
      <c r="E19" s="146"/>
      <c r="F19" s="147"/>
      <c r="G19" s="210"/>
      <c r="H19" s="147"/>
      <c r="I19" s="23"/>
    </row>
    <row r="20" spans="1:18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</row>
    <row r="21" spans="1:18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18" x14ac:dyDescent="0.25">
      <c r="A22" s="165" t="s">
        <v>491</v>
      </c>
      <c r="B22" s="165"/>
      <c r="C22" s="165">
        <f>D17</f>
        <v>25500</v>
      </c>
      <c r="D22" s="165"/>
      <c r="E22" s="165"/>
      <c r="F22" s="165" t="s">
        <v>491</v>
      </c>
      <c r="G22" s="232">
        <f>G17</f>
        <v>31700</v>
      </c>
      <c r="H22" s="165"/>
      <c r="I22" s="165"/>
    </row>
    <row r="23" spans="1:18" x14ac:dyDescent="0.25">
      <c r="A23" s="165" t="s">
        <v>1</v>
      </c>
      <c r="B23" s="165"/>
      <c r="C23" s="238">
        <f>OCTOBER20!E38</f>
        <v>3866</v>
      </c>
      <c r="D23" s="165"/>
      <c r="E23" s="165"/>
      <c r="F23" s="165" t="s">
        <v>1</v>
      </c>
      <c r="G23" s="173">
        <f>OCTOBER20!I38</f>
        <v>1416</v>
      </c>
      <c r="H23" s="165"/>
      <c r="I23" s="165"/>
    </row>
    <row r="24" spans="1:18" x14ac:dyDescent="0.25">
      <c r="A24" s="165" t="s">
        <v>28</v>
      </c>
      <c r="B24" s="165"/>
      <c r="C24" s="165">
        <v>4500</v>
      </c>
      <c r="D24" s="165"/>
      <c r="E24" s="165"/>
      <c r="F24" s="165" t="s">
        <v>28</v>
      </c>
      <c r="G24" s="165"/>
      <c r="H24" s="165"/>
      <c r="I24" s="165"/>
    </row>
    <row r="25" spans="1:18" x14ac:dyDescent="0.25">
      <c r="A25" s="165" t="s">
        <v>325</v>
      </c>
      <c r="B25" s="165"/>
      <c r="C25" s="226">
        <v>0.1</v>
      </c>
      <c r="D25" s="165">
        <f>C22*C25</f>
        <v>2550</v>
      </c>
      <c r="E25" s="165"/>
      <c r="F25" s="165" t="s">
        <v>325</v>
      </c>
      <c r="G25" s="226">
        <v>0.1</v>
      </c>
      <c r="H25" s="165">
        <f>D25</f>
        <v>2550</v>
      </c>
      <c r="I25" s="165"/>
      <c r="R25" s="239" t="s">
        <v>587</v>
      </c>
    </row>
    <row r="26" spans="1:18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</row>
    <row r="27" spans="1:18" x14ac:dyDescent="0.25">
      <c r="A27" s="165" t="s">
        <v>520</v>
      </c>
      <c r="B27" s="165"/>
      <c r="C27" s="234">
        <v>0.3</v>
      </c>
      <c r="D27" s="222">
        <f>C27*B11</f>
        <v>900</v>
      </c>
      <c r="E27" s="165"/>
      <c r="F27" s="165" t="s">
        <v>393</v>
      </c>
      <c r="G27" s="174"/>
      <c r="H27" s="58">
        <f>C27*B11</f>
        <v>900</v>
      </c>
      <c r="I27" s="222"/>
    </row>
    <row r="28" spans="1:18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  <c r="Q28" s="213"/>
    </row>
    <row r="29" spans="1:18" x14ac:dyDescent="0.25">
      <c r="A29" s="222" t="s">
        <v>377</v>
      </c>
      <c r="B29" s="58"/>
      <c r="C29" s="151"/>
      <c r="D29" s="151">
        <v>100</v>
      </c>
      <c r="E29" s="165"/>
      <c r="F29" s="222" t="s">
        <v>377</v>
      </c>
      <c r="G29" s="58"/>
      <c r="H29" s="151">
        <f>E17</f>
        <v>800</v>
      </c>
      <c r="I29" s="151"/>
    </row>
    <row r="30" spans="1:18" x14ac:dyDescent="0.25">
      <c r="A30" s="222" t="s">
        <v>328</v>
      </c>
      <c r="B30" s="58"/>
      <c r="C30" s="151"/>
      <c r="D30" s="151">
        <v>7000</v>
      </c>
      <c r="E30" s="165"/>
      <c r="F30" s="222" t="s">
        <v>328</v>
      </c>
      <c r="G30" s="58"/>
      <c r="H30" s="151">
        <v>7000</v>
      </c>
      <c r="I30" s="151"/>
    </row>
    <row r="31" spans="1:18" x14ac:dyDescent="0.25">
      <c r="A31" s="222" t="s">
        <v>584</v>
      </c>
      <c r="B31" s="58"/>
      <c r="C31" s="151"/>
      <c r="D31" s="151">
        <v>3086</v>
      </c>
      <c r="E31" s="165"/>
      <c r="F31" s="222" t="s">
        <v>584</v>
      </c>
      <c r="G31" s="58"/>
      <c r="H31" s="151">
        <v>3086</v>
      </c>
      <c r="I31" s="151"/>
    </row>
    <row r="32" spans="1:18" x14ac:dyDescent="0.25">
      <c r="A32" s="222" t="s">
        <v>585</v>
      </c>
      <c r="B32" s="58"/>
      <c r="C32" s="151"/>
      <c r="D32" s="165">
        <v>5000</v>
      </c>
      <c r="E32" s="165"/>
      <c r="F32" s="222" t="s">
        <v>585</v>
      </c>
      <c r="G32" s="58"/>
      <c r="H32" s="151">
        <v>5000</v>
      </c>
      <c r="I32" s="165"/>
      <c r="R32" s="213"/>
    </row>
    <row r="33" spans="1:18" x14ac:dyDescent="0.25">
      <c r="A33" s="222" t="s">
        <v>593</v>
      </c>
      <c r="B33" s="58"/>
      <c r="C33" s="151"/>
      <c r="D33" s="151">
        <v>3000</v>
      </c>
      <c r="E33" s="165"/>
      <c r="F33" s="222" t="s">
        <v>593</v>
      </c>
      <c r="G33" s="58"/>
      <c r="H33" s="151">
        <v>3000</v>
      </c>
      <c r="I33" s="151"/>
      <c r="Q33" s="239"/>
    </row>
    <row r="34" spans="1:18" x14ac:dyDescent="0.25">
      <c r="A34" s="222"/>
      <c r="B34" s="58"/>
      <c r="C34" s="151"/>
      <c r="D34" s="165"/>
      <c r="E34" s="165"/>
      <c r="F34" s="222"/>
      <c r="G34" s="58"/>
      <c r="H34" s="151"/>
      <c r="I34" s="165"/>
      <c r="R34" s="239"/>
    </row>
    <row r="35" spans="1:18" x14ac:dyDescent="0.25">
      <c r="A35" s="222"/>
      <c r="B35" s="58"/>
      <c r="C35" s="151"/>
      <c r="D35" s="165"/>
      <c r="E35" s="165"/>
      <c r="F35" s="222"/>
      <c r="G35" s="58"/>
      <c r="H35" s="151"/>
      <c r="I35" s="165"/>
    </row>
    <row r="36" spans="1:18" x14ac:dyDescent="0.25">
      <c r="A36" s="222"/>
      <c r="B36" s="58"/>
      <c r="C36" s="151"/>
      <c r="D36" s="165"/>
      <c r="E36" s="165"/>
      <c r="F36" s="222"/>
      <c r="G36" s="58"/>
      <c r="H36" s="151"/>
      <c r="I36" s="165"/>
      <c r="J36" s="100">
        <f>H17+I38</f>
        <v>11580</v>
      </c>
    </row>
    <row r="37" spans="1:18" x14ac:dyDescent="0.25">
      <c r="A37" s="222"/>
      <c r="B37" s="58"/>
      <c r="C37" s="151"/>
      <c r="D37" s="151"/>
      <c r="E37" s="165"/>
      <c r="F37" s="222"/>
      <c r="G37" s="58"/>
      <c r="H37" s="151"/>
      <c r="I37" s="151"/>
      <c r="J37" s="100">
        <f>J36-E38</f>
        <v>1350</v>
      </c>
    </row>
    <row r="38" spans="1:18" x14ac:dyDescent="0.25">
      <c r="A38" s="217" t="s">
        <v>129</v>
      </c>
      <c r="B38" s="217"/>
      <c r="C38" s="1">
        <f>C22+C23+C24-D25</f>
        <v>31316</v>
      </c>
      <c r="D38" s="217">
        <f>SUM(D27:D37)</f>
        <v>21086</v>
      </c>
      <c r="E38" s="1">
        <f>C38-D38</f>
        <v>10230</v>
      </c>
      <c r="F38" s="217" t="s">
        <v>129</v>
      </c>
      <c r="G38" s="236">
        <f>G22+G23+G24-H25</f>
        <v>30566</v>
      </c>
      <c r="H38" s="217">
        <f>SUM(H27:H37)</f>
        <v>21786</v>
      </c>
      <c r="I38" s="140">
        <f>G38-H38</f>
        <v>8780</v>
      </c>
    </row>
    <row r="39" spans="1:18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18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</row>
    <row r="41" spans="1:18" x14ac:dyDescent="0.25">
      <c r="A41" s="23"/>
      <c r="B41" s="23"/>
      <c r="C41" s="23"/>
      <c r="D41" s="23"/>
      <c r="E41" s="23"/>
      <c r="F41" s="23"/>
      <c r="G41" s="23"/>
      <c r="H41" s="23"/>
      <c r="I41" s="23"/>
    </row>
    <row r="42" spans="1:18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</row>
    <row r="43" spans="1:18" x14ac:dyDescent="0.25">
      <c r="A43" s="58"/>
      <c r="B43" s="58"/>
      <c r="C43" s="58"/>
      <c r="D43" s="58"/>
      <c r="E43" s="58"/>
      <c r="F43" s="58"/>
      <c r="G43" s="58"/>
      <c r="H43" s="58"/>
      <c r="I43" s="58"/>
    </row>
    <row r="44" spans="1:18" x14ac:dyDescent="0.25">
      <c r="A44" s="58"/>
      <c r="B44" s="58"/>
      <c r="C44" s="58"/>
      <c r="D44" s="58"/>
      <c r="E44" s="58"/>
      <c r="F44" s="58"/>
      <c r="G44" s="58"/>
      <c r="H44" s="58"/>
      <c r="I44" s="58"/>
    </row>
    <row r="45" spans="1:18" x14ac:dyDescent="0.25">
      <c r="A45" s="58"/>
      <c r="B45" s="58"/>
      <c r="C45" s="58"/>
      <c r="D45" s="58"/>
      <c r="E45" s="58"/>
      <c r="F45" s="58"/>
      <c r="G45" s="58"/>
      <c r="H45" s="58"/>
      <c r="I45" s="58"/>
    </row>
  </sheetData>
  <pageMargins left="0.7" right="0.7" top="0.75" bottom="0.75" header="0.3" footer="0.3"/>
  <pageSetup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M35" sqref="M35"/>
    </sheetView>
  </sheetViews>
  <sheetFormatPr defaultRowHeight="15" x14ac:dyDescent="0.25"/>
  <cols>
    <col min="1" max="1" width="3" style="58" bestFit="1" customWidth="1"/>
    <col min="2" max="2" width="17.85546875" customWidth="1"/>
    <col min="3" max="3" width="9.140625" customWidth="1"/>
    <col min="6" max="6" width="9.140625" customWidth="1"/>
    <col min="10" max="10" width="13.140625" customWidth="1"/>
  </cols>
  <sheetData>
    <row r="1" spans="1:12" x14ac:dyDescent="0.25"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58"/>
      <c r="L1" s="58"/>
    </row>
    <row r="2" spans="1:12" x14ac:dyDescent="0.25">
      <c r="B2" s="23"/>
      <c r="C2" s="58"/>
      <c r="D2" s="32" t="s">
        <v>388</v>
      </c>
      <c r="E2" s="32"/>
      <c r="F2" s="32"/>
      <c r="G2" s="32"/>
      <c r="H2" s="23"/>
      <c r="I2" s="23"/>
      <c r="J2" s="23"/>
      <c r="K2" s="58"/>
      <c r="L2" s="58"/>
    </row>
    <row r="3" spans="1:12" x14ac:dyDescent="0.25">
      <c r="B3" s="23"/>
      <c r="C3" s="23"/>
      <c r="D3" s="32" t="s">
        <v>589</v>
      </c>
      <c r="E3" s="32"/>
      <c r="F3" s="32"/>
      <c r="G3" s="32"/>
      <c r="H3" s="23"/>
      <c r="I3" s="23"/>
      <c r="J3" s="23"/>
      <c r="K3" s="58"/>
      <c r="L3" s="58"/>
    </row>
    <row r="4" spans="1:12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58"/>
      <c r="L4" s="58"/>
    </row>
    <row r="5" spans="1:12" x14ac:dyDescent="0.25">
      <c r="A5" s="1">
        <v>1</v>
      </c>
      <c r="B5" s="164" t="s">
        <v>588</v>
      </c>
      <c r="C5" s="228"/>
      <c r="D5" s="165">
        <f>NOVEMBER20!H5:H16</f>
        <v>0</v>
      </c>
      <c r="E5" s="165">
        <v>3000</v>
      </c>
      <c r="F5" s="165">
        <v>100</v>
      </c>
      <c r="G5" s="230">
        <f>D5+E5+F5+C5</f>
        <v>3100</v>
      </c>
      <c r="H5" s="215">
        <v>3100</v>
      </c>
      <c r="I5" s="165">
        <f t="shared" ref="I5:I14" si="0">G5-H5</f>
        <v>0</v>
      </c>
      <c r="J5" s="23"/>
      <c r="K5" s="58"/>
      <c r="L5" s="58"/>
    </row>
    <row r="6" spans="1:12" x14ac:dyDescent="0.25">
      <c r="A6" s="1">
        <v>2</v>
      </c>
      <c r="B6" s="164" t="s">
        <v>205</v>
      </c>
      <c r="C6" s="228"/>
      <c r="D6" s="165">
        <f>NOVEMBER20!H6:H17</f>
        <v>0</v>
      </c>
      <c r="E6" s="165">
        <v>3000</v>
      </c>
      <c r="F6" s="165">
        <v>100</v>
      </c>
      <c r="G6" s="230">
        <f>D6+E6+F6+C6</f>
        <v>3100</v>
      </c>
      <c r="H6" s="165">
        <v>3100</v>
      </c>
      <c r="I6" s="165">
        <f t="shared" si="0"/>
        <v>0</v>
      </c>
      <c r="J6" s="23"/>
      <c r="K6" s="58"/>
      <c r="L6" s="58"/>
    </row>
    <row r="7" spans="1:12" x14ac:dyDescent="0.25">
      <c r="A7" s="1">
        <v>3</v>
      </c>
      <c r="B7" s="151" t="s">
        <v>542</v>
      </c>
      <c r="C7" s="235"/>
      <c r="D7" s="165">
        <f>NOVEMBER20!H7:H18</f>
        <v>0</v>
      </c>
      <c r="E7" s="165">
        <v>3000</v>
      </c>
      <c r="F7" s="165">
        <v>100</v>
      </c>
      <c r="G7" s="230">
        <f t="shared" ref="G7:G16" si="1">D7+E7+F7+C7</f>
        <v>3100</v>
      </c>
      <c r="H7" s="215">
        <v>3100</v>
      </c>
      <c r="I7" s="165">
        <f t="shared" si="0"/>
        <v>0</v>
      </c>
      <c r="J7" s="23"/>
      <c r="K7" s="58"/>
      <c r="L7" s="58"/>
    </row>
    <row r="8" spans="1:12" x14ac:dyDescent="0.25">
      <c r="A8" s="1">
        <v>4</v>
      </c>
      <c r="B8" s="167" t="s">
        <v>590</v>
      </c>
      <c r="C8" s="228" t="s">
        <v>273</v>
      </c>
      <c r="D8" s="165">
        <f>NOVEMBER20!H8:H19</f>
        <v>0</v>
      </c>
      <c r="E8" s="165">
        <v>3000</v>
      </c>
      <c r="F8" s="165">
        <v>100</v>
      </c>
      <c r="G8" s="230">
        <f t="shared" si="1"/>
        <v>6100</v>
      </c>
      <c r="H8" s="215">
        <v>4500</v>
      </c>
      <c r="I8" s="165">
        <f t="shared" si="0"/>
        <v>1600</v>
      </c>
      <c r="J8" s="23"/>
      <c r="K8" s="58"/>
      <c r="L8" s="58"/>
    </row>
    <row r="9" spans="1:12" x14ac:dyDescent="0.25">
      <c r="A9" s="1">
        <v>5</v>
      </c>
      <c r="B9" s="151" t="s">
        <v>574</v>
      </c>
      <c r="C9" s="235"/>
      <c r="D9" s="165">
        <f>NOVEMBER20!H9:H20</f>
        <v>0</v>
      </c>
      <c r="E9" s="165">
        <v>3000</v>
      </c>
      <c r="F9" s="165">
        <v>100</v>
      </c>
      <c r="G9" s="230">
        <f t="shared" si="1"/>
        <v>3100</v>
      </c>
      <c r="H9" s="215">
        <v>3000</v>
      </c>
      <c r="I9" s="165">
        <f t="shared" si="0"/>
        <v>100</v>
      </c>
      <c r="J9" s="23"/>
      <c r="K9" s="58"/>
      <c r="L9" s="58"/>
    </row>
    <row r="10" spans="1:12" x14ac:dyDescent="0.25">
      <c r="A10" s="1">
        <v>6</v>
      </c>
      <c r="B10" s="151" t="s">
        <v>402</v>
      </c>
      <c r="C10" s="228"/>
      <c r="D10" s="165">
        <f>NOVEMBER20!H10:H21</f>
        <v>400</v>
      </c>
      <c r="E10" s="165">
        <v>3000</v>
      </c>
      <c r="F10" s="165">
        <v>100</v>
      </c>
      <c r="G10" s="230">
        <f t="shared" si="1"/>
        <v>3500</v>
      </c>
      <c r="H10" s="165">
        <f>2400+700</f>
        <v>3100</v>
      </c>
      <c r="I10" s="165">
        <f>G10-H10</f>
        <v>400</v>
      </c>
      <c r="J10" s="23"/>
      <c r="K10" s="58"/>
      <c r="L10" s="58"/>
    </row>
    <row r="11" spans="1:12" x14ac:dyDescent="0.25">
      <c r="A11" s="1">
        <v>7</v>
      </c>
      <c r="B11" s="168" t="s">
        <v>598</v>
      </c>
      <c r="C11" s="235"/>
      <c r="D11" s="165">
        <f>NOVEMBER20!H11:H22</f>
        <v>0</v>
      </c>
      <c r="E11" s="165">
        <v>3000</v>
      </c>
      <c r="F11" s="165"/>
      <c r="G11" s="230">
        <f t="shared" si="1"/>
        <v>3000</v>
      </c>
      <c r="H11" s="215">
        <v>3000</v>
      </c>
      <c r="I11" s="230">
        <f>G11-H11</f>
        <v>0</v>
      </c>
      <c r="J11" s="23" t="s">
        <v>80</v>
      </c>
      <c r="K11" s="58"/>
      <c r="L11" s="58"/>
    </row>
    <row r="12" spans="1:12" x14ac:dyDescent="0.25">
      <c r="A12" s="1">
        <v>8</v>
      </c>
      <c r="B12" s="167" t="s">
        <v>573</v>
      </c>
      <c r="C12" s="228"/>
      <c r="D12" s="165">
        <f>NOVEMBER20!H12:H23</f>
        <v>0</v>
      </c>
      <c r="E12" s="165">
        <v>2000</v>
      </c>
      <c r="F12" s="165"/>
      <c r="G12" s="230">
        <f t="shared" si="1"/>
        <v>2000</v>
      </c>
      <c r="H12" s="233"/>
      <c r="I12" s="165">
        <f t="shared" si="0"/>
        <v>2000</v>
      </c>
      <c r="J12" s="23"/>
      <c r="K12" s="58"/>
      <c r="L12" s="58"/>
    </row>
    <row r="13" spans="1:12" x14ac:dyDescent="0.25">
      <c r="A13" s="1">
        <v>9</v>
      </c>
      <c r="B13" s="164" t="s">
        <v>495</v>
      </c>
      <c r="C13" s="231"/>
      <c r="D13" s="165">
        <f>NOVEMBER20!H13:H24</f>
        <v>0</v>
      </c>
      <c r="E13" s="165">
        <v>3000</v>
      </c>
      <c r="F13" s="165">
        <v>100</v>
      </c>
      <c r="G13" s="230">
        <f t="shared" si="1"/>
        <v>3100</v>
      </c>
      <c r="H13" s="215">
        <f>3100</f>
        <v>3100</v>
      </c>
      <c r="I13" s="165">
        <f t="shared" si="0"/>
        <v>0</v>
      </c>
      <c r="J13" s="23"/>
      <c r="K13" s="58"/>
      <c r="L13" s="58"/>
    </row>
    <row r="14" spans="1:12" x14ac:dyDescent="0.25">
      <c r="A14" s="1">
        <v>10</v>
      </c>
      <c r="B14" s="169" t="s">
        <v>400</v>
      </c>
      <c r="C14" s="228"/>
      <c r="D14" s="165">
        <f>NOVEMBER20!H14:H25</f>
        <v>0</v>
      </c>
      <c r="E14" s="165">
        <v>4500</v>
      </c>
      <c r="F14" s="165">
        <v>100</v>
      </c>
      <c r="G14" s="230">
        <f t="shared" si="1"/>
        <v>4600</v>
      </c>
      <c r="H14" s="215">
        <v>4600</v>
      </c>
      <c r="I14" s="165">
        <f t="shared" si="0"/>
        <v>0</v>
      </c>
      <c r="J14" s="23"/>
      <c r="K14" s="58"/>
      <c r="L14" s="58"/>
    </row>
    <row r="15" spans="1:12" x14ac:dyDescent="0.25">
      <c r="A15" s="1">
        <v>11</v>
      </c>
      <c r="B15" s="168" t="s">
        <v>345</v>
      </c>
      <c r="C15" s="228"/>
      <c r="D15" s="165">
        <f>NOVEMBER20!H15:H26</f>
        <v>2400</v>
      </c>
      <c r="E15" s="165">
        <v>4500</v>
      </c>
      <c r="F15" s="165">
        <v>100</v>
      </c>
      <c r="G15" s="230">
        <f t="shared" si="1"/>
        <v>7000</v>
      </c>
      <c r="H15" s="215">
        <f>4500</f>
        <v>4500</v>
      </c>
      <c r="I15" s="230">
        <f>G15-H15</f>
        <v>2500</v>
      </c>
      <c r="J15" s="23"/>
      <c r="K15" s="58"/>
      <c r="L15" s="58"/>
    </row>
    <row r="16" spans="1:12" x14ac:dyDescent="0.25">
      <c r="A16" s="1">
        <v>12</v>
      </c>
      <c r="B16" s="197" t="s">
        <v>80</v>
      </c>
      <c r="C16" s="228"/>
      <c r="D16" s="165">
        <f>NOVEMBER20!H16:H27</f>
        <v>0</v>
      </c>
      <c r="E16" s="165"/>
      <c r="F16" s="165">
        <v>100</v>
      </c>
      <c r="G16" s="230">
        <f t="shared" si="1"/>
        <v>100</v>
      </c>
      <c r="H16" s="215">
        <v>100</v>
      </c>
      <c r="I16" s="165">
        <f>G16-H16</f>
        <v>0</v>
      </c>
      <c r="J16" s="23"/>
      <c r="K16" s="58"/>
      <c r="L16" s="58"/>
    </row>
    <row r="17" spans="1:15" x14ac:dyDescent="0.25">
      <c r="A17" s="1"/>
      <c r="B17" s="213" t="s">
        <v>129</v>
      </c>
      <c r="C17" s="85">
        <f>SUM(C5:C16)</f>
        <v>0</v>
      </c>
      <c r="D17" s="165">
        <f>SUM(D5:D16)</f>
        <v>2800</v>
      </c>
      <c r="E17" s="217">
        <f>SUM(E5:E16)</f>
        <v>35000</v>
      </c>
      <c r="F17" s="217">
        <f t="shared" ref="F17" si="2">SUM(F5:F16)</f>
        <v>1000</v>
      </c>
      <c r="G17" s="85" t="s">
        <v>580</v>
      </c>
      <c r="H17" s="217">
        <f>SUM(H5:H16)</f>
        <v>35200</v>
      </c>
      <c r="I17" s="217">
        <f>SUM(I5:I16)</f>
        <v>6600</v>
      </c>
      <c r="J17" s="23"/>
      <c r="K17" s="58"/>
      <c r="L17" s="58"/>
    </row>
    <row r="18" spans="1:15" x14ac:dyDescent="0.25">
      <c r="B18" s="23"/>
      <c r="C18" s="23"/>
      <c r="D18" s="23"/>
      <c r="E18" s="23"/>
      <c r="F18" s="23"/>
      <c r="G18" s="23"/>
      <c r="H18" s="23"/>
      <c r="I18" s="225">
        <f>I17-I8</f>
        <v>5000</v>
      </c>
      <c r="J18" s="23"/>
      <c r="K18" s="58"/>
      <c r="L18" s="58"/>
    </row>
    <row r="19" spans="1:15" x14ac:dyDescent="0.25">
      <c r="B19" s="227" t="s">
        <v>557</v>
      </c>
      <c r="C19" s="227"/>
      <c r="D19" s="208"/>
      <c r="E19" s="209"/>
      <c r="F19" s="146"/>
      <c r="G19" s="147"/>
      <c r="H19" s="210"/>
      <c r="I19" s="147"/>
      <c r="J19" s="23"/>
      <c r="K19" s="58"/>
      <c r="L19" s="58"/>
    </row>
    <row r="20" spans="1:15" x14ac:dyDescent="0.25"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58"/>
      <c r="L20" s="58"/>
    </row>
    <row r="21" spans="1:15" x14ac:dyDescent="0.25"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58"/>
      <c r="L21" s="58"/>
    </row>
    <row r="22" spans="1:15" x14ac:dyDescent="0.25">
      <c r="B22" s="165" t="s">
        <v>504</v>
      </c>
      <c r="C22" s="165"/>
      <c r="D22" s="165">
        <f>E17</f>
        <v>35000</v>
      </c>
      <c r="E22" s="165"/>
      <c r="F22" s="165"/>
      <c r="G22" s="165" t="s">
        <v>504</v>
      </c>
      <c r="H22" s="232">
        <f>H17</f>
        <v>35200</v>
      </c>
      <c r="I22" s="165"/>
      <c r="J22" s="165"/>
      <c r="K22" s="58"/>
      <c r="L22" s="58"/>
    </row>
    <row r="23" spans="1:15" x14ac:dyDescent="0.25">
      <c r="B23" s="165" t="s">
        <v>1</v>
      </c>
      <c r="C23" s="165"/>
      <c r="D23" s="238">
        <f>NOVEMBER20!E38</f>
        <v>10230</v>
      </c>
      <c r="E23" s="165"/>
      <c r="F23" s="165"/>
      <c r="G23" s="165" t="s">
        <v>1</v>
      </c>
      <c r="H23" s="173">
        <f>NOVEMBER20!I38</f>
        <v>8780</v>
      </c>
      <c r="I23" s="165"/>
      <c r="J23" s="165"/>
      <c r="K23" s="58"/>
      <c r="L23" s="58"/>
    </row>
    <row r="24" spans="1:15" x14ac:dyDescent="0.25">
      <c r="B24" s="165" t="s">
        <v>652</v>
      </c>
      <c r="C24" s="165"/>
      <c r="D24" s="165">
        <v>1500</v>
      </c>
      <c r="E24" s="165"/>
      <c r="F24" s="165"/>
      <c r="G24" s="165" t="s">
        <v>28</v>
      </c>
      <c r="H24" s="165"/>
      <c r="I24" s="165"/>
      <c r="J24" s="165"/>
      <c r="K24" s="58"/>
      <c r="L24" s="58"/>
    </row>
    <row r="25" spans="1:15" x14ac:dyDescent="0.25">
      <c r="B25" s="165" t="s">
        <v>325</v>
      </c>
      <c r="C25" s="165"/>
      <c r="D25" s="226">
        <v>0.1</v>
      </c>
      <c r="E25" s="165">
        <f>D22*D25</f>
        <v>3500</v>
      </c>
      <c r="F25" s="165"/>
      <c r="G25" s="165" t="s">
        <v>325</v>
      </c>
      <c r="H25" s="226">
        <v>0.1</v>
      </c>
      <c r="I25" s="165">
        <f>E25</f>
        <v>3500</v>
      </c>
      <c r="J25" s="165"/>
      <c r="K25" s="58"/>
      <c r="L25" s="58"/>
      <c r="O25" s="234"/>
    </row>
    <row r="26" spans="1:15" x14ac:dyDescent="0.25"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58"/>
      <c r="L26" s="58"/>
    </row>
    <row r="27" spans="1:15" x14ac:dyDescent="0.25">
      <c r="B27" s="165" t="s">
        <v>520</v>
      </c>
      <c r="C27" s="165"/>
      <c r="D27" s="234">
        <v>0.3</v>
      </c>
      <c r="E27" s="222">
        <f>D27*E8</f>
        <v>900</v>
      </c>
      <c r="F27" s="165"/>
      <c r="G27" s="165" t="s">
        <v>520</v>
      </c>
      <c r="H27" s="174">
        <v>0.3</v>
      </c>
      <c r="I27">
        <f>H27*E8</f>
        <v>900</v>
      </c>
      <c r="J27" s="222"/>
      <c r="K27" s="58"/>
      <c r="L27" s="58"/>
    </row>
    <row r="28" spans="1:15" x14ac:dyDescent="0.25"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58"/>
      <c r="L28" s="58"/>
    </row>
    <row r="29" spans="1:15" x14ac:dyDescent="0.25">
      <c r="B29" s="222" t="s">
        <v>377</v>
      </c>
      <c r="C29" s="58"/>
      <c r="D29" s="151"/>
      <c r="E29" s="151">
        <v>100</v>
      </c>
      <c r="F29" s="165"/>
      <c r="G29" s="222" t="s">
        <v>377</v>
      </c>
      <c r="H29" s="58"/>
      <c r="I29" s="151">
        <f>F17</f>
        <v>1000</v>
      </c>
      <c r="J29" s="151"/>
      <c r="K29" s="58"/>
      <c r="L29" s="58"/>
    </row>
    <row r="30" spans="1:15" x14ac:dyDescent="0.25">
      <c r="B30" s="222" t="s">
        <v>328</v>
      </c>
      <c r="C30" s="58"/>
      <c r="D30" s="151"/>
      <c r="E30" s="151"/>
      <c r="F30" s="165"/>
      <c r="G30" s="222" t="s">
        <v>328</v>
      </c>
      <c r="H30" s="58"/>
      <c r="I30" s="151"/>
      <c r="J30" s="151"/>
      <c r="K30" s="58"/>
      <c r="L30" s="58"/>
    </row>
    <row r="31" spans="1:15" x14ac:dyDescent="0.25">
      <c r="B31" s="222" t="s">
        <v>591</v>
      </c>
      <c r="C31" s="58"/>
      <c r="D31" s="151"/>
      <c r="E31" s="58">
        <v>1500</v>
      </c>
      <c r="F31" s="151"/>
      <c r="G31" s="222" t="s">
        <v>591</v>
      </c>
      <c r="H31" s="58"/>
      <c r="I31" s="151">
        <v>1500</v>
      </c>
      <c r="J31" s="58"/>
      <c r="K31" s="58"/>
      <c r="L31" s="58"/>
    </row>
    <row r="32" spans="1:15" x14ac:dyDescent="0.25">
      <c r="B32" s="222" t="s">
        <v>594</v>
      </c>
      <c r="C32" s="58"/>
      <c r="D32" s="151"/>
      <c r="E32" s="151">
        <v>9000</v>
      </c>
      <c r="F32" s="165"/>
      <c r="G32" s="222" t="s">
        <v>594</v>
      </c>
      <c r="H32" s="58"/>
      <c r="I32" s="151">
        <v>9000</v>
      </c>
      <c r="J32" s="151"/>
      <c r="K32" s="58"/>
      <c r="L32" s="58"/>
    </row>
    <row r="33" spans="2:13" x14ac:dyDescent="0.25">
      <c r="B33" s="222" t="s">
        <v>499</v>
      </c>
      <c r="C33" s="58"/>
      <c r="D33" s="151"/>
      <c r="E33" s="151">
        <v>400</v>
      </c>
      <c r="F33" s="165"/>
      <c r="G33" s="222" t="s">
        <v>499</v>
      </c>
      <c r="H33" s="58"/>
      <c r="I33" s="151">
        <v>400</v>
      </c>
      <c r="J33" s="151"/>
      <c r="K33" s="58"/>
      <c r="L33" s="100"/>
    </row>
    <row r="34" spans="2:13" x14ac:dyDescent="0.25">
      <c r="B34" s="222" t="s">
        <v>595</v>
      </c>
      <c r="C34" s="58"/>
      <c r="D34" s="151"/>
      <c r="E34" s="165">
        <v>3300</v>
      </c>
      <c r="F34" s="165"/>
      <c r="G34" s="222" t="s">
        <v>595</v>
      </c>
      <c r="H34" s="58"/>
      <c r="I34" s="151">
        <v>3300</v>
      </c>
      <c r="J34" s="165"/>
      <c r="K34" s="58"/>
      <c r="L34" s="58"/>
      <c r="M34">
        <f>5700-1000</f>
        <v>4700</v>
      </c>
    </row>
    <row r="35" spans="2:13" x14ac:dyDescent="0.25">
      <c r="B35" s="222" t="s">
        <v>596</v>
      </c>
      <c r="C35" s="58"/>
      <c r="D35" s="151"/>
      <c r="E35" s="165">
        <v>4000</v>
      </c>
      <c r="F35" s="165"/>
      <c r="G35" s="222" t="s">
        <v>596</v>
      </c>
      <c r="H35" s="58"/>
      <c r="I35" s="151">
        <v>4000</v>
      </c>
      <c r="J35" s="165"/>
      <c r="K35" s="58"/>
      <c r="L35" s="58"/>
    </row>
    <row r="36" spans="2:13" x14ac:dyDescent="0.25">
      <c r="B36" s="222" t="s">
        <v>597</v>
      </c>
      <c r="C36" s="58"/>
      <c r="D36" s="151"/>
      <c r="E36" s="165">
        <f>2000+9500</f>
        <v>11500</v>
      </c>
      <c r="F36" s="165"/>
      <c r="G36" s="222" t="s">
        <v>597</v>
      </c>
      <c r="H36" s="58"/>
      <c r="I36" s="151">
        <v>11500</v>
      </c>
      <c r="J36" s="165"/>
      <c r="K36" s="58"/>
      <c r="L36" s="58"/>
    </row>
    <row r="37" spans="2:13" x14ac:dyDescent="0.25">
      <c r="B37" s="222" t="s">
        <v>599</v>
      </c>
      <c r="C37" s="58"/>
      <c r="D37" s="151"/>
      <c r="E37" s="151">
        <v>3000</v>
      </c>
      <c r="F37" s="165"/>
      <c r="G37" s="222" t="s">
        <v>599</v>
      </c>
      <c r="H37" s="58"/>
      <c r="I37" s="151">
        <v>3000</v>
      </c>
      <c r="J37" s="151"/>
      <c r="K37" s="58"/>
      <c r="L37" s="58"/>
    </row>
    <row r="38" spans="2:13" x14ac:dyDescent="0.25">
      <c r="B38" s="217" t="s">
        <v>129</v>
      </c>
      <c r="C38" s="217"/>
      <c r="D38" s="1">
        <f>D22+D23+D24-E25</f>
        <v>43230</v>
      </c>
      <c r="E38" s="217">
        <f>SUM(E27:E37)</f>
        <v>35700</v>
      </c>
      <c r="F38" s="1">
        <f>D38-E38</f>
        <v>7530</v>
      </c>
      <c r="G38" s="217" t="s">
        <v>129</v>
      </c>
      <c r="H38" s="236">
        <f>H22+H23+H24-I25</f>
        <v>40480</v>
      </c>
      <c r="I38" s="217">
        <f>SUM(I27:I37)</f>
        <v>36600</v>
      </c>
      <c r="J38" s="140">
        <f>H38-I38</f>
        <v>3880</v>
      </c>
      <c r="K38" s="58"/>
      <c r="L38" s="58"/>
    </row>
    <row r="39" spans="2:13" x14ac:dyDescent="0.25">
      <c r="B39" s="23"/>
      <c r="C39" s="23"/>
      <c r="D39" s="23"/>
      <c r="E39" s="23"/>
      <c r="F39" s="23"/>
      <c r="G39" s="23"/>
      <c r="H39" s="23"/>
      <c r="I39" s="23"/>
      <c r="J39" s="23"/>
      <c r="K39" s="58"/>
      <c r="L39" s="58"/>
    </row>
    <row r="40" spans="2:13" x14ac:dyDescent="0.25">
      <c r="B40" s="23" t="s">
        <v>357</v>
      </c>
      <c r="C40" s="23"/>
      <c r="D40" s="23"/>
      <c r="E40" s="23" t="s">
        <v>359</v>
      </c>
      <c r="F40" s="23"/>
      <c r="G40" s="23"/>
      <c r="H40" s="23" t="s">
        <v>361</v>
      </c>
      <c r="I40" s="23"/>
      <c r="J40" s="23"/>
      <c r="K40" s="58"/>
      <c r="L40" s="58"/>
    </row>
    <row r="41" spans="2:13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58"/>
      <c r="L41" s="58"/>
    </row>
    <row r="42" spans="2:13" x14ac:dyDescent="0.25">
      <c r="B42" s="23" t="s">
        <v>483</v>
      </c>
      <c r="C42" s="23"/>
      <c r="D42" s="23"/>
      <c r="E42" s="23" t="s">
        <v>360</v>
      </c>
      <c r="F42" s="23"/>
      <c r="G42" s="23"/>
      <c r="H42" s="23" t="s">
        <v>158</v>
      </c>
      <c r="I42" s="23"/>
      <c r="J42" s="23"/>
      <c r="K42" s="58"/>
      <c r="L42" s="58"/>
    </row>
    <row r="43" spans="2:13" x14ac:dyDescent="0.25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</row>
    <row r="44" spans="2:13" x14ac:dyDescent="0.25">
      <c r="I44" s="100">
        <f>J38-F38</f>
        <v>-3650</v>
      </c>
    </row>
  </sheetData>
  <pageMargins left="0.7" right="0" top="0.75" bottom="0.75" header="0.3" footer="0.3"/>
  <pageSetup orientation="portrait" horizontalDpi="0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K23" sqref="K23"/>
    </sheetView>
  </sheetViews>
  <sheetFormatPr defaultRowHeight="15" x14ac:dyDescent="0.25"/>
  <cols>
    <col min="1" max="1" width="5" customWidth="1"/>
    <col min="2" max="2" width="17" customWidth="1"/>
  </cols>
  <sheetData>
    <row r="1" spans="1:16" x14ac:dyDescent="0.25">
      <c r="D1" s="32" t="s">
        <v>222</v>
      </c>
      <c r="E1" s="32"/>
      <c r="F1" s="32"/>
      <c r="G1" s="32"/>
    </row>
    <row r="2" spans="1:16" x14ac:dyDescent="0.25">
      <c r="D2" s="32" t="s">
        <v>388</v>
      </c>
      <c r="E2" s="32"/>
      <c r="F2" s="32"/>
      <c r="G2" s="32"/>
    </row>
    <row r="3" spans="1:16" x14ac:dyDescent="0.25">
      <c r="D3" s="32" t="s">
        <v>600</v>
      </c>
      <c r="E3" s="32"/>
      <c r="F3" s="32"/>
      <c r="G3" s="32"/>
    </row>
    <row r="4" spans="1:16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</row>
    <row r="5" spans="1:16" x14ac:dyDescent="0.25">
      <c r="A5" s="1">
        <v>1</v>
      </c>
      <c r="B5" s="164" t="s">
        <v>588</v>
      </c>
      <c r="C5" s="1"/>
      <c r="D5" s="1">
        <f>'DECEMBER 20'!I5:I16</f>
        <v>0</v>
      </c>
      <c r="E5" s="1">
        <v>3000</v>
      </c>
      <c r="F5" s="1">
        <v>100</v>
      </c>
      <c r="G5" s="1">
        <f>C5+D5+E5+F5</f>
        <v>3100</v>
      </c>
      <c r="H5" s="1">
        <v>3100</v>
      </c>
      <c r="I5" s="1">
        <f>G5-H5</f>
        <v>0</v>
      </c>
    </row>
    <row r="6" spans="1:16" x14ac:dyDescent="0.25">
      <c r="A6" s="1">
        <v>2</v>
      </c>
      <c r="B6" s="164" t="s">
        <v>205</v>
      </c>
      <c r="C6" s="1"/>
      <c r="D6" s="1">
        <f>'DECEMBER 20'!I6:I17</f>
        <v>0</v>
      </c>
      <c r="E6" s="1">
        <v>3000</v>
      </c>
      <c r="F6" s="1">
        <v>100</v>
      </c>
      <c r="G6" s="1">
        <f t="shared" ref="G6:G16" si="0">C6+D6+E6+F6</f>
        <v>3100</v>
      </c>
      <c r="H6" s="1">
        <f>2000+1100</f>
        <v>3100</v>
      </c>
      <c r="I6" s="1">
        <f t="shared" ref="I6:I16" si="1">G6-H6</f>
        <v>0</v>
      </c>
    </row>
    <row r="7" spans="1:16" x14ac:dyDescent="0.25">
      <c r="A7" s="1">
        <v>3</v>
      </c>
      <c r="B7" s="151" t="s">
        <v>542</v>
      </c>
      <c r="C7" s="1"/>
      <c r="D7" s="1">
        <f>'DECEMBER 20'!I7:I18</f>
        <v>0</v>
      </c>
      <c r="E7" s="1">
        <v>3000</v>
      </c>
      <c r="F7" s="1">
        <v>100</v>
      </c>
      <c r="G7" s="1">
        <f t="shared" si="0"/>
        <v>3100</v>
      </c>
      <c r="H7" s="1">
        <f>3100</f>
        <v>3100</v>
      </c>
      <c r="I7" s="1">
        <f t="shared" si="1"/>
        <v>0</v>
      </c>
    </row>
    <row r="8" spans="1:16" x14ac:dyDescent="0.25">
      <c r="A8" s="1">
        <v>4</v>
      </c>
      <c r="B8" s="167" t="s">
        <v>590</v>
      </c>
      <c r="C8" s="1">
        <v>1500</v>
      </c>
      <c r="D8" s="1"/>
      <c r="E8" s="1">
        <v>3000</v>
      </c>
      <c r="F8" s="1">
        <v>100</v>
      </c>
      <c r="G8" s="1">
        <f t="shared" si="0"/>
        <v>4600</v>
      </c>
      <c r="H8" s="1">
        <f>3100</f>
        <v>3100</v>
      </c>
      <c r="I8" s="1">
        <f t="shared" si="1"/>
        <v>1500</v>
      </c>
    </row>
    <row r="9" spans="1:16" x14ac:dyDescent="0.25">
      <c r="A9" s="1">
        <v>5</v>
      </c>
      <c r="B9" s="151" t="s">
        <v>574</v>
      </c>
      <c r="C9" s="1"/>
      <c r="D9" s="1">
        <f>'DECEMBER 20'!I9:I20</f>
        <v>100</v>
      </c>
      <c r="E9" s="1">
        <v>3000</v>
      </c>
      <c r="F9" s="1">
        <v>100</v>
      </c>
      <c r="G9" s="1">
        <f t="shared" si="0"/>
        <v>3200</v>
      </c>
      <c r="H9" s="1">
        <f>3200</f>
        <v>3200</v>
      </c>
      <c r="I9" s="1">
        <f t="shared" si="1"/>
        <v>0</v>
      </c>
    </row>
    <row r="10" spans="1:16" x14ac:dyDescent="0.25">
      <c r="A10" s="1">
        <v>6</v>
      </c>
      <c r="B10" s="151" t="s">
        <v>402</v>
      </c>
      <c r="C10" s="1"/>
      <c r="D10" s="1">
        <f>'DECEMBER 20'!I10:I21</f>
        <v>400</v>
      </c>
      <c r="E10" s="1">
        <v>3000</v>
      </c>
      <c r="F10" s="1">
        <v>100</v>
      </c>
      <c r="G10" s="1">
        <f t="shared" si="0"/>
        <v>3500</v>
      </c>
      <c r="H10" s="1">
        <f>3200</f>
        <v>3200</v>
      </c>
      <c r="I10" s="1">
        <f t="shared" si="1"/>
        <v>300</v>
      </c>
      <c r="P10">
        <v>166100</v>
      </c>
    </row>
    <row r="11" spans="1:16" x14ac:dyDescent="0.25">
      <c r="A11" s="1">
        <v>7</v>
      </c>
      <c r="B11" s="168" t="s">
        <v>598</v>
      </c>
      <c r="C11" s="1"/>
      <c r="D11" s="1">
        <f>'DECEMBER 20'!I11:I22</f>
        <v>0</v>
      </c>
      <c r="E11" s="1"/>
      <c r="F11" s="1"/>
      <c r="G11" s="1">
        <f t="shared" si="0"/>
        <v>0</v>
      </c>
      <c r="H11" s="1"/>
      <c r="I11" s="1">
        <f t="shared" si="1"/>
        <v>0</v>
      </c>
      <c r="P11">
        <v>222890</v>
      </c>
    </row>
    <row r="12" spans="1:16" x14ac:dyDescent="0.25">
      <c r="A12" s="1">
        <v>8</v>
      </c>
      <c r="B12" s="167" t="s">
        <v>573</v>
      </c>
      <c r="C12" s="1"/>
      <c r="D12" s="1">
        <f>'DECEMBER 20'!I12:I23</f>
        <v>2000</v>
      </c>
      <c r="E12" s="1">
        <v>2000</v>
      </c>
      <c r="F12" s="1">
        <v>100</v>
      </c>
      <c r="G12" s="1">
        <f t="shared" si="0"/>
        <v>4100</v>
      </c>
      <c r="H12" s="1">
        <v>4100</v>
      </c>
      <c r="I12" s="1">
        <f t="shared" si="1"/>
        <v>0</v>
      </c>
      <c r="P12">
        <v>126890</v>
      </c>
    </row>
    <row r="13" spans="1:16" x14ac:dyDescent="0.25">
      <c r="A13" s="1">
        <v>9</v>
      </c>
      <c r="B13" s="164" t="s">
        <v>495</v>
      </c>
      <c r="C13" s="1"/>
      <c r="D13" s="1">
        <f>'DECEMBER 20'!I13:I24</f>
        <v>0</v>
      </c>
      <c r="E13" s="1">
        <v>3000</v>
      </c>
      <c r="F13" s="1">
        <v>100</v>
      </c>
      <c r="G13" s="1">
        <f t="shared" si="0"/>
        <v>3100</v>
      </c>
      <c r="H13" s="1">
        <v>3100</v>
      </c>
      <c r="I13" s="1">
        <f t="shared" si="1"/>
        <v>0</v>
      </c>
      <c r="P13">
        <v>14877</v>
      </c>
    </row>
    <row r="14" spans="1:16" x14ac:dyDescent="0.25">
      <c r="A14" s="1">
        <v>10</v>
      </c>
      <c r="B14" s="169" t="s">
        <v>400</v>
      </c>
      <c r="C14" s="1"/>
      <c r="D14" s="1">
        <f>'DECEMBER 20'!I14:I25</f>
        <v>0</v>
      </c>
      <c r="E14" s="1">
        <v>4500</v>
      </c>
      <c r="F14" s="1">
        <v>100</v>
      </c>
      <c r="G14" s="1">
        <f t="shared" si="0"/>
        <v>4600</v>
      </c>
      <c r="H14" s="1">
        <v>4600</v>
      </c>
      <c r="I14" s="1">
        <f t="shared" si="1"/>
        <v>0</v>
      </c>
      <c r="P14">
        <v>77530</v>
      </c>
    </row>
    <row r="15" spans="1:16" x14ac:dyDescent="0.25">
      <c r="A15" s="1">
        <v>11</v>
      </c>
      <c r="B15" s="168" t="s">
        <v>345</v>
      </c>
      <c r="C15" s="1"/>
      <c r="D15" s="1">
        <f>'DECEMBER 20'!I15:I26</f>
        <v>2500</v>
      </c>
      <c r="E15" s="1">
        <v>4500</v>
      </c>
      <c r="F15" s="1">
        <v>100</v>
      </c>
      <c r="G15" s="1">
        <f t="shared" si="0"/>
        <v>7100</v>
      </c>
      <c r="H15" s="1">
        <f>4100+2000</f>
        <v>6100</v>
      </c>
      <c r="I15" s="1">
        <f t="shared" si="1"/>
        <v>1000</v>
      </c>
      <c r="P15">
        <v>56500</v>
      </c>
    </row>
    <row r="16" spans="1:16" x14ac:dyDescent="0.25">
      <c r="A16" s="1">
        <v>12</v>
      </c>
      <c r="B16" s="197" t="s">
        <v>80</v>
      </c>
      <c r="C16" s="1"/>
      <c r="D16" s="1"/>
      <c r="E16" s="1"/>
      <c r="F16" s="1">
        <v>100</v>
      </c>
      <c r="G16" s="1">
        <f t="shared" si="0"/>
        <v>100</v>
      </c>
      <c r="H16" s="1">
        <v>100</v>
      </c>
      <c r="I16" s="1">
        <f t="shared" si="1"/>
        <v>0</v>
      </c>
      <c r="P16">
        <f>SUM(P10:P15)</f>
        <v>664787</v>
      </c>
    </row>
    <row r="17" spans="1:17" x14ac:dyDescent="0.25">
      <c r="A17" s="1" t="s">
        <v>129</v>
      </c>
      <c r="B17" s="1"/>
      <c r="C17" s="1">
        <f t="shared" ref="C17:I17" si="2">SUM(C5:C16)</f>
        <v>1500</v>
      </c>
      <c r="D17" s="1">
        <f t="shared" si="2"/>
        <v>5000</v>
      </c>
      <c r="E17" s="1">
        <f t="shared" si="2"/>
        <v>32000</v>
      </c>
      <c r="F17" s="1">
        <f t="shared" si="2"/>
        <v>1100</v>
      </c>
      <c r="G17" s="1">
        <f t="shared" si="2"/>
        <v>39600</v>
      </c>
      <c r="H17" s="1">
        <f t="shared" si="2"/>
        <v>36800</v>
      </c>
      <c r="I17" s="1">
        <f t="shared" si="2"/>
        <v>2800</v>
      </c>
      <c r="Q17">
        <f>183000+70000</f>
        <v>253000</v>
      </c>
    </row>
    <row r="18" spans="1:17" x14ac:dyDescent="0.25">
      <c r="I18" s="110">
        <f>I17-I8</f>
        <v>1300</v>
      </c>
    </row>
    <row r="19" spans="1:17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</row>
    <row r="20" spans="1:17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</row>
    <row r="21" spans="1:17" x14ac:dyDescent="0.25">
      <c r="A21" s="165" t="s">
        <v>511</v>
      </c>
      <c r="B21" s="165"/>
      <c r="C21" s="165">
        <f>E17</f>
        <v>32000</v>
      </c>
      <c r="D21" s="165"/>
      <c r="E21" s="165"/>
      <c r="F21" s="165" t="s">
        <v>511</v>
      </c>
      <c r="G21" s="232">
        <f>H17</f>
        <v>36800</v>
      </c>
      <c r="H21" s="165"/>
      <c r="I21" s="165"/>
      <c r="J21" s="58"/>
    </row>
    <row r="22" spans="1:17" x14ac:dyDescent="0.25">
      <c r="A22" s="165" t="s">
        <v>1</v>
      </c>
      <c r="B22" s="165"/>
      <c r="C22" s="238">
        <f>'DECEMBER 20'!F38</f>
        <v>7530</v>
      </c>
      <c r="D22" s="165"/>
      <c r="E22" s="165"/>
      <c r="F22" s="165" t="s">
        <v>1</v>
      </c>
      <c r="G22" s="173">
        <f>'DECEMBER 20'!J38</f>
        <v>3880</v>
      </c>
      <c r="H22" s="165"/>
      <c r="I22" s="165"/>
      <c r="J22" s="58"/>
    </row>
    <row r="23" spans="1:17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</row>
    <row r="24" spans="1:17" x14ac:dyDescent="0.25">
      <c r="A24" s="165" t="s">
        <v>325</v>
      </c>
      <c r="B24" s="165"/>
      <c r="C24" s="226">
        <v>0.1</v>
      </c>
      <c r="D24" s="165">
        <f>C21*C24</f>
        <v>3200</v>
      </c>
      <c r="E24" s="165"/>
      <c r="F24" s="165" t="s">
        <v>325</v>
      </c>
      <c r="G24" s="226">
        <v>0.1</v>
      </c>
      <c r="H24" s="165">
        <f>D24</f>
        <v>3200</v>
      </c>
      <c r="I24" s="165"/>
      <c r="J24" s="58"/>
    </row>
    <row r="25" spans="1:17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</row>
    <row r="26" spans="1:17" x14ac:dyDescent="0.25">
      <c r="A26" s="165" t="s">
        <v>520</v>
      </c>
      <c r="B26" s="165"/>
      <c r="C26" s="234">
        <v>0.3</v>
      </c>
      <c r="D26" s="222"/>
      <c r="E26" s="165"/>
      <c r="F26" s="165"/>
      <c r="G26" s="174"/>
      <c r="H26" s="58"/>
      <c r="I26" s="222"/>
      <c r="J26" s="58"/>
    </row>
    <row r="27" spans="1:17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</row>
    <row r="28" spans="1:17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58"/>
      <c r="H28" s="151">
        <f>F17</f>
        <v>1100</v>
      </c>
      <c r="I28" s="151"/>
      <c r="J28" s="58"/>
    </row>
    <row r="29" spans="1:17" x14ac:dyDescent="0.25">
      <c r="A29" s="222" t="s">
        <v>328</v>
      </c>
      <c r="B29" s="58"/>
      <c r="C29" s="151"/>
      <c r="D29" s="151">
        <f>7000+1000</f>
        <v>8000</v>
      </c>
      <c r="E29" s="165"/>
      <c r="F29" s="222" t="s">
        <v>328</v>
      </c>
      <c r="G29" s="58"/>
      <c r="H29" s="151">
        <f>7000+1000</f>
        <v>8000</v>
      </c>
      <c r="I29" s="151"/>
      <c r="J29" s="58"/>
    </row>
    <row r="30" spans="1:17" x14ac:dyDescent="0.25">
      <c r="A30" s="222" t="s">
        <v>602</v>
      </c>
      <c r="B30" s="58"/>
      <c r="C30" s="151"/>
      <c r="D30" s="58">
        <v>3000</v>
      </c>
      <c r="E30" s="151"/>
      <c r="F30" s="222" t="s">
        <v>602</v>
      </c>
      <c r="G30" s="58"/>
      <c r="H30" s="151">
        <v>3000</v>
      </c>
      <c r="I30" s="58"/>
      <c r="J30" s="58"/>
    </row>
    <row r="31" spans="1:17" x14ac:dyDescent="0.25">
      <c r="A31" s="222" t="s">
        <v>556</v>
      </c>
      <c r="B31" s="58"/>
      <c r="C31" s="151"/>
      <c r="D31" s="151">
        <v>3000</v>
      </c>
      <c r="E31" s="165"/>
      <c r="F31" s="222" t="s">
        <v>556</v>
      </c>
      <c r="G31" s="58"/>
      <c r="H31" s="151">
        <v>3000</v>
      </c>
      <c r="I31" s="151"/>
      <c r="J31" s="58"/>
    </row>
    <row r="32" spans="1:17" x14ac:dyDescent="0.25">
      <c r="A32" s="222" t="s">
        <v>603</v>
      </c>
      <c r="B32" s="58"/>
      <c r="C32" s="151"/>
      <c r="D32" s="151">
        <f>5000+3500</f>
        <v>8500</v>
      </c>
      <c r="E32" s="165"/>
      <c r="F32" s="222" t="s">
        <v>603</v>
      </c>
      <c r="G32" s="58"/>
      <c r="H32" s="151">
        <f>5000+3500</f>
        <v>8500</v>
      </c>
      <c r="I32" s="151"/>
      <c r="J32" s="58"/>
    </row>
    <row r="33" spans="1:11" x14ac:dyDescent="0.25">
      <c r="A33" s="222" t="s">
        <v>604</v>
      </c>
      <c r="B33" s="58"/>
      <c r="C33" s="151"/>
      <c r="D33" s="165">
        <v>1012</v>
      </c>
      <c r="E33" s="165"/>
      <c r="F33" s="222" t="s">
        <v>604</v>
      </c>
      <c r="G33" s="58"/>
      <c r="H33" s="151">
        <v>1012</v>
      </c>
      <c r="I33" s="165"/>
      <c r="J33" s="58"/>
    </row>
    <row r="34" spans="1:11" x14ac:dyDescent="0.25">
      <c r="A34" s="222" t="s">
        <v>607</v>
      </c>
      <c r="B34" s="58"/>
      <c r="C34" s="151"/>
      <c r="D34" s="165">
        <v>1000</v>
      </c>
      <c r="E34" s="165"/>
      <c r="F34" s="222" t="s">
        <v>607</v>
      </c>
      <c r="G34" s="58"/>
      <c r="H34" s="151">
        <v>1000</v>
      </c>
      <c r="I34" s="165"/>
      <c r="J34" s="58"/>
    </row>
    <row r="35" spans="1:11" x14ac:dyDescent="0.25">
      <c r="A35" s="222" t="s">
        <v>606</v>
      </c>
      <c r="B35" s="58"/>
      <c r="C35" s="151"/>
      <c r="D35" s="165">
        <v>4100</v>
      </c>
      <c r="E35" s="165"/>
      <c r="F35" s="222" t="s">
        <v>606</v>
      </c>
      <c r="G35" s="58"/>
      <c r="H35" s="151">
        <v>4100</v>
      </c>
      <c r="I35" s="165"/>
      <c r="J35" s="58"/>
    </row>
    <row r="36" spans="1:11" x14ac:dyDescent="0.25">
      <c r="A36" s="222"/>
      <c r="B36" s="58"/>
      <c r="C36" s="151"/>
      <c r="D36" s="151"/>
      <c r="E36" s="165"/>
      <c r="F36" s="222"/>
      <c r="G36" s="58"/>
      <c r="H36" s="151"/>
      <c r="I36" s="151"/>
      <c r="J36" s="58"/>
    </row>
    <row r="37" spans="1:11" x14ac:dyDescent="0.25">
      <c r="A37" s="217" t="s">
        <v>129</v>
      </c>
      <c r="B37" s="217"/>
      <c r="C37" s="1">
        <f>C21+C22+C23-D24</f>
        <v>36330</v>
      </c>
      <c r="D37" s="217">
        <f>SUM(D26:D36)</f>
        <v>30712</v>
      </c>
      <c r="E37" s="1">
        <f>C37-D37</f>
        <v>5618</v>
      </c>
      <c r="F37" s="217" t="s">
        <v>129</v>
      </c>
      <c r="G37" s="236">
        <f>G21+G22+G23-H24</f>
        <v>37480</v>
      </c>
      <c r="H37" s="217">
        <f>SUM(H26:H36)</f>
        <v>31712</v>
      </c>
      <c r="I37" s="140">
        <f>G37-H37</f>
        <v>5768</v>
      </c>
      <c r="J37" s="58"/>
      <c r="K37" s="100"/>
    </row>
    <row r="38" spans="1:1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58"/>
    </row>
    <row r="39" spans="1:11" x14ac:dyDescent="0.25">
      <c r="A39" s="23" t="s">
        <v>357</v>
      </c>
      <c r="B39" s="23"/>
      <c r="C39" s="23"/>
      <c r="D39" s="23" t="s">
        <v>359</v>
      </c>
      <c r="E39" s="23"/>
      <c r="F39" s="23"/>
      <c r="G39" s="23" t="s">
        <v>361</v>
      </c>
      <c r="H39" s="23"/>
      <c r="I39" s="23"/>
      <c r="J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</row>
    <row r="41" spans="1:11" x14ac:dyDescent="0.25">
      <c r="A41" s="23" t="s">
        <v>483</v>
      </c>
      <c r="B41" s="23"/>
      <c r="C41" s="23"/>
      <c r="D41" s="23" t="s">
        <v>360</v>
      </c>
      <c r="E41" s="23"/>
      <c r="F41" s="23"/>
      <c r="G41" s="23" t="s">
        <v>158</v>
      </c>
      <c r="H41" s="23"/>
      <c r="I41" s="23"/>
      <c r="J41" s="58"/>
    </row>
  </sheetData>
  <pageMargins left="0.7" right="0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37" workbookViewId="0">
      <selection activeCell="A2" sqref="A2:I41"/>
    </sheetView>
  </sheetViews>
  <sheetFormatPr defaultRowHeight="15" x14ac:dyDescent="0.25"/>
  <cols>
    <col min="2" max="2" width="19.140625" customWidth="1"/>
    <col min="3" max="3" width="8.140625" style="58" customWidth="1"/>
    <col min="4" max="4" width="5.5703125" customWidth="1"/>
    <col min="6" max="6" width="10.42578125" customWidth="1"/>
    <col min="8" max="8" width="11.7109375" customWidth="1"/>
    <col min="9" max="9" width="8.140625" customWidth="1"/>
  </cols>
  <sheetData>
    <row r="1" spans="1:9" x14ac:dyDescent="0.25">
      <c r="A1" s="21"/>
      <c r="B1" s="21"/>
      <c r="C1" s="21"/>
      <c r="D1" s="75"/>
      <c r="E1" s="99" t="s">
        <v>19</v>
      </c>
      <c r="F1" s="76"/>
      <c r="G1" s="98"/>
      <c r="H1" s="58"/>
      <c r="I1" s="58"/>
    </row>
    <row r="2" spans="1:9" x14ac:dyDescent="0.25">
      <c r="A2" s="21"/>
      <c r="B2" s="21"/>
      <c r="C2" s="21"/>
      <c r="D2" s="75"/>
      <c r="E2" s="76" t="s">
        <v>59</v>
      </c>
      <c r="F2" s="76"/>
      <c r="G2" s="76"/>
      <c r="H2" s="76"/>
      <c r="I2" s="76"/>
    </row>
    <row r="3" spans="1:9" ht="16.5" x14ac:dyDescent="0.25">
      <c r="A3" s="21"/>
      <c r="B3" s="21"/>
      <c r="C3" s="21"/>
      <c r="D3" s="75"/>
      <c r="E3" s="76" t="s">
        <v>60</v>
      </c>
      <c r="F3" s="76"/>
      <c r="G3" s="76"/>
      <c r="H3" s="77"/>
      <c r="I3" s="77"/>
    </row>
    <row r="4" spans="1:9" x14ac:dyDescent="0.25">
      <c r="A4" s="21"/>
      <c r="B4" s="21"/>
      <c r="C4" s="21"/>
      <c r="D4" s="77"/>
      <c r="E4" s="78" t="s">
        <v>22</v>
      </c>
      <c r="F4" s="78"/>
      <c r="G4" s="78"/>
      <c r="H4" s="78"/>
      <c r="I4" s="78"/>
    </row>
    <row r="5" spans="1:9" x14ac:dyDescent="0.25">
      <c r="A5" s="31" t="s">
        <v>47</v>
      </c>
      <c r="B5" s="58"/>
      <c r="D5" s="31"/>
      <c r="E5" s="58"/>
      <c r="F5" s="58"/>
      <c r="G5" s="58"/>
      <c r="H5" s="31"/>
      <c r="I5" s="31"/>
    </row>
    <row r="6" spans="1:9" ht="23.25" x14ac:dyDescent="0.35">
      <c r="A6" s="33" t="s">
        <v>94</v>
      </c>
      <c r="B6" s="35"/>
      <c r="C6" s="35"/>
      <c r="D6" s="34"/>
      <c r="E6" s="34"/>
      <c r="F6" s="34"/>
      <c r="G6" s="34"/>
      <c r="H6" s="37"/>
      <c r="I6" s="37"/>
    </row>
    <row r="7" spans="1:9" x14ac:dyDescent="0.25">
      <c r="A7" s="1"/>
      <c r="B7" s="8" t="s">
        <v>0</v>
      </c>
      <c r="C7" s="8" t="s">
        <v>81</v>
      </c>
      <c r="D7" s="9" t="s">
        <v>1</v>
      </c>
      <c r="E7" s="8" t="s">
        <v>2</v>
      </c>
      <c r="F7" s="8" t="s">
        <v>3</v>
      </c>
      <c r="G7" s="1" t="s">
        <v>77</v>
      </c>
      <c r="H7" s="1" t="s">
        <v>78</v>
      </c>
      <c r="I7" s="8" t="s">
        <v>5</v>
      </c>
    </row>
    <row r="8" spans="1:9" x14ac:dyDescent="0.25">
      <c r="A8" s="1"/>
      <c r="B8" s="11"/>
      <c r="C8" s="11"/>
      <c r="D8" s="11"/>
      <c r="E8" s="11"/>
      <c r="F8" s="12"/>
      <c r="G8" s="1"/>
      <c r="H8" s="1"/>
      <c r="I8" s="12"/>
    </row>
    <row r="9" spans="1:9" x14ac:dyDescent="0.25">
      <c r="A9" s="1">
        <v>1</v>
      </c>
      <c r="B9" s="13" t="s">
        <v>68</v>
      </c>
      <c r="C9" s="13"/>
      <c r="D9" s="14">
        <v>0</v>
      </c>
      <c r="E9" s="1">
        <v>2500</v>
      </c>
      <c r="F9" s="15">
        <v>2500</v>
      </c>
      <c r="G9" s="1">
        <v>150</v>
      </c>
      <c r="H9" s="16">
        <f>E9+G9</f>
        <v>2650</v>
      </c>
      <c r="I9" s="15"/>
    </row>
    <row r="10" spans="1:9" x14ac:dyDescent="0.25">
      <c r="A10" s="1">
        <v>2</v>
      </c>
      <c r="B10" s="13" t="s">
        <v>52</v>
      </c>
      <c r="C10" s="13"/>
      <c r="D10" s="14">
        <v>0</v>
      </c>
      <c r="E10" s="1">
        <v>2500</v>
      </c>
      <c r="F10" s="95">
        <v>2500</v>
      </c>
      <c r="G10" s="1">
        <v>150</v>
      </c>
      <c r="H10" s="16">
        <f t="shared" ref="H10:H22" si="0">E10+G10</f>
        <v>2650</v>
      </c>
      <c r="I10" s="15"/>
    </row>
    <row r="11" spans="1:9" x14ac:dyDescent="0.25">
      <c r="A11" s="1">
        <v>3</v>
      </c>
      <c r="B11" s="13" t="s">
        <v>82</v>
      </c>
      <c r="C11" s="13" t="s">
        <v>83</v>
      </c>
      <c r="D11" s="14">
        <v>0</v>
      </c>
      <c r="E11" s="1">
        <v>2500</v>
      </c>
      <c r="F11" s="95">
        <v>1250</v>
      </c>
      <c r="G11" s="1">
        <v>150</v>
      </c>
      <c r="H11" s="16">
        <f t="shared" si="0"/>
        <v>2650</v>
      </c>
      <c r="I11" s="15" t="s">
        <v>80</v>
      </c>
    </row>
    <row r="12" spans="1:9" x14ac:dyDescent="0.25">
      <c r="A12" s="1">
        <v>4</v>
      </c>
      <c r="B12" s="13" t="s">
        <v>10</v>
      </c>
      <c r="C12" s="13"/>
      <c r="D12" s="14">
        <v>0</v>
      </c>
      <c r="E12" s="1">
        <v>2500</v>
      </c>
      <c r="F12" s="95">
        <v>2500</v>
      </c>
      <c r="G12" s="1">
        <v>150</v>
      </c>
      <c r="H12" s="16">
        <f t="shared" si="0"/>
        <v>2650</v>
      </c>
      <c r="I12" s="15"/>
    </row>
    <row r="13" spans="1:9" x14ac:dyDescent="0.25">
      <c r="A13" s="1">
        <v>5</v>
      </c>
      <c r="B13" s="13" t="s">
        <v>69</v>
      </c>
      <c r="C13" s="13"/>
      <c r="D13" s="14">
        <v>0</v>
      </c>
      <c r="E13" s="1">
        <v>2500</v>
      </c>
      <c r="F13" s="95">
        <v>2500</v>
      </c>
      <c r="G13" s="1">
        <v>150</v>
      </c>
      <c r="H13" s="16">
        <f t="shared" si="0"/>
        <v>2650</v>
      </c>
      <c r="I13" s="68"/>
    </row>
    <row r="14" spans="1:9" x14ac:dyDescent="0.25">
      <c r="A14" s="1">
        <v>6</v>
      </c>
      <c r="B14" s="13" t="s">
        <v>12</v>
      </c>
      <c r="C14" s="13"/>
      <c r="D14" s="14">
        <v>5000</v>
      </c>
      <c r="E14" s="1">
        <v>5000</v>
      </c>
      <c r="F14" s="95"/>
      <c r="G14" s="1">
        <v>150</v>
      </c>
      <c r="H14" s="16">
        <f t="shared" si="0"/>
        <v>5150</v>
      </c>
      <c r="I14" s="68">
        <v>10000</v>
      </c>
    </row>
    <row r="15" spans="1:9" x14ac:dyDescent="0.25">
      <c r="A15" s="1">
        <v>7</v>
      </c>
      <c r="B15" s="13" t="s">
        <v>14</v>
      </c>
      <c r="C15" s="13"/>
      <c r="D15" s="14">
        <v>0</v>
      </c>
      <c r="E15" s="1">
        <v>3500</v>
      </c>
      <c r="F15" s="95">
        <v>3500</v>
      </c>
      <c r="G15" s="1">
        <v>150</v>
      </c>
      <c r="H15" s="16">
        <f t="shared" si="0"/>
        <v>3650</v>
      </c>
      <c r="I15" s="68"/>
    </row>
    <row r="16" spans="1:9" x14ac:dyDescent="0.25">
      <c r="A16" s="1">
        <v>8</v>
      </c>
      <c r="B16" s="13" t="s">
        <v>13</v>
      </c>
      <c r="C16" s="13"/>
      <c r="D16" s="14">
        <v>0</v>
      </c>
      <c r="E16" s="1">
        <v>3500</v>
      </c>
      <c r="F16" s="95">
        <v>3500</v>
      </c>
      <c r="G16" s="1">
        <v>150</v>
      </c>
      <c r="H16" s="16">
        <f t="shared" si="0"/>
        <v>3650</v>
      </c>
      <c r="I16" s="15"/>
    </row>
    <row r="17" spans="1:9" x14ac:dyDescent="0.25">
      <c r="A17" s="1">
        <v>9</v>
      </c>
      <c r="B17" s="79" t="s">
        <v>15</v>
      </c>
      <c r="C17" s="79"/>
      <c r="D17" s="14">
        <v>0</v>
      </c>
      <c r="E17" s="1">
        <v>2500</v>
      </c>
      <c r="F17" s="95">
        <v>2500</v>
      </c>
      <c r="G17" s="1">
        <v>150</v>
      </c>
      <c r="H17" s="16">
        <f t="shared" si="0"/>
        <v>2650</v>
      </c>
      <c r="I17" s="15"/>
    </row>
    <row r="18" spans="1:9" x14ac:dyDescent="0.25">
      <c r="A18" s="1">
        <v>10</v>
      </c>
      <c r="B18" s="79" t="s">
        <v>67</v>
      </c>
      <c r="C18" s="79"/>
      <c r="D18" s="14"/>
      <c r="E18" s="1">
        <v>2500</v>
      </c>
      <c r="F18" s="95">
        <v>2500</v>
      </c>
      <c r="G18" s="1">
        <v>150</v>
      </c>
      <c r="H18" s="16">
        <f t="shared" si="0"/>
        <v>2650</v>
      </c>
      <c r="I18" s="15"/>
    </row>
    <row r="19" spans="1:9" x14ac:dyDescent="0.25">
      <c r="A19" s="1">
        <v>11</v>
      </c>
      <c r="B19" s="13" t="s">
        <v>17</v>
      </c>
      <c r="C19" s="13"/>
      <c r="D19" s="14">
        <v>0</v>
      </c>
      <c r="E19" s="1">
        <v>3500</v>
      </c>
      <c r="F19" s="95">
        <v>3500</v>
      </c>
      <c r="G19" s="1"/>
      <c r="H19" s="16">
        <f t="shared" si="0"/>
        <v>3500</v>
      </c>
      <c r="I19" s="15"/>
    </row>
    <row r="20" spans="1:9" x14ac:dyDescent="0.25">
      <c r="A20" s="1">
        <v>12</v>
      </c>
      <c r="B20" s="13" t="s">
        <v>18</v>
      </c>
      <c r="C20" s="13"/>
      <c r="D20" s="14">
        <v>0</v>
      </c>
      <c r="E20" s="1">
        <v>2500</v>
      </c>
      <c r="F20" s="95">
        <v>2500</v>
      </c>
      <c r="G20" s="1">
        <v>150</v>
      </c>
      <c r="H20" s="16">
        <f t="shared" si="0"/>
        <v>2650</v>
      </c>
      <c r="I20" s="15"/>
    </row>
    <row r="21" spans="1:9" x14ac:dyDescent="0.25">
      <c r="A21" s="1">
        <v>13</v>
      </c>
      <c r="B21" s="13" t="s">
        <v>41</v>
      </c>
      <c r="C21" s="13"/>
      <c r="D21" s="14"/>
      <c r="E21" s="1">
        <v>2500</v>
      </c>
      <c r="F21" s="95">
        <v>2500</v>
      </c>
      <c r="G21" s="1">
        <v>150</v>
      </c>
      <c r="H21" s="16">
        <f t="shared" si="0"/>
        <v>2650</v>
      </c>
      <c r="I21" s="15"/>
    </row>
    <row r="22" spans="1:9" x14ac:dyDescent="0.25">
      <c r="A22" s="1"/>
      <c r="B22" s="13"/>
      <c r="C22" s="13"/>
      <c r="D22" s="67">
        <f>SUM(D8:D20)</f>
        <v>5000</v>
      </c>
      <c r="E22" s="94">
        <f>SUM(E9:E21)</f>
        <v>38000</v>
      </c>
      <c r="F22" s="95">
        <f>SUM(F9:F21)</f>
        <v>31750</v>
      </c>
      <c r="G22" s="1">
        <f>SUM(G9:G21)</f>
        <v>1800</v>
      </c>
      <c r="H22" s="16">
        <f t="shared" si="0"/>
        <v>39800</v>
      </c>
      <c r="I22" s="68">
        <f>SUM(I8:I21)</f>
        <v>10000</v>
      </c>
    </row>
    <row r="23" spans="1:9" x14ac:dyDescent="0.25">
      <c r="A23" s="1"/>
      <c r="B23" s="11"/>
      <c r="C23" s="11"/>
      <c r="D23" s="11"/>
      <c r="E23" s="11"/>
      <c r="F23" s="58"/>
      <c r="G23" s="58"/>
      <c r="H23" s="97"/>
      <c r="I23" s="97"/>
    </row>
    <row r="24" spans="1:9" x14ac:dyDescent="0.25">
      <c r="A24" s="58"/>
      <c r="B24" s="58"/>
      <c r="D24" s="58"/>
      <c r="E24" s="58"/>
      <c r="F24" s="58"/>
      <c r="G24" s="58"/>
      <c r="H24" s="58"/>
      <c r="I24" s="58"/>
    </row>
    <row r="25" spans="1:9" ht="15.75" x14ac:dyDescent="0.25">
      <c r="A25" s="58"/>
      <c r="B25" s="58"/>
      <c r="D25" s="19" t="s">
        <v>24</v>
      </c>
      <c r="E25" s="38"/>
      <c r="F25" s="38"/>
      <c r="G25" s="38"/>
      <c r="H25" s="39"/>
      <c r="I25" s="39"/>
    </row>
    <row r="26" spans="1:9" x14ac:dyDescent="0.25">
      <c r="A26" s="43"/>
      <c r="B26" s="21" t="s">
        <v>73</v>
      </c>
      <c r="C26" s="21"/>
      <c r="D26" s="41"/>
      <c r="E26" s="58"/>
      <c r="F26">
        <v>38800</v>
      </c>
      <c r="G26" s="44"/>
      <c r="H26" s="96" t="s">
        <v>85</v>
      </c>
    </row>
    <row r="27" spans="1:9" x14ac:dyDescent="0.25">
      <c r="A27" s="43"/>
      <c r="B27" s="58" t="s">
        <v>75</v>
      </c>
      <c r="D27" s="58"/>
      <c r="E27" s="58"/>
      <c r="F27">
        <v>31750</v>
      </c>
      <c r="G27" s="58"/>
      <c r="H27" s="88" t="s">
        <v>84</v>
      </c>
    </row>
    <row r="28" spans="1:9" ht="16.5" x14ac:dyDescent="0.35">
      <c r="A28" s="43"/>
      <c r="B28" s="84" t="s">
        <v>56</v>
      </c>
      <c r="C28" s="84"/>
      <c r="D28" s="58"/>
      <c r="E28" s="58"/>
      <c r="G28" s="51"/>
      <c r="H28" s="88"/>
    </row>
    <row r="29" spans="1:9" ht="16.5" x14ac:dyDescent="0.35">
      <c r="A29" s="43"/>
      <c r="B29" s="21" t="s">
        <v>36</v>
      </c>
      <c r="C29" s="21"/>
      <c r="D29" s="57">
        <v>0.1</v>
      </c>
      <c r="E29" s="58"/>
      <c r="F29" s="89">
        <f>D29*H27</f>
        <v>3175</v>
      </c>
      <c r="G29" s="51"/>
    </row>
    <row r="30" spans="1:9" x14ac:dyDescent="0.25">
      <c r="A30" s="43"/>
      <c r="B30" s="21" t="s">
        <v>64</v>
      </c>
      <c r="C30" s="21"/>
      <c r="D30" s="41"/>
      <c r="E30" s="58"/>
      <c r="F30" s="90">
        <v>7000</v>
      </c>
      <c r="G30" s="45"/>
    </row>
    <row r="31" spans="1:9" x14ac:dyDescent="0.25">
      <c r="A31" s="81"/>
      <c r="B31" s="21" t="s">
        <v>87</v>
      </c>
      <c r="C31" s="21" t="s">
        <v>86</v>
      </c>
      <c r="F31">
        <v>1250</v>
      </c>
      <c r="G31" s="56"/>
    </row>
    <row r="32" spans="1:9" x14ac:dyDescent="0.25">
      <c r="A32" s="58"/>
      <c r="B32" s="21" t="s">
        <v>77</v>
      </c>
      <c r="F32">
        <v>1500</v>
      </c>
      <c r="G32" s="58"/>
    </row>
    <row r="33" spans="1:7" x14ac:dyDescent="0.25">
      <c r="A33" s="58"/>
      <c r="B33" s="21" t="s">
        <v>89</v>
      </c>
      <c r="C33" s="21"/>
      <c r="D33" s="58"/>
      <c r="E33" s="58"/>
      <c r="F33" s="88" t="s">
        <v>88</v>
      </c>
      <c r="G33" s="93"/>
    </row>
    <row r="34" spans="1:7" x14ac:dyDescent="0.25">
      <c r="A34" s="58"/>
      <c r="B34" s="82" t="s">
        <v>66</v>
      </c>
      <c r="F34" s="45">
        <f>F29+F30+F31+F32+F33</f>
        <v>31750</v>
      </c>
      <c r="G34" s="93"/>
    </row>
    <row r="35" spans="1:7" x14ac:dyDescent="0.25">
      <c r="B35" s="21" t="s">
        <v>90</v>
      </c>
      <c r="C35" s="82"/>
      <c r="D35" s="83"/>
      <c r="E35" s="83"/>
      <c r="F35" s="91">
        <v>10000</v>
      </c>
      <c r="G35" s="58" t="s">
        <v>91</v>
      </c>
    </row>
    <row r="37" spans="1:7" x14ac:dyDescent="0.25">
      <c r="B37" s="56" t="s">
        <v>34</v>
      </c>
      <c r="C37" s="58" t="s">
        <v>93</v>
      </c>
      <c r="D37" s="58"/>
      <c r="E37" s="58"/>
      <c r="F37" s="56" t="s">
        <v>34</v>
      </c>
    </row>
    <row r="38" spans="1:7" x14ac:dyDescent="0.25">
      <c r="B38" s="21" t="s">
        <v>5</v>
      </c>
      <c r="C38" s="21"/>
      <c r="G38" s="58"/>
    </row>
    <row r="39" spans="1:7" x14ac:dyDescent="0.25">
      <c r="B39" s="56" t="s">
        <v>46</v>
      </c>
      <c r="C39" s="56" t="s">
        <v>92</v>
      </c>
      <c r="D39" s="58"/>
      <c r="E39" s="58"/>
      <c r="F39" s="56" t="s">
        <v>33</v>
      </c>
    </row>
  </sheetData>
  <pageMargins left="0.7" right="0.7" top="0.75" bottom="0.75" header="0.3" footer="0.3"/>
  <pageSetup orientation="portrait" horizontalDpi="0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J34" sqref="J34"/>
    </sheetView>
  </sheetViews>
  <sheetFormatPr defaultRowHeight="15" x14ac:dyDescent="0.25"/>
  <cols>
    <col min="1" max="1" width="3.7109375" customWidth="1"/>
    <col min="2" max="2" width="11" customWidth="1"/>
    <col min="9" max="9" width="14.140625" customWidth="1"/>
  </cols>
  <sheetData>
    <row r="1" spans="1:11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  <c r="K1" s="58"/>
    </row>
    <row r="2" spans="1:11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  <c r="K2" s="58"/>
    </row>
    <row r="3" spans="1:11" x14ac:dyDescent="0.25">
      <c r="A3" s="58"/>
      <c r="B3" s="58"/>
      <c r="C3" s="58"/>
      <c r="D3" s="32" t="s">
        <v>605</v>
      </c>
      <c r="E3" s="32"/>
      <c r="F3" s="32"/>
      <c r="G3" s="32"/>
      <c r="H3" s="58"/>
      <c r="I3" s="58"/>
      <c r="J3" s="58"/>
      <c r="K3" s="58"/>
    </row>
    <row r="4" spans="1:11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  <c r="K4" s="58"/>
    </row>
    <row r="5" spans="1:11" x14ac:dyDescent="0.25">
      <c r="A5" s="1">
        <v>1</v>
      </c>
      <c r="B5" s="164" t="s">
        <v>588</v>
      </c>
      <c r="C5" s="1"/>
      <c r="D5" s="1">
        <f>'JANUARY 21'!I5:I17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>G5-H5</f>
        <v>0</v>
      </c>
      <c r="J5" s="58"/>
      <c r="K5" s="58"/>
    </row>
    <row r="6" spans="1:11" x14ac:dyDescent="0.25">
      <c r="A6" s="1">
        <v>2</v>
      </c>
      <c r="B6" s="164"/>
      <c r="C6" s="1"/>
      <c r="D6" s="1">
        <f>'JANUARY 21'!I6:I18</f>
        <v>0</v>
      </c>
      <c r="E6" s="1"/>
      <c r="F6" s="1"/>
      <c r="G6" s="1">
        <f t="shared" ref="G6:G16" si="0">C6+D6+E6+F6</f>
        <v>0</v>
      </c>
      <c r="H6" s="1"/>
      <c r="I6" s="1">
        <f t="shared" ref="I6:I16" si="1">G6-H6</f>
        <v>0</v>
      </c>
      <c r="J6" s="58"/>
      <c r="K6" s="58"/>
    </row>
    <row r="7" spans="1:11" x14ac:dyDescent="0.25">
      <c r="A7" s="1">
        <v>3</v>
      </c>
      <c r="B7" s="151" t="s">
        <v>542</v>
      </c>
      <c r="C7" s="1"/>
      <c r="D7" s="1">
        <f>'JANUARY 21'!I7:I19</f>
        <v>0</v>
      </c>
      <c r="E7" s="1">
        <v>3000</v>
      </c>
      <c r="F7" s="1">
        <v>100</v>
      </c>
      <c r="G7" s="1">
        <f t="shared" si="0"/>
        <v>3100</v>
      </c>
      <c r="H7" s="1">
        <f>3100</f>
        <v>3100</v>
      </c>
      <c r="I7" s="1">
        <f t="shared" si="1"/>
        <v>0</v>
      </c>
      <c r="J7" s="58"/>
      <c r="K7" s="58"/>
    </row>
    <row r="8" spans="1:11" x14ac:dyDescent="0.25">
      <c r="A8" s="1">
        <v>4</v>
      </c>
      <c r="B8" s="167" t="s">
        <v>590</v>
      </c>
      <c r="C8" s="1">
        <v>1500</v>
      </c>
      <c r="D8" s="1"/>
      <c r="E8" s="1">
        <v>3000</v>
      </c>
      <c r="F8" s="1">
        <v>100</v>
      </c>
      <c r="G8" s="1">
        <f t="shared" si="0"/>
        <v>4600</v>
      </c>
      <c r="H8" s="1">
        <f>3100</f>
        <v>3100</v>
      </c>
      <c r="I8" s="1">
        <f t="shared" si="1"/>
        <v>1500</v>
      </c>
      <c r="J8" s="58"/>
      <c r="K8" s="58"/>
    </row>
    <row r="9" spans="1:11" x14ac:dyDescent="0.25">
      <c r="A9" s="1">
        <v>5</v>
      </c>
      <c r="B9" s="151" t="s">
        <v>574</v>
      </c>
      <c r="C9" s="1"/>
      <c r="D9" s="1">
        <f>'JANUARY 21'!I9:I21</f>
        <v>0</v>
      </c>
      <c r="E9" s="1">
        <v>3000</v>
      </c>
      <c r="F9" s="1">
        <v>100</v>
      </c>
      <c r="G9" s="1">
        <f t="shared" si="0"/>
        <v>3100</v>
      </c>
      <c r="H9" s="1">
        <v>3100</v>
      </c>
      <c r="I9" s="1">
        <f t="shared" si="1"/>
        <v>0</v>
      </c>
      <c r="J9" s="58"/>
      <c r="K9" s="58"/>
    </row>
    <row r="10" spans="1:11" x14ac:dyDescent="0.25">
      <c r="A10" s="1">
        <v>6</v>
      </c>
      <c r="B10" s="151" t="s">
        <v>402</v>
      </c>
      <c r="C10" s="1"/>
      <c r="D10" s="1">
        <f>'JANUARY 21'!I10:I22</f>
        <v>300</v>
      </c>
      <c r="E10" s="1">
        <v>3000</v>
      </c>
      <c r="F10" s="1">
        <v>100</v>
      </c>
      <c r="G10" s="1">
        <f t="shared" si="0"/>
        <v>3400</v>
      </c>
      <c r="H10" s="1">
        <f>3000</f>
        <v>3000</v>
      </c>
      <c r="I10" s="1">
        <f t="shared" si="1"/>
        <v>400</v>
      </c>
      <c r="J10" s="58"/>
      <c r="K10" s="58"/>
    </row>
    <row r="11" spans="1:11" x14ac:dyDescent="0.25">
      <c r="A11" s="1">
        <v>7</v>
      </c>
      <c r="B11" s="168"/>
      <c r="C11" s="1"/>
      <c r="D11" s="1">
        <f>'JANUARY 21'!I11:I23</f>
        <v>0</v>
      </c>
      <c r="E11" s="1"/>
      <c r="F11" s="1"/>
      <c r="G11" s="1">
        <f t="shared" si="0"/>
        <v>0</v>
      </c>
      <c r="H11" s="1"/>
      <c r="I11" s="1">
        <f t="shared" si="1"/>
        <v>0</v>
      </c>
      <c r="J11" s="58"/>
      <c r="K11" s="58"/>
    </row>
    <row r="12" spans="1:11" x14ac:dyDescent="0.25">
      <c r="A12" s="1">
        <v>8</v>
      </c>
      <c r="B12" s="167" t="s">
        <v>573</v>
      </c>
      <c r="C12" s="1"/>
      <c r="D12" s="1">
        <f>'JANUARY 21'!I12:I24</f>
        <v>0</v>
      </c>
      <c r="E12" s="1">
        <v>2000</v>
      </c>
      <c r="F12" s="1">
        <v>100</v>
      </c>
      <c r="G12" s="1">
        <f t="shared" si="0"/>
        <v>2100</v>
      </c>
      <c r="H12" s="1">
        <v>2100</v>
      </c>
      <c r="I12" s="1">
        <f t="shared" si="1"/>
        <v>0</v>
      </c>
      <c r="J12" s="58" t="s">
        <v>80</v>
      </c>
      <c r="K12" s="58"/>
    </row>
    <row r="13" spans="1:11" x14ac:dyDescent="0.25">
      <c r="A13" s="1">
        <v>9</v>
      </c>
      <c r="B13" s="164" t="s">
        <v>495</v>
      </c>
      <c r="C13" s="1"/>
      <c r="D13" s="1">
        <f>'JANUARY 21'!I13:I25</f>
        <v>0</v>
      </c>
      <c r="E13" s="1">
        <v>3000</v>
      </c>
      <c r="F13" s="1">
        <v>100</v>
      </c>
      <c r="G13" s="1">
        <f t="shared" si="0"/>
        <v>3100</v>
      </c>
      <c r="H13" s="1">
        <f>3100</f>
        <v>3100</v>
      </c>
      <c r="I13" s="1">
        <f t="shared" si="1"/>
        <v>0</v>
      </c>
      <c r="J13" s="58"/>
      <c r="K13" s="58"/>
    </row>
    <row r="14" spans="1:11" x14ac:dyDescent="0.25">
      <c r="A14" s="1">
        <v>10</v>
      </c>
      <c r="B14" s="169" t="s">
        <v>400</v>
      </c>
      <c r="C14" s="1"/>
      <c r="D14" s="1">
        <f>'JANUARY 21'!I14:I26</f>
        <v>0</v>
      </c>
      <c r="E14" s="1">
        <v>4500</v>
      </c>
      <c r="F14" s="1">
        <v>100</v>
      </c>
      <c r="G14" s="1">
        <f t="shared" si="0"/>
        <v>4600</v>
      </c>
      <c r="H14" s="1">
        <f>4600</f>
        <v>4600</v>
      </c>
      <c r="I14" s="1">
        <f>G14-H14</f>
        <v>0</v>
      </c>
      <c r="J14" s="58"/>
      <c r="K14" s="58"/>
    </row>
    <row r="15" spans="1:11" x14ac:dyDescent="0.25">
      <c r="A15" s="1">
        <v>11</v>
      </c>
      <c r="B15" s="168" t="s">
        <v>345</v>
      </c>
      <c r="C15" s="1"/>
      <c r="D15" s="1">
        <f>'JANUARY 21'!I15:I27</f>
        <v>1000</v>
      </c>
      <c r="E15" s="1">
        <v>4500</v>
      </c>
      <c r="F15" s="1">
        <v>100</v>
      </c>
      <c r="G15" s="1">
        <f t="shared" si="0"/>
        <v>5600</v>
      </c>
      <c r="H15" s="1">
        <f>1000+2500</f>
        <v>3500</v>
      </c>
      <c r="I15" s="1">
        <f t="shared" si="1"/>
        <v>2100</v>
      </c>
      <c r="J15" s="58"/>
      <c r="K15" s="58"/>
    </row>
    <row r="16" spans="1:11" x14ac:dyDescent="0.25">
      <c r="A16" s="1">
        <v>12</v>
      </c>
      <c r="B16" s="197" t="s">
        <v>80</v>
      </c>
      <c r="C16" s="1"/>
      <c r="D16" s="1">
        <f>'JANUARY 21'!I16:I28</f>
        <v>0</v>
      </c>
      <c r="E16" s="1"/>
      <c r="F16" s="1">
        <v>100</v>
      </c>
      <c r="G16" s="1">
        <f t="shared" si="0"/>
        <v>100</v>
      </c>
      <c r="H16" s="1">
        <v>100</v>
      </c>
      <c r="I16" s="1">
        <f t="shared" si="1"/>
        <v>0</v>
      </c>
      <c r="J16" s="58"/>
      <c r="K16" s="58"/>
    </row>
    <row r="17" spans="1:14" x14ac:dyDescent="0.25">
      <c r="A17" s="1" t="s">
        <v>129</v>
      </c>
      <c r="B17" s="1"/>
      <c r="C17" s="1">
        <f t="shared" ref="C17:H17" si="2">SUM(C5:C16)</f>
        <v>1500</v>
      </c>
      <c r="D17" s="1">
        <f>SUM(D5:D16)</f>
        <v>1300</v>
      </c>
      <c r="E17" s="1">
        <f t="shared" si="2"/>
        <v>29000</v>
      </c>
      <c r="F17" s="1">
        <f t="shared" si="2"/>
        <v>1000</v>
      </c>
      <c r="G17" s="1">
        <f t="shared" si="2"/>
        <v>32800</v>
      </c>
      <c r="H17" s="1">
        <f t="shared" si="2"/>
        <v>28800</v>
      </c>
      <c r="I17" s="1">
        <f>SUM(I5:I16)</f>
        <v>4000</v>
      </c>
      <c r="J17" s="58"/>
      <c r="K17" s="58"/>
    </row>
    <row r="18" spans="1:14" x14ac:dyDescent="0.25">
      <c r="A18" s="58"/>
      <c r="B18" s="58"/>
      <c r="C18" s="58"/>
      <c r="D18" s="58"/>
      <c r="E18" s="58"/>
      <c r="F18" s="58"/>
      <c r="G18" s="58"/>
      <c r="H18" s="58"/>
      <c r="I18" s="110">
        <f>I17-I8</f>
        <v>2500</v>
      </c>
      <c r="J18" s="58"/>
      <c r="K18" s="58"/>
    </row>
    <row r="19" spans="1:14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  <c r="K19" s="58"/>
    </row>
    <row r="20" spans="1:14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  <c r="K20" s="58"/>
    </row>
    <row r="21" spans="1:14" x14ac:dyDescent="0.25">
      <c r="A21" s="165" t="s">
        <v>516</v>
      </c>
      <c r="B21" s="165"/>
      <c r="C21" s="165">
        <f>E17</f>
        <v>29000</v>
      </c>
      <c r="D21" s="165"/>
      <c r="E21" s="165"/>
      <c r="F21" s="165" t="s">
        <v>516</v>
      </c>
      <c r="G21" s="232">
        <f>H17</f>
        <v>28800</v>
      </c>
      <c r="H21" s="165"/>
      <c r="I21" s="165"/>
      <c r="J21" s="58"/>
      <c r="K21" s="58"/>
    </row>
    <row r="22" spans="1:14" x14ac:dyDescent="0.25">
      <c r="A22" s="165" t="s">
        <v>1</v>
      </c>
      <c r="B22" s="165"/>
      <c r="C22" s="238">
        <f>'JANUARY 21'!E37</f>
        <v>5618</v>
      </c>
      <c r="D22" s="165"/>
      <c r="E22" s="165"/>
      <c r="F22" s="165" t="s">
        <v>1</v>
      </c>
      <c r="G22" s="173">
        <f>'JANUARY 21'!I37</f>
        <v>5768</v>
      </c>
      <c r="H22" s="165"/>
      <c r="I22" s="165"/>
      <c r="J22" s="58"/>
      <c r="K22" s="58"/>
    </row>
    <row r="23" spans="1:14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  <c r="K23" s="58"/>
    </row>
    <row r="24" spans="1:14" x14ac:dyDescent="0.25">
      <c r="A24" s="165" t="s">
        <v>325</v>
      </c>
      <c r="B24" s="165"/>
      <c r="C24" s="226">
        <v>0.1</v>
      </c>
      <c r="D24" s="165">
        <f>C21*C24</f>
        <v>2900</v>
      </c>
      <c r="E24" s="165"/>
      <c r="F24" s="165" t="s">
        <v>325</v>
      </c>
      <c r="G24" s="226">
        <v>0.1</v>
      </c>
      <c r="H24" s="165">
        <f>D24</f>
        <v>2900</v>
      </c>
      <c r="I24" s="165"/>
      <c r="J24" s="58"/>
      <c r="K24" s="58"/>
      <c r="N24">
        <f>88.4-85.1</f>
        <v>3.3000000000000114</v>
      </c>
    </row>
    <row r="25" spans="1:14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  <c r="K25" s="58"/>
      <c r="N25">
        <f>N24*170</f>
        <v>561.00000000000193</v>
      </c>
    </row>
    <row r="26" spans="1:14" x14ac:dyDescent="0.25">
      <c r="A26" s="165" t="s">
        <v>520</v>
      </c>
      <c r="B26" s="165"/>
      <c r="C26" s="234">
        <v>0.3</v>
      </c>
      <c r="D26" s="222"/>
      <c r="E26" s="165"/>
      <c r="F26" s="165"/>
      <c r="G26" s="174"/>
      <c r="H26" s="58"/>
      <c r="I26" s="222"/>
      <c r="J26" s="58"/>
      <c r="K26" s="58"/>
    </row>
    <row r="27" spans="1:14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  <c r="K27" s="58"/>
    </row>
    <row r="28" spans="1:14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58"/>
      <c r="H28" s="151">
        <f>F17</f>
        <v>1000</v>
      </c>
      <c r="I28" s="151"/>
      <c r="J28" s="58"/>
      <c r="K28" s="58"/>
    </row>
    <row r="29" spans="1:14" x14ac:dyDescent="0.25">
      <c r="A29" s="222" t="s">
        <v>328</v>
      </c>
      <c r="B29" s="58"/>
      <c r="C29" s="151"/>
      <c r="D29" s="151"/>
      <c r="E29" s="165"/>
      <c r="F29" s="222" t="s">
        <v>328</v>
      </c>
      <c r="G29" s="58"/>
      <c r="H29" s="151"/>
      <c r="I29" s="151"/>
      <c r="J29" s="58"/>
      <c r="K29" s="58"/>
    </row>
    <row r="30" spans="1:14" x14ac:dyDescent="0.25">
      <c r="A30" s="222" t="s">
        <v>608</v>
      </c>
      <c r="B30" s="58"/>
      <c r="C30" s="151"/>
      <c r="D30" s="58">
        <v>7500</v>
      </c>
      <c r="E30" s="151"/>
      <c r="F30" s="222" t="s">
        <v>608</v>
      </c>
      <c r="G30" s="58"/>
      <c r="H30" s="151">
        <v>7500</v>
      </c>
      <c r="I30" s="58"/>
      <c r="J30" s="58"/>
      <c r="K30" s="58"/>
    </row>
    <row r="31" spans="1:14" x14ac:dyDescent="0.25">
      <c r="A31" s="222" t="s">
        <v>610</v>
      </c>
      <c r="B31" s="58"/>
      <c r="C31" s="151"/>
      <c r="D31" s="151">
        <v>3050</v>
      </c>
      <c r="E31" s="165"/>
      <c r="F31" s="222" t="s">
        <v>610</v>
      </c>
      <c r="G31" s="58"/>
      <c r="H31" s="151">
        <v>3050</v>
      </c>
      <c r="I31" s="151"/>
      <c r="J31" s="58"/>
      <c r="K31" s="58"/>
    </row>
    <row r="32" spans="1:14" x14ac:dyDescent="0.25">
      <c r="A32" s="222" t="s">
        <v>609</v>
      </c>
      <c r="B32" s="58"/>
      <c r="C32" s="151"/>
      <c r="D32" s="151">
        <v>4000</v>
      </c>
      <c r="E32" s="165"/>
      <c r="F32" s="222" t="s">
        <v>609</v>
      </c>
      <c r="G32" s="58"/>
      <c r="H32" s="151">
        <v>4000</v>
      </c>
      <c r="I32" s="151"/>
      <c r="J32" s="58"/>
      <c r="K32" s="58"/>
    </row>
    <row r="33" spans="1:11" x14ac:dyDescent="0.25">
      <c r="A33" s="222" t="s">
        <v>611</v>
      </c>
      <c r="B33" s="58"/>
      <c r="C33" s="151"/>
      <c r="D33" s="165">
        <v>6000</v>
      </c>
      <c r="E33" s="165"/>
      <c r="F33" s="222" t="s">
        <v>611</v>
      </c>
      <c r="G33" s="58"/>
      <c r="H33" s="151">
        <v>6000</v>
      </c>
      <c r="I33" s="165"/>
      <c r="J33" s="100">
        <f>I37+I17</f>
        <v>10018</v>
      </c>
      <c r="K33" s="58"/>
    </row>
    <row r="34" spans="1:11" x14ac:dyDescent="0.25">
      <c r="A34" s="222" t="s">
        <v>606</v>
      </c>
      <c r="B34" s="58"/>
      <c r="C34" s="151"/>
      <c r="D34" s="165">
        <v>2100</v>
      </c>
      <c r="E34" s="165"/>
      <c r="F34" s="222" t="s">
        <v>606</v>
      </c>
      <c r="G34" s="58"/>
      <c r="H34" s="151">
        <v>2100</v>
      </c>
      <c r="I34" s="165"/>
      <c r="J34" s="58"/>
      <c r="K34" s="58"/>
    </row>
    <row r="35" spans="1:11" x14ac:dyDescent="0.25">
      <c r="A35" s="222"/>
      <c r="B35" s="58"/>
      <c r="C35" s="151"/>
      <c r="D35" s="165"/>
      <c r="E35" s="165"/>
      <c r="F35" s="222"/>
      <c r="G35" s="58"/>
      <c r="H35" s="151"/>
      <c r="I35" s="165"/>
      <c r="J35" s="58"/>
      <c r="K35" s="58"/>
    </row>
    <row r="36" spans="1:11" x14ac:dyDescent="0.25">
      <c r="A36" s="222"/>
      <c r="B36" s="58"/>
      <c r="C36" s="151"/>
      <c r="D36" s="151"/>
      <c r="E36" s="165"/>
      <c r="F36" s="222"/>
      <c r="G36" s="58"/>
      <c r="H36" s="151"/>
      <c r="I36" s="151"/>
      <c r="J36" s="58"/>
      <c r="K36" s="58"/>
    </row>
    <row r="37" spans="1:11" x14ac:dyDescent="0.25">
      <c r="A37" s="217" t="s">
        <v>129</v>
      </c>
      <c r="B37" s="217"/>
      <c r="C37" s="1">
        <f>C21+C22+C23-D24</f>
        <v>31718</v>
      </c>
      <c r="D37" s="217">
        <f>SUM(D26:D36)</f>
        <v>24750</v>
      </c>
      <c r="E37" s="1">
        <f>C37-D37</f>
        <v>6968</v>
      </c>
      <c r="F37" s="217" t="s">
        <v>129</v>
      </c>
      <c r="G37" s="236">
        <f>G21+G22+G23-H24</f>
        <v>31668</v>
      </c>
      <c r="H37" s="217">
        <f>SUM(H26:H36)</f>
        <v>25650</v>
      </c>
      <c r="I37" s="140">
        <f>G37-H37</f>
        <v>6018</v>
      </c>
      <c r="J37" s="58"/>
      <c r="K37" s="58"/>
    </row>
    <row r="38" spans="1:1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58"/>
      <c r="K38" s="58"/>
    </row>
    <row r="39" spans="1:11" x14ac:dyDescent="0.25">
      <c r="A39" s="23" t="s">
        <v>357</v>
      </c>
      <c r="B39" s="23"/>
      <c r="C39" s="23"/>
      <c r="D39" s="23" t="s">
        <v>359</v>
      </c>
      <c r="E39" s="23"/>
      <c r="F39" s="23"/>
      <c r="G39" s="23" t="s">
        <v>361</v>
      </c>
      <c r="H39" s="23"/>
      <c r="I39" s="23"/>
      <c r="J39" s="58"/>
      <c r="K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  <c r="K40" s="58"/>
    </row>
    <row r="41" spans="1:11" x14ac:dyDescent="0.25">
      <c r="A41" s="23" t="s">
        <v>483</v>
      </c>
      <c r="B41" s="23"/>
      <c r="C41" s="23"/>
      <c r="D41" s="23" t="s">
        <v>360</v>
      </c>
      <c r="E41" s="23"/>
      <c r="F41" s="23"/>
      <c r="G41" s="23" t="s">
        <v>158</v>
      </c>
      <c r="H41" s="23"/>
      <c r="I41" s="23"/>
      <c r="J41" s="58"/>
      <c r="K41" s="58"/>
    </row>
    <row r="42" spans="1:11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H10" sqref="H10"/>
    </sheetView>
  </sheetViews>
  <sheetFormatPr defaultRowHeight="15" x14ac:dyDescent="0.25"/>
  <cols>
    <col min="1" max="1" width="3.7109375" customWidth="1"/>
    <col min="2" max="2" width="19.140625" bestFit="1" customWidth="1"/>
  </cols>
  <sheetData>
    <row r="1" spans="1:18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  <c r="K1" s="58"/>
      <c r="L1" s="58"/>
    </row>
    <row r="2" spans="1:18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  <c r="K2" s="58"/>
      <c r="L2" s="58"/>
    </row>
    <row r="3" spans="1:18" x14ac:dyDescent="0.25">
      <c r="A3" s="58"/>
      <c r="B3" s="58"/>
      <c r="C3" s="58"/>
      <c r="D3" s="32" t="s">
        <v>612</v>
      </c>
      <c r="E3" s="32"/>
      <c r="F3" s="32"/>
      <c r="G3" s="32"/>
      <c r="H3" s="58"/>
      <c r="I3" s="58"/>
      <c r="J3" s="58"/>
      <c r="K3" s="58"/>
      <c r="L3" s="58"/>
    </row>
    <row r="4" spans="1:18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  <c r="K4" s="58"/>
      <c r="L4" s="58"/>
    </row>
    <row r="5" spans="1:18" x14ac:dyDescent="0.25">
      <c r="A5" s="1">
        <v>1</v>
      </c>
      <c r="B5" s="164" t="s">
        <v>588</v>
      </c>
      <c r="C5" s="1"/>
      <c r="D5" s="1">
        <f>FEBRUAY21!I5:I15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 t="shared" ref="I5:I11" si="0">G5-H5</f>
        <v>0</v>
      </c>
      <c r="J5" s="58"/>
      <c r="K5" s="58"/>
      <c r="L5" s="58"/>
    </row>
    <row r="6" spans="1:18" x14ac:dyDescent="0.25">
      <c r="A6" s="1">
        <v>2</v>
      </c>
      <c r="B6" s="164" t="s">
        <v>613</v>
      </c>
      <c r="C6" s="1">
        <v>3000</v>
      </c>
      <c r="D6" s="1">
        <f>FEBRUAY21!I6:I16</f>
        <v>0</v>
      </c>
      <c r="E6" s="1">
        <v>3000</v>
      </c>
      <c r="F6" s="1">
        <v>100</v>
      </c>
      <c r="G6" s="1">
        <f t="shared" ref="G6:G16" si="1">C6+D6+E6+F6</f>
        <v>6100</v>
      </c>
      <c r="H6" s="1">
        <f>4500</f>
        <v>4500</v>
      </c>
      <c r="I6" s="1">
        <f t="shared" si="0"/>
        <v>1600</v>
      </c>
      <c r="J6" s="58"/>
      <c r="K6" s="58"/>
      <c r="L6" s="58"/>
    </row>
    <row r="7" spans="1:18" x14ac:dyDescent="0.25">
      <c r="A7" s="1">
        <v>3</v>
      </c>
      <c r="B7" s="151" t="s">
        <v>542</v>
      </c>
      <c r="C7" s="1"/>
      <c r="D7" s="1">
        <f>FEBRUAY21!I7:I17</f>
        <v>0</v>
      </c>
      <c r="E7" s="1">
        <v>3000</v>
      </c>
      <c r="F7" s="1">
        <v>100</v>
      </c>
      <c r="G7" s="1">
        <f t="shared" si="1"/>
        <v>3100</v>
      </c>
      <c r="H7" s="1">
        <f>3100</f>
        <v>3100</v>
      </c>
      <c r="I7" s="1">
        <f t="shared" si="0"/>
        <v>0</v>
      </c>
      <c r="J7" s="58"/>
      <c r="K7" s="58"/>
      <c r="L7" s="58"/>
    </row>
    <row r="8" spans="1:18" x14ac:dyDescent="0.25">
      <c r="A8" s="1">
        <v>4</v>
      </c>
      <c r="B8" s="167" t="s">
        <v>590</v>
      </c>
      <c r="C8" s="1">
        <v>1500</v>
      </c>
      <c r="D8" s="1"/>
      <c r="E8" s="1">
        <v>3000</v>
      </c>
      <c r="F8" s="1">
        <v>100</v>
      </c>
      <c r="G8" s="1">
        <f t="shared" si="1"/>
        <v>4600</v>
      </c>
      <c r="H8" s="1">
        <f>2000</f>
        <v>2000</v>
      </c>
      <c r="I8" s="1">
        <f t="shared" si="0"/>
        <v>2600</v>
      </c>
      <c r="J8" s="58"/>
      <c r="K8" s="58"/>
      <c r="L8" s="58"/>
    </row>
    <row r="9" spans="1:18" x14ac:dyDescent="0.25">
      <c r="A9" s="1">
        <v>5</v>
      </c>
      <c r="B9" s="151" t="s">
        <v>574</v>
      </c>
      <c r="C9" s="1"/>
      <c r="D9" s="1">
        <f>FEBRUAY21!I9:I19</f>
        <v>0</v>
      </c>
      <c r="E9" s="1">
        <v>3000</v>
      </c>
      <c r="F9" s="1">
        <v>100</v>
      </c>
      <c r="G9" s="1">
        <f t="shared" si="1"/>
        <v>3100</v>
      </c>
      <c r="H9" s="1">
        <f>3100</f>
        <v>3100</v>
      </c>
      <c r="I9" s="1">
        <f t="shared" si="0"/>
        <v>0</v>
      </c>
      <c r="J9" s="58"/>
      <c r="K9" s="58"/>
      <c r="L9" s="58"/>
    </row>
    <row r="10" spans="1:18" x14ac:dyDescent="0.25">
      <c r="A10" s="1">
        <v>6</v>
      </c>
      <c r="B10" s="151" t="s">
        <v>402</v>
      </c>
      <c r="C10" s="1"/>
      <c r="D10" s="1">
        <f>FEBRUAY21!I10:I20</f>
        <v>400</v>
      </c>
      <c r="E10" s="1">
        <v>3000</v>
      </c>
      <c r="F10" s="1">
        <v>100</v>
      </c>
      <c r="G10" s="1">
        <f t="shared" si="1"/>
        <v>3500</v>
      </c>
      <c r="H10" s="1">
        <f>1000+1000</f>
        <v>2000</v>
      </c>
      <c r="I10" s="1">
        <f t="shared" si="0"/>
        <v>1500</v>
      </c>
      <c r="J10" s="58"/>
      <c r="K10" s="58"/>
      <c r="L10" s="58"/>
    </row>
    <row r="11" spans="1:18" x14ac:dyDescent="0.25">
      <c r="A11" s="1">
        <v>7</v>
      </c>
      <c r="B11" s="168" t="s">
        <v>618</v>
      </c>
      <c r="C11" s="1">
        <v>3000</v>
      </c>
      <c r="D11" s="1">
        <f>FEBRUAY21!I11:I21</f>
        <v>0</v>
      </c>
      <c r="E11" s="1">
        <v>3000</v>
      </c>
      <c r="F11" s="1"/>
      <c r="G11" s="1">
        <f t="shared" si="1"/>
        <v>6000</v>
      </c>
      <c r="H11" s="1">
        <f>5000</f>
        <v>5000</v>
      </c>
      <c r="I11" s="1">
        <f t="shared" si="0"/>
        <v>1000</v>
      </c>
      <c r="J11" s="58"/>
      <c r="K11" s="58"/>
      <c r="L11" s="58"/>
    </row>
    <row r="12" spans="1:18" x14ac:dyDescent="0.25">
      <c r="A12" s="1">
        <v>8</v>
      </c>
      <c r="B12" s="167" t="s">
        <v>573</v>
      </c>
      <c r="C12" s="1"/>
      <c r="D12" s="1">
        <f>FEBRUAY21!I12:I22</f>
        <v>0</v>
      </c>
      <c r="E12" s="1">
        <v>2000</v>
      </c>
      <c r="F12" s="1">
        <v>100</v>
      </c>
      <c r="G12" s="1">
        <f t="shared" si="1"/>
        <v>2100</v>
      </c>
      <c r="H12" s="1">
        <v>2100</v>
      </c>
      <c r="I12" s="1">
        <f t="shared" ref="I12:I16" si="2">G12-H12</f>
        <v>0</v>
      </c>
      <c r="J12" s="58" t="s">
        <v>80</v>
      </c>
      <c r="K12" s="58"/>
      <c r="L12" s="58"/>
    </row>
    <row r="13" spans="1:18" x14ac:dyDescent="0.25">
      <c r="A13" s="1">
        <v>9</v>
      </c>
      <c r="B13" s="164" t="s">
        <v>495</v>
      </c>
      <c r="C13" s="1"/>
      <c r="D13" s="1">
        <f>FEBRUAY21!I13:I23</f>
        <v>0</v>
      </c>
      <c r="E13" s="1">
        <v>3000</v>
      </c>
      <c r="F13" s="1">
        <v>100</v>
      </c>
      <c r="G13" s="1">
        <f t="shared" si="1"/>
        <v>3100</v>
      </c>
      <c r="H13" s="1">
        <f>3100</f>
        <v>3100</v>
      </c>
      <c r="I13" s="1">
        <f t="shared" si="2"/>
        <v>0</v>
      </c>
      <c r="J13" s="58"/>
      <c r="K13" s="58"/>
      <c r="L13" s="58"/>
    </row>
    <row r="14" spans="1:18" x14ac:dyDescent="0.25">
      <c r="A14" s="1">
        <v>10</v>
      </c>
      <c r="B14" s="169" t="s">
        <v>400</v>
      </c>
      <c r="C14" s="1"/>
      <c r="D14" s="1">
        <f>FEBRUAY21!I14:I24</f>
        <v>0</v>
      </c>
      <c r="E14" s="1">
        <v>4500</v>
      </c>
      <c r="F14" s="1">
        <v>100</v>
      </c>
      <c r="G14" s="1">
        <f t="shared" si="1"/>
        <v>4600</v>
      </c>
      <c r="H14" s="1">
        <f>4600</f>
        <v>4600</v>
      </c>
      <c r="I14" s="1">
        <f>G14-H14</f>
        <v>0</v>
      </c>
      <c r="J14" s="58"/>
      <c r="K14" s="58"/>
      <c r="L14" s="58"/>
    </row>
    <row r="15" spans="1:18" x14ac:dyDescent="0.25">
      <c r="A15" s="1">
        <v>11</v>
      </c>
      <c r="B15" s="168" t="s">
        <v>345</v>
      </c>
      <c r="C15" s="1"/>
      <c r="D15" s="1">
        <f>FEBRUAY21!I15:I25</f>
        <v>2100</v>
      </c>
      <c r="E15" s="1">
        <v>4500</v>
      </c>
      <c r="F15" s="1">
        <v>100</v>
      </c>
      <c r="G15" s="1">
        <f t="shared" si="1"/>
        <v>6700</v>
      </c>
      <c r="H15" s="1">
        <f>4400</f>
        <v>4400</v>
      </c>
      <c r="I15" s="1">
        <f t="shared" si="2"/>
        <v>2300</v>
      </c>
      <c r="J15" s="58"/>
      <c r="K15" s="58"/>
      <c r="L15" s="58"/>
      <c r="R15" s="234"/>
    </row>
    <row r="16" spans="1:18" x14ac:dyDescent="0.25">
      <c r="A16" s="1">
        <v>12</v>
      </c>
      <c r="B16" s="197" t="s">
        <v>80</v>
      </c>
      <c r="C16" s="1"/>
      <c r="D16" s="1">
        <f>FEBRUAY21!I16:I26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2"/>
        <v>0</v>
      </c>
      <c r="J16" s="58"/>
      <c r="K16" s="58"/>
      <c r="L16" s="58"/>
    </row>
    <row r="17" spans="1:12" x14ac:dyDescent="0.25">
      <c r="A17" s="1" t="s">
        <v>129</v>
      </c>
      <c r="B17" s="1"/>
      <c r="C17" s="1">
        <f t="shared" ref="C17:I17" si="3">SUM(C5:C16)</f>
        <v>7500</v>
      </c>
      <c r="D17" s="1">
        <f>SUM(D5:D16)</f>
        <v>2500</v>
      </c>
      <c r="E17" s="1">
        <f t="shared" si="3"/>
        <v>35000</v>
      </c>
      <c r="F17" s="1">
        <f t="shared" si="3"/>
        <v>1100</v>
      </c>
      <c r="G17" s="1">
        <f t="shared" si="3"/>
        <v>46100</v>
      </c>
      <c r="H17" s="1">
        <f>SUM(H5:H16)</f>
        <v>37100</v>
      </c>
      <c r="I17" s="1">
        <f t="shared" si="3"/>
        <v>9000</v>
      </c>
      <c r="J17" s="58"/>
      <c r="K17" s="58"/>
      <c r="L17" s="58"/>
    </row>
    <row r="18" spans="1:12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  <c r="K18" s="58"/>
      <c r="L18" s="58"/>
    </row>
    <row r="19" spans="1:12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  <c r="K19" s="58"/>
      <c r="L19" s="58"/>
    </row>
    <row r="20" spans="1:12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  <c r="K20" s="58"/>
      <c r="L20" s="58"/>
    </row>
    <row r="21" spans="1:12" x14ac:dyDescent="0.25">
      <c r="A21" s="165" t="s">
        <v>353</v>
      </c>
      <c r="B21" s="165"/>
      <c r="C21" s="165">
        <f>E17</f>
        <v>35000</v>
      </c>
      <c r="D21" s="165"/>
      <c r="E21" s="165"/>
      <c r="F21" s="165" t="s">
        <v>353</v>
      </c>
      <c r="G21" s="232">
        <f>H17</f>
        <v>37100</v>
      </c>
      <c r="H21" s="165"/>
      <c r="I21" s="165"/>
      <c r="J21" s="58"/>
      <c r="K21" s="58"/>
      <c r="L21" s="58"/>
    </row>
    <row r="22" spans="1:12" x14ac:dyDescent="0.25">
      <c r="A22" s="165" t="s">
        <v>1</v>
      </c>
      <c r="B22" s="165"/>
      <c r="C22" s="238">
        <f>FEBRUAY21!E37</f>
        <v>6968</v>
      </c>
      <c r="D22" s="165"/>
      <c r="E22" s="165"/>
      <c r="F22" s="165" t="s">
        <v>1</v>
      </c>
      <c r="G22" s="173">
        <f>FEBRUAY21!I37</f>
        <v>6018</v>
      </c>
      <c r="H22" s="165"/>
      <c r="I22" s="165"/>
      <c r="J22" s="58"/>
      <c r="K22" s="58"/>
      <c r="L22" s="58"/>
    </row>
    <row r="23" spans="1:12" x14ac:dyDescent="0.25">
      <c r="A23" s="165" t="s">
        <v>601</v>
      </c>
      <c r="B23" s="165"/>
      <c r="C23" s="165">
        <f>C6+C11+C8</f>
        <v>7500</v>
      </c>
      <c r="D23" s="165"/>
      <c r="E23" s="165"/>
      <c r="F23" s="165" t="s">
        <v>28</v>
      </c>
      <c r="G23" s="165"/>
      <c r="H23" s="165"/>
      <c r="I23" s="165"/>
      <c r="J23" s="58"/>
      <c r="K23" s="58"/>
      <c r="L23" s="58"/>
    </row>
    <row r="24" spans="1:12" x14ac:dyDescent="0.25">
      <c r="A24" s="165" t="s">
        <v>325</v>
      </c>
      <c r="B24" s="165"/>
      <c r="C24" s="226">
        <v>0.1</v>
      </c>
      <c r="D24" s="165">
        <f>C21*C24</f>
        <v>3500</v>
      </c>
      <c r="E24" s="165"/>
      <c r="F24" s="165" t="s">
        <v>325</v>
      </c>
      <c r="G24" s="226">
        <v>0.1</v>
      </c>
      <c r="H24" s="165">
        <f>D24</f>
        <v>3500</v>
      </c>
      <c r="I24" s="165"/>
      <c r="J24" s="58"/>
      <c r="K24" s="58"/>
      <c r="L24" s="58"/>
    </row>
    <row r="25" spans="1:12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  <c r="K25" s="58"/>
      <c r="L25" s="58"/>
    </row>
    <row r="26" spans="1:12" x14ac:dyDescent="0.25">
      <c r="A26" s="165" t="s">
        <v>520</v>
      </c>
      <c r="B26" s="165"/>
      <c r="C26" s="234">
        <v>0.3</v>
      </c>
      <c r="D26" s="222">
        <f>C26*E6+(C26*E11)</f>
        <v>1800</v>
      </c>
      <c r="E26" s="165"/>
      <c r="F26" s="165" t="s">
        <v>520</v>
      </c>
      <c r="G26" s="234">
        <v>0.3</v>
      </c>
      <c r="H26">
        <f>G26*E6+(G26*E11)</f>
        <v>1800</v>
      </c>
      <c r="I26" s="222"/>
      <c r="J26" s="58"/>
      <c r="K26" s="58"/>
      <c r="L26" s="58"/>
    </row>
    <row r="27" spans="1:12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  <c r="K27" s="58"/>
      <c r="L27" s="58"/>
    </row>
    <row r="28" spans="1:12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58"/>
      <c r="H28" s="151">
        <f>F17</f>
        <v>1100</v>
      </c>
      <c r="I28" s="151"/>
      <c r="J28" s="58"/>
      <c r="K28" s="58"/>
      <c r="L28" s="58"/>
    </row>
    <row r="29" spans="1:12" x14ac:dyDescent="0.25">
      <c r="A29" s="222" t="s">
        <v>328</v>
      </c>
      <c r="B29" s="58"/>
      <c r="C29" s="151"/>
      <c r="D29" s="151">
        <v>3000</v>
      </c>
      <c r="E29" s="165"/>
      <c r="F29" s="222" t="s">
        <v>328</v>
      </c>
      <c r="G29" s="58"/>
      <c r="H29" s="151">
        <v>3000</v>
      </c>
      <c r="I29" s="151"/>
      <c r="J29" s="58"/>
      <c r="K29" s="58"/>
      <c r="L29" s="58"/>
    </row>
    <row r="30" spans="1:12" x14ac:dyDescent="0.25">
      <c r="A30" s="225" t="s">
        <v>614</v>
      </c>
      <c r="B30" s="58"/>
      <c r="C30" s="151"/>
      <c r="D30" s="58">
        <v>4500</v>
      </c>
      <c r="E30" s="151"/>
      <c r="F30" s="225" t="s">
        <v>614</v>
      </c>
      <c r="G30" s="58"/>
      <c r="H30" s="151">
        <v>4500</v>
      </c>
      <c r="I30" s="58"/>
      <c r="J30" s="58"/>
      <c r="K30" s="58"/>
      <c r="L30" s="58"/>
    </row>
    <row r="31" spans="1:12" x14ac:dyDescent="0.25">
      <c r="A31" s="222" t="s">
        <v>615</v>
      </c>
      <c r="B31" s="222"/>
      <c r="C31" s="151"/>
      <c r="D31" s="151">
        <f>2000+2000</f>
        <v>4000</v>
      </c>
      <c r="E31" s="165"/>
      <c r="F31" s="222" t="s">
        <v>615</v>
      </c>
      <c r="G31" s="222"/>
      <c r="H31" s="151">
        <v>4000</v>
      </c>
      <c r="I31" s="151"/>
      <c r="J31" s="58"/>
      <c r="K31" s="58"/>
      <c r="L31" s="58"/>
    </row>
    <row r="32" spans="1:12" x14ac:dyDescent="0.25">
      <c r="A32" s="222" t="s">
        <v>616</v>
      </c>
      <c r="B32" s="58"/>
      <c r="C32" s="151"/>
      <c r="D32" s="151">
        <f>2532+2000</f>
        <v>4532</v>
      </c>
      <c r="E32" s="165"/>
      <c r="F32" s="222" t="s">
        <v>616</v>
      </c>
      <c r="G32" s="58"/>
      <c r="H32" s="151">
        <f>2532+2000</f>
        <v>4532</v>
      </c>
      <c r="I32" s="151"/>
      <c r="J32" s="58"/>
      <c r="K32" s="58"/>
      <c r="L32" s="58"/>
    </row>
    <row r="33" spans="1:12" x14ac:dyDescent="0.25">
      <c r="A33" s="222" t="s">
        <v>617</v>
      </c>
      <c r="B33" s="58"/>
      <c r="C33" s="151"/>
      <c r="D33" s="165">
        <v>1012</v>
      </c>
      <c r="E33" s="165"/>
      <c r="F33" s="222" t="s">
        <v>617</v>
      </c>
      <c r="G33" s="58"/>
      <c r="H33" s="151">
        <v>1012</v>
      </c>
      <c r="I33" s="165"/>
      <c r="J33" s="58"/>
      <c r="K33" s="58"/>
      <c r="L33" s="58"/>
    </row>
    <row r="34" spans="1:12" x14ac:dyDescent="0.25">
      <c r="A34" s="222" t="s">
        <v>619</v>
      </c>
      <c r="B34" s="58"/>
      <c r="C34" s="151"/>
      <c r="D34" s="165">
        <v>2100</v>
      </c>
      <c r="E34" s="165"/>
      <c r="F34" s="222" t="s">
        <v>619</v>
      </c>
      <c r="G34" s="58"/>
      <c r="H34" s="151">
        <v>2100</v>
      </c>
      <c r="I34" s="165"/>
      <c r="J34" s="58"/>
      <c r="K34" s="58"/>
      <c r="L34" s="58"/>
    </row>
    <row r="35" spans="1:12" x14ac:dyDescent="0.25">
      <c r="A35" s="222" t="s">
        <v>528</v>
      </c>
      <c r="B35" s="58"/>
      <c r="C35" s="151"/>
      <c r="D35" s="165">
        <v>15097</v>
      </c>
      <c r="E35" s="165"/>
      <c r="F35" s="222" t="s">
        <v>528</v>
      </c>
      <c r="G35" s="58"/>
      <c r="H35" s="151">
        <v>15097</v>
      </c>
      <c r="I35" s="165"/>
      <c r="J35" s="58"/>
      <c r="K35" s="58"/>
      <c r="L35" s="58"/>
    </row>
    <row r="36" spans="1:12" x14ac:dyDescent="0.25">
      <c r="A36" s="222"/>
      <c r="B36" s="58"/>
      <c r="C36" s="151"/>
      <c r="D36" s="151"/>
      <c r="E36" s="165"/>
      <c r="F36" s="222"/>
      <c r="G36" s="58"/>
      <c r="H36" s="151"/>
      <c r="I36" s="151"/>
      <c r="J36" s="58"/>
      <c r="K36" s="58"/>
      <c r="L36" s="58"/>
    </row>
    <row r="37" spans="1:12" x14ac:dyDescent="0.25">
      <c r="A37" s="217" t="s">
        <v>129</v>
      </c>
      <c r="B37" s="217"/>
      <c r="C37" s="1">
        <f>C21+C22+C23-D24</f>
        <v>45968</v>
      </c>
      <c r="D37" s="217">
        <f>SUM(D26:D36)</f>
        <v>38141</v>
      </c>
      <c r="E37" s="1">
        <f>C37-D37</f>
        <v>7827</v>
      </c>
      <c r="F37" s="217" t="s">
        <v>129</v>
      </c>
      <c r="G37" s="236">
        <f>G21+G22+G23-H24</f>
        <v>39618</v>
      </c>
      <c r="H37" s="217">
        <f>SUM(H26:H36)</f>
        <v>39141</v>
      </c>
      <c r="I37" s="140">
        <f>G37-H37</f>
        <v>477</v>
      </c>
      <c r="J37" s="58"/>
      <c r="K37" s="58"/>
      <c r="L37" s="58"/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58"/>
      <c r="K38" s="58"/>
      <c r="L38" s="58"/>
    </row>
    <row r="39" spans="1:12" x14ac:dyDescent="0.25">
      <c r="A39" s="23" t="s">
        <v>357</v>
      </c>
      <c r="B39" s="23"/>
      <c r="C39" s="23"/>
      <c r="D39" s="23" t="s">
        <v>359</v>
      </c>
      <c r="E39" s="23"/>
      <c r="F39" s="23"/>
      <c r="G39" s="23" t="s">
        <v>361</v>
      </c>
      <c r="H39" s="23"/>
      <c r="I39" s="23"/>
      <c r="J39" s="58"/>
      <c r="K39" s="58"/>
      <c r="L39" s="58"/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  <c r="K40" s="58"/>
      <c r="L40" s="58"/>
    </row>
    <row r="41" spans="1:12" x14ac:dyDescent="0.25">
      <c r="A41" s="23" t="s">
        <v>483</v>
      </c>
      <c r="B41" s="23"/>
      <c r="C41" s="23"/>
      <c r="D41" s="23" t="s">
        <v>360</v>
      </c>
      <c r="E41" s="23"/>
      <c r="F41" s="23"/>
      <c r="G41" s="23" t="s">
        <v>158</v>
      </c>
      <c r="H41" s="23"/>
      <c r="I41" s="23"/>
      <c r="J41" s="58"/>
      <c r="K41" s="58"/>
      <c r="L41" s="58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H15" sqref="H15"/>
    </sheetView>
  </sheetViews>
  <sheetFormatPr defaultRowHeight="15" x14ac:dyDescent="0.25"/>
  <cols>
    <col min="1" max="1" width="6.7109375" customWidth="1"/>
    <col min="2" max="2" width="17.5703125" customWidth="1"/>
    <col min="9" max="9" width="11.7109375" customWidth="1"/>
  </cols>
  <sheetData>
    <row r="1" spans="1:11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  <c r="K1" s="58"/>
    </row>
    <row r="2" spans="1:11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  <c r="K2" s="58"/>
    </row>
    <row r="3" spans="1:11" x14ac:dyDescent="0.25">
      <c r="A3" s="58"/>
      <c r="B3" s="58"/>
      <c r="C3" s="58"/>
      <c r="D3" s="32" t="s">
        <v>620</v>
      </c>
      <c r="E3" s="32"/>
      <c r="F3" s="32"/>
      <c r="G3" s="32"/>
      <c r="H3" s="58"/>
      <c r="I3" s="58"/>
      <c r="J3" s="58"/>
      <c r="K3" s="58"/>
    </row>
    <row r="4" spans="1:11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  <c r="K4" s="58"/>
    </row>
    <row r="5" spans="1:11" x14ac:dyDescent="0.25">
      <c r="A5" s="1">
        <v>1</v>
      </c>
      <c r="B5" s="164" t="s">
        <v>588</v>
      </c>
      <c r="C5" s="1"/>
      <c r="D5" s="1">
        <f>'MARCH 21'!I5:I16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 t="shared" ref="I5:I16" si="0">G5-H5</f>
        <v>0</v>
      </c>
      <c r="J5" s="58"/>
      <c r="K5" s="58"/>
    </row>
    <row r="6" spans="1:11" x14ac:dyDescent="0.25">
      <c r="A6" s="1">
        <v>2</v>
      </c>
      <c r="B6" s="164" t="s">
        <v>613</v>
      </c>
      <c r="C6" s="1"/>
      <c r="D6" s="1">
        <f>'MARCH 21'!I6:I17</f>
        <v>1600</v>
      </c>
      <c r="E6" s="1">
        <v>3000</v>
      </c>
      <c r="F6" s="1">
        <v>100</v>
      </c>
      <c r="G6" s="1">
        <f t="shared" ref="G6:G16" si="1">C6+D6+E6+F6</f>
        <v>4700</v>
      </c>
      <c r="H6" s="1">
        <f>3000</f>
        <v>3000</v>
      </c>
      <c r="I6" s="1">
        <f t="shared" si="0"/>
        <v>1700</v>
      </c>
      <c r="J6" s="58"/>
      <c r="K6" s="58"/>
    </row>
    <row r="7" spans="1:11" x14ac:dyDescent="0.25">
      <c r="A7" s="1">
        <v>3</v>
      </c>
      <c r="B7" s="151" t="s">
        <v>542</v>
      </c>
      <c r="C7" s="1"/>
      <c r="D7" s="1">
        <f>'MARCH 21'!I7:I18</f>
        <v>0</v>
      </c>
      <c r="E7" s="1">
        <v>3000</v>
      </c>
      <c r="F7" s="1">
        <v>100</v>
      </c>
      <c r="G7" s="1">
        <f t="shared" si="1"/>
        <v>3100</v>
      </c>
      <c r="H7" s="1">
        <f>3100</f>
        <v>3100</v>
      </c>
      <c r="I7" s="1">
        <f t="shared" si="0"/>
        <v>0</v>
      </c>
      <c r="J7" s="58"/>
      <c r="K7" s="58"/>
    </row>
    <row r="8" spans="1:11" x14ac:dyDescent="0.25">
      <c r="A8" s="1">
        <v>4</v>
      </c>
      <c r="B8" s="167" t="s">
        <v>590</v>
      </c>
      <c r="C8" s="1"/>
      <c r="D8" s="1">
        <f>'MARCH 21'!I8:I19</f>
        <v>2600</v>
      </c>
      <c r="E8" s="1">
        <v>3000</v>
      </c>
      <c r="F8" s="1">
        <v>100</v>
      </c>
      <c r="G8" s="1">
        <f t="shared" si="1"/>
        <v>5700</v>
      </c>
      <c r="H8" s="1">
        <f>3100</f>
        <v>3100</v>
      </c>
      <c r="I8" s="1">
        <f t="shared" si="0"/>
        <v>2600</v>
      </c>
      <c r="J8" s="58"/>
      <c r="K8" s="58"/>
    </row>
    <row r="9" spans="1:11" x14ac:dyDescent="0.25">
      <c r="A9" s="1">
        <v>5</v>
      </c>
      <c r="B9" s="151" t="s">
        <v>574</v>
      </c>
      <c r="C9" s="1"/>
      <c r="D9" s="1">
        <f>'MARCH 21'!I9:I20</f>
        <v>0</v>
      </c>
      <c r="E9" s="1">
        <v>3000</v>
      </c>
      <c r="F9" s="1">
        <v>100</v>
      </c>
      <c r="G9" s="1">
        <f t="shared" si="1"/>
        <v>3100</v>
      </c>
      <c r="H9" s="1">
        <f>3100</f>
        <v>3100</v>
      </c>
      <c r="I9" s="1">
        <f t="shared" si="0"/>
        <v>0</v>
      </c>
      <c r="J9" s="58"/>
      <c r="K9" s="58"/>
    </row>
    <row r="10" spans="1:11" x14ac:dyDescent="0.25">
      <c r="A10" s="1">
        <v>6</v>
      </c>
      <c r="B10" s="151" t="s">
        <v>402</v>
      </c>
      <c r="C10" s="1"/>
      <c r="D10" s="1">
        <f>'MARCH 21'!I10:I21</f>
        <v>1500</v>
      </c>
      <c r="E10" s="1">
        <v>3000</v>
      </c>
      <c r="F10" s="1">
        <v>100</v>
      </c>
      <c r="G10" s="1">
        <f t="shared" si="1"/>
        <v>4600</v>
      </c>
      <c r="H10" s="1">
        <f>1000+1000</f>
        <v>2000</v>
      </c>
      <c r="I10" s="1">
        <f t="shared" si="0"/>
        <v>2600</v>
      </c>
      <c r="J10" s="58"/>
      <c r="K10" s="58"/>
    </row>
    <row r="11" spans="1:11" x14ac:dyDescent="0.25">
      <c r="A11" s="1">
        <v>7</v>
      </c>
      <c r="B11" s="168" t="s">
        <v>618</v>
      </c>
      <c r="C11" s="1"/>
      <c r="D11" s="1">
        <f>'MARCH 21'!I11:I22</f>
        <v>1000</v>
      </c>
      <c r="E11" s="1">
        <v>3000</v>
      </c>
      <c r="F11" s="1">
        <v>100</v>
      </c>
      <c r="G11" s="1">
        <f t="shared" si="1"/>
        <v>4100</v>
      </c>
      <c r="H11" s="1">
        <v>3100</v>
      </c>
      <c r="I11" s="1">
        <f t="shared" si="0"/>
        <v>1000</v>
      </c>
      <c r="J11" s="58"/>
      <c r="K11" s="58"/>
    </row>
    <row r="12" spans="1:11" x14ac:dyDescent="0.25">
      <c r="A12" s="1">
        <v>8</v>
      </c>
      <c r="B12" s="167" t="s">
        <v>573</v>
      </c>
      <c r="C12" s="1"/>
      <c r="D12" s="1">
        <f>'MARCH 21'!I12:I23</f>
        <v>0</v>
      </c>
      <c r="E12" s="1">
        <v>2000</v>
      </c>
      <c r="F12" s="1">
        <v>100</v>
      </c>
      <c r="G12" s="1">
        <f t="shared" si="1"/>
        <v>2100</v>
      </c>
      <c r="H12" s="1">
        <v>2100</v>
      </c>
      <c r="I12" s="1">
        <f t="shared" si="0"/>
        <v>0</v>
      </c>
      <c r="J12" s="58"/>
      <c r="K12" s="58"/>
    </row>
    <row r="13" spans="1:11" x14ac:dyDescent="0.25">
      <c r="A13" s="1">
        <v>9</v>
      </c>
      <c r="B13" s="164" t="s">
        <v>495</v>
      </c>
      <c r="C13" s="1"/>
      <c r="D13" s="1">
        <f>'MARCH 21'!I13:I24</f>
        <v>0</v>
      </c>
      <c r="E13" s="1">
        <v>3000</v>
      </c>
      <c r="F13" s="1"/>
      <c r="G13" s="1">
        <f t="shared" si="1"/>
        <v>3000</v>
      </c>
      <c r="H13" s="1"/>
      <c r="I13" s="1">
        <f t="shared" si="0"/>
        <v>3000</v>
      </c>
      <c r="J13" s="58"/>
      <c r="K13" s="58"/>
    </row>
    <row r="14" spans="1:11" x14ac:dyDescent="0.25">
      <c r="A14" s="1">
        <v>10</v>
      </c>
      <c r="B14" s="169" t="s">
        <v>400</v>
      </c>
      <c r="C14" s="1"/>
      <c r="D14" s="1">
        <f>'MARCH 21'!I14:I25</f>
        <v>0</v>
      </c>
      <c r="E14" s="1">
        <v>4500</v>
      </c>
      <c r="F14" s="1">
        <v>100</v>
      </c>
      <c r="G14" s="1">
        <f t="shared" si="1"/>
        <v>4600</v>
      </c>
      <c r="H14" s="1">
        <f>4600</f>
        <v>4600</v>
      </c>
      <c r="I14" s="1">
        <f>G14-H14</f>
        <v>0</v>
      </c>
      <c r="J14" s="58"/>
      <c r="K14" s="58"/>
    </row>
    <row r="15" spans="1:11" x14ac:dyDescent="0.25">
      <c r="A15" s="1">
        <v>11</v>
      </c>
      <c r="B15" s="168" t="s">
        <v>345</v>
      </c>
      <c r="C15" s="1"/>
      <c r="D15" s="1">
        <f>'MARCH 21'!I15:I26</f>
        <v>2300</v>
      </c>
      <c r="E15" s="1">
        <v>4500</v>
      </c>
      <c r="F15" s="1">
        <v>100</v>
      </c>
      <c r="G15" s="1">
        <f t="shared" si="1"/>
        <v>6900</v>
      </c>
      <c r="H15" s="1">
        <f>5600</f>
        <v>5600</v>
      </c>
      <c r="I15" s="1">
        <f t="shared" si="0"/>
        <v>1300</v>
      </c>
      <c r="J15" s="58"/>
      <c r="K15" s="58"/>
    </row>
    <row r="16" spans="1:11" x14ac:dyDescent="0.25">
      <c r="A16" s="1">
        <v>12</v>
      </c>
      <c r="B16" s="197" t="s">
        <v>80</v>
      </c>
      <c r="C16" s="1"/>
      <c r="D16" s="1">
        <f>'MARCH 21'!I16:I27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  <c r="K16" s="58"/>
    </row>
    <row r="17" spans="1:11" x14ac:dyDescent="0.25">
      <c r="A17" s="1" t="s">
        <v>129</v>
      </c>
      <c r="B17" s="1"/>
      <c r="C17" s="1">
        <f t="shared" ref="C17:I17" si="2">SUM(C5:C16)</f>
        <v>0</v>
      </c>
      <c r="D17" s="1">
        <f>SUM(D5:D16)</f>
        <v>9000</v>
      </c>
      <c r="E17" s="1">
        <f t="shared" si="2"/>
        <v>35000</v>
      </c>
      <c r="F17" s="1">
        <f t="shared" si="2"/>
        <v>1100</v>
      </c>
      <c r="G17" s="1">
        <f t="shared" si="2"/>
        <v>45100</v>
      </c>
      <c r="H17" s="1">
        <f>SUM(H5:H16)</f>
        <v>32900</v>
      </c>
      <c r="I17" s="1">
        <f t="shared" si="2"/>
        <v>12200</v>
      </c>
      <c r="J17" s="58"/>
      <c r="K17" s="58"/>
    </row>
    <row r="18" spans="1:11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  <c r="K18" s="58"/>
    </row>
    <row r="19" spans="1:11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  <c r="K19" s="58"/>
    </row>
    <row r="20" spans="1:11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  <c r="K20" s="58"/>
    </row>
    <row r="21" spans="1:11" x14ac:dyDescent="0.25">
      <c r="A21" s="165" t="s">
        <v>365</v>
      </c>
      <c r="B21" s="165"/>
      <c r="C21" s="165">
        <f>E17</f>
        <v>35000</v>
      </c>
      <c r="D21" s="165"/>
      <c r="E21" s="165"/>
      <c r="F21" s="165" t="s">
        <v>365</v>
      </c>
      <c r="G21" s="232">
        <f>H17</f>
        <v>32900</v>
      </c>
      <c r="H21" s="165"/>
      <c r="I21" s="165"/>
      <c r="J21" s="58"/>
      <c r="K21" s="58"/>
    </row>
    <row r="22" spans="1:11" x14ac:dyDescent="0.25">
      <c r="A22" s="165" t="s">
        <v>1</v>
      </c>
      <c r="B22" s="165"/>
      <c r="C22" s="238">
        <f>'MARCH 21'!E37</f>
        <v>7827</v>
      </c>
      <c r="D22" s="165"/>
      <c r="E22" s="165"/>
      <c r="F22" s="165" t="s">
        <v>1</v>
      </c>
      <c r="G22" s="173">
        <f>'MARCH 21'!I37</f>
        <v>477</v>
      </c>
      <c r="H22" s="165"/>
      <c r="I22" s="165"/>
      <c r="J22" s="58"/>
      <c r="K22" s="58"/>
    </row>
    <row r="23" spans="1:11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  <c r="K23" s="58"/>
    </row>
    <row r="24" spans="1:11" x14ac:dyDescent="0.25">
      <c r="A24" s="165" t="s">
        <v>325</v>
      </c>
      <c r="B24" s="165"/>
      <c r="C24" s="226">
        <v>0.1</v>
      </c>
      <c r="D24" s="165">
        <f>C21*C24</f>
        <v>3500</v>
      </c>
      <c r="E24" s="165"/>
      <c r="F24" s="165" t="s">
        <v>325</v>
      </c>
      <c r="G24" s="226">
        <v>0.1</v>
      </c>
      <c r="H24" s="165">
        <f>D24</f>
        <v>3500</v>
      </c>
      <c r="I24" s="165"/>
      <c r="J24" s="58"/>
      <c r="K24" s="58"/>
    </row>
    <row r="25" spans="1:11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  <c r="K25" s="58"/>
    </row>
    <row r="26" spans="1:11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  <c r="K26" s="58"/>
    </row>
    <row r="27" spans="1:11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  <c r="K27" s="58"/>
    </row>
    <row r="28" spans="1:11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58"/>
      <c r="H28" s="151">
        <f>F17</f>
        <v>1100</v>
      </c>
      <c r="I28" s="151"/>
      <c r="J28" s="58"/>
      <c r="K28" s="58"/>
    </row>
    <row r="29" spans="1:11" x14ac:dyDescent="0.25">
      <c r="A29" s="222" t="s">
        <v>328</v>
      </c>
      <c r="B29" s="58"/>
      <c r="C29" s="151"/>
      <c r="D29" s="151"/>
      <c r="E29" s="165"/>
      <c r="F29" s="222" t="s">
        <v>328</v>
      </c>
      <c r="G29" s="58"/>
      <c r="H29" s="151"/>
      <c r="I29" s="151"/>
      <c r="J29" s="58"/>
      <c r="K29" s="58"/>
    </row>
    <row r="30" spans="1:11" x14ac:dyDescent="0.25">
      <c r="A30" s="225" t="s">
        <v>621</v>
      </c>
      <c r="B30" s="58"/>
      <c r="C30" s="151"/>
      <c r="D30" s="58">
        <v>2062</v>
      </c>
      <c r="E30" s="151"/>
      <c r="F30" s="225" t="s">
        <v>621</v>
      </c>
      <c r="G30" s="58"/>
      <c r="H30" s="151">
        <v>2062</v>
      </c>
      <c r="I30" s="58"/>
      <c r="J30" s="58"/>
      <c r="K30" s="58"/>
    </row>
    <row r="31" spans="1:11" x14ac:dyDescent="0.25">
      <c r="A31" s="222" t="s">
        <v>622</v>
      </c>
      <c r="B31" s="222"/>
      <c r="C31" s="151"/>
      <c r="D31" s="151">
        <v>5000</v>
      </c>
      <c r="E31" s="165"/>
      <c r="F31" s="222" t="s">
        <v>622</v>
      </c>
      <c r="G31" s="222"/>
      <c r="H31" s="151">
        <v>5000</v>
      </c>
      <c r="I31" s="151"/>
      <c r="J31" s="58"/>
      <c r="K31" s="58"/>
    </row>
    <row r="32" spans="1:11" x14ac:dyDescent="0.25">
      <c r="A32" s="222" t="s">
        <v>623</v>
      </c>
      <c r="B32" s="58"/>
      <c r="C32" s="151"/>
      <c r="D32" s="151">
        <v>5500</v>
      </c>
      <c r="E32" s="165"/>
      <c r="F32" s="222" t="s">
        <v>623</v>
      </c>
      <c r="G32" s="58"/>
      <c r="H32" s="151">
        <v>5500</v>
      </c>
      <c r="I32" s="151"/>
      <c r="J32" s="58"/>
      <c r="K32" s="58"/>
    </row>
    <row r="33" spans="1:11" x14ac:dyDescent="0.25">
      <c r="A33" s="222" t="s">
        <v>624</v>
      </c>
      <c r="B33" s="58"/>
      <c r="C33" s="151"/>
      <c r="D33" s="165">
        <v>2100</v>
      </c>
      <c r="E33" s="165"/>
      <c r="F33" s="222" t="s">
        <v>624</v>
      </c>
      <c r="G33" s="58"/>
      <c r="H33" s="151">
        <v>2100</v>
      </c>
      <c r="I33" s="165"/>
      <c r="J33" s="58"/>
      <c r="K33" s="58"/>
    </row>
    <row r="34" spans="1:11" x14ac:dyDescent="0.25">
      <c r="A34" s="222" t="s">
        <v>625</v>
      </c>
      <c r="B34" s="58"/>
      <c r="C34" s="151"/>
      <c r="D34" s="165">
        <v>5500</v>
      </c>
      <c r="E34" s="165"/>
      <c r="F34" s="222" t="s">
        <v>625</v>
      </c>
      <c r="G34" s="58"/>
      <c r="H34" s="151">
        <v>5500</v>
      </c>
      <c r="I34" s="165"/>
      <c r="J34" s="58"/>
      <c r="K34" s="58"/>
    </row>
    <row r="35" spans="1:11" x14ac:dyDescent="0.25">
      <c r="A35" s="222" t="s">
        <v>626</v>
      </c>
      <c r="B35" s="58"/>
      <c r="C35" s="151"/>
      <c r="D35" s="165">
        <v>500</v>
      </c>
      <c r="E35" s="165"/>
      <c r="F35" s="222" t="s">
        <v>626</v>
      </c>
      <c r="G35" s="58"/>
      <c r="H35" s="151">
        <v>500</v>
      </c>
      <c r="I35" s="165"/>
      <c r="J35" s="58"/>
      <c r="K35" s="58"/>
    </row>
    <row r="36" spans="1:11" s="58" customFormat="1" x14ac:dyDescent="0.25">
      <c r="A36" s="222" t="s">
        <v>627</v>
      </c>
      <c r="C36" s="151"/>
      <c r="D36" s="151">
        <v>6055</v>
      </c>
      <c r="E36" s="165"/>
      <c r="F36" s="222" t="s">
        <v>627</v>
      </c>
      <c r="H36" s="151">
        <v>6055</v>
      </c>
      <c r="I36" s="165"/>
    </row>
    <row r="37" spans="1:11" s="58" customFormat="1" x14ac:dyDescent="0.25">
      <c r="A37" s="222" t="s">
        <v>628</v>
      </c>
      <c r="C37" s="151"/>
      <c r="D37" s="165">
        <v>2000</v>
      </c>
      <c r="E37" s="165"/>
      <c r="F37" s="222" t="s">
        <v>628</v>
      </c>
      <c r="H37" s="151">
        <v>2000</v>
      </c>
      <c r="I37" s="165"/>
    </row>
    <row r="38" spans="1:11" x14ac:dyDescent="0.25">
      <c r="A38" s="222"/>
      <c r="B38" s="58"/>
      <c r="C38" s="151"/>
      <c r="D38" s="151">
        <v>3100</v>
      </c>
      <c r="E38" s="165"/>
      <c r="F38" s="222"/>
      <c r="G38" s="58"/>
      <c r="H38" s="151"/>
      <c r="I38" s="151"/>
      <c r="J38" s="58"/>
      <c r="K38" s="58"/>
    </row>
    <row r="39" spans="1:11" x14ac:dyDescent="0.25">
      <c r="A39" s="217" t="s">
        <v>129</v>
      </c>
      <c r="B39" s="217"/>
      <c r="C39" s="1">
        <f>C21+C22+C23-D24</f>
        <v>39327</v>
      </c>
      <c r="D39" s="217">
        <f>SUM(D26:D38)</f>
        <v>33917</v>
      </c>
      <c r="E39" s="1">
        <f>C39-D39</f>
        <v>5410</v>
      </c>
      <c r="F39" s="217" t="s">
        <v>129</v>
      </c>
      <c r="G39" s="236">
        <f>G21+G22+G23-H24</f>
        <v>29877</v>
      </c>
      <c r="H39" s="217">
        <f>SUM(H26:H38)</f>
        <v>31817</v>
      </c>
      <c r="I39" s="140">
        <f>G39-H39</f>
        <v>-1940</v>
      </c>
      <c r="J39" s="58"/>
      <c r="K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  <c r="K40" s="58"/>
    </row>
    <row r="41" spans="1:11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>
        <f>I39+I17</f>
        <v>10260</v>
      </c>
      <c r="J41" s="58"/>
      <c r="K41" s="58"/>
    </row>
    <row r="42" spans="1:11" x14ac:dyDescent="0.25">
      <c r="A42" s="23"/>
      <c r="B42" s="23"/>
      <c r="C42" s="23"/>
      <c r="D42" s="23"/>
      <c r="E42" s="23"/>
      <c r="F42" s="23"/>
      <c r="G42" s="23"/>
      <c r="H42" s="240">
        <f>E39-I41</f>
        <v>-4850</v>
      </c>
      <c r="I42" s="23"/>
      <c r="J42" s="58"/>
      <c r="K42" s="58"/>
    </row>
    <row r="43" spans="1:11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  <c r="K43" s="58"/>
    </row>
    <row r="44" spans="1:11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L35" sqref="L35"/>
    </sheetView>
  </sheetViews>
  <sheetFormatPr defaultRowHeight="15" x14ac:dyDescent="0.25"/>
  <cols>
    <col min="1" max="1" width="6.28515625" customWidth="1"/>
    <col min="2" max="2" width="12.85546875" customWidth="1"/>
  </cols>
  <sheetData>
    <row r="1" spans="1:10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</row>
    <row r="2" spans="1:10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</row>
    <row r="3" spans="1:10" x14ac:dyDescent="0.25">
      <c r="A3" s="58"/>
      <c r="B3" s="58"/>
      <c r="C3" s="58"/>
      <c r="D3" s="32" t="s">
        <v>629</v>
      </c>
      <c r="E3" s="32"/>
      <c r="F3" s="32"/>
      <c r="G3" s="32"/>
      <c r="H3" s="58"/>
      <c r="I3" s="58"/>
      <c r="J3" s="58"/>
    </row>
    <row r="4" spans="1:10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</row>
    <row r="5" spans="1:10" x14ac:dyDescent="0.25">
      <c r="A5" s="1">
        <v>1</v>
      </c>
      <c r="B5" s="164" t="s">
        <v>588</v>
      </c>
      <c r="C5" s="1"/>
      <c r="D5" s="1">
        <f>'APRIL 21'!I5:I17</f>
        <v>0</v>
      </c>
      <c r="E5" s="1">
        <v>3000</v>
      </c>
      <c r="F5" s="1">
        <v>100</v>
      </c>
      <c r="G5" s="1">
        <f>C5+D5+E5+F5</f>
        <v>3100</v>
      </c>
      <c r="H5" s="1">
        <v>3100</v>
      </c>
      <c r="I5" s="1">
        <f t="shared" ref="I5:I16" si="0">G5-H5</f>
        <v>0</v>
      </c>
      <c r="J5" s="58"/>
    </row>
    <row r="6" spans="1:10" x14ac:dyDescent="0.25">
      <c r="A6" s="1">
        <v>2</v>
      </c>
      <c r="B6" s="164" t="s">
        <v>613</v>
      </c>
      <c r="C6" s="1"/>
      <c r="D6" s="1">
        <f>'APRIL 21'!I6:I18</f>
        <v>1700</v>
      </c>
      <c r="E6" s="1">
        <v>3000</v>
      </c>
      <c r="F6" s="1">
        <v>100</v>
      </c>
      <c r="G6" s="1">
        <f t="shared" ref="G6:G16" si="1">C6+D6+E6+F6</f>
        <v>4800</v>
      </c>
      <c r="H6" s="1"/>
      <c r="I6" s="1">
        <f t="shared" si="0"/>
        <v>4800</v>
      </c>
      <c r="J6" s="58"/>
    </row>
    <row r="7" spans="1:10" x14ac:dyDescent="0.25">
      <c r="A7" s="1">
        <v>3</v>
      </c>
      <c r="B7" s="151"/>
      <c r="C7" s="1"/>
      <c r="D7" s="1">
        <f>'APRIL 21'!I7:I19</f>
        <v>0</v>
      </c>
      <c r="E7" s="1"/>
      <c r="F7" s="1"/>
      <c r="G7" s="1">
        <f t="shared" si="1"/>
        <v>0</v>
      </c>
      <c r="H7" s="1"/>
      <c r="I7" s="1">
        <f t="shared" si="0"/>
        <v>0</v>
      </c>
      <c r="J7" s="58"/>
    </row>
    <row r="8" spans="1:10" x14ac:dyDescent="0.25">
      <c r="A8" s="1">
        <v>4</v>
      </c>
      <c r="B8" s="167" t="s">
        <v>590</v>
      </c>
      <c r="C8" s="1"/>
      <c r="D8" s="1">
        <f>'APRIL 21'!I8:I20</f>
        <v>2600</v>
      </c>
      <c r="E8" s="1">
        <v>3000</v>
      </c>
      <c r="F8" s="1">
        <v>100</v>
      </c>
      <c r="G8" s="1">
        <f t="shared" si="1"/>
        <v>5700</v>
      </c>
      <c r="H8" s="1"/>
      <c r="I8" s="1"/>
      <c r="J8" s="58"/>
    </row>
    <row r="9" spans="1:10" x14ac:dyDescent="0.25">
      <c r="A9" s="1">
        <v>5</v>
      </c>
      <c r="B9" s="151" t="s">
        <v>574</v>
      </c>
      <c r="C9" s="1"/>
      <c r="D9" s="1">
        <f>'APRIL 21'!I9:I21</f>
        <v>0</v>
      </c>
      <c r="E9" s="1">
        <v>3000</v>
      </c>
      <c r="F9" s="1">
        <v>100</v>
      </c>
      <c r="G9" s="1">
        <f t="shared" si="1"/>
        <v>3100</v>
      </c>
      <c r="H9" s="1">
        <v>3100</v>
      </c>
      <c r="I9" s="1">
        <f t="shared" si="0"/>
        <v>0</v>
      </c>
      <c r="J9" s="58"/>
    </row>
    <row r="10" spans="1:10" x14ac:dyDescent="0.25">
      <c r="A10" s="1">
        <v>6</v>
      </c>
      <c r="B10" s="151" t="s">
        <v>402</v>
      </c>
      <c r="C10" s="1"/>
      <c r="D10" s="1">
        <f>'APRIL 21'!I10:I22</f>
        <v>2600</v>
      </c>
      <c r="E10" s="1">
        <v>3000</v>
      </c>
      <c r="F10" s="1">
        <v>100</v>
      </c>
      <c r="G10" s="1">
        <f t="shared" si="1"/>
        <v>5700</v>
      </c>
      <c r="H10" s="1">
        <f>2500</f>
        <v>2500</v>
      </c>
      <c r="I10" s="1">
        <f>G10-H10</f>
        <v>3200</v>
      </c>
      <c r="J10" s="58"/>
    </row>
    <row r="11" spans="1:10" x14ac:dyDescent="0.25">
      <c r="A11" s="1">
        <v>7</v>
      </c>
      <c r="B11" s="168" t="s">
        <v>631</v>
      </c>
      <c r="C11" s="1"/>
      <c r="D11" s="1">
        <f>'APRIL 21'!I11:I23</f>
        <v>1000</v>
      </c>
      <c r="E11" s="1">
        <v>3000</v>
      </c>
      <c r="F11" s="1">
        <v>100</v>
      </c>
      <c r="G11" s="1">
        <f t="shared" si="1"/>
        <v>4100</v>
      </c>
      <c r="H11" s="1">
        <f>100+300+2700</f>
        <v>3100</v>
      </c>
      <c r="I11" s="1">
        <f t="shared" si="0"/>
        <v>1000</v>
      </c>
      <c r="J11" s="58"/>
    </row>
    <row r="12" spans="1:10" x14ac:dyDescent="0.25">
      <c r="A12" s="1">
        <v>8</v>
      </c>
      <c r="B12" s="167" t="s">
        <v>573</v>
      </c>
      <c r="C12" s="1"/>
      <c r="D12" s="1">
        <f>'APRIL 21'!I12:I24</f>
        <v>0</v>
      </c>
      <c r="E12" s="1">
        <v>2000</v>
      </c>
      <c r="F12" s="1">
        <v>100</v>
      </c>
      <c r="G12" s="1">
        <f t="shared" si="1"/>
        <v>2100</v>
      </c>
      <c r="H12" s="1">
        <v>2100</v>
      </c>
      <c r="I12" s="1">
        <f t="shared" si="0"/>
        <v>0</v>
      </c>
      <c r="J12" s="58" t="s">
        <v>311</v>
      </c>
    </row>
    <row r="13" spans="1:10" x14ac:dyDescent="0.25">
      <c r="A13" s="1">
        <v>9</v>
      </c>
      <c r="B13" s="164"/>
      <c r="C13" s="1"/>
      <c r="D13" s="1"/>
      <c r="E13" s="1"/>
      <c r="F13" s="1"/>
      <c r="G13" s="1">
        <f t="shared" si="1"/>
        <v>0</v>
      </c>
      <c r="H13" s="1"/>
      <c r="I13" s="1">
        <f t="shared" si="0"/>
        <v>0</v>
      </c>
      <c r="J13" s="58"/>
    </row>
    <row r="14" spans="1:10" x14ac:dyDescent="0.25">
      <c r="A14" s="1">
        <v>10</v>
      </c>
      <c r="B14" s="169" t="s">
        <v>400</v>
      </c>
      <c r="C14" s="1"/>
      <c r="D14" s="1">
        <f>'APRIL 21'!I14:I26</f>
        <v>0</v>
      </c>
      <c r="E14" s="1">
        <v>4500</v>
      </c>
      <c r="F14" s="1">
        <v>100</v>
      </c>
      <c r="G14" s="1">
        <f t="shared" si="1"/>
        <v>4600</v>
      </c>
      <c r="H14" s="1">
        <f>4600</f>
        <v>4600</v>
      </c>
      <c r="I14" s="1">
        <f>G14-H14</f>
        <v>0</v>
      </c>
      <c r="J14" s="58"/>
    </row>
    <row r="15" spans="1:10" x14ac:dyDescent="0.25">
      <c r="A15" s="1">
        <v>11</v>
      </c>
      <c r="B15" s="168" t="s">
        <v>345</v>
      </c>
      <c r="C15" s="1"/>
      <c r="D15" s="1">
        <f>'APRIL 21'!I15:I27</f>
        <v>1300</v>
      </c>
      <c r="E15" s="1">
        <v>4500</v>
      </c>
      <c r="F15" s="1">
        <v>100</v>
      </c>
      <c r="G15" s="1">
        <f t="shared" si="1"/>
        <v>5900</v>
      </c>
      <c r="H15" s="1">
        <f>5000</f>
        <v>5000</v>
      </c>
      <c r="I15" s="1">
        <f t="shared" si="0"/>
        <v>900</v>
      </c>
      <c r="J15" s="58"/>
    </row>
    <row r="16" spans="1:10" x14ac:dyDescent="0.25">
      <c r="A16" s="1">
        <v>12</v>
      </c>
      <c r="B16" s="197" t="s">
        <v>80</v>
      </c>
      <c r="C16" s="1"/>
      <c r="D16" s="1">
        <f>'APRIL 21'!I16:I28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</row>
    <row r="17" spans="1:12" x14ac:dyDescent="0.25">
      <c r="A17" s="1" t="s">
        <v>129</v>
      </c>
      <c r="B17" s="1"/>
      <c r="C17" s="1">
        <f t="shared" ref="C17:I17" si="2">SUM(C5:C16)</f>
        <v>0</v>
      </c>
      <c r="D17" s="1">
        <f>'APRIL 21'!I17:I29</f>
        <v>12200</v>
      </c>
      <c r="E17" s="1">
        <f t="shared" si="2"/>
        <v>29000</v>
      </c>
      <c r="F17" s="1">
        <f t="shared" si="2"/>
        <v>1000</v>
      </c>
      <c r="G17" s="1">
        <f t="shared" si="2"/>
        <v>39200</v>
      </c>
      <c r="H17" s="1">
        <f>SUM(H5:H16)</f>
        <v>23600</v>
      </c>
      <c r="I17" s="1">
        <f t="shared" si="2"/>
        <v>9900</v>
      </c>
      <c r="J17" s="58"/>
    </row>
    <row r="18" spans="1:12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</row>
    <row r="19" spans="1:12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</row>
    <row r="20" spans="1:12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</row>
    <row r="21" spans="1:12" x14ac:dyDescent="0.25">
      <c r="A21" s="165" t="s">
        <v>368</v>
      </c>
      <c r="B21" s="165"/>
      <c r="C21" s="165">
        <f>E17</f>
        <v>29000</v>
      </c>
      <c r="D21" s="165"/>
      <c r="E21" s="165"/>
      <c r="F21" s="165" t="s">
        <v>368</v>
      </c>
      <c r="G21" s="232">
        <f>H17</f>
        <v>23600</v>
      </c>
      <c r="H21" s="165"/>
      <c r="I21" s="165"/>
      <c r="J21" s="58"/>
    </row>
    <row r="22" spans="1:12" x14ac:dyDescent="0.25">
      <c r="A22" s="165" t="s">
        <v>1</v>
      </c>
      <c r="B22" s="165"/>
      <c r="C22" s="238">
        <f>'APRIL 21'!E39</f>
        <v>5410</v>
      </c>
      <c r="D22" s="165"/>
      <c r="E22" s="165"/>
      <c r="F22" s="165" t="s">
        <v>1</v>
      </c>
      <c r="G22" s="173">
        <f>'APRIL 21'!I39</f>
        <v>-1940</v>
      </c>
      <c r="H22" s="165"/>
      <c r="I22" s="165"/>
      <c r="J22" s="58"/>
    </row>
    <row r="23" spans="1:12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</row>
    <row r="24" spans="1:12" x14ac:dyDescent="0.25">
      <c r="A24" s="165" t="s">
        <v>325</v>
      </c>
      <c r="B24" s="165"/>
      <c r="C24" s="226">
        <v>0.1</v>
      </c>
      <c r="D24" s="165">
        <f>C21*C24</f>
        <v>2900</v>
      </c>
      <c r="E24" s="165"/>
      <c r="F24" s="165" t="s">
        <v>325</v>
      </c>
      <c r="G24" s="226">
        <v>0.1</v>
      </c>
      <c r="H24" s="165">
        <f>D24</f>
        <v>2900</v>
      </c>
      <c r="I24" s="165"/>
      <c r="J24" s="58"/>
    </row>
    <row r="25" spans="1:12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</row>
    <row r="26" spans="1:12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</row>
    <row r="27" spans="1:12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</row>
    <row r="28" spans="1:12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1"/>
      <c r="H28" s="151">
        <f>F17</f>
        <v>1000</v>
      </c>
      <c r="I28" s="151"/>
      <c r="J28" s="58"/>
    </row>
    <row r="29" spans="1:12" x14ac:dyDescent="0.25">
      <c r="A29" s="222" t="s">
        <v>328</v>
      </c>
      <c r="B29" s="58"/>
      <c r="C29" s="151"/>
      <c r="D29" s="151"/>
      <c r="E29" s="165"/>
      <c r="F29" s="222" t="s">
        <v>328</v>
      </c>
      <c r="G29" s="1"/>
      <c r="H29" s="151"/>
      <c r="I29" s="151"/>
      <c r="J29" s="58"/>
    </row>
    <row r="30" spans="1:12" x14ac:dyDescent="0.25">
      <c r="A30" s="225" t="s">
        <v>630</v>
      </c>
      <c r="B30" s="58"/>
      <c r="C30" s="151"/>
      <c r="D30" s="58">
        <v>2000</v>
      </c>
      <c r="E30" s="151"/>
      <c r="F30" s="225" t="s">
        <v>630</v>
      </c>
      <c r="G30" s="1"/>
      <c r="H30" s="151">
        <v>2000</v>
      </c>
      <c r="I30" s="58"/>
      <c r="J30" s="58"/>
      <c r="L30">
        <f>4500-3100</f>
        <v>1400</v>
      </c>
    </row>
    <row r="31" spans="1:12" x14ac:dyDescent="0.25">
      <c r="A31" s="225" t="s">
        <v>632</v>
      </c>
      <c r="B31" s="222"/>
      <c r="C31" s="151"/>
      <c r="D31" s="151">
        <v>7000</v>
      </c>
      <c r="E31" s="165"/>
      <c r="F31" s="225" t="s">
        <v>632</v>
      </c>
      <c r="G31" s="222"/>
      <c r="H31" s="151">
        <v>7000</v>
      </c>
      <c r="I31" s="151"/>
      <c r="J31" s="58"/>
      <c r="L31">
        <f>3000-L30</f>
        <v>1600</v>
      </c>
    </row>
    <row r="32" spans="1:12" x14ac:dyDescent="0.25">
      <c r="A32" s="222" t="s">
        <v>573</v>
      </c>
      <c r="B32" s="1"/>
      <c r="C32" s="151"/>
      <c r="D32" s="151">
        <v>2100</v>
      </c>
      <c r="E32" s="165"/>
      <c r="F32" s="222" t="s">
        <v>573</v>
      </c>
      <c r="G32" s="1"/>
      <c r="H32" s="151">
        <v>2100</v>
      </c>
      <c r="I32" s="151"/>
      <c r="J32" s="58"/>
    </row>
    <row r="33" spans="1:12" x14ac:dyDescent="0.25">
      <c r="A33" s="222" t="s">
        <v>633</v>
      </c>
      <c r="B33" s="1"/>
      <c r="C33" s="151"/>
      <c r="D33" s="165">
        <v>5000</v>
      </c>
      <c r="E33" s="165"/>
      <c r="F33" s="222" t="s">
        <v>633</v>
      </c>
      <c r="G33" s="1"/>
      <c r="H33" s="151">
        <v>5000</v>
      </c>
      <c r="I33" s="165"/>
      <c r="J33" s="58"/>
    </row>
    <row r="34" spans="1:12" x14ac:dyDescent="0.25">
      <c r="A34" s="222" t="s">
        <v>635</v>
      </c>
      <c r="B34" s="1"/>
      <c r="C34" s="151"/>
      <c r="D34" s="165">
        <f>3100+1100</f>
        <v>4200</v>
      </c>
      <c r="E34" s="165"/>
      <c r="F34" s="222"/>
      <c r="G34" s="1"/>
      <c r="H34" s="151"/>
      <c r="I34" s="165"/>
      <c r="J34" s="58"/>
      <c r="L34">
        <f>5700-1600</f>
        <v>4100</v>
      </c>
    </row>
    <row r="35" spans="1:12" x14ac:dyDescent="0.25">
      <c r="A35" s="222"/>
      <c r="B35" s="1"/>
      <c r="C35" s="151"/>
      <c r="D35" s="165"/>
      <c r="E35" s="165"/>
      <c r="F35" s="222"/>
      <c r="G35" s="1"/>
      <c r="H35" s="151"/>
      <c r="I35" s="165"/>
      <c r="J35" s="58"/>
    </row>
    <row r="36" spans="1:12" x14ac:dyDescent="0.25">
      <c r="A36" s="222"/>
      <c r="B36" s="1"/>
      <c r="C36" s="151"/>
      <c r="D36" s="151"/>
      <c r="E36" s="165"/>
      <c r="F36" s="222"/>
      <c r="G36" s="1"/>
      <c r="H36" s="151"/>
      <c r="I36" s="165"/>
      <c r="J36" s="58"/>
    </row>
    <row r="37" spans="1:12" x14ac:dyDescent="0.25">
      <c r="A37" s="222"/>
      <c r="B37" s="1"/>
      <c r="C37" s="151"/>
      <c r="D37" s="165"/>
      <c r="E37" s="165"/>
      <c r="F37" s="222"/>
      <c r="G37" s="1"/>
      <c r="H37" s="151"/>
      <c r="I37" s="165"/>
      <c r="J37" s="58"/>
    </row>
    <row r="38" spans="1:12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</row>
    <row r="39" spans="1:12" x14ac:dyDescent="0.25">
      <c r="A39" s="217" t="s">
        <v>129</v>
      </c>
      <c r="B39" s="217"/>
      <c r="C39" s="1">
        <f>C21+C22+C23-D24</f>
        <v>31510</v>
      </c>
      <c r="D39" s="217">
        <f>SUM(D26:D38)</f>
        <v>22400</v>
      </c>
      <c r="E39" s="1">
        <f>C39-D39</f>
        <v>9110</v>
      </c>
      <c r="F39" s="217" t="s">
        <v>129</v>
      </c>
      <c r="G39" s="236">
        <f>G21+G22+G23-H24</f>
        <v>18760</v>
      </c>
      <c r="H39" s="217">
        <f>SUM(H26:H38)</f>
        <v>19100</v>
      </c>
      <c r="I39" s="140">
        <f>G39-H39</f>
        <v>-340</v>
      </c>
      <c r="J39" s="58"/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</row>
    <row r="41" spans="1:12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/>
      <c r="J41" s="58"/>
    </row>
    <row r="42" spans="1:12" x14ac:dyDescent="0.25">
      <c r="A42" s="23"/>
      <c r="B42" s="23"/>
      <c r="C42" s="23"/>
      <c r="D42" s="23"/>
      <c r="E42" s="23"/>
      <c r="F42" s="23"/>
      <c r="G42" s="23"/>
      <c r="H42" s="240"/>
      <c r="I42" s="23"/>
      <c r="J42" s="58"/>
    </row>
    <row r="43" spans="1:12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</row>
    <row r="44" spans="1:12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D13" sqref="D13"/>
    </sheetView>
  </sheetViews>
  <sheetFormatPr defaultRowHeight="15" x14ac:dyDescent="0.25"/>
  <sheetData>
    <row r="1" spans="1:11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  <c r="K1" s="58"/>
    </row>
    <row r="2" spans="1:11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  <c r="K2" s="58"/>
    </row>
    <row r="3" spans="1:11" x14ac:dyDescent="0.25">
      <c r="A3" s="58"/>
      <c r="B3" s="58"/>
      <c r="C3" s="58"/>
      <c r="D3" s="32" t="s">
        <v>634</v>
      </c>
      <c r="E3" s="32"/>
      <c r="F3" s="32"/>
      <c r="G3" s="32"/>
      <c r="H3" s="58"/>
      <c r="I3" s="58"/>
      <c r="J3" s="58"/>
      <c r="K3" s="58"/>
    </row>
    <row r="4" spans="1:11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  <c r="K4" s="58"/>
    </row>
    <row r="5" spans="1:11" x14ac:dyDescent="0.25">
      <c r="A5" s="1">
        <v>1</v>
      </c>
      <c r="B5" s="164" t="s">
        <v>588</v>
      </c>
      <c r="C5" s="1"/>
      <c r="D5" s="1">
        <f>'MAY 21'!I5:I17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 t="shared" ref="I5:I16" si="0">G5-H5</f>
        <v>0</v>
      </c>
      <c r="J5" s="58"/>
      <c r="K5" s="58"/>
    </row>
    <row r="6" spans="1:11" x14ac:dyDescent="0.25">
      <c r="A6" s="1">
        <v>2</v>
      </c>
      <c r="B6" s="164" t="s">
        <v>613</v>
      </c>
      <c r="C6" s="1"/>
      <c r="D6" s="1">
        <f>'MAY 21'!I6:I18</f>
        <v>4800</v>
      </c>
      <c r="E6" s="1">
        <v>3000</v>
      </c>
      <c r="F6" s="1">
        <v>100</v>
      </c>
      <c r="G6" s="1">
        <f t="shared" ref="G6:G16" si="1">C6+D6+E6+F6</f>
        <v>7900</v>
      </c>
      <c r="H6" s="1">
        <f>4000</f>
        <v>4000</v>
      </c>
      <c r="I6" s="1">
        <f t="shared" si="0"/>
        <v>3900</v>
      </c>
      <c r="J6" s="58"/>
      <c r="K6" s="58"/>
    </row>
    <row r="7" spans="1:11" x14ac:dyDescent="0.25">
      <c r="A7" s="1">
        <v>3</v>
      </c>
      <c r="B7" s="151"/>
      <c r="C7" s="1"/>
      <c r="D7" s="1">
        <f>'MAY 21'!I7:I19</f>
        <v>0</v>
      </c>
      <c r="E7" s="1"/>
      <c r="F7" s="1"/>
      <c r="G7" s="1">
        <f t="shared" si="1"/>
        <v>0</v>
      </c>
      <c r="H7" s="1"/>
      <c r="I7" s="1">
        <f t="shared" si="0"/>
        <v>0</v>
      </c>
      <c r="J7" s="58"/>
      <c r="K7" s="58"/>
    </row>
    <row r="8" spans="1:11" x14ac:dyDescent="0.25">
      <c r="A8" s="1">
        <v>4</v>
      </c>
      <c r="B8" s="167" t="s">
        <v>636</v>
      </c>
      <c r="C8" s="1"/>
      <c r="D8" s="1"/>
      <c r="E8" s="1"/>
      <c r="F8" s="1"/>
      <c r="G8" s="1">
        <f t="shared" si="1"/>
        <v>0</v>
      </c>
      <c r="H8" s="1"/>
      <c r="I8" s="1">
        <f t="shared" si="0"/>
        <v>0</v>
      </c>
      <c r="J8" s="58"/>
      <c r="K8" s="58"/>
    </row>
    <row r="9" spans="1:11" x14ac:dyDescent="0.25">
      <c r="A9" s="1">
        <v>5</v>
      </c>
      <c r="B9" s="151" t="s">
        <v>574</v>
      </c>
      <c r="C9" s="1"/>
      <c r="D9" s="1">
        <f>'MAY 21'!I9:I21</f>
        <v>0</v>
      </c>
      <c r="E9" s="1">
        <v>3000</v>
      </c>
      <c r="F9" s="1">
        <v>100</v>
      </c>
      <c r="G9" s="1">
        <f t="shared" si="1"/>
        <v>3100</v>
      </c>
      <c r="H9" s="1">
        <f>3100</f>
        <v>3100</v>
      </c>
      <c r="I9" s="1">
        <f t="shared" si="0"/>
        <v>0</v>
      </c>
      <c r="J9" s="58"/>
      <c r="K9" s="58"/>
    </row>
    <row r="10" spans="1:11" x14ac:dyDescent="0.25">
      <c r="A10" s="1">
        <v>6</v>
      </c>
      <c r="B10" s="151" t="s">
        <v>402</v>
      </c>
      <c r="C10" s="1"/>
      <c r="D10" s="1">
        <f>'MAY 21'!I10:I22</f>
        <v>3200</v>
      </c>
      <c r="E10" s="1">
        <v>3000</v>
      </c>
      <c r="F10" s="1"/>
      <c r="G10" s="1">
        <f t="shared" si="1"/>
        <v>6200</v>
      </c>
      <c r="H10" s="1">
        <f>500+2500</f>
        <v>3000</v>
      </c>
      <c r="I10" s="1">
        <f>G10-H10</f>
        <v>3200</v>
      </c>
      <c r="J10" s="58"/>
      <c r="K10" s="58"/>
    </row>
    <row r="11" spans="1:11" x14ac:dyDescent="0.25">
      <c r="A11" s="1">
        <v>7</v>
      </c>
      <c r="B11" s="168" t="s">
        <v>631</v>
      </c>
      <c r="C11" s="1"/>
      <c r="D11" s="1">
        <f>'MAY 21'!I11:I23</f>
        <v>1000</v>
      </c>
      <c r="E11" s="1">
        <v>3000</v>
      </c>
      <c r="F11" s="1">
        <v>100</v>
      </c>
      <c r="G11" s="1">
        <f t="shared" si="1"/>
        <v>4100</v>
      </c>
      <c r="H11" s="1">
        <f>3000</f>
        <v>3000</v>
      </c>
      <c r="I11" s="1">
        <f t="shared" si="0"/>
        <v>1100</v>
      </c>
      <c r="J11" s="58"/>
      <c r="K11" s="58"/>
    </row>
    <row r="12" spans="1:11" x14ac:dyDescent="0.25">
      <c r="A12" s="1">
        <v>8</v>
      </c>
      <c r="B12" s="167" t="s">
        <v>573</v>
      </c>
      <c r="C12" s="1"/>
      <c r="D12" s="1">
        <f>'MAY 21'!I12:I24</f>
        <v>0</v>
      </c>
      <c r="E12" s="1">
        <v>2000</v>
      </c>
      <c r="F12" s="1">
        <v>100</v>
      </c>
      <c r="G12" s="1">
        <f t="shared" si="1"/>
        <v>2100</v>
      </c>
      <c r="H12" s="1">
        <v>2100</v>
      </c>
      <c r="I12" s="1">
        <f t="shared" si="0"/>
        <v>0</v>
      </c>
      <c r="J12" s="58" t="s">
        <v>311</v>
      </c>
      <c r="K12" s="58"/>
    </row>
    <row r="13" spans="1:11" x14ac:dyDescent="0.25">
      <c r="A13" s="1">
        <v>9</v>
      </c>
      <c r="B13" s="164"/>
      <c r="C13" s="1"/>
      <c r="D13" s="1">
        <f>'MAY 21'!I13:I25</f>
        <v>0</v>
      </c>
      <c r="E13" s="1"/>
      <c r="F13" s="1"/>
      <c r="G13" s="1">
        <f t="shared" si="1"/>
        <v>0</v>
      </c>
      <c r="H13" s="1"/>
      <c r="I13" s="1">
        <f t="shared" si="0"/>
        <v>0</v>
      </c>
      <c r="J13" s="58"/>
      <c r="K13" s="58"/>
    </row>
    <row r="14" spans="1:11" x14ac:dyDescent="0.25">
      <c r="A14" s="1">
        <v>10</v>
      </c>
      <c r="B14" s="169" t="s">
        <v>400</v>
      </c>
      <c r="C14" s="1"/>
      <c r="D14" s="1">
        <f>'MAY 21'!I14:I26</f>
        <v>0</v>
      </c>
      <c r="E14" s="1">
        <v>4500</v>
      </c>
      <c r="F14" s="1">
        <v>100</v>
      </c>
      <c r="G14" s="1">
        <f t="shared" si="1"/>
        <v>4600</v>
      </c>
      <c r="H14" s="1">
        <f>4600</f>
        <v>4600</v>
      </c>
      <c r="I14" s="1">
        <f>G14-H14</f>
        <v>0</v>
      </c>
      <c r="J14" s="58"/>
      <c r="K14" s="58"/>
    </row>
    <row r="15" spans="1:11" x14ac:dyDescent="0.25">
      <c r="A15" s="1">
        <v>11</v>
      </c>
      <c r="B15" s="168" t="s">
        <v>345</v>
      </c>
      <c r="C15" s="1"/>
      <c r="D15" s="1">
        <f>'MAY 21'!I15:I27</f>
        <v>900</v>
      </c>
      <c r="E15" s="1">
        <v>4500</v>
      </c>
      <c r="F15" s="1">
        <v>100</v>
      </c>
      <c r="G15" s="1">
        <f t="shared" si="1"/>
        <v>5500</v>
      </c>
      <c r="H15" s="1">
        <f>4200</f>
        <v>4200</v>
      </c>
      <c r="I15" s="1">
        <f t="shared" si="0"/>
        <v>1300</v>
      </c>
      <c r="J15" s="58"/>
      <c r="K15" s="58"/>
    </row>
    <row r="16" spans="1:11" x14ac:dyDescent="0.25">
      <c r="A16" s="1">
        <v>12</v>
      </c>
      <c r="B16" s="197" t="s">
        <v>80</v>
      </c>
      <c r="C16" s="1"/>
      <c r="D16" s="1">
        <f>'MAY 21'!I16:I28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  <c r="K16" s="58"/>
    </row>
    <row r="17" spans="1:11" x14ac:dyDescent="0.25">
      <c r="A17" s="1" t="s">
        <v>129</v>
      </c>
      <c r="B17" s="1"/>
      <c r="C17" s="1">
        <f t="shared" ref="C17:I17" si="2">SUM(C5:C16)</f>
        <v>0</v>
      </c>
      <c r="D17" s="1">
        <f>'MAY 21'!I17:I29</f>
        <v>9900</v>
      </c>
      <c r="E17" s="1">
        <f t="shared" si="2"/>
        <v>26000</v>
      </c>
      <c r="F17" s="1">
        <f t="shared" si="2"/>
        <v>800</v>
      </c>
      <c r="G17" s="1">
        <f t="shared" si="2"/>
        <v>36700</v>
      </c>
      <c r="H17" s="1">
        <f>SUM(H5:H16)</f>
        <v>27200</v>
      </c>
      <c r="I17" s="1">
        <f t="shared" si="2"/>
        <v>9500</v>
      </c>
      <c r="J17" s="58"/>
      <c r="K17" s="58"/>
    </row>
    <row r="18" spans="1:11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  <c r="K18" s="58"/>
    </row>
    <row r="19" spans="1:11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  <c r="K19" s="58"/>
    </row>
    <row r="20" spans="1:11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  <c r="K20" s="58"/>
    </row>
    <row r="21" spans="1:11" x14ac:dyDescent="0.25">
      <c r="A21" s="165" t="s">
        <v>371</v>
      </c>
      <c r="B21" s="165"/>
      <c r="C21" s="165">
        <f>E17</f>
        <v>26000</v>
      </c>
      <c r="D21" s="165"/>
      <c r="E21" s="165"/>
      <c r="F21" s="165" t="s">
        <v>371</v>
      </c>
      <c r="G21" s="232">
        <f>H17</f>
        <v>27200</v>
      </c>
      <c r="H21" s="165"/>
      <c r="I21" s="165"/>
      <c r="J21" s="58"/>
      <c r="K21" s="58"/>
    </row>
    <row r="22" spans="1:11" x14ac:dyDescent="0.25">
      <c r="A22" s="165" t="s">
        <v>1</v>
      </c>
      <c r="B22" s="165"/>
      <c r="C22" s="238">
        <f>'MAY 21'!E39</f>
        <v>9110</v>
      </c>
      <c r="D22" s="165"/>
      <c r="E22" s="165"/>
      <c r="F22" s="165" t="s">
        <v>1</v>
      </c>
      <c r="G22" s="173">
        <f>'MAY 21'!I39</f>
        <v>-340</v>
      </c>
      <c r="H22" s="165"/>
      <c r="I22" s="165"/>
      <c r="J22" s="58"/>
      <c r="K22" s="58"/>
    </row>
    <row r="23" spans="1:11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  <c r="K23" s="58"/>
    </row>
    <row r="24" spans="1:11" x14ac:dyDescent="0.25">
      <c r="A24" s="165" t="s">
        <v>325</v>
      </c>
      <c r="B24" s="165"/>
      <c r="C24" s="226">
        <v>0.1</v>
      </c>
      <c r="D24" s="165">
        <f>C21*C24</f>
        <v>2600</v>
      </c>
      <c r="E24" s="165"/>
      <c r="F24" s="165" t="s">
        <v>325</v>
      </c>
      <c r="G24" s="226">
        <v>0.1</v>
      </c>
      <c r="H24" s="165">
        <f>D24</f>
        <v>2600</v>
      </c>
      <c r="I24" s="165"/>
      <c r="J24" s="58"/>
      <c r="K24" s="58"/>
    </row>
    <row r="25" spans="1:11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  <c r="K25" s="58"/>
    </row>
    <row r="26" spans="1:11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  <c r="K26" s="58"/>
    </row>
    <row r="27" spans="1:11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  <c r="K27" s="58"/>
    </row>
    <row r="28" spans="1:11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1"/>
      <c r="H28" s="151">
        <f>F17</f>
        <v>800</v>
      </c>
      <c r="I28" s="151"/>
      <c r="J28" s="58"/>
      <c r="K28" s="58"/>
    </row>
    <row r="29" spans="1:11" x14ac:dyDescent="0.25">
      <c r="A29" s="222" t="s">
        <v>328</v>
      </c>
      <c r="B29" s="58"/>
      <c r="C29" s="151"/>
      <c r="D29" s="151"/>
      <c r="E29" s="165"/>
      <c r="F29" s="222" t="s">
        <v>328</v>
      </c>
      <c r="G29" s="1"/>
      <c r="H29" s="151"/>
      <c r="I29" s="151"/>
      <c r="J29" s="58"/>
      <c r="K29" s="58"/>
    </row>
    <row r="30" spans="1:11" x14ac:dyDescent="0.25">
      <c r="A30" s="225" t="s">
        <v>637</v>
      </c>
      <c r="B30" s="58"/>
      <c r="C30" s="151"/>
      <c r="D30" s="58">
        <v>2100</v>
      </c>
      <c r="E30" s="151"/>
      <c r="F30" s="225" t="s">
        <v>637</v>
      </c>
      <c r="G30" s="58"/>
      <c r="H30" s="151">
        <v>2100</v>
      </c>
      <c r="I30" s="58"/>
      <c r="J30" s="58"/>
      <c r="K30" s="58"/>
    </row>
    <row r="31" spans="1:11" x14ac:dyDescent="0.25">
      <c r="A31" s="225" t="s">
        <v>638</v>
      </c>
      <c r="B31" s="222"/>
      <c r="C31" s="151"/>
      <c r="D31" s="151">
        <v>1700</v>
      </c>
      <c r="E31" s="165"/>
      <c r="F31" s="225" t="s">
        <v>638</v>
      </c>
      <c r="G31" s="222"/>
      <c r="H31" s="151">
        <v>1700</v>
      </c>
      <c r="I31" s="151"/>
      <c r="J31" s="58"/>
      <c r="K31" s="58"/>
    </row>
    <row r="32" spans="1:11" x14ac:dyDescent="0.25">
      <c r="A32" s="222" t="s">
        <v>639</v>
      </c>
      <c r="B32" s="1"/>
      <c r="C32" s="151"/>
      <c r="D32" s="151">
        <v>7000</v>
      </c>
      <c r="E32" s="165"/>
      <c r="F32" s="222" t="s">
        <v>639</v>
      </c>
      <c r="G32" s="1"/>
      <c r="H32" s="151">
        <v>7000</v>
      </c>
      <c r="I32" s="151"/>
      <c r="J32" s="58"/>
      <c r="K32" s="58"/>
    </row>
    <row r="33" spans="1:11" x14ac:dyDescent="0.25">
      <c r="A33" s="222" t="s">
        <v>640</v>
      </c>
      <c r="B33" s="1"/>
      <c r="C33" s="151"/>
      <c r="D33" s="165">
        <v>5500</v>
      </c>
      <c r="E33" s="165"/>
      <c r="F33" s="222" t="s">
        <v>641</v>
      </c>
      <c r="G33" s="1"/>
      <c r="H33" s="151">
        <v>5500</v>
      </c>
      <c r="I33" s="165"/>
      <c r="J33" s="100"/>
      <c r="K33" s="58"/>
    </row>
    <row r="34" spans="1:11" x14ac:dyDescent="0.25">
      <c r="A34" s="222" t="s">
        <v>470</v>
      </c>
      <c r="B34" s="1"/>
      <c r="C34" s="151"/>
      <c r="D34" s="165">
        <v>50</v>
      </c>
      <c r="E34" s="165"/>
      <c r="F34" s="222" t="s">
        <v>470</v>
      </c>
      <c r="G34" s="1"/>
      <c r="H34" s="151">
        <v>50</v>
      </c>
      <c r="I34" s="165"/>
      <c r="J34" s="58"/>
      <c r="K34" s="58"/>
    </row>
    <row r="35" spans="1:11" x14ac:dyDescent="0.25">
      <c r="A35" s="222" t="s">
        <v>642</v>
      </c>
      <c r="B35" s="1"/>
      <c r="C35" s="151"/>
      <c r="D35" s="165">
        <v>5000</v>
      </c>
      <c r="E35" s="165"/>
      <c r="F35" s="222" t="s">
        <v>642</v>
      </c>
      <c r="G35" s="1"/>
      <c r="H35" s="151">
        <v>5000</v>
      </c>
      <c r="I35" s="165"/>
      <c r="J35" s="58"/>
      <c r="K35" s="58"/>
    </row>
    <row r="36" spans="1:11" x14ac:dyDescent="0.25">
      <c r="A36" s="222" t="s">
        <v>644</v>
      </c>
      <c r="B36" s="1"/>
      <c r="C36" s="151"/>
      <c r="D36" s="151">
        <v>3300</v>
      </c>
      <c r="E36" s="165"/>
      <c r="F36" s="222"/>
      <c r="G36" s="1"/>
      <c r="H36" s="151"/>
      <c r="I36" s="165"/>
      <c r="J36" s="58"/>
      <c r="K36" s="58"/>
    </row>
    <row r="37" spans="1:11" x14ac:dyDescent="0.25">
      <c r="A37" s="222" t="s">
        <v>651</v>
      </c>
      <c r="B37" s="1"/>
      <c r="C37" s="151"/>
      <c r="D37" s="165">
        <v>1000</v>
      </c>
      <c r="E37" s="165"/>
      <c r="F37" s="222"/>
      <c r="G37" s="1"/>
      <c r="H37" s="151"/>
      <c r="I37" s="165"/>
      <c r="J37" s="58"/>
      <c r="K37" s="58"/>
    </row>
    <row r="38" spans="1:11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  <c r="K38" s="58"/>
    </row>
    <row r="39" spans="1:11" x14ac:dyDescent="0.25">
      <c r="A39" s="217" t="s">
        <v>129</v>
      </c>
      <c r="B39" s="217"/>
      <c r="C39" s="1">
        <f>C21+C22+C23-D24</f>
        <v>32510</v>
      </c>
      <c r="D39" s="217">
        <f>SUM(D26:D38)</f>
        <v>27750</v>
      </c>
      <c r="E39" s="1">
        <f>C39-D39</f>
        <v>4760</v>
      </c>
      <c r="F39" s="217" t="s">
        <v>129</v>
      </c>
      <c r="G39" s="236">
        <f>G21+G22+G23-H24</f>
        <v>24260</v>
      </c>
      <c r="H39" s="217">
        <f>SUM(H26:H38)</f>
        <v>24150</v>
      </c>
      <c r="I39" s="140">
        <f>G39-H39</f>
        <v>110</v>
      </c>
      <c r="J39" s="58"/>
      <c r="K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  <c r="K40" s="58"/>
    </row>
    <row r="41" spans="1:11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/>
      <c r="J41" s="58"/>
      <c r="K41" s="58"/>
    </row>
    <row r="42" spans="1:11" x14ac:dyDescent="0.25">
      <c r="A42" s="23"/>
      <c r="B42" s="23"/>
      <c r="C42" s="23"/>
      <c r="D42" s="23"/>
      <c r="E42" s="23"/>
      <c r="F42" s="23"/>
      <c r="G42" s="23"/>
      <c r="H42" s="240"/>
      <c r="I42" s="23"/>
      <c r="J42" s="58"/>
      <c r="K42" s="58"/>
    </row>
    <row r="43" spans="1:11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  <c r="K43" s="58"/>
    </row>
    <row r="44" spans="1:11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3" workbookViewId="0">
      <selection activeCell="B11" sqref="B11"/>
    </sheetView>
  </sheetViews>
  <sheetFormatPr defaultRowHeight="15" x14ac:dyDescent="0.25"/>
  <cols>
    <col min="2" max="2" width="21.28515625" customWidth="1"/>
    <col min="3" max="3" width="11.85546875" customWidth="1"/>
    <col min="4" max="4" width="11.5703125" customWidth="1"/>
    <col min="9" max="9" width="9.85546875" bestFit="1" customWidth="1"/>
  </cols>
  <sheetData>
    <row r="1" spans="1:10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</row>
    <row r="2" spans="1:10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</row>
    <row r="3" spans="1:10" x14ac:dyDescent="0.25">
      <c r="A3" s="58"/>
      <c r="B3" s="58"/>
      <c r="C3" s="58"/>
      <c r="D3" s="32" t="s">
        <v>643</v>
      </c>
      <c r="E3" s="32"/>
      <c r="F3" s="32"/>
      <c r="G3" s="32"/>
      <c r="H3" s="58"/>
      <c r="I3" s="58"/>
      <c r="J3" s="58"/>
    </row>
    <row r="4" spans="1:10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</row>
    <row r="5" spans="1:10" x14ac:dyDescent="0.25">
      <c r="A5" s="1">
        <v>1</v>
      </c>
      <c r="B5" s="164" t="s">
        <v>588</v>
      </c>
      <c r="C5" s="1"/>
      <c r="D5" s="1">
        <f>'JUNE 21'!I5:I16</f>
        <v>0</v>
      </c>
      <c r="E5" s="1">
        <v>3000</v>
      </c>
      <c r="F5" s="1">
        <v>100</v>
      </c>
      <c r="G5" s="1">
        <f>C5+D5+E5+F5</f>
        <v>3100</v>
      </c>
      <c r="H5" s="1">
        <v>3100</v>
      </c>
      <c r="I5" s="1">
        <f t="shared" ref="I5:I16" si="0">G5-H5</f>
        <v>0</v>
      </c>
      <c r="J5" s="58"/>
    </row>
    <row r="6" spans="1:10" x14ac:dyDescent="0.25">
      <c r="A6" s="1">
        <v>2</v>
      </c>
      <c r="B6" s="164" t="s">
        <v>613</v>
      </c>
      <c r="C6" s="1"/>
      <c r="D6" s="1">
        <f>'JUNE 21'!I6:I17</f>
        <v>3900</v>
      </c>
      <c r="E6" s="1">
        <v>3000</v>
      </c>
      <c r="F6" s="1">
        <v>100</v>
      </c>
      <c r="G6" s="1">
        <f t="shared" ref="G6:G16" si="1">C6+D6+E6+F6</f>
        <v>7000</v>
      </c>
      <c r="H6" s="1">
        <f>1000+2500</f>
        <v>3500</v>
      </c>
      <c r="I6" s="1">
        <f t="shared" si="0"/>
        <v>3500</v>
      </c>
      <c r="J6" s="58"/>
    </row>
    <row r="7" spans="1:10" x14ac:dyDescent="0.25">
      <c r="A7" s="1">
        <v>3</v>
      </c>
      <c r="B7" s="151"/>
      <c r="C7" s="1"/>
      <c r="D7" s="1">
        <f>'JUNE 21'!I7:I18</f>
        <v>0</v>
      </c>
      <c r="E7" s="1"/>
      <c r="F7" s="1"/>
      <c r="G7" s="1">
        <f t="shared" si="1"/>
        <v>0</v>
      </c>
      <c r="H7" s="1"/>
      <c r="I7" s="1">
        <f t="shared" si="0"/>
        <v>0</v>
      </c>
      <c r="J7" s="58"/>
    </row>
    <row r="8" spans="1:10" x14ac:dyDescent="0.25">
      <c r="A8" s="1">
        <v>4</v>
      </c>
      <c r="B8" s="167" t="s">
        <v>645</v>
      </c>
      <c r="C8" s="1">
        <v>3000</v>
      </c>
      <c r="D8" s="1">
        <f>'JUNE 21'!I8:I19</f>
        <v>0</v>
      </c>
      <c r="E8" s="1">
        <v>3000</v>
      </c>
      <c r="F8" s="1">
        <v>100</v>
      </c>
      <c r="G8" s="1">
        <f t="shared" si="1"/>
        <v>6100</v>
      </c>
      <c r="H8" s="1">
        <v>6100</v>
      </c>
      <c r="I8" s="1">
        <f t="shared" si="0"/>
        <v>0</v>
      </c>
      <c r="J8" s="58"/>
    </row>
    <row r="9" spans="1:10" x14ac:dyDescent="0.25">
      <c r="A9" s="1">
        <v>5</v>
      </c>
      <c r="B9" s="151" t="s">
        <v>574</v>
      </c>
      <c r="C9" s="1"/>
      <c r="D9" s="1">
        <f>'JUNE 21'!I9:I20</f>
        <v>0</v>
      </c>
      <c r="E9" s="1">
        <v>3000</v>
      </c>
      <c r="F9" s="1">
        <v>100</v>
      </c>
      <c r="G9" s="1">
        <f t="shared" si="1"/>
        <v>3100</v>
      </c>
      <c r="H9" s="1">
        <v>3100</v>
      </c>
      <c r="I9" s="1">
        <f t="shared" si="0"/>
        <v>0</v>
      </c>
      <c r="J9" s="58"/>
    </row>
    <row r="10" spans="1:10" x14ac:dyDescent="0.25">
      <c r="A10" s="1">
        <v>6</v>
      </c>
      <c r="B10" s="69" t="s">
        <v>650</v>
      </c>
      <c r="C10" s="1"/>
      <c r="D10" s="1"/>
      <c r="E10" s="1">
        <v>3000</v>
      </c>
      <c r="F10" s="1">
        <v>100</v>
      </c>
      <c r="G10" s="1">
        <f t="shared" si="1"/>
        <v>3100</v>
      </c>
      <c r="H10" s="1">
        <v>3100</v>
      </c>
      <c r="I10" s="1">
        <f>G10-H10</f>
        <v>0</v>
      </c>
      <c r="J10" s="58"/>
    </row>
    <row r="11" spans="1:10" x14ac:dyDescent="0.25">
      <c r="A11" s="1">
        <v>7</v>
      </c>
      <c r="B11" s="168"/>
      <c r="C11" s="1"/>
      <c r="D11" s="1"/>
      <c r="E11" s="1"/>
      <c r="F11" s="1"/>
      <c r="G11" s="1">
        <f t="shared" si="1"/>
        <v>0</v>
      </c>
      <c r="H11" s="1"/>
      <c r="I11" s="1">
        <f t="shared" si="0"/>
        <v>0</v>
      </c>
      <c r="J11" s="58"/>
    </row>
    <row r="12" spans="1:10" x14ac:dyDescent="0.25">
      <c r="A12" s="1">
        <v>8</v>
      </c>
      <c r="B12" s="167" t="s">
        <v>573</v>
      </c>
      <c r="C12" s="1"/>
      <c r="D12" s="1">
        <f>'JUNE 21'!I12:I23</f>
        <v>0</v>
      </c>
      <c r="E12" s="1"/>
      <c r="F12" s="1"/>
      <c r="G12" s="1">
        <f t="shared" si="1"/>
        <v>0</v>
      </c>
      <c r="H12" s="1"/>
      <c r="I12" s="1">
        <f t="shared" si="0"/>
        <v>0</v>
      </c>
      <c r="J12" s="58" t="s">
        <v>311</v>
      </c>
    </row>
    <row r="13" spans="1:10" x14ac:dyDescent="0.25">
      <c r="A13" s="1">
        <v>9</v>
      </c>
      <c r="B13" s="164" t="s">
        <v>656</v>
      </c>
      <c r="C13" s="1"/>
      <c r="D13" s="1">
        <f>'JUNE 21'!I13:I24</f>
        <v>0</v>
      </c>
      <c r="E13" s="1"/>
      <c r="F13" s="1"/>
      <c r="G13" s="1">
        <f t="shared" si="1"/>
        <v>0</v>
      </c>
      <c r="H13" s="1"/>
      <c r="I13" s="1">
        <f t="shared" si="0"/>
        <v>0</v>
      </c>
      <c r="J13" s="58"/>
    </row>
    <row r="14" spans="1:10" x14ac:dyDescent="0.25">
      <c r="A14" s="1">
        <v>10</v>
      </c>
      <c r="B14" s="169" t="s">
        <v>400</v>
      </c>
      <c r="C14" s="1"/>
      <c r="D14" s="1">
        <f>'JUNE 21'!I14:I25</f>
        <v>0</v>
      </c>
      <c r="E14" s="1">
        <v>4500</v>
      </c>
      <c r="F14" s="1">
        <v>100</v>
      </c>
      <c r="G14" s="1">
        <f t="shared" si="1"/>
        <v>4600</v>
      </c>
      <c r="H14" s="1">
        <v>4600</v>
      </c>
      <c r="I14" s="1">
        <f>G14-H14</f>
        <v>0</v>
      </c>
      <c r="J14" s="58"/>
    </row>
    <row r="15" spans="1:10" x14ac:dyDescent="0.25">
      <c r="A15" s="1">
        <v>11</v>
      </c>
      <c r="B15" s="168" t="s">
        <v>345</v>
      </c>
      <c r="C15" s="1"/>
      <c r="D15" s="1">
        <f>'JUNE 21'!I15:I26</f>
        <v>1300</v>
      </c>
      <c r="E15" s="1">
        <v>4500</v>
      </c>
      <c r="F15" s="1">
        <v>100</v>
      </c>
      <c r="G15" s="1">
        <f t="shared" si="1"/>
        <v>5900</v>
      </c>
      <c r="H15" s="1">
        <f>4600+1300</f>
        <v>5900</v>
      </c>
      <c r="I15" s="1">
        <f t="shared" si="0"/>
        <v>0</v>
      </c>
      <c r="J15" s="58"/>
    </row>
    <row r="16" spans="1:10" x14ac:dyDescent="0.25">
      <c r="A16" s="1">
        <v>12</v>
      </c>
      <c r="B16" s="197" t="s">
        <v>80</v>
      </c>
      <c r="C16" s="1"/>
      <c r="D16" s="1">
        <f>'JUNE 21'!I16:I27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</row>
    <row r="17" spans="1:10" x14ac:dyDescent="0.25">
      <c r="A17" s="1" t="s">
        <v>129</v>
      </c>
      <c r="B17" s="1"/>
      <c r="C17" s="1">
        <f t="shared" ref="C17:I17" si="2">SUM(C5:C16)</f>
        <v>3000</v>
      </c>
      <c r="D17" s="1">
        <f>SUM(D5:D16)</f>
        <v>5200</v>
      </c>
      <c r="E17" s="1">
        <f t="shared" si="2"/>
        <v>24000</v>
      </c>
      <c r="F17" s="1">
        <f t="shared" si="2"/>
        <v>800</v>
      </c>
      <c r="G17" s="1">
        <f t="shared" si="2"/>
        <v>33000</v>
      </c>
      <c r="H17" s="1">
        <f>SUM(H5:H16)</f>
        <v>29500</v>
      </c>
      <c r="I17" s="1">
        <f t="shared" si="2"/>
        <v>3500</v>
      </c>
      <c r="J17" s="58"/>
    </row>
    <row r="18" spans="1:10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</row>
    <row r="19" spans="1:10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</row>
    <row r="20" spans="1:10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</row>
    <row r="21" spans="1:10" x14ac:dyDescent="0.25">
      <c r="A21" s="165" t="s">
        <v>379</v>
      </c>
      <c r="B21" s="165"/>
      <c r="C21" s="165">
        <f>E17</f>
        <v>24000</v>
      </c>
      <c r="D21" s="165"/>
      <c r="E21" s="165"/>
      <c r="F21" s="165" t="s">
        <v>379</v>
      </c>
      <c r="G21" s="232">
        <f>H17</f>
        <v>29500</v>
      </c>
      <c r="H21" s="165"/>
      <c r="I21" s="165"/>
      <c r="J21" s="58"/>
    </row>
    <row r="22" spans="1:10" x14ac:dyDescent="0.25">
      <c r="A22" s="165" t="s">
        <v>1</v>
      </c>
      <c r="B22" s="165"/>
      <c r="C22" s="238">
        <f>'JUNE 21'!E39</f>
        <v>4760</v>
      </c>
      <c r="D22" s="165"/>
      <c r="E22" s="165"/>
      <c r="F22" s="165" t="s">
        <v>1</v>
      </c>
      <c r="G22" s="173">
        <f>'JUNE 21'!I39</f>
        <v>110</v>
      </c>
      <c r="H22" s="165"/>
      <c r="I22" s="165"/>
      <c r="J22" s="58"/>
    </row>
    <row r="23" spans="1:10" x14ac:dyDescent="0.25">
      <c r="A23" s="165" t="s">
        <v>601</v>
      </c>
      <c r="B23" s="165"/>
      <c r="C23" s="165">
        <f>C17</f>
        <v>3000</v>
      </c>
      <c r="D23" s="165"/>
      <c r="E23" s="165"/>
      <c r="F23" s="165" t="s">
        <v>28</v>
      </c>
      <c r="G23" s="165"/>
      <c r="H23" s="165"/>
      <c r="I23" s="165"/>
      <c r="J23" s="58"/>
    </row>
    <row r="24" spans="1:10" x14ac:dyDescent="0.25">
      <c r="A24" s="165" t="s">
        <v>325</v>
      </c>
      <c r="B24" s="165"/>
      <c r="C24" s="226">
        <v>0.1</v>
      </c>
      <c r="D24" s="165">
        <f>C21*C24</f>
        <v>2400</v>
      </c>
      <c r="E24" s="165"/>
      <c r="F24" s="165" t="s">
        <v>325</v>
      </c>
      <c r="G24" s="226">
        <v>0.1</v>
      </c>
      <c r="H24" s="165">
        <f>D24</f>
        <v>2400</v>
      </c>
      <c r="I24" s="165"/>
      <c r="J24" s="58"/>
    </row>
    <row r="25" spans="1:10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</row>
    <row r="26" spans="1:10" x14ac:dyDescent="0.25">
      <c r="A26" s="165" t="s">
        <v>520</v>
      </c>
      <c r="B26" s="165"/>
      <c r="C26" s="234">
        <v>0.3</v>
      </c>
      <c r="D26" s="222">
        <f>C26*C8</f>
        <v>900</v>
      </c>
      <c r="E26" s="165"/>
      <c r="F26" s="165" t="s">
        <v>520</v>
      </c>
      <c r="G26" s="234">
        <v>0.3</v>
      </c>
      <c r="H26" s="58">
        <f>G26*C8</f>
        <v>900</v>
      </c>
      <c r="I26" s="222"/>
      <c r="J26" s="58"/>
    </row>
    <row r="27" spans="1:10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</row>
    <row r="28" spans="1:10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1"/>
      <c r="H28" s="151">
        <f>F17</f>
        <v>800</v>
      </c>
      <c r="I28" s="151"/>
      <c r="J28" s="58"/>
    </row>
    <row r="29" spans="1:10" x14ac:dyDescent="0.25">
      <c r="A29" s="222" t="s">
        <v>328</v>
      </c>
      <c r="B29" s="58"/>
      <c r="C29" s="151"/>
      <c r="D29" s="151"/>
      <c r="E29" s="165"/>
      <c r="F29" s="222" t="s">
        <v>328</v>
      </c>
      <c r="G29" s="1"/>
      <c r="H29" s="151"/>
      <c r="I29" s="151"/>
      <c r="J29" s="58"/>
    </row>
    <row r="30" spans="1:10" x14ac:dyDescent="0.25">
      <c r="A30" s="225"/>
      <c r="B30" s="58"/>
      <c r="C30" s="151"/>
      <c r="D30" s="58"/>
      <c r="E30" s="151"/>
      <c r="F30" s="225"/>
      <c r="G30" s="58"/>
      <c r="H30" s="151"/>
      <c r="I30" s="58"/>
      <c r="J30" s="58"/>
    </row>
    <row r="31" spans="1:10" x14ac:dyDescent="0.25">
      <c r="A31" s="225" t="s">
        <v>646</v>
      </c>
      <c r="B31" s="222"/>
      <c r="C31" s="151"/>
      <c r="D31" s="151">
        <v>6000</v>
      </c>
      <c r="E31" s="165"/>
      <c r="F31" s="225" t="s">
        <v>646</v>
      </c>
      <c r="G31" s="222"/>
      <c r="H31" s="151">
        <v>6000</v>
      </c>
      <c r="I31" s="151"/>
      <c r="J31" s="58"/>
    </row>
    <row r="32" spans="1:10" x14ac:dyDescent="0.25">
      <c r="A32" s="222" t="s">
        <v>647</v>
      </c>
      <c r="B32" s="1"/>
      <c r="C32" s="151"/>
      <c r="D32" s="151">
        <v>3000</v>
      </c>
      <c r="E32" s="165"/>
      <c r="F32" s="222" t="s">
        <v>647</v>
      </c>
      <c r="G32" s="1"/>
      <c r="H32" s="151">
        <v>3000</v>
      </c>
      <c r="I32" s="151"/>
      <c r="J32" s="58"/>
    </row>
    <row r="33" spans="1:10" x14ac:dyDescent="0.25">
      <c r="A33" s="222" t="s">
        <v>648</v>
      </c>
      <c r="B33" s="1"/>
      <c r="C33" s="151"/>
      <c r="D33" s="165">
        <v>3051</v>
      </c>
      <c r="E33" s="165"/>
      <c r="F33" s="222" t="s">
        <v>648</v>
      </c>
      <c r="G33" s="1"/>
      <c r="H33" s="151">
        <v>3051</v>
      </c>
      <c r="I33" s="165"/>
      <c r="J33" s="100"/>
    </row>
    <row r="34" spans="1:10" x14ac:dyDescent="0.25">
      <c r="A34" s="222" t="s">
        <v>649</v>
      </c>
      <c r="B34" s="1"/>
      <c r="C34" s="151"/>
      <c r="D34" s="165">
        <v>3450</v>
      </c>
      <c r="E34" s="165"/>
      <c r="F34" s="222" t="s">
        <v>649</v>
      </c>
      <c r="G34" s="1"/>
      <c r="H34" s="151">
        <v>3450</v>
      </c>
      <c r="I34" s="165"/>
      <c r="J34" s="58"/>
    </row>
    <row r="35" spans="1:10" x14ac:dyDescent="0.25">
      <c r="A35" s="222" t="s">
        <v>654</v>
      </c>
      <c r="B35" s="1"/>
      <c r="C35" s="151"/>
      <c r="D35" s="165">
        <v>1052</v>
      </c>
      <c r="E35" s="165"/>
      <c r="F35" s="222" t="s">
        <v>654</v>
      </c>
      <c r="G35" s="1"/>
      <c r="H35" s="151">
        <v>1052</v>
      </c>
      <c r="I35" s="165"/>
      <c r="J35" s="58"/>
    </row>
    <row r="36" spans="1:10" x14ac:dyDescent="0.25">
      <c r="A36" s="222" t="s">
        <v>655</v>
      </c>
      <c r="B36" s="1"/>
      <c r="C36" s="151"/>
      <c r="D36" s="151">
        <v>6200</v>
      </c>
      <c r="E36" s="165"/>
      <c r="F36" s="222" t="s">
        <v>655</v>
      </c>
      <c r="G36" s="1"/>
      <c r="H36" s="151">
        <v>6200</v>
      </c>
      <c r="I36" s="151"/>
      <c r="J36" s="58"/>
    </row>
    <row r="37" spans="1:10" x14ac:dyDescent="0.25">
      <c r="A37" s="222"/>
      <c r="B37" s="1"/>
      <c r="C37" s="151"/>
      <c r="D37" s="165"/>
      <c r="E37" s="165"/>
      <c r="F37" s="222"/>
      <c r="G37" s="1"/>
      <c r="H37" s="151"/>
      <c r="I37" s="165"/>
      <c r="J37" s="58"/>
    </row>
    <row r="38" spans="1:10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</row>
    <row r="39" spans="1:10" x14ac:dyDescent="0.25">
      <c r="A39" s="217" t="s">
        <v>129</v>
      </c>
      <c r="B39" s="217"/>
      <c r="C39" s="1">
        <f>C21+C22+C23-D24</f>
        <v>29360</v>
      </c>
      <c r="D39" s="217">
        <f>SUM(D26:D38)</f>
        <v>25753</v>
      </c>
      <c r="E39" s="1">
        <f>C39-D39</f>
        <v>3607</v>
      </c>
      <c r="F39" s="217" t="s">
        <v>129</v>
      </c>
      <c r="G39" s="236">
        <f>G21+G22+G23-H24</f>
        <v>27210</v>
      </c>
      <c r="H39" s="217">
        <f>SUM(H26:H38)</f>
        <v>26453</v>
      </c>
      <c r="I39" s="140">
        <f>G39-H39</f>
        <v>757</v>
      </c>
      <c r="J39" s="58"/>
    </row>
    <row r="40" spans="1:10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</row>
    <row r="41" spans="1:10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/>
      <c r="J41" s="58"/>
    </row>
    <row r="42" spans="1:10" x14ac:dyDescent="0.25">
      <c r="A42" s="23"/>
      <c r="B42" s="23"/>
      <c r="C42" s="23"/>
      <c r="D42" s="23"/>
      <c r="E42" s="23"/>
      <c r="F42" s="23"/>
      <c r="G42" s="23"/>
      <c r="H42" s="240"/>
      <c r="I42" s="240">
        <f>I39+I17</f>
        <v>4257</v>
      </c>
      <c r="J42" s="58"/>
    </row>
    <row r="43" spans="1:10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</row>
    <row r="44" spans="1:10" x14ac:dyDescent="0.25">
      <c r="A44" s="58"/>
      <c r="B44" s="58"/>
      <c r="C44" s="58"/>
      <c r="D44" s="58"/>
      <c r="E44" s="58"/>
      <c r="F44" s="58"/>
      <c r="G44" s="58"/>
      <c r="H44" s="58"/>
      <c r="I44" s="100">
        <f>E39-I42</f>
        <v>-650</v>
      </c>
      <c r="J44" s="58"/>
    </row>
    <row r="46" spans="1:10" x14ac:dyDescent="0.25">
      <c r="H46" s="100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B13" sqref="B13"/>
    </sheetView>
  </sheetViews>
  <sheetFormatPr defaultRowHeight="15" x14ac:dyDescent="0.25"/>
  <cols>
    <col min="2" max="2" width="21.28515625" customWidth="1"/>
  </cols>
  <sheetData>
    <row r="1" spans="1:10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</row>
    <row r="2" spans="1:10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</row>
    <row r="3" spans="1:10" x14ac:dyDescent="0.25">
      <c r="A3" s="58"/>
      <c r="B3" s="58"/>
      <c r="C3" s="58"/>
      <c r="D3" s="32" t="s">
        <v>653</v>
      </c>
      <c r="E3" s="32"/>
      <c r="F3" s="32"/>
      <c r="G3" s="32"/>
      <c r="H3" s="58"/>
      <c r="I3" s="58"/>
      <c r="J3" s="58"/>
    </row>
    <row r="4" spans="1:10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</row>
    <row r="5" spans="1:10" x14ac:dyDescent="0.25">
      <c r="A5" s="1">
        <v>1</v>
      </c>
      <c r="B5" s="164" t="s">
        <v>588</v>
      </c>
      <c r="C5" s="1"/>
      <c r="D5" s="1">
        <f>'JULY 21'!I5:I17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 t="shared" ref="I5:I16" si="0">G5-H5</f>
        <v>0</v>
      </c>
      <c r="J5" s="58"/>
    </row>
    <row r="6" spans="1:10" x14ac:dyDescent="0.25">
      <c r="A6" s="1">
        <v>2</v>
      </c>
      <c r="B6" s="164" t="s">
        <v>613</v>
      </c>
      <c r="C6" s="1"/>
      <c r="D6" s="1">
        <f>'JULY 21'!I6:I18</f>
        <v>3500</v>
      </c>
      <c r="E6" s="1">
        <v>3000</v>
      </c>
      <c r="F6" s="1">
        <v>100</v>
      </c>
      <c r="G6" s="1">
        <f t="shared" ref="G6:G16" si="1">C6+D6+E6+F6</f>
        <v>6600</v>
      </c>
      <c r="H6" s="1">
        <f>3500</f>
        <v>3500</v>
      </c>
      <c r="I6" s="1">
        <f t="shared" si="0"/>
        <v>3100</v>
      </c>
      <c r="J6" s="58"/>
    </row>
    <row r="7" spans="1:10" x14ac:dyDescent="0.25">
      <c r="A7" s="1">
        <v>3</v>
      </c>
      <c r="B7" s="151" t="s">
        <v>657</v>
      </c>
      <c r="C7" s="1"/>
      <c r="D7" s="1">
        <f>'JULY 21'!I7:I19</f>
        <v>0</v>
      </c>
      <c r="E7" s="1">
        <v>3000</v>
      </c>
      <c r="F7" s="1"/>
      <c r="G7" s="1">
        <f t="shared" si="1"/>
        <v>3000</v>
      </c>
      <c r="H7" s="1">
        <v>3000</v>
      </c>
      <c r="I7" s="1">
        <f t="shared" si="0"/>
        <v>0</v>
      </c>
      <c r="J7" s="58" t="s">
        <v>80</v>
      </c>
    </row>
    <row r="8" spans="1:10" x14ac:dyDescent="0.25">
      <c r="A8" s="1">
        <v>4</v>
      </c>
      <c r="B8" s="167" t="s">
        <v>645</v>
      </c>
      <c r="C8" s="1"/>
      <c r="D8" s="1">
        <f>'JULY 21'!I8:I20</f>
        <v>0</v>
      </c>
      <c r="E8" s="1">
        <v>3000</v>
      </c>
      <c r="F8" s="1">
        <v>100</v>
      </c>
      <c r="G8" s="1">
        <f t="shared" si="1"/>
        <v>3100</v>
      </c>
      <c r="H8" s="1">
        <v>3100</v>
      </c>
      <c r="I8" s="1">
        <f t="shared" si="0"/>
        <v>0</v>
      </c>
      <c r="J8" s="58"/>
    </row>
    <row r="9" spans="1:10" x14ac:dyDescent="0.25">
      <c r="A9" s="1">
        <v>5</v>
      </c>
      <c r="B9" s="151" t="s">
        <v>574</v>
      </c>
      <c r="C9" s="1"/>
      <c r="D9" s="1">
        <f>'JULY 21'!I9:I21</f>
        <v>0</v>
      </c>
      <c r="E9" s="1">
        <v>3000</v>
      </c>
      <c r="F9" s="1">
        <v>100</v>
      </c>
      <c r="G9" s="1">
        <f t="shared" si="1"/>
        <v>3100</v>
      </c>
      <c r="H9" s="1">
        <v>3100</v>
      </c>
      <c r="I9" s="1">
        <f t="shared" si="0"/>
        <v>0</v>
      </c>
      <c r="J9" s="58"/>
    </row>
    <row r="10" spans="1:10" x14ac:dyDescent="0.25">
      <c r="A10" s="1">
        <v>6</v>
      </c>
      <c r="B10" s="168" t="s">
        <v>650</v>
      </c>
      <c r="C10" s="1"/>
      <c r="D10" s="1">
        <f>'JULY 21'!I10:I22</f>
        <v>0</v>
      </c>
      <c r="E10" s="1">
        <v>3000</v>
      </c>
      <c r="F10" s="1">
        <v>100</v>
      </c>
      <c r="G10" s="1">
        <f t="shared" si="1"/>
        <v>3100</v>
      </c>
      <c r="H10" s="1"/>
      <c r="I10" s="1">
        <f>G10-H10</f>
        <v>3100</v>
      </c>
      <c r="J10" s="58"/>
    </row>
    <row r="11" spans="1:10" x14ac:dyDescent="0.25">
      <c r="A11" s="1">
        <v>7</v>
      </c>
      <c r="B11" s="168" t="s">
        <v>656</v>
      </c>
      <c r="C11" s="1"/>
      <c r="D11" s="1">
        <f>'JULY 21'!I11:I23</f>
        <v>0</v>
      </c>
      <c r="E11" s="1">
        <v>3000</v>
      </c>
      <c r="F11" s="1">
        <v>100</v>
      </c>
      <c r="G11" s="1">
        <f t="shared" si="1"/>
        <v>3100</v>
      </c>
      <c r="H11" s="1">
        <f>3100</f>
        <v>3100</v>
      </c>
      <c r="I11" s="1">
        <f t="shared" si="0"/>
        <v>0</v>
      </c>
      <c r="J11" s="58"/>
    </row>
    <row r="12" spans="1:10" x14ac:dyDescent="0.25">
      <c r="A12" s="1">
        <v>8</v>
      </c>
      <c r="B12" s="167" t="s">
        <v>573</v>
      </c>
      <c r="C12" s="1"/>
      <c r="D12" s="1">
        <f>'JULY 21'!I12:I24</f>
        <v>0</v>
      </c>
      <c r="E12" s="1"/>
      <c r="F12" s="1"/>
      <c r="G12" s="1">
        <f t="shared" si="1"/>
        <v>0</v>
      </c>
      <c r="H12" s="1"/>
      <c r="I12" s="1">
        <f t="shared" si="0"/>
        <v>0</v>
      </c>
      <c r="J12" s="58"/>
    </row>
    <row r="13" spans="1:10" x14ac:dyDescent="0.25">
      <c r="A13" s="1">
        <v>9</v>
      </c>
      <c r="B13" s="164" t="s">
        <v>658</v>
      </c>
      <c r="C13" s="1"/>
      <c r="D13" s="1">
        <f>'JULY 21'!I13:I25</f>
        <v>0</v>
      </c>
      <c r="E13" s="1">
        <v>3000</v>
      </c>
      <c r="F13" s="1"/>
      <c r="G13" s="1">
        <f t="shared" si="1"/>
        <v>3000</v>
      </c>
      <c r="H13" s="1">
        <v>3000</v>
      </c>
      <c r="I13" s="1">
        <f t="shared" si="0"/>
        <v>0</v>
      </c>
      <c r="J13" s="58" t="s">
        <v>80</v>
      </c>
    </row>
    <row r="14" spans="1:10" x14ac:dyDescent="0.25">
      <c r="A14" s="1">
        <v>10</v>
      </c>
      <c r="B14" s="169" t="s">
        <v>400</v>
      </c>
      <c r="C14" s="1"/>
      <c r="D14" s="1">
        <f>'JULY 21'!I14:I26</f>
        <v>0</v>
      </c>
      <c r="E14" s="1">
        <v>4500</v>
      </c>
      <c r="F14" s="1">
        <v>100</v>
      </c>
      <c r="G14" s="1">
        <f t="shared" si="1"/>
        <v>4600</v>
      </c>
      <c r="H14" s="1">
        <v>4600</v>
      </c>
      <c r="I14" s="1">
        <f>G14-H14</f>
        <v>0</v>
      </c>
      <c r="J14" s="58"/>
    </row>
    <row r="15" spans="1:10" x14ac:dyDescent="0.25">
      <c r="A15" s="1">
        <v>11</v>
      </c>
      <c r="B15" s="168" t="s">
        <v>345</v>
      </c>
      <c r="C15" s="1"/>
      <c r="D15" s="1">
        <f>'JULY 21'!I15:I27</f>
        <v>0</v>
      </c>
      <c r="E15" s="1">
        <v>4500</v>
      </c>
      <c r="F15" s="1">
        <v>100</v>
      </c>
      <c r="G15" s="1">
        <f t="shared" si="1"/>
        <v>4600</v>
      </c>
      <c r="H15" s="1">
        <f>600+1450</f>
        <v>2050</v>
      </c>
      <c r="I15" s="1">
        <f t="shared" si="0"/>
        <v>2550</v>
      </c>
      <c r="J15" s="58"/>
    </row>
    <row r="16" spans="1:10" x14ac:dyDescent="0.25">
      <c r="A16" s="1">
        <v>12</v>
      </c>
      <c r="B16" s="197" t="s">
        <v>80</v>
      </c>
      <c r="C16" s="1"/>
      <c r="D16" s="1">
        <f>'JULY 21'!I16:I28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</row>
    <row r="17" spans="1:10" x14ac:dyDescent="0.25">
      <c r="A17" s="1" t="s">
        <v>129</v>
      </c>
      <c r="B17" s="1"/>
      <c r="C17" s="1">
        <f t="shared" ref="C17:I17" si="2">SUM(C5:C16)</f>
        <v>0</v>
      </c>
      <c r="D17" s="1">
        <f>'JULY 21'!I17:I29</f>
        <v>3500</v>
      </c>
      <c r="E17" s="1">
        <f t="shared" si="2"/>
        <v>33000</v>
      </c>
      <c r="F17" s="1">
        <f t="shared" si="2"/>
        <v>900</v>
      </c>
      <c r="G17" s="1">
        <f t="shared" si="2"/>
        <v>37400</v>
      </c>
      <c r="H17" s="1">
        <f>SUM(H5:H16)</f>
        <v>28650</v>
      </c>
      <c r="I17" s="1">
        <f t="shared" si="2"/>
        <v>8750</v>
      </c>
      <c r="J17" s="58"/>
    </row>
    <row r="18" spans="1:10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</row>
    <row r="19" spans="1:10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</row>
    <row r="20" spans="1:10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</row>
    <row r="21" spans="1:10" x14ac:dyDescent="0.25">
      <c r="A21" s="165" t="s">
        <v>464</v>
      </c>
      <c r="B21" s="165"/>
      <c r="C21" s="165">
        <f>E17</f>
        <v>33000</v>
      </c>
      <c r="D21" s="165"/>
      <c r="E21" s="165"/>
      <c r="F21" s="165" t="s">
        <v>464</v>
      </c>
      <c r="G21" s="232">
        <f>H17</f>
        <v>28650</v>
      </c>
      <c r="H21" s="165"/>
      <c r="I21" s="165"/>
      <c r="J21" s="58"/>
    </row>
    <row r="22" spans="1:10" x14ac:dyDescent="0.25">
      <c r="A22" s="165" t="s">
        <v>1</v>
      </c>
      <c r="B22" s="165"/>
      <c r="C22" s="238">
        <f>'JULY 21'!E39</f>
        <v>3607</v>
      </c>
      <c r="D22" s="165"/>
      <c r="E22" s="165"/>
      <c r="F22" s="165" t="s">
        <v>1</v>
      </c>
      <c r="G22" s="173">
        <f>'JULY 21'!I39</f>
        <v>757</v>
      </c>
      <c r="H22" s="165"/>
      <c r="I22" s="165"/>
      <c r="J22" s="58"/>
    </row>
    <row r="23" spans="1:10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</row>
    <row r="24" spans="1:10" x14ac:dyDescent="0.25">
      <c r="A24" s="165" t="s">
        <v>325</v>
      </c>
      <c r="B24" s="165"/>
      <c r="C24" s="226">
        <v>0.1</v>
      </c>
      <c r="D24" s="165">
        <f>C21*C24</f>
        <v>3300</v>
      </c>
      <c r="E24" s="165"/>
      <c r="F24" s="165" t="s">
        <v>325</v>
      </c>
      <c r="G24" s="226">
        <v>0.1</v>
      </c>
      <c r="H24" s="165">
        <f>D24</f>
        <v>3300</v>
      </c>
      <c r="I24" s="165"/>
      <c r="J24" s="58"/>
    </row>
    <row r="25" spans="1:10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</row>
    <row r="26" spans="1:10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</row>
    <row r="27" spans="1:10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</row>
    <row r="28" spans="1:10" x14ac:dyDescent="0.25">
      <c r="A28" s="222" t="s">
        <v>377</v>
      </c>
      <c r="B28" s="1"/>
      <c r="C28" s="151"/>
      <c r="D28" s="151">
        <v>100</v>
      </c>
      <c r="E28" s="165"/>
      <c r="F28" s="222" t="s">
        <v>377</v>
      </c>
      <c r="G28" s="1"/>
      <c r="H28" s="151">
        <f>F17</f>
        <v>900</v>
      </c>
      <c r="I28" s="151"/>
      <c r="J28" s="58"/>
    </row>
    <row r="29" spans="1:10" x14ac:dyDescent="0.25">
      <c r="A29" s="222" t="s">
        <v>328</v>
      </c>
      <c r="B29" s="1"/>
      <c r="C29" s="151"/>
      <c r="D29" s="151"/>
      <c r="E29" s="165"/>
      <c r="F29" s="222" t="s">
        <v>328</v>
      </c>
      <c r="G29" s="1"/>
      <c r="H29" s="151"/>
      <c r="I29" s="151"/>
      <c r="J29" s="58"/>
    </row>
    <row r="30" spans="1:10" x14ac:dyDescent="0.25">
      <c r="A30" s="222" t="s">
        <v>499</v>
      </c>
      <c r="B30" s="1"/>
      <c r="C30" s="151"/>
      <c r="D30" s="58">
        <v>500</v>
      </c>
      <c r="E30" s="151"/>
      <c r="F30" s="222" t="s">
        <v>499</v>
      </c>
      <c r="G30" s="1"/>
      <c r="H30" s="151">
        <v>500</v>
      </c>
      <c r="I30" s="58"/>
      <c r="J30" s="58"/>
    </row>
    <row r="31" spans="1:10" x14ac:dyDescent="0.25">
      <c r="A31" s="225" t="s">
        <v>658</v>
      </c>
      <c r="B31" s="241"/>
      <c r="C31" s="151"/>
      <c r="D31" s="151">
        <v>3000</v>
      </c>
      <c r="E31" s="165"/>
      <c r="F31" s="225" t="s">
        <v>658</v>
      </c>
      <c r="G31" s="241"/>
      <c r="H31" s="242">
        <v>3000</v>
      </c>
      <c r="I31" s="242"/>
      <c r="J31" s="58"/>
    </row>
    <row r="32" spans="1:10" x14ac:dyDescent="0.25">
      <c r="A32" s="222" t="s">
        <v>659</v>
      </c>
      <c r="B32" s="1"/>
      <c r="C32" s="151"/>
      <c r="D32" s="151">
        <f>5000+7575</f>
        <v>12575</v>
      </c>
      <c r="E32" s="165"/>
      <c r="F32" s="222" t="s">
        <v>659</v>
      </c>
      <c r="G32" s="1"/>
      <c r="H32" s="151">
        <v>12575</v>
      </c>
      <c r="I32" s="151"/>
      <c r="J32" s="58"/>
    </row>
    <row r="33" spans="1:11" x14ac:dyDescent="0.25">
      <c r="A33" s="222" t="s">
        <v>660</v>
      </c>
      <c r="B33" s="1"/>
      <c r="C33" s="151"/>
      <c r="D33" s="165">
        <v>3000</v>
      </c>
      <c r="E33" s="165"/>
      <c r="F33" s="222" t="s">
        <v>660</v>
      </c>
      <c r="G33" s="1"/>
      <c r="H33" s="151">
        <v>3000</v>
      </c>
      <c r="I33" s="165"/>
      <c r="J33" s="100"/>
    </row>
    <row r="34" spans="1:11" x14ac:dyDescent="0.25">
      <c r="A34" s="222" t="s">
        <v>661</v>
      </c>
      <c r="B34" s="1"/>
      <c r="C34" s="151"/>
      <c r="D34" s="165">
        <v>2000</v>
      </c>
      <c r="E34" s="165"/>
      <c r="F34" s="222"/>
      <c r="G34" s="1"/>
      <c r="H34" s="151"/>
      <c r="I34" s="165"/>
      <c r="J34" s="58"/>
      <c r="K34">
        <f>H6-1500</f>
        <v>2000</v>
      </c>
    </row>
    <row r="35" spans="1:11" x14ac:dyDescent="0.25">
      <c r="A35" s="222" t="s">
        <v>665</v>
      </c>
      <c r="B35" s="1"/>
      <c r="C35" s="151"/>
      <c r="D35" s="165">
        <v>4000</v>
      </c>
      <c r="E35" s="165"/>
      <c r="F35" s="222" t="s">
        <v>665</v>
      </c>
      <c r="G35" s="1"/>
      <c r="H35" s="151">
        <v>4000</v>
      </c>
      <c r="I35" s="165"/>
      <c r="J35" s="58"/>
    </row>
    <row r="36" spans="1:11" x14ac:dyDescent="0.25">
      <c r="A36" s="222" t="s">
        <v>664</v>
      </c>
      <c r="B36" s="1"/>
      <c r="C36" s="151"/>
      <c r="D36" s="151">
        <v>1500</v>
      </c>
      <c r="E36" s="165"/>
      <c r="F36" s="222" t="s">
        <v>664</v>
      </c>
      <c r="G36" s="1"/>
      <c r="H36" s="151">
        <v>1500</v>
      </c>
      <c r="I36" s="165"/>
      <c r="J36" s="58"/>
    </row>
    <row r="37" spans="1:11" x14ac:dyDescent="0.25">
      <c r="A37" s="222"/>
      <c r="B37" s="1"/>
      <c r="C37" s="151"/>
      <c r="D37" s="165"/>
      <c r="E37" s="165"/>
      <c r="F37" s="222"/>
      <c r="G37" s="1"/>
      <c r="H37" s="151"/>
      <c r="I37" s="165"/>
      <c r="J37" s="58"/>
    </row>
    <row r="38" spans="1:11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</row>
    <row r="39" spans="1:11" x14ac:dyDescent="0.25">
      <c r="A39" s="217" t="s">
        <v>129</v>
      </c>
      <c r="B39" s="217"/>
      <c r="C39" s="1">
        <f>C21+C22+C23-D24</f>
        <v>33307</v>
      </c>
      <c r="D39" s="217">
        <f>SUM(D26:D38)</f>
        <v>28675</v>
      </c>
      <c r="E39" s="1">
        <f>C39-D39</f>
        <v>4632</v>
      </c>
      <c r="F39" s="217" t="s">
        <v>129</v>
      </c>
      <c r="G39" s="236">
        <f>G21+G22+G23-H24</f>
        <v>26107</v>
      </c>
      <c r="H39" s="217">
        <f>SUM(H26:H38)</f>
        <v>27475</v>
      </c>
      <c r="I39" s="140">
        <f>G39-H39</f>
        <v>-1368</v>
      </c>
      <c r="J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</row>
    <row r="41" spans="1:11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/>
      <c r="J41" s="58"/>
    </row>
    <row r="42" spans="1:11" x14ac:dyDescent="0.25">
      <c r="A42" s="23"/>
      <c r="B42" s="23"/>
      <c r="C42" s="23"/>
      <c r="D42" s="23"/>
      <c r="E42" s="23"/>
      <c r="F42" s="23"/>
      <c r="G42" s="23"/>
      <c r="H42" s="240"/>
      <c r="I42" s="240"/>
      <c r="J42" s="58"/>
    </row>
    <row r="43" spans="1:11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</row>
    <row r="44" spans="1:11" x14ac:dyDescent="0.25">
      <c r="A44" s="58"/>
      <c r="B44" s="58"/>
      <c r="C44" s="58"/>
      <c r="D44" s="58"/>
      <c r="E44" s="58"/>
      <c r="F44" s="58"/>
      <c r="G44" s="58"/>
      <c r="H44" s="58"/>
      <c r="I44" s="100"/>
      <c r="J44" s="58"/>
    </row>
    <row r="45" spans="1:11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</row>
    <row r="46" spans="1:11" x14ac:dyDescent="0.25">
      <c r="A46" s="58"/>
      <c r="B46" s="58"/>
      <c r="C46" s="58"/>
      <c r="D46" s="58"/>
      <c r="E46" s="58"/>
      <c r="F46" s="58"/>
      <c r="G46" s="58"/>
      <c r="H46" s="100"/>
      <c r="I46" s="58"/>
      <c r="J46" s="58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" workbookViewId="0">
      <selection activeCell="A35" sqref="A35:B35"/>
    </sheetView>
  </sheetViews>
  <sheetFormatPr defaultRowHeight="15" x14ac:dyDescent="0.25"/>
  <cols>
    <col min="2" max="2" width="22.28515625" customWidth="1"/>
    <col min="3" max="3" width="14.5703125" customWidth="1"/>
    <col min="5" max="5" width="8.42578125" customWidth="1"/>
    <col min="6" max="6" width="10.28515625" customWidth="1"/>
    <col min="9" max="9" width="11.7109375" customWidth="1"/>
  </cols>
  <sheetData>
    <row r="1" spans="1:11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  <c r="K1" s="58"/>
    </row>
    <row r="2" spans="1:11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  <c r="K2" s="58"/>
    </row>
    <row r="3" spans="1:11" x14ac:dyDescent="0.25">
      <c r="A3" s="58"/>
      <c r="B3" s="58"/>
      <c r="C3" s="58"/>
      <c r="D3" s="32" t="s">
        <v>662</v>
      </c>
      <c r="E3" s="32"/>
      <c r="F3" s="32"/>
      <c r="G3" s="32"/>
      <c r="H3" s="58"/>
      <c r="I3" s="58"/>
      <c r="J3" s="58"/>
      <c r="K3" s="58"/>
    </row>
    <row r="4" spans="1:11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  <c r="K4" s="58"/>
    </row>
    <row r="5" spans="1:11" x14ac:dyDescent="0.25">
      <c r="A5" s="1">
        <v>1</v>
      </c>
      <c r="B5" s="164" t="s">
        <v>588</v>
      </c>
      <c r="C5" s="1"/>
      <c r="D5" s="1">
        <f>'AUGUST 21'!I5:I16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 t="shared" ref="I5:I16" si="0">G5-H5</f>
        <v>0</v>
      </c>
      <c r="J5" s="58"/>
      <c r="K5" s="58"/>
    </row>
    <row r="6" spans="1:11" x14ac:dyDescent="0.25">
      <c r="A6" s="1">
        <v>2</v>
      </c>
      <c r="B6" s="164"/>
      <c r="C6" s="1"/>
      <c r="D6" s="1"/>
      <c r="E6" s="1"/>
      <c r="F6" s="1"/>
      <c r="G6" s="1">
        <f t="shared" ref="G6:G16" si="1">C6+D6+E6+F6</f>
        <v>0</v>
      </c>
      <c r="H6" s="1"/>
      <c r="I6" s="1">
        <f t="shared" si="0"/>
        <v>0</v>
      </c>
      <c r="J6" s="58"/>
      <c r="K6" s="58"/>
    </row>
    <row r="7" spans="1:11" x14ac:dyDescent="0.25">
      <c r="A7" s="1">
        <v>3</v>
      </c>
      <c r="B7" s="151"/>
      <c r="C7" s="1"/>
      <c r="D7" s="1">
        <f>'AUGUST 21'!I7:I18</f>
        <v>0</v>
      </c>
      <c r="E7" s="1"/>
      <c r="F7" s="1"/>
      <c r="G7" s="1">
        <f t="shared" si="1"/>
        <v>0</v>
      </c>
      <c r="H7" s="1"/>
      <c r="I7" s="1">
        <f t="shared" si="0"/>
        <v>0</v>
      </c>
      <c r="J7" s="58"/>
      <c r="K7" s="58"/>
    </row>
    <row r="8" spans="1:11" x14ac:dyDescent="0.25">
      <c r="A8" s="1">
        <v>4</v>
      </c>
      <c r="B8" s="167" t="s">
        <v>645</v>
      </c>
      <c r="C8" s="1"/>
      <c r="D8" s="1">
        <f>'AUGUST 21'!I8:I19</f>
        <v>0</v>
      </c>
      <c r="E8" s="1">
        <v>3000</v>
      </c>
      <c r="F8" s="1">
        <v>100</v>
      </c>
      <c r="G8" s="1">
        <f t="shared" si="1"/>
        <v>3100</v>
      </c>
      <c r="H8" s="1">
        <f>3100</f>
        <v>3100</v>
      </c>
      <c r="I8" s="1">
        <f t="shared" si="0"/>
        <v>0</v>
      </c>
      <c r="J8" s="58"/>
      <c r="K8" s="58"/>
    </row>
    <row r="9" spans="1:11" x14ac:dyDescent="0.25">
      <c r="A9" s="1">
        <v>5</v>
      </c>
      <c r="B9" s="151" t="s">
        <v>574</v>
      </c>
      <c r="C9" s="1"/>
      <c r="D9" s="1">
        <f>'AUGUST 21'!I9:I20</f>
        <v>0</v>
      </c>
      <c r="E9" s="1">
        <v>3000</v>
      </c>
      <c r="F9" s="1">
        <v>100</v>
      </c>
      <c r="G9" s="1">
        <f t="shared" si="1"/>
        <v>3100</v>
      </c>
      <c r="H9" s="1">
        <v>3100</v>
      </c>
      <c r="I9" s="1">
        <f t="shared" si="0"/>
        <v>0</v>
      </c>
      <c r="J9" s="58"/>
      <c r="K9" s="58"/>
    </row>
    <row r="10" spans="1:11" x14ac:dyDescent="0.25">
      <c r="A10" s="1">
        <v>6</v>
      </c>
      <c r="B10" s="168" t="s">
        <v>650</v>
      </c>
      <c r="C10" s="1"/>
      <c r="D10" s="1">
        <f>'AUGUST 21'!I10:I21</f>
        <v>3100</v>
      </c>
      <c r="E10" s="1">
        <v>3000</v>
      </c>
      <c r="F10" s="1">
        <v>100</v>
      </c>
      <c r="G10" s="1">
        <f t="shared" si="1"/>
        <v>6200</v>
      </c>
      <c r="H10" s="1">
        <v>3100</v>
      </c>
      <c r="I10" s="1">
        <f>G10-H10</f>
        <v>3100</v>
      </c>
      <c r="J10" s="58"/>
      <c r="K10" s="58"/>
    </row>
    <row r="11" spans="1:11" x14ac:dyDescent="0.25">
      <c r="A11" s="1">
        <v>7</v>
      </c>
      <c r="B11" s="168" t="s">
        <v>656</v>
      </c>
      <c r="C11" s="1"/>
      <c r="D11" s="1">
        <f>'AUGUST 21'!I11:I22</f>
        <v>0</v>
      </c>
      <c r="E11" s="1">
        <v>3000</v>
      </c>
      <c r="F11" s="1">
        <v>100</v>
      </c>
      <c r="G11" s="1">
        <f t="shared" si="1"/>
        <v>3100</v>
      </c>
      <c r="H11" s="1"/>
      <c r="I11" s="1">
        <f t="shared" si="0"/>
        <v>3100</v>
      </c>
      <c r="J11" s="58" t="s">
        <v>669</v>
      </c>
      <c r="K11" s="58"/>
    </row>
    <row r="12" spans="1:11" x14ac:dyDescent="0.25">
      <c r="A12" s="1">
        <v>8</v>
      </c>
      <c r="B12" s="167" t="s">
        <v>573</v>
      </c>
      <c r="C12" s="1"/>
      <c r="D12" s="1">
        <f>'AUGUST 21'!I12:I23</f>
        <v>0</v>
      </c>
      <c r="E12" s="1"/>
      <c r="F12" s="1"/>
      <c r="G12" s="1">
        <f t="shared" si="1"/>
        <v>0</v>
      </c>
      <c r="H12" s="1"/>
      <c r="I12" s="1">
        <f t="shared" si="0"/>
        <v>0</v>
      </c>
      <c r="J12" s="58"/>
      <c r="K12" s="58"/>
    </row>
    <row r="13" spans="1:11" x14ac:dyDescent="0.25">
      <c r="A13" s="1">
        <v>9</v>
      </c>
      <c r="B13" s="164" t="s">
        <v>658</v>
      </c>
      <c r="C13" s="1"/>
      <c r="D13" s="1">
        <f>'AUGUST 21'!I13:I24</f>
        <v>0</v>
      </c>
      <c r="E13" s="1">
        <v>3000</v>
      </c>
      <c r="F13" s="1">
        <v>100</v>
      </c>
      <c r="G13" s="1">
        <f t="shared" si="1"/>
        <v>3100</v>
      </c>
      <c r="H13" s="1">
        <f>3100</f>
        <v>3100</v>
      </c>
      <c r="I13" s="1">
        <f t="shared" si="0"/>
        <v>0</v>
      </c>
      <c r="J13" s="58"/>
      <c r="K13" s="58"/>
    </row>
    <row r="14" spans="1:11" x14ac:dyDescent="0.25">
      <c r="A14" s="1">
        <v>10</v>
      </c>
      <c r="B14" s="169" t="s">
        <v>400</v>
      </c>
      <c r="C14" s="1"/>
      <c r="D14" s="1">
        <f>'AUGUST 21'!I14:I25</f>
        <v>0</v>
      </c>
      <c r="E14" s="1">
        <v>4500</v>
      </c>
      <c r="F14" s="1">
        <v>100</v>
      </c>
      <c r="G14" s="1">
        <f t="shared" si="1"/>
        <v>4600</v>
      </c>
      <c r="H14" s="1">
        <f>4600</f>
        <v>4600</v>
      </c>
      <c r="I14" s="1">
        <f>G14-H14</f>
        <v>0</v>
      </c>
      <c r="J14" s="58"/>
      <c r="K14" s="58"/>
    </row>
    <row r="15" spans="1:11" x14ac:dyDescent="0.25">
      <c r="A15" s="1">
        <v>11</v>
      </c>
      <c r="B15" s="168" t="s">
        <v>345</v>
      </c>
      <c r="C15" s="1"/>
      <c r="D15" s="1">
        <f>'AUGUST 21'!I15:I26</f>
        <v>2550</v>
      </c>
      <c r="E15" s="1">
        <v>4500</v>
      </c>
      <c r="F15" s="1">
        <v>100</v>
      </c>
      <c r="G15" s="1">
        <f t="shared" si="1"/>
        <v>7150</v>
      </c>
      <c r="H15" s="1">
        <f>2750+1500+1200</f>
        <v>5450</v>
      </c>
      <c r="I15" s="1">
        <f t="shared" si="0"/>
        <v>1700</v>
      </c>
      <c r="J15" s="58"/>
      <c r="K15" s="58"/>
    </row>
    <row r="16" spans="1:11" x14ac:dyDescent="0.25">
      <c r="A16" s="1">
        <v>12</v>
      </c>
      <c r="B16" s="197" t="s">
        <v>80</v>
      </c>
      <c r="C16" s="1"/>
      <c r="D16" s="1">
        <f>'AUGUST 21'!I16:I27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  <c r="K16" s="58"/>
    </row>
    <row r="17" spans="1:11" x14ac:dyDescent="0.25">
      <c r="A17" s="1" t="s">
        <v>129</v>
      </c>
      <c r="B17" s="1"/>
      <c r="C17" s="1">
        <f t="shared" ref="C17:I17" si="2">SUM(C5:C16)</f>
        <v>0</v>
      </c>
      <c r="D17" s="1">
        <f>'JULY 21'!I17:I29</f>
        <v>3500</v>
      </c>
      <c r="E17" s="1">
        <f t="shared" si="2"/>
        <v>27000</v>
      </c>
      <c r="F17" s="1">
        <f t="shared" si="2"/>
        <v>900</v>
      </c>
      <c r="G17" s="1">
        <f t="shared" si="2"/>
        <v>33550</v>
      </c>
      <c r="H17" s="1">
        <f>SUM(H5:H16)</f>
        <v>25650</v>
      </c>
      <c r="I17" s="1">
        <f t="shared" si="2"/>
        <v>7900</v>
      </c>
      <c r="J17" s="58"/>
      <c r="K17" s="58"/>
    </row>
    <row r="18" spans="1:11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  <c r="K18" s="58"/>
    </row>
    <row r="19" spans="1:11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  <c r="K19" s="58"/>
    </row>
    <row r="20" spans="1:11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  <c r="K20" s="58"/>
    </row>
    <row r="21" spans="1:11" x14ac:dyDescent="0.25">
      <c r="A21" s="165" t="s">
        <v>559</v>
      </c>
      <c r="B21" s="165"/>
      <c r="C21" s="165">
        <f>E17</f>
        <v>27000</v>
      </c>
      <c r="D21" s="165"/>
      <c r="E21" s="165"/>
      <c r="F21" s="165" t="s">
        <v>559</v>
      </c>
      <c r="G21" s="232">
        <f>H17</f>
        <v>25650</v>
      </c>
      <c r="H21" s="165"/>
      <c r="I21" s="165"/>
      <c r="J21" s="58"/>
      <c r="K21" s="58"/>
    </row>
    <row r="22" spans="1:11" x14ac:dyDescent="0.25">
      <c r="A22" s="165" t="s">
        <v>1</v>
      </c>
      <c r="B22" s="165"/>
      <c r="C22" s="238">
        <f>'AUGUST 21'!E39</f>
        <v>4632</v>
      </c>
      <c r="D22" s="165"/>
      <c r="E22" s="165"/>
      <c r="F22" s="165" t="s">
        <v>1</v>
      </c>
      <c r="G22" s="173">
        <f>'AUGUST 21'!I39</f>
        <v>-1368</v>
      </c>
      <c r="H22" s="165"/>
      <c r="I22" s="165"/>
      <c r="J22" s="58"/>
      <c r="K22" s="58"/>
    </row>
    <row r="23" spans="1:11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  <c r="K23" s="58"/>
    </row>
    <row r="24" spans="1:11" x14ac:dyDescent="0.25">
      <c r="A24" s="165" t="s">
        <v>325</v>
      </c>
      <c r="B24" s="165"/>
      <c r="C24" s="226">
        <v>0.1</v>
      </c>
      <c r="D24" s="165">
        <f>C21*C24</f>
        <v>2700</v>
      </c>
      <c r="E24" s="165"/>
      <c r="F24" s="165" t="s">
        <v>325</v>
      </c>
      <c r="G24" s="226">
        <v>0.1</v>
      </c>
      <c r="H24" s="165">
        <f>D24</f>
        <v>2700</v>
      </c>
      <c r="I24" s="165"/>
      <c r="J24" s="58"/>
      <c r="K24" s="58"/>
    </row>
    <row r="25" spans="1:11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  <c r="K25" s="58"/>
    </row>
    <row r="26" spans="1:11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  <c r="K26" s="58"/>
    </row>
    <row r="27" spans="1:11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  <c r="K27" s="58"/>
    </row>
    <row r="28" spans="1:11" x14ac:dyDescent="0.25">
      <c r="A28" s="222" t="s">
        <v>377</v>
      </c>
      <c r="B28" s="1"/>
      <c r="C28" s="151"/>
      <c r="D28" s="151">
        <v>100</v>
      </c>
      <c r="E28" s="165"/>
      <c r="F28" s="222" t="s">
        <v>377</v>
      </c>
      <c r="G28" s="1"/>
      <c r="H28" s="151">
        <f>F17</f>
        <v>900</v>
      </c>
      <c r="I28" s="151"/>
      <c r="J28" s="58"/>
      <c r="K28" s="58"/>
    </row>
    <row r="29" spans="1:11" x14ac:dyDescent="0.25">
      <c r="A29" s="222" t="s">
        <v>328</v>
      </c>
      <c r="B29" s="1"/>
      <c r="C29" s="151"/>
      <c r="D29" s="151"/>
      <c r="E29" s="165"/>
      <c r="F29" s="222" t="s">
        <v>328</v>
      </c>
      <c r="G29" s="1"/>
      <c r="H29" s="151"/>
      <c r="I29" s="151"/>
      <c r="J29" s="58"/>
      <c r="K29" s="58"/>
    </row>
    <row r="30" spans="1:11" x14ac:dyDescent="0.25">
      <c r="A30" s="222" t="s">
        <v>663</v>
      </c>
      <c r="B30" s="1"/>
      <c r="C30" s="151"/>
      <c r="D30" s="58">
        <v>7100</v>
      </c>
      <c r="E30" s="151"/>
      <c r="F30" s="222" t="s">
        <v>663</v>
      </c>
      <c r="G30" s="1"/>
      <c r="H30" s="151">
        <v>7100</v>
      </c>
      <c r="I30" s="58"/>
      <c r="J30" s="58"/>
      <c r="K30" s="58"/>
    </row>
    <row r="31" spans="1:11" x14ac:dyDescent="0.25">
      <c r="A31" s="225" t="s">
        <v>666</v>
      </c>
      <c r="B31" s="241"/>
      <c r="C31" s="151"/>
      <c r="D31" s="151">
        <v>3050</v>
      </c>
      <c r="E31" s="165"/>
      <c r="F31" s="225" t="s">
        <v>666</v>
      </c>
      <c r="G31" s="241"/>
      <c r="H31" s="151">
        <v>3050</v>
      </c>
      <c r="I31" s="151"/>
      <c r="J31" s="58"/>
      <c r="K31" s="58"/>
    </row>
    <row r="32" spans="1:11" x14ac:dyDescent="0.25">
      <c r="A32" s="222" t="s">
        <v>569</v>
      </c>
      <c r="B32" s="1"/>
      <c r="C32" s="151"/>
      <c r="D32" s="151">
        <v>3050</v>
      </c>
      <c r="E32" s="165"/>
      <c r="F32" s="222" t="s">
        <v>569</v>
      </c>
      <c r="G32" s="1"/>
      <c r="H32" s="151">
        <v>3050</v>
      </c>
      <c r="I32" s="151"/>
      <c r="J32" s="58"/>
      <c r="K32" s="58"/>
    </row>
    <row r="33" spans="1:11" x14ac:dyDescent="0.25">
      <c r="A33" s="222" t="s">
        <v>572</v>
      </c>
      <c r="B33" s="1"/>
      <c r="C33" s="151"/>
      <c r="D33" s="165">
        <v>3000</v>
      </c>
      <c r="E33" s="165"/>
      <c r="F33" s="222" t="s">
        <v>572</v>
      </c>
      <c r="G33" s="1"/>
      <c r="H33" s="151">
        <v>3000</v>
      </c>
      <c r="I33" s="165"/>
      <c r="J33" s="100"/>
      <c r="K33" s="58"/>
    </row>
    <row r="34" spans="1:11" x14ac:dyDescent="0.25">
      <c r="A34" s="222" t="s">
        <v>499</v>
      </c>
      <c r="B34" s="1"/>
      <c r="C34" s="151"/>
      <c r="D34" s="165">
        <v>670</v>
      </c>
      <c r="E34" s="165"/>
      <c r="F34" s="222" t="s">
        <v>499</v>
      </c>
      <c r="G34" s="1"/>
      <c r="H34" s="151">
        <v>670</v>
      </c>
      <c r="I34" s="165"/>
      <c r="J34" s="58"/>
      <c r="K34" s="58"/>
    </row>
    <row r="35" spans="1:11" x14ac:dyDescent="0.25">
      <c r="A35" s="222"/>
      <c r="B35" s="1"/>
      <c r="C35" s="151"/>
      <c r="D35" s="165"/>
      <c r="E35" s="165"/>
      <c r="F35" s="222"/>
      <c r="G35" s="1"/>
      <c r="H35" s="151"/>
      <c r="I35" s="165"/>
      <c r="J35" s="58"/>
      <c r="K35" s="58"/>
    </row>
    <row r="36" spans="1:11" x14ac:dyDescent="0.25">
      <c r="A36" s="222"/>
      <c r="B36" s="1"/>
      <c r="C36" s="151"/>
      <c r="D36" s="151"/>
      <c r="E36" s="165"/>
      <c r="F36" s="222"/>
      <c r="G36" s="1"/>
      <c r="H36" s="151"/>
      <c r="I36" s="165"/>
      <c r="J36" s="58"/>
      <c r="K36" s="58"/>
    </row>
    <row r="37" spans="1:11" x14ac:dyDescent="0.25">
      <c r="A37" s="222"/>
      <c r="B37" s="1"/>
      <c r="C37" s="151"/>
      <c r="D37" s="165"/>
      <c r="E37" s="165"/>
      <c r="F37" s="222"/>
      <c r="G37" s="1"/>
      <c r="H37" s="151"/>
      <c r="I37" s="165"/>
      <c r="J37" s="58"/>
      <c r="K37" s="58"/>
    </row>
    <row r="38" spans="1:11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  <c r="K38" s="58"/>
    </row>
    <row r="39" spans="1:11" x14ac:dyDescent="0.25">
      <c r="A39" s="217" t="s">
        <v>129</v>
      </c>
      <c r="B39" s="217"/>
      <c r="C39" s="1">
        <f>C21+C22+C23-D24</f>
        <v>28932</v>
      </c>
      <c r="D39" s="217">
        <f>SUM(D26:D38)</f>
        <v>18970</v>
      </c>
      <c r="E39" s="1">
        <f>C39-D39</f>
        <v>9962</v>
      </c>
      <c r="F39" s="217" t="s">
        <v>129</v>
      </c>
      <c r="G39" s="236">
        <f>G21+G22+G23-H24</f>
        <v>21582</v>
      </c>
      <c r="H39" s="217">
        <f>SUM(H26:H38)</f>
        <v>19770</v>
      </c>
      <c r="I39" s="140">
        <f>G39-H39</f>
        <v>1812</v>
      </c>
      <c r="J39" s="58"/>
      <c r="K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  <c r="K40" s="58"/>
    </row>
    <row r="41" spans="1:11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/>
      <c r="J41" s="58"/>
      <c r="K41" s="58"/>
    </row>
    <row r="42" spans="1:11" x14ac:dyDescent="0.25">
      <c r="A42" s="23"/>
      <c r="B42" s="23"/>
      <c r="C42" s="23"/>
      <c r="D42" s="23"/>
      <c r="E42" s="23"/>
      <c r="F42" s="23"/>
      <c r="G42" s="23"/>
      <c r="H42" s="240"/>
      <c r="I42" s="240"/>
      <c r="J42" s="58"/>
      <c r="K42" s="58"/>
    </row>
    <row r="43" spans="1:11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  <c r="K43" s="58"/>
    </row>
    <row r="44" spans="1:11" x14ac:dyDescent="0.25">
      <c r="A44" s="58"/>
      <c r="B44" s="58"/>
      <c r="C44" s="58"/>
      <c r="D44" s="58"/>
      <c r="E44" s="58"/>
      <c r="F44" s="58"/>
      <c r="G44" s="58"/>
      <c r="H44" s="58"/>
      <c r="I44" s="100"/>
      <c r="J44" s="58"/>
      <c r="K44" s="58"/>
    </row>
    <row r="45" spans="1:11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H15" sqref="H15"/>
    </sheetView>
  </sheetViews>
  <sheetFormatPr defaultRowHeight="15" x14ac:dyDescent="0.25"/>
  <cols>
    <col min="2" max="2" width="12.28515625" customWidth="1"/>
    <col min="6" max="6" width="17.140625" customWidth="1"/>
    <col min="9" max="9" width="11.7109375" customWidth="1"/>
  </cols>
  <sheetData>
    <row r="1" spans="1:9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</row>
    <row r="2" spans="1:9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</row>
    <row r="3" spans="1:9" x14ac:dyDescent="0.25">
      <c r="A3" s="58"/>
      <c r="B3" s="58"/>
      <c r="C3" s="58"/>
      <c r="D3" s="32" t="s">
        <v>667</v>
      </c>
      <c r="E3" s="32"/>
      <c r="F3" s="32"/>
      <c r="G3" s="32"/>
      <c r="H3" s="58"/>
      <c r="I3" s="58"/>
    </row>
    <row r="4" spans="1:9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</row>
    <row r="5" spans="1:9" x14ac:dyDescent="0.25">
      <c r="A5" s="1">
        <v>1</v>
      </c>
      <c r="B5" s="164" t="s">
        <v>588</v>
      </c>
      <c r="C5" s="1"/>
      <c r="D5" s="1">
        <f>'SEPT 21'!I5:I17</f>
        <v>0</v>
      </c>
      <c r="E5" s="1">
        <v>3000</v>
      </c>
      <c r="F5" s="1">
        <v>100</v>
      </c>
      <c r="G5" s="1">
        <f>C5+D5+E5+F5</f>
        <v>3100</v>
      </c>
      <c r="H5" s="1">
        <v>3100</v>
      </c>
      <c r="I5" s="1">
        <f t="shared" ref="I5:I16" si="0">G5-H5</f>
        <v>0</v>
      </c>
    </row>
    <row r="6" spans="1:9" x14ac:dyDescent="0.25">
      <c r="A6" s="1">
        <v>2</v>
      </c>
      <c r="B6" s="164" t="s">
        <v>674</v>
      </c>
      <c r="C6" s="1"/>
      <c r="D6" s="1">
        <f>'SEPT 21'!I6:I18</f>
        <v>0</v>
      </c>
      <c r="E6" s="1">
        <v>3000</v>
      </c>
      <c r="F6" s="1"/>
      <c r="G6" s="1">
        <f t="shared" ref="G6:G16" si="1">C6+D6+E6+F6</f>
        <v>3000</v>
      </c>
      <c r="H6" s="1"/>
      <c r="I6" s="1">
        <f t="shared" si="0"/>
        <v>3000</v>
      </c>
    </row>
    <row r="7" spans="1:9" x14ac:dyDescent="0.25">
      <c r="A7" s="1">
        <v>3</v>
      </c>
      <c r="B7" s="151"/>
      <c r="C7" s="1"/>
      <c r="D7" s="1">
        <f>'SEPT 21'!I7:I19</f>
        <v>0</v>
      </c>
      <c r="E7" s="1"/>
      <c r="F7" s="1"/>
      <c r="G7" s="1">
        <f t="shared" si="1"/>
        <v>0</v>
      </c>
      <c r="H7" s="1"/>
      <c r="I7" s="1">
        <f t="shared" si="0"/>
        <v>0</v>
      </c>
    </row>
    <row r="8" spans="1:9" x14ac:dyDescent="0.25">
      <c r="A8" s="1">
        <v>4</v>
      </c>
      <c r="B8" s="167" t="s">
        <v>645</v>
      </c>
      <c r="C8" s="1"/>
      <c r="D8" s="1">
        <f>'SEPT 21'!I8:I20</f>
        <v>0</v>
      </c>
      <c r="E8" s="1">
        <v>3000</v>
      </c>
      <c r="F8" s="1"/>
      <c r="G8" s="1">
        <f t="shared" si="1"/>
        <v>3000</v>
      </c>
      <c r="H8" s="1"/>
      <c r="I8" s="1"/>
    </row>
    <row r="9" spans="1:9" x14ac:dyDescent="0.25">
      <c r="A9" s="1">
        <v>5</v>
      </c>
      <c r="B9" s="151" t="s">
        <v>574</v>
      </c>
      <c r="C9" s="1"/>
      <c r="D9" s="1">
        <f>'SEPT 21'!I9:I21</f>
        <v>0</v>
      </c>
      <c r="E9" s="1">
        <v>3000</v>
      </c>
      <c r="F9" s="1">
        <v>100</v>
      </c>
      <c r="G9" s="1">
        <f t="shared" si="1"/>
        <v>3100</v>
      </c>
      <c r="H9" s="1">
        <v>3100</v>
      </c>
      <c r="I9" s="1">
        <f t="shared" si="0"/>
        <v>0</v>
      </c>
    </row>
    <row r="10" spans="1:9" x14ac:dyDescent="0.25">
      <c r="A10" s="1">
        <v>6</v>
      </c>
      <c r="B10" s="168" t="s">
        <v>650</v>
      </c>
      <c r="C10" s="1"/>
      <c r="D10" s="1">
        <f>'SEPT 21'!I10:I22</f>
        <v>3100</v>
      </c>
      <c r="E10" s="1">
        <v>3000</v>
      </c>
      <c r="F10" s="1">
        <v>100</v>
      </c>
      <c r="G10" s="1">
        <f t="shared" si="1"/>
        <v>6200</v>
      </c>
      <c r="H10" s="1">
        <v>3000</v>
      </c>
      <c r="I10" s="1">
        <f>G10-H10</f>
        <v>3200</v>
      </c>
    </row>
    <row r="11" spans="1:9" x14ac:dyDescent="0.25">
      <c r="A11" s="1">
        <v>7</v>
      </c>
      <c r="B11" s="168" t="s">
        <v>656</v>
      </c>
      <c r="C11" s="1"/>
      <c r="D11" s="1">
        <f>'SEPT 21'!I11:I23</f>
        <v>3100</v>
      </c>
      <c r="E11" s="1">
        <v>3000</v>
      </c>
      <c r="F11" s="1">
        <v>100</v>
      </c>
      <c r="G11" s="1">
        <f t="shared" si="1"/>
        <v>6200</v>
      </c>
      <c r="H11" s="1">
        <v>3100</v>
      </c>
      <c r="I11" s="1">
        <f t="shared" si="0"/>
        <v>3100</v>
      </c>
    </row>
    <row r="12" spans="1:9" x14ac:dyDescent="0.25">
      <c r="A12" s="1">
        <v>8</v>
      </c>
      <c r="B12" s="167" t="s">
        <v>573</v>
      </c>
      <c r="C12" s="1"/>
      <c r="D12" s="1">
        <f>'SEPT 21'!I12:I24</f>
        <v>0</v>
      </c>
      <c r="E12" s="1"/>
      <c r="F12" s="1"/>
      <c r="G12" s="1">
        <f t="shared" si="1"/>
        <v>0</v>
      </c>
      <c r="H12" s="1"/>
      <c r="I12" s="1">
        <f t="shared" si="0"/>
        <v>0</v>
      </c>
    </row>
    <row r="13" spans="1:9" x14ac:dyDescent="0.25">
      <c r="A13" s="1">
        <v>9</v>
      </c>
      <c r="B13" s="164" t="s">
        <v>658</v>
      </c>
      <c r="C13" s="1"/>
      <c r="D13" s="1">
        <f>'SEPT 21'!I13:I25</f>
        <v>0</v>
      </c>
      <c r="E13" s="1">
        <v>3000</v>
      </c>
      <c r="F13" s="1">
        <v>100</v>
      </c>
      <c r="G13" s="1">
        <f t="shared" si="1"/>
        <v>3100</v>
      </c>
      <c r="H13" s="1">
        <f>2600+500</f>
        <v>3100</v>
      </c>
      <c r="I13" s="1">
        <f t="shared" si="0"/>
        <v>0</v>
      </c>
    </row>
    <row r="14" spans="1:9" x14ac:dyDescent="0.25">
      <c r="A14" s="1">
        <v>10</v>
      </c>
      <c r="B14" s="169" t="s">
        <v>400</v>
      </c>
      <c r="C14" s="1"/>
      <c r="D14" s="1">
        <f>'SEPT 21'!I14:I26</f>
        <v>0</v>
      </c>
      <c r="E14" s="1">
        <v>4500</v>
      </c>
      <c r="F14" s="1">
        <v>100</v>
      </c>
      <c r="G14" s="1">
        <f t="shared" si="1"/>
        <v>4600</v>
      </c>
      <c r="H14" s="1">
        <v>4600</v>
      </c>
      <c r="I14" s="1">
        <f>G14-H14</f>
        <v>0</v>
      </c>
    </row>
    <row r="15" spans="1:9" x14ac:dyDescent="0.25">
      <c r="A15" s="1">
        <v>11</v>
      </c>
      <c r="B15" s="168" t="s">
        <v>345</v>
      </c>
      <c r="C15" s="1"/>
      <c r="D15" s="1">
        <f>'SEPT 21'!I15:I27</f>
        <v>1700</v>
      </c>
      <c r="E15" s="1">
        <v>4500</v>
      </c>
      <c r="F15" s="1">
        <v>100</v>
      </c>
      <c r="G15" s="1">
        <f t="shared" si="1"/>
        <v>6300</v>
      </c>
      <c r="H15" s="1">
        <v>6300</v>
      </c>
      <c r="I15" s="1">
        <f t="shared" si="0"/>
        <v>0</v>
      </c>
    </row>
    <row r="16" spans="1:9" x14ac:dyDescent="0.25">
      <c r="A16" s="1">
        <v>12</v>
      </c>
      <c r="B16" s="197" t="s">
        <v>80</v>
      </c>
      <c r="C16" s="1"/>
      <c r="D16" s="1">
        <f>'SEPT 21'!I16:I28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</row>
    <row r="17" spans="1:9" x14ac:dyDescent="0.25">
      <c r="A17" s="1" t="s">
        <v>129</v>
      </c>
      <c r="B17" s="1"/>
      <c r="C17" s="1">
        <f t="shared" ref="C17:I17" si="2">SUM(C5:C16)</f>
        <v>0</v>
      </c>
      <c r="D17" s="1">
        <f>SUM(D5:D16)</f>
        <v>7900</v>
      </c>
      <c r="E17" s="1">
        <f t="shared" si="2"/>
        <v>30000</v>
      </c>
      <c r="F17" s="1">
        <f t="shared" si="2"/>
        <v>800</v>
      </c>
      <c r="G17" s="1">
        <f t="shared" si="2"/>
        <v>38700</v>
      </c>
      <c r="H17" s="1">
        <f>SUM(H5:H16)</f>
        <v>26400</v>
      </c>
      <c r="I17" s="1">
        <f t="shared" si="2"/>
        <v>9300</v>
      </c>
    </row>
    <row r="18" spans="1:9" x14ac:dyDescent="0.25">
      <c r="A18" s="58"/>
      <c r="B18" s="58"/>
      <c r="C18" s="58"/>
      <c r="D18" s="58"/>
      <c r="E18" s="58"/>
      <c r="F18" s="58"/>
      <c r="G18" s="58"/>
      <c r="H18" s="58"/>
      <c r="I18" s="110"/>
    </row>
    <row r="19" spans="1:9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</row>
    <row r="20" spans="1:9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</row>
    <row r="21" spans="1:9" x14ac:dyDescent="0.25">
      <c r="A21" s="165" t="s">
        <v>486</v>
      </c>
      <c r="B21" s="165"/>
      <c r="C21" s="165">
        <f>E17</f>
        <v>30000</v>
      </c>
      <c r="D21" s="165"/>
      <c r="E21" s="165"/>
      <c r="F21" s="165" t="s">
        <v>486</v>
      </c>
      <c r="G21" s="232">
        <f>H17</f>
        <v>26400</v>
      </c>
      <c r="H21" s="165"/>
      <c r="I21" s="165"/>
    </row>
    <row r="22" spans="1:9" x14ac:dyDescent="0.25">
      <c r="A22" s="165" t="s">
        <v>1</v>
      </c>
      <c r="B22" s="165"/>
      <c r="C22" s="238">
        <f>'SEPT 21'!E39</f>
        <v>9962</v>
      </c>
      <c r="D22" s="165"/>
      <c r="E22" s="165"/>
      <c r="F22" s="165" t="s">
        <v>1</v>
      </c>
      <c r="G22" s="173">
        <f>'SEPT 21'!I39</f>
        <v>1812</v>
      </c>
      <c r="H22" s="165"/>
      <c r="I22" s="165"/>
    </row>
    <row r="23" spans="1:9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</row>
    <row r="24" spans="1:9" x14ac:dyDescent="0.25">
      <c r="A24" s="165" t="s">
        <v>325</v>
      </c>
      <c r="B24" s="165"/>
      <c r="C24" s="226">
        <v>0.1</v>
      </c>
      <c r="D24" s="165">
        <f>C21*C24</f>
        <v>3000</v>
      </c>
      <c r="E24" s="165"/>
      <c r="F24" s="165" t="s">
        <v>325</v>
      </c>
      <c r="G24" s="226">
        <v>0.1</v>
      </c>
      <c r="H24" s="165">
        <f>D24</f>
        <v>3000</v>
      </c>
      <c r="I24" s="165"/>
    </row>
    <row r="25" spans="1:9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</row>
    <row r="26" spans="1:9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</row>
    <row r="27" spans="1:9" x14ac:dyDescent="0.25">
      <c r="A27" s="165" t="s">
        <v>350</v>
      </c>
      <c r="B27" s="165"/>
      <c r="C27" s="222"/>
      <c r="D27" s="222">
        <v>2530</v>
      </c>
      <c r="E27" s="165"/>
      <c r="F27" s="165" t="s">
        <v>350</v>
      </c>
      <c r="G27" s="222"/>
      <c r="H27" s="222">
        <v>2530</v>
      </c>
      <c r="I27" s="165"/>
    </row>
    <row r="28" spans="1:9" x14ac:dyDescent="0.25">
      <c r="A28" s="222" t="s">
        <v>377</v>
      </c>
      <c r="B28" s="1"/>
      <c r="C28" s="151"/>
      <c r="D28" s="151">
        <v>100</v>
      </c>
      <c r="E28" s="165"/>
      <c r="F28" s="222" t="s">
        <v>377</v>
      </c>
      <c r="G28" s="1"/>
      <c r="H28" s="151">
        <f>F17</f>
        <v>800</v>
      </c>
      <c r="I28" s="151"/>
    </row>
    <row r="29" spans="1:9" x14ac:dyDescent="0.25">
      <c r="A29" s="222" t="s">
        <v>328</v>
      </c>
      <c r="B29" s="1"/>
      <c r="C29" s="151"/>
      <c r="D29" s="151"/>
      <c r="E29" s="165"/>
      <c r="F29" s="222" t="s">
        <v>328</v>
      </c>
      <c r="G29" s="1"/>
      <c r="H29" s="151"/>
      <c r="I29" s="151"/>
    </row>
    <row r="30" spans="1:9" x14ac:dyDescent="0.25">
      <c r="A30" s="222" t="s">
        <v>668</v>
      </c>
      <c r="B30" s="1"/>
      <c r="C30" s="151"/>
      <c r="D30" s="58">
        <v>3550</v>
      </c>
      <c r="E30" s="151"/>
      <c r="F30" s="222" t="s">
        <v>668</v>
      </c>
      <c r="G30" s="1"/>
      <c r="H30" s="151">
        <v>3550</v>
      </c>
      <c r="I30" s="58"/>
    </row>
    <row r="31" spans="1:9" x14ac:dyDescent="0.25">
      <c r="A31" s="225" t="s">
        <v>671</v>
      </c>
      <c r="B31" s="241"/>
      <c r="C31" s="151"/>
      <c r="D31" s="151">
        <v>3000</v>
      </c>
      <c r="E31" s="165"/>
      <c r="F31" s="225" t="s">
        <v>671</v>
      </c>
      <c r="G31" s="241"/>
      <c r="H31" s="151">
        <v>3000</v>
      </c>
      <c r="I31" s="151"/>
    </row>
    <row r="32" spans="1:9" x14ac:dyDescent="0.25">
      <c r="A32" s="222" t="s">
        <v>672</v>
      </c>
      <c r="B32" s="1"/>
      <c r="C32" s="151"/>
      <c r="D32" s="151">
        <v>15500</v>
      </c>
      <c r="E32" s="165"/>
      <c r="F32" s="222" t="s">
        <v>672</v>
      </c>
      <c r="G32" s="1"/>
      <c r="H32" s="151">
        <v>15500</v>
      </c>
      <c r="I32" s="151"/>
    </row>
    <row r="33" spans="1:12" x14ac:dyDescent="0.25">
      <c r="A33" s="222" t="s">
        <v>675</v>
      </c>
      <c r="B33" s="1"/>
      <c r="C33" s="151"/>
      <c r="D33" s="165">
        <v>3000</v>
      </c>
      <c r="E33" s="165"/>
      <c r="F33" s="222"/>
      <c r="G33" s="1"/>
      <c r="H33" s="151"/>
      <c r="I33" s="165"/>
    </row>
    <row r="34" spans="1:12" x14ac:dyDescent="0.25">
      <c r="A34" s="222"/>
      <c r="B34" s="1"/>
      <c r="C34" s="151"/>
      <c r="D34" s="165"/>
      <c r="E34" s="165"/>
      <c r="F34" s="222"/>
      <c r="G34" s="1"/>
      <c r="H34" s="151"/>
      <c r="I34" s="165"/>
    </row>
    <row r="35" spans="1:12" x14ac:dyDescent="0.25">
      <c r="A35" s="222"/>
      <c r="B35" s="1"/>
      <c r="C35" s="151"/>
      <c r="D35" s="165"/>
      <c r="E35" s="165"/>
      <c r="F35" s="222"/>
      <c r="G35" s="1"/>
      <c r="H35" s="151"/>
      <c r="I35" s="165"/>
    </row>
    <row r="36" spans="1:12" x14ac:dyDescent="0.25">
      <c r="A36" s="222"/>
      <c r="B36" s="1"/>
      <c r="C36" s="151"/>
      <c r="D36" s="151"/>
      <c r="E36" s="165"/>
      <c r="F36" s="222"/>
      <c r="G36" s="1"/>
      <c r="H36" s="151"/>
      <c r="I36" s="165"/>
    </row>
    <row r="37" spans="1:12" x14ac:dyDescent="0.25">
      <c r="A37" s="222"/>
      <c r="B37" s="1"/>
      <c r="C37" s="151"/>
      <c r="D37" s="165"/>
      <c r="E37" s="165"/>
      <c r="F37" s="222"/>
      <c r="G37" s="1"/>
      <c r="H37" s="151"/>
      <c r="I37" s="165"/>
      <c r="L37" s="100"/>
    </row>
    <row r="38" spans="1:12" x14ac:dyDescent="0.25">
      <c r="A38" s="222"/>
      <c r="B38" s="1"/>
      <c r="C38" s="151"/>
      <c r="D38" s="151"/>
      <c r="E38" s="165"/>
      <c r="F38" s="222"/>
      <c r="G38" s="1"/>
      <c r="H38" s="151"/>
      <c r="I38" s="151"/>
    </row>
    <row r="39" spans="1:12" s="246" customFormat="1" ht="40.5" customHeight="1" x14ac:dyDescent="0.25">
      <c r="A39" s="243" t="s">
        <v>129</v>
      </c>
      <c r="B39" s="243"/>
      <c r="C39" s="244">
        <f>C21+C22+C23-D24</f>
        <v>36962</v>
      </c>
      <c r="D39" s="243">
        <f>SUM(D26:D38)</f>
        <v>27680</v>
      </c>
      <c r="E39" s="244">
        <f>C39-D39</f>
        <v>9282</v>
      </c>
      <c r="F39" s="243" t="s">
        <v>129</v>
      </c>
      <c r="G39" s="245">
        <f>G21+G22+G23-H24</f>
        <v>25212</v>
      </c>
      <c r="H39" s="243">
        <f>SUM(H26:H38)</f>
        <v>25380</v>
      </c>
      <c r="I39" s="245">
        <f>G39-H39</f>
        <v>-168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O1" sqref="O1"/>
    </sheetView>
  </sheetViews>
  <sheetFormatPr defaultRowHeight="15" x14ac:dyDescent="0.25"/>
  <cols>
    <col min="1" max="1" width="9.140625" style="58"/>
    <col min="2" max="2" width="12.28515625" style="58" customWidth="1"/>
    <col min="3" max="5" width="9.140625" style="58"/>
    <col min="6" max="6" width="17.140625" style="58" customWidth="1"/>
    <col min="7" max="8" width="9.140625" style="58"/>
    <col min="9" max="9" width="11.7109375" style="58" customWidth="1"/>
    <col min="10" max="16384" width="9.140625" style="58"/>
  </cols>
  <sheetData>
    <row r="1" spans="1:9" x14ac:dyDescent="0.25">
      <c r="D1" s="32" t="s">
        <v>222</v>
      </c>
      <c r="E1" s="32"/>
      <c r="F1" s="32"/>
      <c r="G1" s="32"/>
    </row>
    <row r="2" spans="1:9" x14ac:dyDescent="0.25">
      <c r="D2" s="32" t="s">
        <v>388</v>
      </c>
      <c r="E2" s="32"/>
      <c r="F2" s="32"/>
      <c r="G2" s="32"/>
    </row>
    <row r="3" spans="1:9" x14ac:dyDescent="0.25">
      <c r="D3" s="32" t="s">
        <v>670</v>
      </c>
      <c r="E3" s="32"/>
      <c r="F3" s="32"/>
      <c r="G3" s="32"/>
    </row>
    <row r="4" spans="1:9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</row>
    <row r="5" spans="1:9" x14ac:dyDescent="0.25">
      <c r="A5" s="1">
        <v>1</v>
      </c>
      <c r="B5" s="164" t="s">
        <v>588</v>
      </c>
      <c r="C5" s="1"/>
      <c r="D5" s="1">
        <f>'OCT 21'!I5</f>
        <v>0</v>
      </c>
      <c r="E5" s="1">
        <v>3000</v>
      </c>
      <c r="F5" s="1">
        <v>100</v>
      </c>
      <c r="G5" s="1">
        <f>C5+D5+E5+F5</f>
        <v>3100</v>
      </c>
      <c r="H5" s="1"/>
      <c r="I5" s="1">
        <f t="shared" ref="I5:I16" si="0">G5-H5</f>
        <v>3100</v>
      </c>
    </row>
    <row r="6" spans="1:9" x14ac:dyDescent="0.25">
      <c r="A6" s="1">
        <v>2</v>
      </c>
      <c r="B6" s="164" t="s">
        <v>673</v>
      </c>
      <c r="C6" s="1"/>
      <c r="D6" s="1">
        <f>'OCT 21'!I6</f>
        <v>3000</v>
      </c>
      <c r="E6" s="1"/>
      <c r="F6" s="1"/>
      <c r="G6" s="1">
        <f t="shared" ref="G6:G16" si="1">C6+D6+E6+F6</f>
        <v>3000</v>
      </c>
      <c r="H6" s="1">
        <v>3000</v>
      </c>
      <c r="I6" s="1">
        <f t="shared" si="0"/>
        <v>0</v>
      </c>
    </row>
    <row r="7" spans="1:9" x14ac:dyDescent="0.25">
      <c r="A7" s="1">
        <v>3</v>
      </c>
      <c r="B7" s="151"/>
      <c r="C7" s="1"/>
      <c r="D7" s="1">
        <f>'OCT 21'!I7</f>
        <v>0</v>
      </c>
      <c r="E7" s="1"/>
      <c r="F7" s="1"/>
      <c r="G7" s="1">
        <f t="shared" si="1"/>
        <v>0</v>
      </c>
      <c r="H7" s="1"/>
      <c r="I7" s="1">
        <f t="shared" si="0"/>
        <v>0</v>
      </c>
    </row>
    <row r="8" spans="1:9" x14ac:dyDescent="0.25">
      <c r="A8" s="1">
        <v>4</v>
      </c>
      <c r="B8" s="167"/>
      <c r="C8" s="1"/>
      <c r="D8" s="1"/>
      <c r="E8" s="1"/>
      <c r="F8" s="1">
        <v>100</v>
      </c>
      <c r="G8" s="1">
        <f t="shared" si="1"/>
        <v>100</v>
      </c>
      <c r="H8" s="1"/>
      <c r="I8" s="1">
        <f t="shared" si="0"/>
        <v>100</v>
      </c>
    </row>
    <row r="9" spans="1:9" x14ac:dyDescent="0.25">
      <c r="A9" s="1">
        <v>5</v>
      </c>
      <c r="B9" s="151" t="s">
        <v>574</v>
      </c>
      <c r="C9" s="1"/>
      <c r="D9" s="1">
        <f>'OCT 21'!I9</f>
        <v>0</v>
      </c>
      <c r="E9" s="1">
        <v>3000</v>
      </c>
      <c r="F9" s="1">
        <v>100</v>
      </c>
      <c r="G9" s="1">
        <f t="shared" si="1"/>
        <v>3100</v>
      </c>
      <c r="H9" s="1"/>
      <c r="I9" s="1">
        <f t="shared" si="0"/>
        <v>3100</v>
      </c>
    </row>
    <row r="10" spans="1:9" x14ac:dyDescent="0.25">
      <c r="A10" s="1">
        <v>6</v>
      </c>
      <c r="B10" s="168" t="s">
        <v>650</v>
      </c>
      <c r="C10" s="1"/>
      <c r="D10" s="1">
        <f>'OCT 21'!I10</f>
        <v>3200</v>
      </c>
      <c r="E10" s="1">
        <v>3000</v>
      </c>
      <c r="F10" s="1">
        <v>100</v>
      </c>
      <c r="G10" s="1">
        <f t="shared" si="1"/>
        <v>6300</v>
      </c>
      <c r="H10" s="1"/>
      <c r="I10" s="1">
        <f>G10-H10</f>
        <v>6300</v>
      </c>
    </row>
    <row r="11" spans="1:9" x14ac:dyDescent="0.25">
      <c r="A11" s="1">
        <v>7</v>
      </c>
      <c r="B11" s="168" t="s">
        <v>656</v>
      </c>
      <c r="C11" s="1"/>
      <c r="D11" s="1">
        <f>'OCT 21'!I11</f>
        <v>3100</v>
      </c>
      <c r="E11" s="1">
        <v>3000</v>
      </c>
      <c r="F11" s="1">
        <v>100</v>
      </c>
      <c r="G11" s="1">
        <f t="shared" si="1"/>
        <v>6200</v>
      </c>
      <c r="H11" s="1">
        <v>3100</v>
      </c>
      <c r="I11" s="1">
        <f t="shared" si="0"/>
        <v>3100</v>
      </c>
    </row>
    <row r="12" spans="1:9" x14ac:dyDescent="0.25">
      <c r="A12" s="1">
        <v>8</v>
      </c>
      <c r="B12" s="167" t="s">
        <v>573</v>
      </c>
      <c r="C12" s="1"/>
      <c r="D12" s="1">
        <f>'OCT 21'!I12</f>
        <v>0</v>
      </c>
      <c r="E12" s="1"/>
      <c r="F12" s="1"/>
      <c r="G12" s="1">
        <f t="shared" si="1"/>
        <v>0</v>
      </c>
      <c r="H12" s="1"/>
      <c r="I12" s="1">
        <f t="shared" si="0"/>
        <v>0</v>
      </c>
    </row>
    <row r="13" spans="1:9" x14ac:dyDescent="0.25">
      <c r="A13" s="1">
        <v>9</v>
      </c>
      <c r="B13" s="164" t="s">
        <v>658</v>
      </c>
      <c r="C13" s="1"/>
      <c r="D13" s="1">
        <f>'OCT 21'!I13</f>
        <v>0</v>
      </c>
      <c r="E13" s="1">
        <v>3000</v>
      </c>
      <c r="F13" s="1">
        <v>100</v>
      </c>
      <c r="G13" s="1">
        <f t="shared" si="1"/>
        <v>3100</v>
      </c>
      <c r="H13" s="1">
        <v>2000</v>
      </c>
      <c r="I13" s="1">
        <f t="shared" si="0"/>
        <v>1100</v>
      </c>
    </row>
    <row r="14" spans="1:9" x14ac:dyDescent="0.25">
      <c r="A14" s="1">
        <v>10</v>
      </c>
      <c r="B14" s="169" t="s">
        <v>400</v>
      </c>
      <c r="C14" s="1"/>
      <c r="D14" s="1">
        <f>'OCT 21'!I14</f>
        <v>0</v>
      </c>
      <c r="E14" s="1">
        <v>4500</v>
      </c>
      <c r="F14" s="1">
        <v>100</v>
      </c>
      <c r="G14" s="1">
        <f t="shared" si="1"/>
        <v>4600</v>
      </c>
      <c r="H14" s="1"/>
      <c r="I14" s="1">
        <f>G14-H14</f>
        <v>4600</v>
      </c>
    </row>
    <row r="15" spans="1:9" x14ac:dyDescent="0.25">
      <c r="A15" s="1">
        <v>11</v>
      </c>
      <c r="B15" s="168" t="s">
        <v>345</v>
      </c>
      <c r="C15" s="1"/>
      <c r="D15" s="1">
        <f>'OCT 21'!I15</f>
        <v>0</v>
      </c>
      <c r="E15" s="1">
        <v>4500</v>
      </c>
      <c r="F15" s="1">
        <v>100</v>
      </c>
      <c r="G15" s="1">
        <f t="shared" si="1"/>
        <v>4600</v>
      </c>
      <c r="H15" s="1"/>
      <c r="I15" s="1">
        <f t="shared" si="0"/>
        <v>4600</v>
      </c>
    </row>
    <row r="16" spans="1:9" x14ac:dyDescent="0.25">
      <c r="A16" s="1">
        <v>12</v>
      </c>
      <c r="B16" s="197" t="s">
        <v>80</v>
      </c>
      <c r="C16" s="1"/>
      <c r="D16" s="1">
        <f>'OCT 21'!I16</f>
        <v>0</v>
      </c>
      <c r="E16" s="1"/>
      <c r="F16" s="1">
        <v>100</v>
      </c>
      <c r="G16" s="1">
        <f t="shared" si="1"/>
        <v>100</v>
      </c>
      <c r="H16" s="1"/>
      <c r="I16" s="1">
        <f t="shared" si="0"/>
        <v>100</v>
      </c>
    </row>
    <row r="17" spans="1:14" x14ac:dyDescent="0.25">
      <c r="A17" s="1" t="s">
        <v>129</v>
      </c>
      <c r="B17" s="1"/>
      <c r="C17" s="1">
        <f t="shared" ref="C17:I17" si="2">SUM(C5:C16)</f>
        <v>0</v>
      </c>
      <c r="D17" s="1">
        <f>'SEPT 21'!I17:I29</f>
        <v>7900</v>
      </c>
      <c r="E17" s="1">
        <f t="shared" si="2"/>
        <v>24000</v>
      </c>
      <c r="F17" s="1">
        <f t="shared" si="2"/>
        <v>900</v>
      </c>
      <c r="G17" s="1">
        <f t="shared" si="2"/>
        <v>34200</v>
      </c>
      <c r="H17" s="1">
        <f>SUM(H5:H16)</f>
        <v>8100</v>
      </c>
      <c r="I17" s="1">
        <f t="shared" si="2"/>
        <v>26100</v>
      </c>
    </row>
    <row r="18" spans="1:14" x14ac:dyDescent="0.25">
      <c r="I18" s="110"/>
    </row>
    <row r="19" spans="1:14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</row>
    <row r="20" spans="1:14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</row>
    <row r="21" spans="1:14" x14ac:dyDescent="0.25">
      <c r="A21" s="165" t="s">
        <v>405</v>
      </c>
      <c r="B21" s="165"/>
      <c r="C21" s="165">
        <f>E17</f>
        <v>24000</v>
      </c>
      <c r="D21" s="165"/>
      <c r="E21" s="165"/>
      <c r="F21" s="165" t="s">
        <v>405</v>
      </c>
      <c r="G21" s="232">
        <f>H17</f>
        <v>8100</v>
      </c>
      <c r="H21" s="165"/>
      <c r="I21" s="165"/>
    </row>
    <row r="22" spans="1:14" x14ac:dyDescent="0.25">
      <c r="A22" s="165" t="s">
        <v>1</v>
      </c>
      <c r="B22" s="165"/>
      <c r="C22" s="238">
        <f>'OCT 21'!E39</f>
        <v>9282</v>
      </c>
      <c r="D22" s="165"/>
      <c r="E22" s="165"/>
      <c r="F22" s="165" t="s">
        <v>1</v>
      </c>
      <c r="G22" s="173">
        <f>'OCT 21'!I39</f>
        <v>-168</v>
      </c>
      <c r="H22" s="165"/>
      <c r="I22" s="165"/>
    </row>
    <row r="23" spans="1:14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</row>
    <row r="24" spans="1:14" x14ac:dyDescent="0.25">
      <c r="A24" s="165" t="s">
        <v>325</v>
      </c>
      <c r="B24" s="165"/>
      <c r="C24" s="226">
        <v>0.1</v>
      </c>
      <c r="D24" s="165">
        <f>C21*C24</f>
        <v>2400</v>
      </c>
      <c r="E24" s="165"/>
      <c r="F24" s="165" t="s">
        <v>325</v>
      </c>
      <c r="G24" s="226">
        <v>0.1</v>
      </c>
      <c r="H24" s="165">
        <f>D24</f>
        <v>2400</v>
      </c>
      <c r="I24" s="165"/>
    </row>
    <row r="25" spans="1:14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N25" s="58">
        <v>0</v>
      </c>
    </row>
    <row r="26" spans="1:14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I26" s="222"/>
    </row>
    <row r="27" spans="1:14" x14ac:dyDescent="0.25">
      <c r="A27" s="165" t="s">
        <v>350</v>
      </c>
      <c r="B27" s="165"/>
      <c r="C27" s="222"/>
      <c r="D27" s="222">
        <v>2530</v>
      </c>
      <c r="E27" s="165"/>
      <c r="F27" s="165" t="s">
        <v>350</v>
      </c>
      <c r="G27" s="222"/>
      <c r="H27" s="222">
        <v>2530</v>
      </c>
      <c r="I27" s="165"/>
      <c r="M27" s="58">
        <v>10000</v>
      </c>
    </row>
    <row r="28" spans="1:14" x14ac:dyDescent="0.25">
      <c r="A28" s="222" t="s">
        <v>377</v>
      </c>
      <c r="B28" s="1"/>
      <c r="C28" s="151"/>
      <c r="D28" s="151">
        <v>100</v>
      </c>
      <c r="E28" s="165"/>
      <c r="F28" s="222" t="s">
        <v>377</v>
      </c>
      <c r="G28" s="1"/>
      <c r="H28" s="151"/>
      <c r="I28" s="151"/>
      <c r="M28" s="58">
        <v>10000</v>
      </c>
    </row>
    <row r="29" spans="1:14" x14ac:dyDescent="0.25">
      <c r="A29" s="222" t="s">
        <v>328</v>
      </c>
      <c r="B29" s="1"/>
      <c r="C29" s="151"/>
      <c r="D29" s="151"/>
      <c r="E29" s="165"/>
      <c r="F29" s="222" t="s">
        <v>328</v>
      </c>
      <c r="G29" s="1"/>
      <c r="H29" s="151"/>
      <c r="I29" s="151"/>
      <c r="M29" s="58">
        <v>1000</v>
      </c>
    </row>
    <row r="30" spans="1:14" x14ac:dyDescent="0.25">
      <c r="A30" s="222"/>
      <c r="B30" s="1"/>
      <c r="C30" s="151"/>
      <c r="E30" s="151"/>
      <c r="F30" s="222"/>
      <c r="G30" s="1"/>
      <c r="H30" s="151"/>
      <c r="M30" s="58">
        <v>1000</v>
      </c>
    </row>
    <row r="31" spans="1:14" x14ac:dyDescent="0.25">
      <c r="A31" s="225" t="s">
        <v>677</v>
      </c>
      <c r="B31" s="241"/>
      <c r="C31" s="151"/>
      <c r="D31" s="151">
        <v>2000</v>
      </c>
      <c r="E31" s="165"/>
      <c r="F31" s="225" t="s">
        <v>677</v>
      </c>
      <c r="G31" s="241"/>
      <c r="H31" s="151">
        <v>2000</v>
      </c>
      <c r="I31" s="151"/>
      <c r="M31" s="58">
        <v>250</v>
      </c>
    </row>
    <row r="32" spans="1:14" x14ac:dyDescent="0.25">
      <c r="A32" s="222"/>
      <c r="B32" s="1"/>
      <c r="C32" s="151"/>
      <c r="D32" s="151"/>
      <c r="E32" s="165"/>
      <c r="F32" s="222"/>
      <c r="G32" s="1"/>
      <c r="H32" s="151"/>
      <c r="I32" s="151"/>
      <c r="M32" s="58">
        <f>SUM(M27:M31)</f>
        <v>22250</v>
      </c>
    </row>
    <row r="33" spans="1:9" x14ac:dyDescent="0.25">
      <c r="A33" s="222"/>
      <c r="B33" s="1"/>
      <c r="C33" s="151"/>
      <c r="D33" s="165"/>
      <c r="E33" s="165"/>
      <c r="F33" s="222"/>
      <c r="G33" s="1"/>
      <c r="H33" s="151"/>
      <c r="I33" s="165"/>
    </row>
    <row r="34" spans="1:9" x14ac:dyDescent="0.25">
      <c r="A34" s="222"/>
      <c r="B34" s="1"/>
      <c r="C34" s="151"/>
      <c r="D34" s="165"/>
      <c r="E34" s="165"/>
      <c r="F34" s="222"/>
      <c r="G34" s="1"/>
      <c r="H34" s="151"/>
      <c r="I34" s="165"/>
    </row>
    <row r="35" spans="1:9" x14ac:dyDescent="0.25">
      <c r="A35" s="222"/>
      <c r="B35" s="1"/>
      <c r="C35" s="151"/>
      <c r="D35" s="165"/>
      <c r="E35" s="165"/>
      <c r="F35" s="222"/>
      <c r="G35" s="1"/>
      <c r="H35" s="151"/>
      <c r="I35" s="165"/>
    </row>
    <row r="36" spans="1:9" x14ac:dyDescent="0.25">
      <c r="A36" s="222"/>
      <c r="B36" s="1"/>
      <c r="C36" s="151"/>
      <c r="D36" s="151"/>
      <c r="E36" s="165"/>
      <c r="F36" s="222"/>
      <c r="G36" s="1"/>
      <c r="H36" s="151"/>
      <c r="I36" s="165"/>
    </row>
    <row r="37" spans="1:9" x14ac:dyDescent="0.25">
      <c r="A37" s="222"/>
      <c r="B37" s="1"/>
      <c r="C37" s="151"/>
      <c r="D37" s="165"/>
      <c r="E37" s="165"/>
      <c r="F37" s="222"/>
      <c r="G37" s="1"/>
      <c r="H37" s="151"/>
      <c r="I37" s="165"/>
    </row>
    <row r="38" spans="1:9" x14ac:dyDescent="0.25">
      <c r="A38" s="222"/>
      <c r="B38" s="1"/>
      <c r="C38" s="151"/>
      <c r="D38" s="151"/>
      <c r="E38" s="165"/>
      <c r="F38" s="222"/>
      <c r="G38" s="1"/>
      <c r="H38" s="151"/>
      <c r="I38" s="151"/>
    </row>
    <row r="39" spans="1:9" x14ac:dyDescent="0.25">
      <c r="A39" s="217" t="s">
        <v>129</v>
      </c>
      <c r="B39" s="217"/>
      <c r="C39" s="1">
        <f>C21+C22+C23-D24</f>
        <v>30882</v>
      </c>
      <c r="D39" s="217">
        <f>SUM(D26:D38)</f>
        <v>4630</v>
      </c>
      <c r="E39" s="1">
        <f>C39-D39</f>
        <v>26252</v>
      </c>
      <c r="F39" s="217" t="s">
        <v>129</v>
      </c>
      <c r="G39" s="236">
        <f>G21+G22+G23-H24</f>
        <v>5532</v>
      </c>
      <c r="H39" s="217">
        <f>SUM(H26:H38)</f>
        <v>4530</v>
      </c>
      <c r="I39" s="140">
        <f>G39-H39</f>
        <v>1002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6" workbookViewId="0">
      <selection activeCell="B35" sqref="B35:D37"/>
    </sheetView>
  </sheetViews>
  <sheetFormatPr defaultRowHeight="15" x14ac:dyDescent="0.25"/>
  <cols>
    <col min="2" max="2" width="17.5703125" customWidth="1"/>
    <col min="4" max="4" width="7" customWidth="1"/>
    <col min="5" max="5" width="7.7109375" customWidth="1"/>
    <col min="6" max="6" width="10.5703125" customWidth="1"/>
    <col min="7" max="7" width="9.140625" customWidth="1"/>
    <col min="8" max="8" width="9.5703125" customWidth="1"/>
    <col min="9" max="9" width="8.5703125" customWidth="1"/>
  </cols>
  <sheetData>
    <row r="1" spans="1:12" x14ac:dyDescent="0.25">
      <c r="A1" s="75"/>
      <c r="B1" s="76" t="s">
        <v>59</v>
      </c>
      <c r="C1" s="76"/>
      <c r="D1" s="76"/>
      <c r="E1" s="76"/>
      <c r="I1" s="76"/>
    </row>
    <row r="2" spans="1:12" ht="16.5" x14ac:dyDescent="0.25">
      <c r="A2" s="75"/>
      <c r="B2" s="76" t="s">
        <v>60</v>
      </c>
      <c r="C2" s="76"/>
      <c r="D2" s="76"/>
      <c r="E2" s="77"/>
      <c r="I2" s="77"/>
    </row>
    <row r="3" spans="1:12" x14ac:dyDescent="0.25">
      <c r="A3" s="77"/>
      <c r="B3" s="78" t="s">
        <v>22</v>
      </c>
      <c r="C3" s="78"/>
      <c r="D3" s="78"/>
      <c r="E3" s="78"/>
      <c r="I3" s="78"/>
    </row>
    <row r="4" spans="1:12" x14ac:dyDescent="0.25">
      <c r="A4" s="31" t="s">
        <v>47</v>
      </c>
      <c r="B4" s="58"/>
      <c r="C4" s="58"/>
      <c r="D4" s="31"/>
      <c r="E4" s="58"/>
      <c r="F4" s="58"/>
      <c r="G4" s="58"/>
      <c r="H4" s="31"/>
      <c r="I4" s="31"/>
    </row>
    <row r="5" spans="1:12" ht="23.25" x14ac:dyDescent="0.35">
      <c r="A5" s="33" t="s">
        <v>95</v>
      </c>
      <c r="B5" s="35"/>
      <c r="C5" s="35"/>
      <c r="D5" s="34"/>
      <c r="E5" s="34"/>
      <c r="F5" s="34"/>
      <c r="G5" s="34"/>
      <c r="H5" s="37"/>
      <c r="I5" s="37"/>
    </row>
    <row r="6" spans="1:12" x14ac:dyDescent="0.25">
      <c r="A6" s="1"/>
      <c r="B6" s="8" t="s">
        <v>0</v>
      </c>
      <c r="C6" s="8" t="s">
        <v>81</v>
      </c>
      <c r="D6" s="9" t="s">
        <v>1</v>
      </c>
      <c r="E6" s="8" t="s">
        <v>2</v>
      </c>
      <c r="F6" s="8" t="s">
        <v>3</v>
      </c>
      <c r="G6" s="1" t="s">
        <v>77</v>
      </c>
      <c r="H6" s="1" t="s">
        <v>78</v>
      </c>
      <c r="I6" s="8" t="s">
        <v>5</v>
      </c>
    </row>
    <row r="7" spans="1:12" x14ac:dyDescent="0.25">
      <c r="A7" s="1"/>
      <c r="B7" s="11"/>
      <c r="C7" s="11"/>
      <c r="D7" s="11"/>
      <c r="E7" s="11"/>
      <c r="F7" s="12"/>
      <c r="G7" s="1"/>
      <c r="H7" s="1"/>
      <c r="I7" s="12"/>
    </row>
    <row r="8" spans="1:12" x14ac:dyDescent="0.25">
      <c r="A8" s="1">
        <v>1</v>
      </c>
      <c r="B8" s="13" t="s">
        <v>68</v>
      </c>
      <c r="C8" s="13"/>
      <c r="D8" s="14">
        <v>0</v>
      </c>
      <c r="E8" s="1">
        <v>1300</v>
      </c>
      <c r="F8" s="15">
        <v>1300</v>
      </c>
      <c r="G8" s="1">
        <v>150</v>
      </c>
      <c r="H8" s="16">
        <v>1300</v>
      </c>
      <c r="I8" s="15"/>
    </row>
    <row r="9" spans="1:12" x14ac:dyDescent="0.25">
      <c r="A9" s="1">
        <v>2</v>
      </c>
      <c r="B9" s="13" t="s">
        <v>52</v>
      </c>
      <c r="C9" s="13"/>
      <c r="D9" s="14">
        <v>0</v>
      </c>
      <c r="E9" s="1">
        <v>2500</v>
      </c>
      <c r="F9" s="95">
        <v>2500</v>
      </c>
      <c r="G9" s="1">
        <v>150</v>
      </c>
      <c r="H9" s="16">
        <v>2650</v>
      </c>
      <c r="I9" s="15"/>
    </row>
    <row r="10" spans="1:12" x14ac:dyDescent="0.25">
      <c r="A10" s="1">
        <v>3</v>
      </c>
      <c r="B10" s="13" t="s">
        <v>82</v>
      </c>
      <c r="C10" s="13"/>
      <c r="D10" s="14">
        <v>0</v>
      </c>
      <c r="E10" s="1">
        <v>2500</v>
      </c>
      <c r="F10" s="95">
        <v>1250</v>
      </c>
      <c r="G10" s="1">
        <v>150</v>
      </c>
      <c r="H10" s="16">
        <f t="shared" ref="H10:H20" si="0">E10+G10</f>
        <v>2650</v>
      </c>
      <c r="I10" s="15" t="s">
        <v>80</v>
      </c>
    </row>
    <row r="11" spans="1:12" x14ac:dyDescent="0.25">
      <c r="A11" s="1">
        <v>4</v>
      </c>
      <c r="B11" s="13" t="s">
        <v>10</v>
      </c>
      <c r="C11" s="13"/>
      <c r="D11" s="14">
        <v>0</v>
      </c>
      <c r="E11" s="1">
        <v>2500</v>
      </c>
      <c r="F11" s="95">
        <v>2500</v>
      </c>
      <c r="G11" s="1">
        <v>150</v>
      </c>
      <c r="H11" s="16">
        <f t="shared" si="0"/>
        <v>2650</v>
      </c>
      <c r="I11" s="15"/>
    </row>
    <row r="12" spans="1:12" x14ac:dyDescent="0.25">
      <c r="A12" s="1">
        <v>5</v>
      </c>
      <c r="B12" s="13" t="s">
        <v>69</v>
      </c>
      <c r="C12" s="13"/>
      <c r="D12" s="14">
        <v>0</v>
      </c>
      <c r="E12" s="1">
        <v>2500</v>
      </c>
      <c r="F12" s="95">
        <v>2500</v>
      </c>
      <c r="G12" s="1">
        <v>150</v>
      </c>
      <c r="H12" s="16">
        <f t="shared" si="0"/>
        <v>2650</v>
      </c>
      <c r="I12" s="68"/>
    </row>
    <row r="13" spans="1:12" x14ac:dyDescent="0.25">
      <c r="A13" s="1">
        <v>6</v>
      </c>
      <c r="B13" s="13" t="s">
        <v>12</v>
      </c>
      <c r="C13" s="13"/>
      <c r="D13" s="14">
        <v>5000</v>
      </c>
      <c r="E13" s="1"/>
      <c r="F13" s="95"/>
      <c r="G13" s="1">
        <v>150</v>
      </c>
      <c r="H13" s="16"/>
      <c r="I13" s="68">
        <v>10000</v>
      </c>
    </row>
    <row r="14" spans="1:12" x14ac:dyDescent="0.25">
      <c r="A14" s="1">
        <v>7</v>
      </c>
      <c r="B14" s="13" t="s">
        <v>14</v>
      </c>
      <c r="C14" s="13"/>
      <c r="D14" s="14">
        <v>0</v>
      </c>
      <c r="E14" s="1">
        <v>3500</v>
      </c>
      <c r="F14" s="95">
        <v>3500</v>
      </c>
      <c r="G14" s="1">
        <v>150</v>
      </c>
      <c r="H14" s="16">
        <f t="shared" si="0"/>
        <v>3650</v>
      </c>
      <c r="I14" s="68"/>
      <c r="K14">
        <v>1600</v>
      </c>
      <c r="L14">
        <v>1600</v>
      </c>
    </row>
    <row r="15" spans="1:12" x14ac:dyDescent="0.25">
      <c r="A15" s="1">
        <v>8</v>
      </c>
      <c r="B15" s="13" t="s">
        <v>13</v>
      </c>
      <c r="C15" s="13"/>
      <c r="D15" s="14">
        <v>0</v>
      </c>
      <c r="E15" s="1">
        <v>3500</v>
      </c>
      <c r="F15" s="95">
        <v>3500</v>
      </c>
      <c r="G15" s="1">
        <v>150</v>
      </c>
      <c r="H15" s="16">
        <f t="shared" si="0"/>
        <v>3650</v>
      </c>
      <c r="I15" s="15"/>
      <c r="K15">
        <v>900</v>
      </c>
      <c r="L15">
        <v>1300</v>
      </c>
    </row>
    <row r="16" spans="1:12" x14ac:dyDescent="0.25">
      <c r="A16" s="1">
        <v>9</v>
      </c>
      <c r="B16" s="79" t="s">
        <v>15</v>
      </c>
      <c r="C16" s="79"/>
      <c r="D16" s="14">
        <v>0</v>
      </c>
      <c r="E16" s="1">
        <v>2500</v>
      </c>
      <c r="F16" s="95">
        <v>2500</v>
      </c>
      <c r="G16" s="1">
        <v>150</v>
      </c>
      <c r="H16" s="16">
        <f t="shared" si="0"/>
        <v>2650</v>
      </c>
      <c r="I16" s="15"/>
      <c r="K16">
        <v>2000</v>
      </c>
      <c r="L16">
        <v>3100</v>
      </c>
    </row>
    <row r="17" spans="1:13" x14ac:dyDescent="0.25">
      <c r="A17" s="1">
        <v>10</v>
      </c>
      <c r="B17" s="79" t="s">
        <v>67</v>
      </c>
      <c r="C17" s="79"/>
      <c r="D17" s="14"/>
      <c r="E17" s="1">
        <v>2500</v>
      </c>
      <c r="F17" s="95">
        <v>2500</v>
      </c>
      <c r="G17" s="1">
        <v>150</v>
      </c>
      <c r="H17" s="16">
        <f t="shared" si="0"/>
        <v>2650</v>
      </c>
      <c r="I17" s="15"/>
      <c r="K17">
        <v>1200</v>
      </c>
      <c r="L17">
        <v>1800</v>
      </c>
    </row>
    <row r="18" spans="1:13" x14ac:dyDescent="0.25">
      <c r="A18" s="1">
        <v>11</v>
      </c>
      <c r="B18" s="13" t="s">
        <v>17</v>
      </c>
      <c r="C18" s="13"/>
      <c r="D18" s="14">
        <v>0</v>
      </c>
      <c r="E18" s="1">
        <v>3500</v>
      </c>
      <c r="F18" s="95">
        <v>3500</v>
      </c>
      <c r="G18" s="1"/>
      <c r="H18" s="16">
        <f t="shared" si="0"/>
        <v>3500</v>
      </c>
      <c r="I18" s="15"/>
      <c r="K18">
        <f>SUM(K14:K17)</f>
        <v>5700</v>
      </c>
      <c r="L18">
        <f>SUM(L14:L17)</f>
        <v>7800</v>
      </c>
      <c r="M18">
        <f>L18-K18</f>
        <v>2100</v>
      </c>
    </row>
    <row r="19" spans="1:13" x14ac:dyDescent="0.25">
      <c r="A19" s="1">
        <v>12</v>
      </c>
      <c r="B19" s="13" t="s">
        <v>18</v>
      </c>
      <c r="C19" s="13"/>
      <c r="D19" s="14">
        <v>0</v>
      </c>
      <c r="E19" s="1">
        <v>2500</v>
      </c>
      <c r="F19" s="95">
        <v>2500</v>
      </c>
      <c r="G19" s="1">
        <v>150</v>
      </c>
      <c r="H19" s="16">
        <f t="shared" si="0"/>
        <v>2650</v>
      </c>
      <c r="I19" s="15"/>
    </row>
    <row r="20" spans="1:13" ht="16.5" customHeight="1" x14ac:dyDescent="0.25">
      <c r="A20" s="1">
        <v>13</v>
      </c>
      <c r="B20" s="13" t="s">
        <v>97</v>
      </c>
      <c r="C20" s="13" t="s">
        <v>83</v>
      </c>
      <c r="D20" s="14"/>
      <c r="E20" s="1">
        <v>2500</v>
      </c>
      <c r="F20" s="95">
        <v>2500</v>
      </c>
      <c r="G20" s="1">
        <v>150</v>
      </c>
      <c r="H20" s="16">
        <f t="shared" si="0"/>
        <v>2650</v>
      </c>
      <c r="I20" s="15"/>
    </row>
    <row r="21" spans="1:13" x14ac:dyDescent="0.25">
      <c r="A21" s="1"/>
      <c r="B21" s="13"/>
      <c r="C21" s="13" t="s">
        <v>83</v>
      </c>
      <c r="D21" s="67">
        <f>SUM(D7:D19)</f>
        <v>5000</v>
      </c>
      <c r="E21" s="94">
        <f>SUM(E8:E20)</f>
        <v>31800</v>
      </c>
      <c r="F21" s="95">
        <f>SUM(F8:F20)</f>
        <v>30550</v>
      </c>
      <c r="G21" s="1">
        <f>SUM(G8:G20)</f>
        <v>1800</v>
      </c>
      <c r="H21" s="16">
        <f>SUM(H8:H20)</f>
        <v>33300</v>
      </c>
      <c r="I21" s="68">
        <f>SUM(I7:I20)</f>
        <v>10000</v>
      </c>
    </row>
    <row r="22" spans="1:13" x14ac:dyDescent="0.25">
      <c r="A22" s="101"/>
      <c r="B22" s="102"/>
      <c r="C22" s="102"/>
      <c r="D22" s="102"/>
      <c r="E22" s="102"/>
      <c r="F22" s="58"/>
      <c r="G22" s="58"/>
      <c r="H22" s="97"/>
      <c r="I22" s="97"/>
    </row>
    <row r="23" spans="1:13" ht="15.75" x14ac:dyDescent="0.25">
      <c r="A23" s="58"/>
      <c r="B23" s="58"/>
      <c r="C23" s="58"/>
      <c r="D23" s="19" t="s">
        <v>24</v>
      </c>
      <c r="E23" s="38"/>
      <c r="F23" s="38"/>
      <c r="G23" s="58"/>
      <c r="H23" s="58"/>
      <c r="I23" s="58"/>
    </row>
    <row r="24" spans="1:13" x14ac:dyDescent="0.25">
      <c r="A24" s="58"/>
      <c r="B24" s="21" t="s">
        <v>73</v>
      </c>
      <c r="C24" s="21"/>
      <c r="D24" s="41"/>
      <c r="E24" s="58"/>
      <c r="F24" s="58"/>
      <c r="G24" s="38"/>
      <c r="H24" s="39"/>
      <c r="I24" s="39"/>
    </row>
    <row r="25" spans="1:13" x14ac:dyDescent="0.25">
      <c r="A25" s="43"/>
      <c r="B25" s="58" t="s">
        <v>75</v>
      </c>
      <c r="C25" s="58"/>
      <c r="D25" s="58"/>
      <c r="E25" s="58"/>
      <c r="F25" s="100">
        <f>E21</f>
        <v>31800</v>
      </c>
      <c r="G25" s="44"/>
      <c r="H25" s="96"/>
      <c r="I25" s="58"/>
    </row>
    <row r="26" spans="1:13" x14ac:dyDescent="0.25">
      <c r="A26" s="43"/>
      <c r="B26" s="21" t="s">
        <v>98</v>
      </c>
      <c r="C26" s="21"/>
      <c r="D26" s="58"/>
      <c r="E26" s="58"/>
      <c r="F26" s="88" t="s">
        <v>83</v>
      </c>
      <c r="G26" s="58"/>
      <c r="H26" s="88"/>
      <c r="I26" s="58"/>
    </row>
    <row r="27" spans="1:13" s="58" customFormat="1" x14ac:dyDescent="0.25">
      <c r="A27" s="43"/>
      <c r="B27" s="21"/>
      <c r="C27" s="21"/>
      <c r="F27" s="88">
        <f>SUM(F25:F26)</f>
        <v>31800</v>
      </c>
      <c r="H27" s="88"/>
    </row>
    <row r="28" spans="1:13" ht="16.5" x14ac:dyDescent="0.35">
      <c r="A28" s="43"/>
      <c r="B28" s="84" t="s">
        <v>56</v>
      </c>
      <c r="C28" s="84"/>
      <c r="D28" s="58"/>
      <c r="E28" s="58"/>
      <c r="F28" s="58"/>
      <c r="G28" s="51"/>
      <c r="H28" s="88"/>
      <c r="I28" s="58"/>
    </row>
    <row r="29" spans="1:13" ht="16.5" x14ac:dyDescent="0.35">
      <c r="A29" s="43"/>
      <c r="B29" s="21" t="s">
        <v>36</v>
      </c>
      <c r="C29" s="21"/>
      <c r="D29" s="57">
        <v>0.1</v>
      </c>
      <c r="E29" s="58"/>
      <c r="F29" s="89">
        <f>F25*D29</f>
        <v>3180</v>
      </c>
      <c r="G29" s="51"/>
      <c r="H29" s="58"/>
      <c r="I29" s="58"/>
    </row>
    <row r="30" spans="1:13" x14ac:dyDescent="0.25">
      <c r="A30" s="43"/>
      <c r="B30" s="21" t="s">
        <v>64</v>
      </c>
      <c r="C30" s="21"/>
      <c r="D30" s="41"/>
      <c r="E30" s="58"/>
      <c r="F30" s="90">
        <v>8500</v>
      </c>
      <c r="G30" s="45"/>
      <c r="H30" s="58"/>
      <c r="I30" s="58"/>
    </row>
    <row r="31" spans="1:13" x14ac:dyDescent="0.25">
      <c r="A31" s="58"/>
      <c r="G31" s="93"/>
      <c r="H31" s="58"/>
      <c r="I31" s="58"/>
    </row>
    <row r="32" spans="1:13" x14ac:dyDescent="0.25">
      <c r="A32" s="58"/>
      <c r="B32" s="82" t="s">
        <v>66</v>
      </c>
      <c r="C32" s="58"/>
      <c r="D32" s="58"/>
      <c r="E32" s="58"/>
      <c r="F32" s="45">
        <f>SUM(F29:F31)</f>
        <v>11680</v>
      </c>
      <c r="G32" s="93"/>
      <c r="H32" s="58"/>
      <c r="I32" s="58"/>
    </row>
    <row r="33" spans="1:9" x14ac:dyDescent="0.25">
      <c r="A33" s="58"/>
      <c r="B33" s="58" t="s">
        <v>99</v>
      </c>
      <c r="C33" s="82"/>
      <c r="D33" s="83"/>
      <c r="E33" s="83"/>
      <c r="F33" s="91">
        <f>F25-F32</f>
        <v>20120</v>
      </c>
      <c r="G33" s="58"/>
      <c r="H33" s="58"/>
      <c r="I33" s="58"/>
    </row>
    <row r="34" spans="1:9" x14ac:dyDescent="0.25">
      <c r="A34" s="58"/>
      <c r="B34" s="21" t="s">
        <v>28</v>
      </c>
      <c r="C34" s="58"/>
      <c r="D34" s="58"/>
      <c r="E34" s="58"/>
      <c r="F34" s="58">
        <v>2500</v>
      </c>
      <c r="G34" s="58"/>
      <c r="H34" s="58"/>
      <c r="I34" s="58"/>
    </row>
    <row r="35" spans="1:9" x14ac:dyDescent="0.25">
      <c r="A35" s="58"/>
      <c r="B35" s="21" t="s">
        <v>96</v>
      </c>
      <c r="F35" s="45">
        <f>SUM(F33:F34)</f>
        <v>22620</v>
      </c>
      <c r="H35" s="58"/>
      <c r="I35" s="58"/>
    </row>
    <row r="36" spans="1:9" x14ac:dyDescent="0.25">
      <c r="A36" s="58"/>
      <c r="B36" s="56" t="s">
        <v>34</v>
      </c>
      <c r="C36" s="58" t="s">
        <v>93</v>
      </c>
      <c r="D36" s="58"/>
      <c r="E36" s="58"/>
      <c r="F36" s="56" t="s">
        <v>34</v>
      </c>
      <c r="G36" s="58"/>
      <c r="H36" s="58"/>
      <c r="I36" s="58"/>
    </row>
    <row r="37" spans="1:9" x14ac:dyDescent="0.25">
      <c r="A37" s="58"/>
      <c r="B37" s="21" t="s">
        <v>5</v>
      </c>
      <c r="C37" s="21"/>
      <c r="D37" s="58"/>
      <c r="E37" s="58"/>
      <c r="F37" s="58"/>
      <c r="G37" s="58"/>
      <c r="H37" s="58"/>
      <c r="I37" s="58"/>
    </row>
    <row r="38" spans="1:9" x14ac:dyDescent="0.25">
      <c r="A38" s="58"/>
      <c r="B38" s="56" t="s">
        <v>100</v>
      </c>
      <c r="C38" s="56" t="s">
        <v>92</v>
      </c>
      <c r="D38" s="58"/>
      <c r="E38" s="58"/>
      <c r="F38" s="56" t="s">
        <v>33</v>
      </c>
      <c r="G38" s="58"/>
      <c r="H38" s="58"/>
      <c r="I38" s="58"/>
    </row>
    <row r="39" spans="1:9" x14ac:dyDescent="0.25">
      <c r="A39" s="58"/>
      <c r="B39" s="58"/>
      <c r="C39" s="58"/>
      <c r="D39" s="58"/>
      <c r="E39" s="58"/>
      <c r="F39" s="58"/>
      <c r="G39" s="58"/>
      <c r="H39" s="58"/>
      <c r="I39" s="58"/>
    </row>
  </sheetData>
  <pageMargins left="0.22" right="0.27" top="0.75" bottom="0.75" header="0.3" footer="0.3"/>
  <pageSetup orientation="portrait" horizontalDpi="0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13" workbookViewId="0">
      <selection activeCell="M32" sqref="M32"/>
    </sheetView>
  </sheetViews>
  <sheetFormatPr defaultRowHeight="15" x14ac:dyDescent="0.25"/>
  <cols>
    <col min="2" max="2" width="16" customWidth="1"/>
    <col min="6" max="6" width="13.5703125" customWidth="1"/>
  </cols>
  <sheetData>
    <row r="1" spans="1:10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</row>
    <row r="2" spans="1:10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</row>
    <row r="3" spans="1:10" x14ac:dyDescent="0.25">
      <c r="A3" s="58"/>
      <c r="B3" s="58"/>
      <c r="C3" s="58"/>
      <c r="D3" s="32" t="s">
        <v>676</v>
      </c>
      <c r="E3" s="32"/>
      <c r="F3" s="32"/>
      <c r="G3" s="32"/>
      <c r="H3" s="58"/>
      <c r="I3" s="58"/>
      <c r="J3" s="58"/>
    </row>
    <row r="4" spans="1:10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</row>
    <row r="5" spans="1:10" ht="30" x14ac:dyDescent="0.25">
      <c r="A5" s="1">
        <v>1</v>
      </c>
      <c r="B5" s="247" t="s">
        <v>588</v>
      </c>
      <c r="C5" s="1"/>
      <c r="D5" s="1">
        <f>'NOVEMBER 21'!I5</f>
        <v>3100</v>
      </c>
      <c r="E5" s="1"/>
      <c r="F5" s="1"/>
      <c r="G5" s="1">
        <f>C5+D5+E5+F5</f>
        <v>3100</v>
      </c>
      <c r="H5" s="1"/>
      <c r="I5" s="1">
        <f t="shared" ref="I5:I16" si="0">G5-H5</f>
        <v>3100</v>
      </c>
      <c r="J5" s="58"/>
    </row>
    <row r="6" spans="1:10" ht="60" x14ac:dyDescent="0.25">
      <c r="A6" s="1">
        <v>2</v>
      </c>
      <c r="B6" s="247" t="s">
        <v>673</v>
      </c>
      <c r="C6" s="1"/>
      <c r="D6" s="1">
        <f>'NOVEMBER 21'!I6</f>
        <v>0</v>
      </c>
      <c r="E6" s="1"/>
      <c r="F6" s="1"/>
      <c r="G6" s="1">
        <f t="shared" ref="G6:G16" si="1">C6+D6+E6+F6</f>
        <v>0</v>
      </c>
      <c r="H6" s="1"/>
      <c r="I6" s="1">
        <f t="shared" si="0"/>
        <v>0</v>
      </c>
      <c r="J6" s="58"/>
    </row>
    <row r="7" spans="1:10" x14ac:dyDescent="0.25">
      <c r="A7" s="1">
        <v>3</v>
      </c>
      <c r="B7" s="248"/>
      <c r="C7" s="1"/>
      <c r="D7" s="1">
        <f>'NOVEMBER 21'!I7</f>
        <v>0</v>
      </c>
      <c r="E7" s="1"/>
      <c r="F7" s="1"/>
      <c r="G7" s="1">
        <f t="shared" si="1"/>
        <v>0</v>
      </c>
      <c r="H7" s="1"/>
      <c r="I7" s="1">
        <f t="shared" si="0"/>
        <v>0</v>
      </c>
      <c r="J7" s="58"/>
    </row>
    <row r="8" spans="1:10" x14ac:dyDescent="0.25">
      <c r="A8" s="1">
        <v>4</v>
      </c>
      <c r="B8" s="249"/>
      <c r="C8" s="1"/>
      <c r="D8" s="1"/>
      <c r="E8" s="1"/>
      <c r="F8" s="1"/>
      <c r="G8" s="1">
        <f t="shared" si="1"/>
        <v>0</v>
      </c>
      <c r="H8" s="1"/>
      <c r="I8" s="1">
        <f t="shared" si="0"/>
        <v>0</v>
      </c>
      <c r="J8" s="58"/>
    </row>
    <row r="9" spans="1:10" ht="45" x14ac:dyDescent="0.25">
      <c r="A9" s="1">
        <v>5</v>
      </c>
      <c r="B9" s="248" t="s">
        <v>574</v>
      </c>
      <c r="C9" s="1"/>
      <c r="D9" s="1"/>
      <c r="E9" s="1"/>
      <c r="F9" s="1"/>
      <c r="G9" s="1">
        <f t="shared" si="1"/>
        <v>0</v>
      </c>
      <c r="H9" s="1"/>
      <c r="I9" s="1">
        <f t="shared" si="0"/>
        <v>0</v>
      </c>
      <c r="J9" s="58"/>
    </row>
    <row r="10" spans="1:10" ht="30" x14ac:dyDescent="0.25">
      <c r="A10" s="1">
        <v>6</v>
      </c>
      <c r="B10" s="250" t="s">
        <v>650</v>
      </c>
      <c r="C10" s="1"/>
      <c r="D10" s="1">
        <f>'NOVEMBER 21'!I10</f>
        <v>6300</v>
      </c>
      <c r="E10" s="1"/>
      <c r="F10" s="1"/>
      <c r="G10" s="1">
        <f t="shared" si="1"/>
        <v>6300</v>
      </c>
      <c r="H10" s="1"/>
      <c r="I10" s="1">
        <f>G10-H10</f>
        <v>6300</v>
      </c>
      <c r="J10" s="58"/>
    </row>
    <row r="11" spans="1:10" ht="30" x14ac:dyDescent="0.25">
      <c r="A11" s="1">
        <v>7</v>
      </c>
      <c r="B11" s="250" t="s">
        <v>656</v>
      </c>
      <c r="C11" s="1"/>
      <c r="D11" s="1">
        <f>'NOVEMBER 21'!I11</f>
        <v>3100</v>
      </c>
      <c r="E11" s="1"/>
      <c r="F11" s="1"/>
      <c r="G11" s="1">
        <f t="shared" si="1"/>
        <v>3100</v>
      </c>
      <c r="H11" s="1"/>
      <c r="I11" s="1">
        <f t="shared" si="0"/>
        <v>3100</v>
      </c>
      <c r="J11" s="58"/>
    </row>
    <row r="12" spans="1:10" ht="60" x14ac:dyDescent="0.25">
      <c r="A12" s="1">
        <v>8</v>
      </c>
      <c r="B12" s="249" t="s">
        <v>573</v>
      </c>
      <c r="C12" s="1"/>
      <c r="D12" s="1">
        <f>'NOVEMBER 21'!I12</f>
        <v>0</v>
      </c>
      <c r="E12" s="1"/>
      <c r="F12" s="1"/>
      <c r="G12" s="1">
        <f t="shared" si="1"/>
        <v>0</v>
      </c>
      <c r="H12" s="1"/>
      <c r="I12" s="1">
        <f t="shared" si="0"/>
        <v>0</v>
      </c>
      <c r="J12" s="58"/>
    </row>
    <row r="13" spans="1:10" ht="30" x14ac:dyDescent="0.25">
      <c r="A13" s="1">
        <v>9</v>
      </c>
      <c r="B13" s="247" t="s">
        <v>658</v>
      </c>
      <c r="C13" s="1"/>
      <c r="D13" s="1">
        <f>'NOVEMBER 21'!I13</f>
        <v>1100</v>
      </c>
      <c r="E13" s="1"/>
      <c r="F13" s="1"/>
      <c r="G13" s="1">
        <f t="shared" si="1"/>
        <v>1100</v>
      </c>
      <c r="H13" s="1"/>
      <c r="I13" s="1">
        <f t="shared" si="0"/>
        <v>1100</v>
      </c>
      <c r="J13" s="58"/>
    </row>
    <row r="14" spans="1:10" x14ac:dyDescent="0.25">
      <c r="A14" s="1">
        <v>10</v>
      </c>
      <c r="B14" s="251" t="s">
        <v>400</v>
      </c>
      <c r="C14" s="1"/>
      <c r="D14" s="1"/>
      <c r="E14" s="1"/>
      <c r="F14" s="1"/>
      <c r="G14" s="1">
        <f t="shared" si="1"/>
        <v>0</v>
      </c>
      <c r="H14" s="1"/>
      <c r="I14" s="1">
        <f>G14-H14</f>
        <v>0</v>
      </c>
      <c r="J14" s="58"/>
    </row>
    <row r="15" spans="1:10" ht="30" x14ac:dyDescent="0.25">
      <c r="A15" s="1">
        <v>11</v>
      </c>
      <c r="B15" s="250" t="s">
        <v>345</v>
      </c>
      <c r="C15" s="1"/>
      <c r="D15" s="1">
        <f>'NOVEMBER 21'!I15</f>
        <v>4600</v>
      </c>
      <c r="E15" s="1">
        <v>4500</v>
      </c>
      <c r="F15" s="1">
        <v>100</v>
      </c>
      <c r="G15" s="1">
        <f t="shared" si="1"/>
        <v>9200</v>
      </c>
      <c r="H15" s="1"/>
      <c r="I15" s="1">
        <f t="shared" si="0"/>
        <v>9200</v>
      </c>
      <c r="J15" s="58"/>
    </row>
    <row r="16" spans="1:10" x14ac:dyDescent="0.25">
      <c r="A16" s="1">
        <v>12</v>
      </c>
      <c r="B16" s="252" t="s">
        <v>80</v>
      </c>
      <c r="C16" s="1"/>
      <c r="D16" s="1">
        <f>'NOVEMBER 21'!I16</f>
        <v>100</v>
      </c>
      <c r="E16" s="1"/>
      <c r="F16" s="1">
        <v>100</v>
      </c>
      <c r="G16" s="1">
        <f t="shared" si="1"/>
        <v>200</v>
      </c>
      <c r="H16" s="1"/>
      <c r="I16" s="1">
        <f t="shared" si="0"/>
        <v>200</v>
      </c>
      <c r="J16" s="58"/>
    </row>
    <row r="17" spans="1:13" x14ac:dyDescent="0.25">
      <c r="A17" s="1" t="s">
        <v>129</v>
      </c>
      <c r="B17" s="1"/>
      <c r="C17" s="1">
        <f t="shared" ref="C17:I17" si="2">SUM(C5:C16)</f>
        <v>0</v>
      </c>
      <c r="D17" s="1">
        <f>SUM(D5:D16)</f>
        <v>18300</v>
      </c>
      <c r="E17" s="1">
        <f t="shared" si="2"/>
        <v>4500</v>
      </c>
      <c r="F17" s="1">
        <f t="shared" si="2"/>
        <v>200</v>
      </c>
      <c r="G17" s="1">
        <f t="shared" si="2"/>
        <v>23000</v>
      </c>
      <c r="H17" s="1">
        <f>SUM(H5:H16)</f>
        <v>0</v>
      </c>
      <c r="I17" s="1">
        <f t="shared" si="2"/>
        <v>23000</v>
      </c>
      <c r="J17" s="58"/>
    </row>
    <row r="18" spans="1:13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</row>
    <row r="19" spans="1:13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</row>
    <row r="20" spans="1:13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</row>
    <row r="21" spans="1:13" x14ac:dyDescent="0.25">
      <c r="A21" s="165" t="s">
        <v>504</v>
      </c>
      <c r="B21" s="165"/>
      <c r="C21" s="165">
        <f>E17</f>
        <v>4500</v>
      </c>
      <c r="D21" s="165"/>
      <c r="E21" s="165"/>
      <c r="F21" s="165" t="s">
        <v>405</v>
      </c>
      <c r="G21" s="232">
        <f>H17</f>
        <v>0</v>
      </c>
      <c r="H21" s="165"/>
      <c r="I21" s="165"/>
      <c r="J21" s="58"/>
    </row>
    <row r="22" spans="1:13" x14ac:dyDescent="0.25">
      <c r="A22" s="165" t="s">
        <v>1</v>
      </c>
      <c r="B22" s="165"/>
      <c r="C22" s="100">
        <f>G22</f>
        <v>1002</v>
      </c>
      <c r="D22" s="165"/>
      <c r="E22" s="165"/>
      <c r="F22" s="165" t="s">
        <v>1</v>
      </c>
      <c r="G22" s="173">
        <f>'NOVEMBER 21'!I39</f>
        <v>1002</v>
      </c>
      <c r="H22" s="165"/>
      <c r="I22" s="165"/>
      <c r="J22" s="58"/>
    </row>
    <row r="23" spans="1:13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</row>
    <row r="24" spans="1:13" x14ac:dyDescent="0.25">
      <c r="A24" s="165" t="s">
        <v>325</v>
      </c>
      <c r="B24" s="165"/>
      <c r="C24" s="226">
        <v>0.1</v>
      </c>
      <c r="D24" s="165">
        <f>C21*C24</f>
        <v>450</v>
      </c>
      <c r="E24" s="165"/>
      <c r="F24" s="165" t="s">
        <v>325</v>
      </c>
      <c r="G24" s="226">
        <v>0.1</v>
      </c>
      <c r="H24" s="165">
        <f>D24</f>
        <v>450</v>
      </c>
      <c r="I24" s="165"/>
      <c r="J24" s="58"/>
    </row>
    <row r="25" spans="1:13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</row>
    <row r="26" spans="1:13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</row>
    <row r="27" spans="1:13" x14ac:dyDescent="0.25">
      <c r="A27" s="165" t="s">
        <v>350</v>
      </c>
      <c r="B27" s="165"/>
      <c r="C27" s="222"/>
      <c r="D27" s="222">
        <v>2530</v>
      </c>
      <c r="E27" s="165"/>
      <c r="F27" s="165" t="s">
        <v>350</v>
      </c>
      <c r="G27" s="222"/>
      <c r="H27" s="222">
        <v>2530</v>
      </c>
      <c r="I27" s="165"/>
      <c r="J27" s="58"/>
    </row>
    <row r="28" spans="1:13" x14ac:dyDescent="0.25">
      <c r="A28" s="222" t="s">
        <v>377</v>
      </c>
      <c r="B28" s="1"/>
      <c r="C28" s="151"/>
      <c r="D28" s="151">
        <v>100</v>
      </c>
      <c r="E28" s="165"/>
      <c r="F28" s="222" t="s">
        <v>377</v>
      </c>
      <c r="G28" s="1"/>
      <c r="H28" s="151">
        <f>F17</f>
        <v>200</v>
      </c>
      <c r="I28" s="151"/>
      <c r="J28" s="58"/>
    </row>
    <row r="29" spans="1:13" x14ac:dyDescent="0.25">
      <c r="A29" s="222" t="s">
        <v>328</v>
      </c>
      <c r="B29" s="1"/>
      <c r="C29" s="151"/>
      <c r="D29" s="151"/>
      <c r="E29" s="165"/>
      <c r="F29" s="222" t="s">
        <v>328</v>
      </c>
      <c r="G29" s="1"/>
      <c r="H29" s="151"/>
      <c r="I29" s="151"/>
      <c r="J29" s="58"/>
      <c r="K29">
        <f>20900+7000</f>
        <v>27900</v>
      </c>
    </row>
    <row r="30" spans="1:13" x14ac:dyDescent="0.25">
      <c r="A30" s="222"/>
      <c r="B30" s="1"/>
      <c r="C30" s="151"/>
      <c r="D30" s="58"/>
      <c r="E30" s="151"/>
      <c r="F30" s="222"/>
      <c r="G30" s="1"/>
      <c r="H30" s="151"/>
      <c r="I30" s="58"/>
      <c r="J30" s="58"/>
      <c r="M30">
        <f>K29+7700</f>
        <v>35600</v>
      </c>
    </row>
    <row r="31" spans="1:13" x14ac:dyDescent="0.25">
      <c r="A31" s="225"/>
      <c r="B31" s="241"/>
      <c r="C31" s="151"/>
      <c r="D31" s="151"/>
      <c r="E31" s="165"/>
      <c r="F31" s="225"/>
      <c r="G31" s="241"/>
      <c r="H31" s="151"/>
      <c r="I31" s="151"/>
      <c r="J31" s="58"/>
      <c r="M31">
        <f>22600+100+700</f>
        <v>23400</v>
      </c>
    </row>
    <row r="32" spans="1:13" x14ac:dyDescent="0.25">
      <c r="A32" s="222"/>
      <c r="B32" s="1"/>
      <c r="C32" s="151"/>
      <c r="D32" s="151"/>
      <c r="E32" s="165"/>
      <c r="F32" s="222"/>
      <c r="G32" s="1"/>
      <c r="H32" s="151"/>
      <c r="I32" s="151"/>
      <c r="J32" s="58"/>
    </row>
    <row r="33" spans="1:10" x14ac:dyDescent="0.25">
      <c r="A33" s="222"/>
      <c r="B33" s="1"/>
      <c r="C33" s="151"/>
      <c r="D33" s="165"/>
      <c r="E33" s="165"/>
      <c r="F33" s="222"/>
      <c r="G33" s="1"/>
      <c r="H33" s="151"/>
      <c r="I33" s="165"/>
      <c r="J33" s="58"/>
    </row>
    <row r="34" spans="1:10" x14ac:dyDescent="0.25">
      <c r="A34" s="222"/>
      <c r="B34" s="1"/>
      <c r="C34" s="151"/>
      <c r="D34" s="165"/>
      <c r="E34" s="165"/>
      <c r="F34" s="222"/>
      <c r="G34" s="1"/>
      <c r="H34" s="151"/>
      <c r="I34" s="165"/>
      <c r="J34" s="58"/>
    </row>
    <row r="35" spans="1:10" x14ac:dyDescent="0.25">
      <c r="A35" s="222"/>
      <c r="B35" s="1"/>
      <c r="C35" s="151"/>
      <c r="D35" s="165"/>
      <c r="E35" s="165"/>
      <c r="F35" s="222"/>
      <c r="G35" s="1"/>
      <c r="H35" s="151"/>
      <c r="I35" s="165"/>
      <c r="J35" s="58"/>
    </row>
    <row r="36" spans="1:10" x14ac:dyDescent="0.25">
      <c r="A36" s="222"/>
      <c r="B36" s="1"/>
      <c r="C36" s="151"/>
      <c r="D36" s="151"/>
      <c r="E36" s="165"/>
      <c r="F36" s="222"/>
      <c r="G36" s="1"/>
      <c r="H36" s="151"/>
      <c r="I36" s="165"/>
      <c r="J36" s="58"/>
    </row>
    <row r="37" spans="1:10" x14ac:dyDescent="0.25">
      <c r="A37" s="222"/>
      <c r="B37" s="1"/>
      <c r="C37" s="151"/>
      <c r="D37" s="165"/>
      <c r="E37" s="165"/>
      <c r="F37" s="222"/>
      <c r="G37" s="1"/>
      <c r="H37" s="151"/>
      <c r="I37" s="165"/>
      <c r="J37" s="58"/>
    </row>
    <row r="38" spans="1:10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</row>
    <row r="39" spans="1:10" x14ac:dyDescent="0.25">
      <c r="A39" s="217" t="s">
        <v>129</v>
      </c>
      <c r="B39" s="217"/>
      <c r="C39" s="1">
        <f>C21+C22+C23-D24</f>
        <v>5052</v>
      </c>
      <c r="D39" s="217">
        <f>SUM(D26:D38)</f>
        <v>2630</v>
      </c>
      <c r="E39" s="1">
        <f>C39-D39</f>
        <v>2422</v>
      </c>
      <c r="F39" s="217" t="s">
        <v>129</v>
      </c>
      <c r="G39" s="236">
        <f>G21+G22+G23-H24</f>
        <v>552</v>
      </c>
      <c r="H39" s="217">
        <f>SUM(H26:H38)</f>
        <v>2730</v>
      </c>
      <c r="I39" s="140">
        <f>G39-H39</f>
        <v>-2178</v>
      </c>
      <c r="J39" s="5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6" sqref="J6:J21"/>
    </sheetView>
  </sheetViews>
  <sheetFormatPr defaultRowHeight="15" x14ac:dyDescent="0.25"/>
  <cols>
    <col min="2" max="2" width="20.140625" bestFit="1" customWidth="1"/>
    <col min="6" max="6" width="9.140625" style="58"/>
    <col min="7" max="7" width="12.7109375" customWidth="1"/>
    <col min="9" max="9" width="15" customWidth="1"/>
  </cols>
  <sheetData>
    <row r="1" spans="1:10" x14ac:dyDescent="0.25">
      <c r="A1" s="21"/>
      <c r="B1" s="21"/>
      <c r="C1" s="21"/>
      <c r="D1" s="75"/>
      <c r="E1" s="76" t="s">
        <v>59</v>
      </c>
      <c r="F1" s="76"/>
      <c r="G1" s="76"/>
      <c r="H1" s="76"/>
      <c r="I1" s="76"/>
      <c r="J1" s="76"/>
    </row>
    <row r="2" spans="1:10" ht="16.5" x14ac:dyDescent="0.25">
      <c r="A2" s="21"/>
      <c r="B2" s="21"/>
      <c r="C2" s="21"/>
      <c r="D2" s="75"/>
      <c r="E2" s="76" t="s">
        <v>60</v>
      </c>
      <c r="F2" s="76"/>
      <c r="G2" s="76"/>
      <c r="H2" s="76"/>
      <c r="I2" s="77"/>
      <c r="J2" s="77"/>
    </row>
    <row r="3" spans="1:10" x14ac:dyDescent="0.25">
      <c r="A3" s="21"/>
      <c r="B3" s="21"/>
      <c r="C3" s="21"/>
      <c r="D3" s="77"/>
      <c r="E3" s="78" t="s">
        <v>22</v>
      </c>
      <c r="F3" s="78"/>
      <c r="G3" s="78"/>
      <c r="H3" s="78"/>
      <c r="I3" s="78"/>
      <c r="J3" s="78"/>
    </row>
    <row r="4" spans="1:10" x14ac:dyDescent="0.25">
      <c r="A4" s="31" t="s">
        <v>47</v>
      </c>
      <c r="B4" s="58"/>
      <c r="C4" s="58"/>
      <c r="D4" s="31"/>
      <c r="E4" s="58"/>
      <c r="G4" s="58"/>
      <c r="H4" s="58"/>
      <c r="I4" s="31"/>
      <c r="J4" s="31"/>
    </row>
    <row r="5" spans="1:10" ht="23.25" x14ac:dyDescent="0.35">
      <c r="A5" s="33" t="s">
        <v>95</v>
      </c>
      <c r="B5" s="35"/>
      <c r="C5" s="35"/>
      <c r="D5" s="34"/>
      <c r="E5" s="34"/>
      <c r="F5" s="34"/>
      <c r="G5" s="34"/>
      <c r="H5" s="34"/>
      <c r="I5" s="37"/>
      <c r="J5" s="37"/>
    </row>
    <row r="6" spans="1:10" x14ac:dyDescent="0.25">
      <c r="A6" s="1"/>
      <c r="B6" s="8" t="s">
        <v>0</v>
      </c>
      <c r="C6" s="8" t="s">
        <v>81</v>
      </c>
      <c r="D6" s="9" t="s">
        <v>1</v>
      </c>
      <c r="E6" s="8" t="s">
        <v>2</v>
      </c>
      <c r="F6" s="1" t="s">
        <v>77</v>
      </c>
      <c r="G6" s="1" t="s">
        <v>78</v>
      </c>
      <c r="H6" s="8" t="s">
        <v>3</v>
      </c>
      <c r="I6" s="8" t="s">
        <v>5</v>
      </c>
      <c r="J6" s="103" t="s">
        <v>102</v>
      </c>
    </row>
    <row r="7" spans="1:10" x14ac:dyDescent="0.25">
      <c r="A7" s="1"/>
      <c r="B7" s="11"/>
      <c r="C7" s="11"/>
      <c r="D7" s="11"/>
      <c r="E7" s="11"/>
      <c r="G7" s="1"/>
      <c r="H7" s="12"/>
      <c r="I7" s="12"/>
      <c r="J7" s="1"/>
    </row>
    <row r="8" spans="1:10" x14ac:dyDescent="0.25">
      <c r="A8" s="1">
        <v>1</v>
      </c>
      <c r="B8" s="13" t="s">
        <v>68</v>
      </c>
      <c r="C8" s="13"/>
      <c r="D8" s="14">
        <v>0</v>
      </c>
      <c r="E8" s="1">
        <v>2500</v>
      </c>
      <c r="F8" s="1">
        <v>150</v>
      </c>
      <c r="G8" s="16">
        <f>E8+F8</f>
        <v>2650</v>
      </c>
      <c r="H8" s="68">
        <v>2650</v>
      </c>
      <c r="I8" s="15">
        <f>G8-H8</f>
        <v>0</v>
      </c>
      <c r="J8" s="16">
        <f>H8-F8</f>
        <v>2500</v>
      </c>
    </row>
    <row r="9" spans="1:10" x14ac:dyDescent="0.25">
      <c r="A9" s="1">
        <v>2</v>
      </c>
      <c r="B9" s="13" t="s">
        <v>52</v>
      </c>
      <c r="C9" s="13"/>
      <c r="D9" s="14">
        <v>0</v>
      </c>
      <c r="E9" s="1">
        <v>2500</v>
      </c>
      <c r="F9" s="1">
        <v>150</v>
      </c>
      <c r="G9" s="16">
        <f t="shared" ref="G9:G21" si="0">E9+F9</f>
        <v>2650</v>
      </c>
      <c r="H9" s="95">
        <v>0</v>
      </c>
      <c r="I9" s="15">
        <f t="shared" ref="I9:I21" si="1">G9-H9</f>
        <v>2650</v>
      </c>
      <c r="J9" s="16">
        <v>2500</v>
      </c>
    </row>
    <row r="10" spans="1:10" x14ac:dyDescent="0.25">
      <c r="A10" s="1">
        <v>3</v>
      </c>
      <c r="B10" s="13" t="s">
        <v>82</v>
      </c>
      <c r="C10" s="13"/>
      <c r="D10" s="14">
        <v>0</v>
      </c>
      <c r="E10" s="1">
        <v>2500</v>
      </c>
      <c r="F10" s="1">
        <v>150</v>
      </c>
      <c r="G10" s="16">
        <f t="shared" si="0"/>
        <v>2650</v>
      </c>
      <c r="H10" s="95">
        <v>0</v>
      </c>
      <c r="I10" s="15">
        <f t="shared" si="1"/>
        <v>2650</v>
      </c>
      <c r="J10" s="16">
        <v>1300</v>
      </c>
    </row>
    <row r="11" spans="1:10" x14ac:dyDescent="0.25">
      <c r="A11" s="1">
        <v>4</v>
      </c>
      <c r="B11" s="13" t="s">
        <v>10</v>
      </c>
      <c r="C11" s="13"/>
      <c r="D11" s="14">
        <v>0</v>
      </c>
      <c r="E11" s="1">
        <v>2500</v>
      </c>
      <c r="F11" s="1">
        <v>150</v>
      </c>
      <c r="G11" s="16">
        <f t="shared" si="0"/>
        <v>2650</v>
      </c>
      <c r="H11" s="68">
        <v>2650</v>
      </c>
      <c r="I11" s="15">
        <f t="shared" si="1"/>
        <v>0</v>
      </c>
      <c r="J11" s="16">
        <f>H11-F11</f>
        <v>2500</v>
      </c>
    </row>
    <row r="12" spans="1:10" x14ac:dyDescent="0.25">
      <c r="A12" s="1">
        <v>5</v>
      </c>
      <c r="B12" s="13" t="s">
        <v>101</v>
      </c>
      <c r="C12" s="13"/>
      <c r="D12" s="14">
        <v>0</v>
      </c>
      <c r="E12" s="1">
        <v>2500</v>
      </c>
      <c r="F12" s="1">
        <v>150</v>
      </c>
      <c r="G12" s="16">
        <f t="shared" si="0"/>
        <v>2650</v>
      </c>
      <c r="H12" s="95">
        <v>0</v>
      </c>
      <c r="I12" s="15">
        <f t="shared" si="1"/>
        <v>2650</v>
      </c>
      <c r="J12" s="16">
        <v>2500</v>
      </c>
    </row>
    <row r="13" spans="1:10" x14ac:dyDescent="0.25">
      <c r="A13" s="1">
        <v>6</v>
      </c>
      <c r="B13" s="13" t="s">
        <v>12</v>
      </c>
      <c r="C13" s="13"/>
      <c r="D13" s="14"/>
      <c r="E13" s="1"/>
      <c r="F13" s="1">
        <v>150</v>
      </c>
      <c r="G13" s="16">
        <f t="shared" si="0"/>
        <v>150</v>
      </c>
      <c r="H13" s="95"/>
      <c r="I13" s="15">
        <f t="shared" si="1"/>
        <v>150</v>
      </c>
      <c r="J13" s="16"/>
    </row>
    <row r="14" spans="1:10" x14ac:dyDescent="0.25">
      <c r="A14" s="1">
        <v>7</v>
      </c>
      <c r="B14" s="13" t="s">
        <v>14</v>
      </c>
      <c r="C14" s="13"/>
      <c r="D14" s="14">
        <v>0</v>
      </c>
      <c r="E14" s="1">
        <v>3500</v>
      </c>
      <c r="F14" s="1"/>
      <c r="G14" s="16">
        <f t="shared" si="0"/>
        <v>3500</v>
      </c>
      <c r="H14" s="95">
        <v>0</v>
      </c>
      <c r="I14" s="15">
        <f t="shared" si="1"/>
        <v>3500</v>
      </c>
      <c r="J14" s="16">
        <v>2500</v>
      </c>
    </row>
    <row r="15" spans="1:10" x14ac:dyDescent="0.25">
      <c r="A15" s="1">
        <v>8</v>
      </c>
      <c r="B15" s="13" t="s">
        <v>13</v>
      </c>
      <c r="C15" s="13"/>
      <c r="D15" s="14">
        <v>0</v>
      </c>
      <c r="E15" s="1">
        <v>3500</v>
      </c>
      <c r="F15" s="1">
        <v>150</v>
      </c>
      <c r="G15" s="16">
        <f t="shared" si="0"/>
        <v>3650</v>
      </c>
      <c r="H15" s="68">
        <v>3650</v>
      </c>
      <c r="I15" s="15">
        <f t="shared" si="1"/>
        <v>0</v>
      </c>
      <c r="J15" s="16">
        <f>H15-F15</f>
        <v>3500</v>
      </c>
    </row>
    <row r="16" spans="1:10" x14ac:dyDescent="0.25">
      <c r="A16" s="1">
        <v>9</v>
      </c>
      <c r="B16" s="79" t="s">
        <v>15</v>
      </c>
      <c r="C16" s="79"/>
      <c r="D16" s="14">
        <v>0</v>
      </c>
      <c r="E16" s="1">
        <v>2500</v>
      </c>
      <c r="F16" s="1">
        <v>150</v>
      </c>
      <c r="G16" s="16">
        <f t="shared" si="0"/>
        <v>2650</v>
      </c>
      <c r="H16" s="95">
        <v>0</v>
      </c>
      <c r="I16" s="15">
        <f t="shared" si="1"/>
        <v>2650</v>
      </c>
      <c r="J16" s="16">
        <v>2500</v>
      </c>
    </row>
    <row r="17" spans="1:10" x14ac:dyDescent="0.25">
      <c r="A17" s="1">
        <v>10</v>
      </c>
      <c r="B17" s="79" t="s">
        <v>67</v>
      </c>
      <c r="C17" s="79"/>
      <c r="D17" s="14"/>
      <c r="E17" s="1">
        <v>2500</v>
      </c>
      <c r="F17" s="1">
        <v>150</v>
      </c>
      <c r="G17" s="16">
        <f t="shared" si="0"/>
        <v>2650</v>
      </c>
      <c r="H17" s="68">
        <v>2650</v>
      </c>
      <c r="I17" s="15">
        <f t="shared" si="1"/>
        <v>0</v>
      </c>
      <c r="J17" s="16">
        <f>H17-F17</f>
        <v>2500</v>
      </c>
    </row>
    <row r="18" spans="1:10" x14ac:dyDescent="0.25">
      <c r="A18" s="1">
        <v>11</v>
      </c>
      <c r="B18" s="13" t="s">
        <v>17</v>
      </c>
      <c r="C18" s="13"/>
      <c r="D18" s="14">
        <v>0</v>
      </c>
      <c r="E18" s="1">
        <v>3500</v>
      </c>
      <c r="F18" s="1"/>
      <c r="G18" s="16">
        <f t="shared" si="0"/>
        <v>3500</v>
      </c>
      <c r="H18" s="68">
        <v>3500</v>
      </c>
      <c r="I18" s="15">
        <f t="shared" si="1"/>
        <v>0</v>
      </c>
      <c r="J18" s="16">
        <f>H18-F18</f>
        <v>3500</v>
      </c>
    </row>
    <row r="19" spans="1:10" x14ac:dyDescent="0.25">
      <c r="A19" s="1">
        <v>12</v>
      </c>
      <c r="B19" s="13" t="s">
        <v>18</v>
      </c>
      <c r="C19" s="13"/>
      <c r="D19" s="14">
        <v>0</v>
      </c>
      <c r="E19" s="1">
        <v>2500</v>
      </c>
      <c r="F19" s="1">
        <v>150</v>
      </c>
      <c r="G19" s="16">
        <f t="shared" si="0"/>
        <v>2650</v>
      </c>
      <c r="H19" s="68">
        <v>2500</v>
      </c>
      <c r="I19" s="15">
        <f t="shared" si="1"/>
        <v>150</v>
      </c>
      <c r="J19" s="16">
        <v>2500</v>
      </c>
    </row>
    <row r="20" spans="1:10" x14ac:dyDescent="0.25">
      <c r="A20" s="1">
        <v>13</v>
      </c>
      <c r="B20" s="13" t="s">
        <v>97</v>
      </c>
      <c r="C20" s="13" t="s">
        <v>83</v>
      </c>
      <c r="D20" s="14"/>
      <c r="E20" s="1">
        <v>2500</v>
      </c>
      <c r="F20" s="1">
        <v>150</v>
      </c>
      <c r="G20" s="16">
        <f t="shared" si="0"/>
        <v>2650</v>
      </c>
      <c r="H20" s="68">
        <v>2650</v>
      </c>
      <c r="I20" s="15">
        <f t="shared" si="1"/>
        <v>0</v>
      </c>
      <c r="J20" s="16">
        <f>H20-F20</f>
        <v>2500</v>
      </c>
    </row>
    <row r="21" spans="1:10" x14ac:dyDescent="0.25">
      <c r="A21" s="1"/>
      <c r="B21" s="13"/>
      <c r="C21" s="13" t="s">
        <v>83</v>
      </c>
      <c r="D21" s="67">
        <f>SUM(D7:D19)</f>
        <v>0</v>
      </c>
      <c r="E21" s="94">
        <f>SUM(E8:E20)</f>
        <v>33000</v>
      </c>
      <c r="F21" s="1">
        <v>150</v>
      </c>
      <c r="G21" s="16">
        <f t="shared" si="0"/>
        <v>33150</v>
      </c>
      <c r="H21" s="95">
        <f>SUM(H8:H20)</f>
        <v>20250</v>
      </c>
      <c r="I21" s="15">
        <f t="shared" si="1"/>
        <v>12900</v>
      </c>
      <c r="J21" s="16">
        <f>SUM(J7:J20)</f>
        <v>30800</v>
      </c>
    </row>
    <row r="22" spans="1:10" x14ac:dyDescent="0.25">
      <c r="A22" s="1"/>
      <c r="B22" s="11"/>
      <c r="C22" s="11"/>
      <c r="D22" s="11"/>
      <c r="E22" s="11"/>
      <c r="F22" s="1">
        <f>SUM(F9:F21)</f>
        <v>1650</v>
      </c>
      <c r="G22" s="58"/>
      <c r="I22" s="97"/>
      <c r="J22" s="97"/>
    </row>
    <row r="23" spans="1:10" ht="15.75" x14ac:dyDescent="0.25">
      <c r="A23" s="58"/>
      <c r="B23" s="58"/>
      <c r="C23" s="58"/>
      <c r="D23" s="19" t="s">
        <v>24</v>
      </c>
      <c r="E23" s="38"/>
      <c r="F23" s="38"/>
      <c r="G23" s="38"/>
      <c r="H23" s="58"/>
      <c r="I23" s="58"/>
      <c r="J23" s="58"/>
    </row>
    <row r="24" spans="1:10" x14ac:dyDescent="0.25">
      <c r="A24" s="58"/>
      <c r="B24" s="21" t="s">
        <v>73</v>
      </c>
      <c r="C24" s="21"/>
      <c r="D24" s="41"/>
      <c r="E24" s="58"/>
      <c r="G24" s="58"/>
      <c r="H24" s="38"/>
      <c r="I24" s="39"/>
      <c r="J24" s="39"/>
    </row>
    <row r="25" spans="1:10" x14ac:dyDescent="0.25">
      <c r="A25" s="43"/>
      <c r="B25" s="58" t="s">
        <v>75</v>
      </c>
      <c r="C25" s="58"/>
      <c r="D25" s="58"/>
      <c r="E25" s="58"/>
      <c r="G25" s="100">
        <f>J21</f>
        <v>30800</v>
      </c>
      <c r="H25" s="44"/>
      <c r="I25" s="96"/>
      <c r="J25" s="58"/>
    </row>
    <row r="26" spans="1:10" x14ac:dyDescent="0.25">
      <c r="A26" s="43"/>
      <c r="B26" s="21"/>
      <c r="C26" s="21"/>
      <c r="D26" s="58"/>
      <c r="E26" s="58"/>
      <c r="G26" s="88"/>
      <c r="H26" s="58"/>
      <c r="I26" s="88"/>
      <c r="J26" s="58"/>
    </row>
    <row r="27" spans="1:10" x14ac:dyDescent="0.25">
      <c r="A27" s="43"/>
      <c r="B27" s="21"/>
      <c r="C27" s="21"/>
      <c r="D27" s="58"/>
      <c r="E27" s="58"/>
      <c r="G27" s="88">
        <f>SUM(G25:G26)</f>
        <v>30800</v>
      </c>
      <c r="H27" s="58"/>
      <c r="I27" s="88"/>
      <c r="J27" s="58"/>
    </row>
    <row r="28" spans="1:10" ht="16.5" x14ac:dyDescent="0.35">
      <c r="A28" s="43"/>
      <c r="B28" s="84" t="s">
        <v>56</v>
      </c>
      <c r="C28" s="84"/>
      <c r="D28" s="58"/>
      <c r="E28" s="58"/>
      <c r="G28" s="58"/>
      <c r="H28" s="51"/>
      <c r="I28" s="88"/>
      <c r="J28" s="58"/>
    </row>
    <row r="29" spans="1:10" ht="16.5" x14ac:dyDescent="0.35">
      <c r="A29" s="43"/>
      <c r="B29" s="21" t="s">
        <v>36</v>
      </c>
      <c r="C29" s="21"/>
      <c r="D29" s="57">
        <v>0.1</v>
      </c>
      <c r="E29" s="58"/>
      <c r="G29" s="89">
        <f>G25*D29</f>
        <v>3080</v>
      </c>
      <c r="H29" s="51"/>
      <c r="I29" s="58"/>
      <c r="J29" s="58"/>
    </row>
    <row r="30" spans="1:10" x14ac:dyDescent="0.25">
      <c r="A30" s="43"/>
      <c r="B30" s="21" t="s">
        <v>64</v>
      </c>
      <c r="C30" s="21"/>
      <c r="D30" s="41"/>
      <c r="E30" s="58"/>
      <c r="G30" s="90">
        <v>7000</v>
      </c>
      <c r="H30" s="45"/>
      <c r="I30" s="58"/>
      <c r="J30" s="58"/>
    </row>
    <row r="31" spans="1:10" x14ac:dyDescent="0.25">
      <c r="A31" s="58"/>
      <c r="B31" s="58"/>
      <c r="C31" s="58"/>
      <c r="D31" s="58"/>
      <c r="E31" s="58"/>
      <c r="G31" s="58"/>
      <c r="H31" s="93"/>
      <c r="I31" s="58"/>
      <c r="J31" s="58"/>
    </row>
    <row r="32" spans="1:10" x14ac:dyDescent="0.25">
      <c r="A32" s="58"/>
      <c r="B32" s="82" t="s">
        <v>66</v>
      </c>
      <c r="C32" s="58"/>
      <c r="D32" s="58"/>
      <c r="E32" s="58"/>
      <c r="G32" s="45">
        <f>SUM(G29:G31)</f>
        <v>10080</v>
      </c>
      <c r="H32" s="93"/>
      <c r="I32" s="58"/>
      <c r="J32" s="58"/>
    </row>
    <row r="33" spans="1:10" x14ac:dyDescent="0.25">
      <c r="A33" s="58"/>
      <c r="B33" s="58" t="s">
        <v>99</v>
      </c>
      <c r="C33" s="82"/>
      <c r="D33" s="83"/>
      <c r="E33" s="83"/>
      <c r="F33" s="83"/>
      <c r="G33" s="91">
        <f>G25-G32</f>
        <v>20720</v>
      </c>
      <c r="H33" s="58"/>
      <c r="I33" s="58"/>
      <c r="J33" s="58"/>
    </row>
    <row r="34" spans="1:10" x14ac:dyDescent="0.25">
      <c r="A34" s="58"/>
      <c r="B34" s="21"/>
      <c r="C34" s="58"/>
      <c r="D34" s="58"/>
      <c r="E34" s="58"/>
      <c r="G34" s="58"/>
      <c r="H34" s="58"/>
      <c r="I34" s="58"/>
      <c r="J34" s="58"/>
    </row>
    <row r="35" spans="1:10" x14ac:dyDescent="0.25">
      <c r="A35" s="58"/>
      <c r="B35" s="21" t="s">
        <v>103</v>
      </c>
      <c r="C35" s="58"/>
      <c r="D35" s="58"/>
      <c r="E35" s="58"/>
      <c r="G35" s="45">
        <f>SUM(G33:G34)</f>
        <v>20720</v>
      </c>
      <c r="H35" s="58"/>
      <c r="I35" s="58"/>
      <c r="J35" s="58"/>
    </row>
    <row r="36" spans="1:10" x14ac:dyDescent="0.25">
      <c r="A36" s="58"/>
      <c r="B36" s="56" t="s">
        <v>34</v>
      </c>
      <c r="C36" s="58" t="s">
        <v>93</v>
      </c>
      <c r="D36" s="58"/>
      <c r="E36" s="58"/>
      <c r="G36" s="56" t="s">
        <v>34</v>
      </c>
      <c r="H36" s="58"/>
      <c r="I36" s="58"/>
      <c r="J36" s="58"/>
    </row>
    <row r="37" spans="1:10" x14ac:dyDescent="0.25">
      <c r="A37" s="58"/>
      <c r="B37" s="21" t="s">
        <v>5</v>
      </c>
      <c r="C37" s="21"/>
      <c r="D37" s="58"/>
      <c r="E37" s="58"/>
      <c r="G37" s="58"/>
      <c r="H37" s="58"/>
      <c r="I37" s="58"/>
      <c r="J37" s="58"/>
    </row>
    <row r="38" spans="1:10" x14ac:dyDescent="0.25">
      <c r="A38" s="58"/>
      <c r="B38" s="56" t="s">
        <v>100</v>
      </c>
      <c r="C38" s="56" t="s">
        <v>92</v>
      </c>
      <c r="D38" s="58"/>
      <c r="E38" s="58"/>
      <c r="G38" s="56" t="s">
        <v>33</v>
      </c>
      <c r="H38" s="58"/>
      <c r="I38" s="58"/>
      <c r="J38" s="5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APRIL</vt:lpstr>
      <vt:lpstr>MAY</vt:lpstr>
      <vt:lpstr>JUNE</vt:lpstr>
      <vt:lpstr>JULY 2015</vt:lpstr>
      <vt:lpstr>AUGUST 2015</vt:lpstr>
      <vt:lpstr>SEPTEMBER</vt:lpstr>
      <vt:lpstr>OCT 2015</vt:lpstr>
      <vt:lpstr>NOV</vt:lpstr>
      <vt:lpstr>Sheet1</vt:lpstr>
      <vt:lpstr>Sheet2</vt:lpstr>
      <vt:lpstr>JAJ</vt:lpstr>
      <vt:lpstr>FEB 2016</vt:lpstr>
      <vt:lpstr>MAY 2016</vt:lpstr>
      <vt:lpstr>Sheet4</vt:lpstr>
      <vt:lpstr>Sheet3</vt:lpstr>
      <vt:lpstr>Sheet5</vt:lpstr>
      <vt:lpstr>Sheet6</vt:lpstr>
      <vt:lpstr>NOV 2016</vt:lpstr>
      <vt:lpstr>Sheet7</vt:lpstr>
      <vt:lpstr>JAN 2007</vt:lpstr>
      <vt:lpstr>Sheet8</vt:lpstr>
      <vt:lpstr>Sheet9</vt:lpstr>
      <vt:lpstr>Sheet10</vt:lpstr>
      <vt:lpstr>MAY 2017</vt:lpstr>
      <vt:lpstr>JUNE 2017</vt:lpstr>
      <vt:lpstr>JULY 2017</vt:lpstr>
      <vt:lpstr>Sheet11</vt:lpstr>
      <vt:lpstr>AUGUST</vt:lpstr>
      <vt:lpstr>SEPTEMBER 2016</vt:lpstr>
      <vt:lpstr>octomber</vt:lpstr>
      <vt:lpstr>november</vt:lpstr>
      <vt:lpstr>DEC</vt:lpstr>
      <vt:lpstr>JAN</vt:lpstr>
      <vt:lpstr>FEB18</vt:lpstr>
      <vt:lpstr>MARCH</vt:lpstr>
      <vt:lpstr>APRL</vt:lpstr>
      <vt:lpstr>MAY18</vt:lpstr>
      <vt:lpstr>JUNE </vt:lpstr>
      <vt:lpstr>JULY</vt:lpstr>
      <vt:lpstr>AUG</vt:lpstr>
      <vt:lpstr>SEP</vt:lpstr>
      <vt:lpstr>OCTOBER</vt:lpstr>
      <vt:lpstr>NOVE</vt:lpstr>
      <vt:lpstr>DECEMBER</vt:lpstr>
      <vt:lpstr>JANUARY</vt:lpstr>
      <vt:lpstr>FEBRUARY</vt:lpstr>
      <vt:lpstr>MARCH </vt:lpstr>
      <vt:lpstr>APR</vt:lpstr>
      <vt:lpstr>MAY </vt:lpstr>
      <vt:lpstr>JUNEE</vt:lpstr>
      <vt:lpstr>JULY  </vt:lpstr>
      <vt:lpstr>AUGUST 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OCTOBER20</vt:lpstr>
      <vt:lpstr>NOVEMBER20</vt:lpstr>
      <vt:lpstr>DECEMBER 20</vt:lpstr>
      <vt:lpstr>JANUARY 21</vt:lpstr>
      <vt:lpstr>FEBRUAY21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 21</vt:lpstr>
      <vt:lpstr>NOVEMBER 21</vt:lpstr>
      <vt:lpstr>DECEMBER 21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2021-01-21T08:30:07Z</cp:lastPrinted>
  <dcterms:created xsi:type="dcterms:W3CDTF">2015-04-27T11:09:03Z</dcterms:created>
  <dcterms:modified xsi:type="dcterms:W3CDTF">2021-12-18T08:26:46Z</dcterms:modified>
</cp:coreProperties>
</file>