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960" yWindow="690" windowWidth="17715" windowHeight="10695" firstSheet="8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 21" sheetId="5" r:id="rId5"/>
    <sheet name="MAY 20" sheetId="6" r:id="rId6"/>
    <sheet name="JUNE21" sheetId="7" r:id="rId7"/>
    <sheet name="JULY 21" sheetId="8" r:id="rId8"/>
    <sheet name="AUGUST  21" sheetId="9" r:id="rId9"/>
    <sheet name="SEPT 21" sheetId="10" r:id="rId10"/>
    <sheet name="OCT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H6" i="13" l="1"/>
  <c r="J48" i="13" l="1"/>
  <c r="L46" i="13"/>
  <c r="T18" i="13" l="1"/>
  <c r="V18" i="13" s="1"/>
  <c r="G19" i="13"/>
  <c r="I19" i="13" s="1"/>
  <c r="G18" i="13"/>
  <c r="I18" i="13" s="1"/>
  <c r="Q43" i="13" l="1"/>
  <c r="G43" i="13"/>
  <c r="T39" i="13"/>
  <c r="J25" i="13"/>
  <c r="F25" i="13"/>
  <c r="B31" i="13" s="1"/>
  <c r="E25" i="13"/>
  <c r="C25" i="13"/>
  <c r="S22" i="13"/>
  <c r="O27" i="13" s="1"/>
  <c r="H25" i="13"/>
  <c r="F31" i="13" s="1"/>
  <c r="U22" i="13"/>
  <c r="S27" i="13" s="1"/>
  <c r="P31" i="13" l="1"/>
  <c r="P39" i="13" s="1"/>
  <c r="T31" i="13"/>
  <c r="C35" i="13"/>
  <c r="C43" i="13" s="1"/>
  <c r="G35" i="13"/>
  <c r="Q18" i="12" l="1"/>
  <c r="U8" i="10"/>
  <c r="U16" i="9"/>
  <c r="H20" i="12" l="1"/>
  <c r="H8" i="12"/>
  <c r="Q42" i="11" l="1"/>
  <c r="H6" i="11" l="1"/>
  <c r="H41" i="12" l="1"/>
  <c r="U37" i="12"/>
  <c r="J23" i="12"/>
  <c r="F23" i="12"/>
  <c r="B29" i="12" s="1"/>
  <c r="E23" i="12"/>
  <c r="C23" i="12"/>
  <c r="S20" i="12"/>
  <c r="O25" i="12" s="1"/>
  <c r="H23" i="12"/>
  <c r="G29" i="12" s="1"/>
  <c r="U20" i="12"/>
  <c r="T25" i="12" s="1"/>
  <c r="U12" i="11"/>
  <c r="S20" i="11"/>
  <c r="U37" i="11"/>
  <c r="H41" i="11"/>
  <c r="U20" i="11" l="1"/>
  <c r="T25" i="11" s="1"/>
  <c r="O25" i="11"/>
  <c r="P29" i="12"/>
  <c r="P37" i="12" s="1"/>
  <c r="U29" i="12"/>
  <c r="C33" i="12"/>
  <c r="C41" i="12" s="1"/>
  <c r="H33" i="12"/>
  <c r="H19" i="11"/>
  <c r="P29" i="11" l="1"/>
  <c r="P37" i="11" s="1"/>
  <c r="U29" i="11"/>
  <c r="U12" i="10"/>
  <c r="H20" i="10" l="1"/>
  <c r="J23" i="11" l="1"/>
  <c r="F23" i="11"/>
  <c r="B29" i="11" s="1"/>
  <c r="E23" i="11"/>
  <c r="C23" i="11"/>
  <c r="H23" i="11"/>
  <c r="G29" i="11" s="1"/>
  <c r="C33" i="11" l="1"/>
  <c r="C41" i="11" s="1"/>
  <c r="H33" i="11"/>
  <c r="H8" i="10"/>
  <c r="U16" i="10" l="1"/>
  <c r="U11" i="10"/>
  <c r="U7" i="10"/>
  <c r="H12" i="10" l="1"/>
  <c r="H9" i="8" l="1"/>
  <c r="H9" i="9"/>
  <c r="H16" i="10" l="1"/>
  <c r="H19" i="10" l="1"/>
  <c r="X14" i="9" l="1"/>
  <c r="H41" i="10" l="1"/>
  <c r="J23" i="10"/>
  <c r="F23" i="10"/>
  <c r="B29" i="10" s="1"/>
  <c r="H33" i="10" s="1"/>
  <c r="E23" i="10"/>
  <c r="C23" i="10"/>
  <c r="S20" i="10"/>
  <c r="O25" i="10" s="1"/>
  <c r="G10" i="10"/>
  <c r="I10" i="10" s="1"/>
  <c r="U20" i="10"/>
  <c r="H23" i="10"/>
  <c r="G29" i="10" s="1"/>
  <c r="G6" i="10"/>
  <c r="I6" i="10" s="1"/>
  <c r="D6" i="11" s="1"/>
  <c r="G6" i="11" s="1"/>
  <c r="D10" i="11" l="1"/>
  <c r="G10" i="11" s="1"/>
  <c r="I10" i="11" s="1"/>
  <c r="D10" i="12"/>
  <c r="G10" i="12" s="1"/>
  <c r="I10" i="12" s="1"/>
  <c r="D10" i="13" s="1"/>
  <c r="G10" i="13" s="1"/>
  <c r="I10" i="13" s="1"/>
  <c r="I6" i="11"/>
  <c r="D6" i="12" s="1"/>
  <c r="U29" i="10"/>
  <c r="U37" i="10" s="1"/>
  <c r="U38" i="10" s="1"/>
  <c r="T25" i="10"/>
  <c r="P29" i="10"/>
  <c r="P37" i="10" s="1"/>
  <c r="C33" i="10"/>
  <c r="C41" i="10" s="1"/>
  <c r="H14" i="9"/>
  <c r="G6" i="12" l="1"/>
  <c r="H16" i="4"/>
  <c r="H8" i="5"/>
  <c r="I6" i="12" l="1"/>
  <c r="D6" i="13" s="1"/>
  <c r="G6" i="13" s="1"/>
  <c r="I6" i="13" s="1"/>
  <c r="H20" i="9"/>
  <c r="H21" i="9" l="1"/>
  <c r="G47" i="9" l="1"/>
  <c r="Q17" i="9"/>
  <c r="U9" i="9" l="1"/>
  <c r="H8" i="9" l="1"/>
  <c r="H41" i="9" l="1"/>
  <c r="U37" i="9"/>
  <c r="J23" i="9"/>
  <c r="F23" i="9"/>
  <c r="B29" i="9" s="1"/>
  <c r="E23" i="9"/>
  <c r="C23" i="9"/>
  <c r="S20" i="9"/>
  <c r="O25" i="9" s="1"/>
  <c r="T17" i="9"/>
  <c r="V17" i="9" s="1"/>
  <c r="Q17" i="10" s="1"/>
  <c r="T17" i="10" s="1"/>
  <c r="V17" i="10" s="1"/>
  <c r="Q17" i="11" s="1"/>
  <c r="T17" i="11" s="1"/>
  <c r="V17" i="11" s="1"/>
  <c r="Q17" i="12" s="1"/>
  <c r="T17" i="12" s="1"/>
  <c r="U20" i="9"/>
  <c r="H23" i="9"/>
  <c r="G29" i="9" s="1"/>
  <c r="H20" i="8"/>
  <c r="H20" i="7"/>
  <c r="H20" i="6"/>
  <c r="V17" i="12" l="1"/>
  <c r="Q17" i="13" s="1"/>
  <c r="T17" i="13" s="1"/>
  <c r="V17" i="13" s="1"/>
  <c r="T25" i="9"/>
  <c r="P29" i="9"/>
  <c r="P37" i="9" s="1"/>
  <c r="U29" i="9"/>
  <c r="C33" i="9"/>
  <c r="C41" i="9" s="1"/>
  <c r="H33" i="9"/>
  <c r="U8" i="8"/>
  <c r="U7" i="6"/>
  <c r="Q17" i="6" l="1"/>
  <c r="U15" i="8"/>
  <c r="H16" i="8" l="1"/>
  <c r="H19" i="8" l="1"/>
  <c r="H17" i="8" l="1"/>
  <c r="H22" i="8" l="1"/>
  <c r="H21" i="8" l="1"/>
  <c r="H14" i="8" l="1"/>
  <c r="H8" i="8"/>
  <c r="Q17" i="8" l="1"/>
  <c r="H41" i="8"/>
  <c r="U37" i="8"/>
  <c r="J23" i="8"/>
  <c r="H23" i="8"/>
  <c r="G29" i="8" s="1"/>
  <c r="F23" i="8"/>
  <c r="B29" i="8" s="1"/>
  <c r="H33" i="8" s="1"/>
  <c r="E23" i="8"/>
  <c r="C23" i="8"/>
  <c r="U20" i="8"/>
  <c r="T25" i="8" s="1"/>
  <c r="S20" i="8"/>
  <c r="O25" i="8" s="1"/>
  <c r="U29" i="8" s="1"/>
  <c r="T17" i="8"/>
  <c r="P29" i="8" l="1"/>
  <c r="P37" i="8" s="1"/>
  <c r="C33" i="8"/>
  <c r="C41" i="8" s="1"/>
  <c r="H9" i="7"/>
  <c r="H14" i="7"/>
  <c r="I47" i="7" l="1"/>
  <c r="U12" i="7" l="1"/>
  <c r="H21" i="7" l="1"/>
  <c r="H22" i="7" l="1"/>
  <c r="H16" i="7" l="1"/>
  <c r="H8" i="6" l="1"/>
  <c r="L46" i="6"/>
  <c r="L45" i="6"/>
  <c r="L44" i="6"/>
  <c r="L47" i="6" l="1"/>
  <c r="Q17" i="7"/>
  <c r="T17" i="7" s="1"/>
  <c r="D7" i="7"/>
  <c r="G7" i="7" s="1"/>
  <c r="I7" i="7" s="1"/>
  <c r="D7" i="8" s="1"/>
  <c r="G7" i="8" s="1"/>
  <c r="I7" i="8" s="1"/>
  <c r="D7" i="9" s="1"/>
  <c r="G7" i="9" s="1"/>
  <c r="I7" i="9" s="1"/>
  <c r="D7" i="10" s="1"/>
  <c r="H41" i="7"/>
  <c r="U37" i="7"/>
  <c r="J23" i="7"/>
  <c r="F23" i="7"/>
  <c r="B29" i="7" s="1"/>
  <c r="E23" i="7"/>
  <c r="C23" i="7"/>
  <c r="S20" i="7"/>
  <c r="O25" i="7" s="1"/>
  <c r="P29" i="7" s="1"/>
  <c r="G15" i="7"/>
  <c r="I15" i="7" s="1"/>
  <c r="D15" i="8" s="1"/>
  <c r="G15" i="8" s="1"/>
  <c r="I15" i="8" s="1"/>
  <c r="D15" i="9" s="1"/>
  <c r="G15" i="9" s="1"/>
  <c r="I15" i="9" s="1"/>
  <c r="D15" i="10" s="1"/>
  <c r="G15" i="10" s="1"/>
  <c r="I15" i="10" s="1"/>
  <c r="H23" i="7"/>
  <c r="G29" i="7" s="1"/>
  <c r="U20" i="7"/>
  <c r="T25" i="7" s="1"/>
  <c r="D15" i="11" l="1"/>
  <c r="G15" i="11" s="1"/>
  <c r="I15" i="11" s="1"/>
  <c r="D15" i="12"/>
  <c r="G15" i="12" s="1"/>
  <c r="I15" i="12" s="1"/>
  <c r="D15" i="13" s="1"/>
  <c r="G15" i="13" s="1"/>
  <c r="I15" i="13" s="1"/>
  <c r="G7" i="10"/>
  <c r="I7" i="10" s="1"/>
  <c r="U29" i="7"/>
  <c r="P37" i="7"/>
  <c r="C33" i="7"/>
  <c r="C41" i="7" s="1"/>
  <c r="H33" i="7"/>
  <c r="D7" i="11" l="1"/>
  <c r="D7" i="12"/>
  <c r="H9" i="6"/>
  <c r="G7" i="11" l="1"/>
  <c r="I7" i="11" s="1"/>
  <c r="G7" i="12"/>
  <c r="U14" i="6"/>
  <c r="U10" i="6"/>
  <c r="I7" i="12" l="1"/>
  <c r="D7" i="13" s="1"/>
  <c r="G7" i="13" s="1"/>
  <c r="I7" i="13" s="1"/>
  <c r="H22" i="6"/>
  <c r="H21" i="6" l="1"/>
  <c r="AA30" i="5" l="1"/>
  <c r="AA31" i="5" s="1"/>
  <c r="H41" i="6" l="1"/>
  <c r="U37" i="6"/>
  <c r="J23" i="6"/>
  <c r="F23" i="6"/>
  <c r="B29" i="6" s="1"/>
  <c r="E23" i="6"/>
  <c r="C23" i="6"/>
  <c r="B32" i="6" s="1"/>
  <c r="S20" i="6"/>
  <c r="O25" i="6" s="1"/>
  <c r="T17" i="6"/>
  <c r="G17" i="6"/>
  <c r="I17" i="6" s="1"/>
  <c r="D17" i="7" s="1"/>
  <c r="G17" i="7" s="1"/>
  <c r="I17" i="7" s="1"/>
  <c r="D17" i="8" s="1"/>
  <c r="G17" i="8" s="1"/>
  <c r="I17" i="8" s="1"/>
  <c r="D17" i="9" s="1"/>
  <c r="G17" i="9" s="1"/>
  <c r="I17" i="9" s="1"/>
  <c r="D17" i="10" s="1"/>
  <c r="G17" i="10" s="1"/>
  <c r="I17" i="10" s="1"/>
  <c r="U20" i="6"/>
  <c r="T25" i="6" s="1"/>
  <c r="H23" i="6"/>
  <c r="G29" i="6" s="1"/>
  <c r="D17" i="11" l="1"/>
  <c r="G17" i="11" s="1"/>
  <c r="I17" i="11" s="1"/>
  <c r="D17" i="12"/>
  <c r="G17" i="12" s="1"/>
  <c r="I17" i="12" s="1"/>
  <c r="D17" i="13" s="1"/>
  <c r="G17" i="13" s="1"/>
  <c r="I17" i="13" s="1"/>
  <c r="P29" i="6"/>
  <c r="P37" i="6" s="1"/>
  <c r="U29" i="6"/>
  <c r="C33" i="6"/>
  <c r="C41" i="6" s="1"/>
  <c r="H33" i="6"/>
  <c r="H20" i="5"/>
  <c r="S42" i="6" l="1"/>
  <c r="H19" i="5"/>
  <c r="H9" i="5" l="1"/>
  <c r="H15" i="5" l="1"/>
  <c r="H7" i="5" l="1"/>
  <c r="H22" i="5" l="1"/>
  <c r="U32" i="5" l="1"/>
  <c r="U9" i="5" l="1"/>
  <c r="H41" i="5" l="1"/>
  <c r="U37" i="5"/>
  <c r="J23" i="5"/>
  <c r="F23" i="5"/>
  <c r="B29" i="5" s="1"/>
  <c r="E23" i="5"/>
  <c r="C23" i="5"/>
  <c r="B32" i="5" s="1"/>
  <c r="U20" i="5"/>
  <c r="T25" i="5" s="1"/>
  <c r="S20" i="5"/>
  <c r="O25" i="5" s="1"/>
  <c r="Q20" i="5"/>
  <c r="Q19" i="5"/>
  <c r="T19" i="5" s="1"/>
  <c r="V19" i="5" s="1"/>
  <c r="Q19" i="6" s="1"/>
  <c r="T19" i="6" s="1"/>
  <c r="V19" i="6" s="1"/>
  <c r="Q19" i="7" s="1"/>
  <c r="T19" i="7" s="1"/>
  <c r="V19" i="7" s="1"/>
  <c r="Q19" i="8" s="1"/>
  <c r="T19" i="8" s="1"/>
  <c r="V19" i="8" s="1"/>
  <c r="Q19" i="9" s="1"/>
  <c r="T19" i="9" s="1"/>
  <c r="V19" i="9" s="1"/>
  <c r="Q19" i="10" s="1"/>
  <c r="T19" i="10" s="1"/>
  <c r="V19" i="10" s="1"/>
  <c r="Q19" i="11" s="1"/>
  <c r="T19" i="11" s="1"/>
  <c r="V19" i="11" s="1"/>
  <c r="Q19" i="12" s="1"/>
  <c r="T19" i="12" s="1"/>
  <c r="V19" i="12" s="1"/>
  <c r="Q21" i="13" s="1"/>
  <c r="T21" i="13" s="1"/>
  <c r="V21" i="13" s="1"/>
  <c r="Q18" i="5"/>
  <c r="T18" i="5" s="1"/>
  <c r="V18" i="5" s="1"/>
  <c r="Q18" i="6" s="1"/>
  <c r="T18" i="6" s="1"/>
  <c r="V18" i="6" s="1"/>
  <c r="Q18" i="7" s="1"/>
  <c r="T18" i="7" s="1"/>
  <c r="V18" i="7" s="1"/>
  <c r="Q18" i="8" s="1"/>
  <c r="T18" i="8" s="1"/>
  <c r="V18" i="8" s="1"/>
  <c r="Q18" i="9" s="1"/>
  <c r="T18" i="9" s="1"/>
  <c r="V18" i="9" s="1"/>
  <c r="Q18" i="10" s="1"/>
  <c r="T18" i="10" s="1"/>
  <c r="V18" i="10" s="1"/>
  <c r="T18" i="11" s="1"/>
  <c r="V18" i="11" s="1"/>
  <c r="T18" i="12" s="1"/>
  <c r="V18" i="12" s="1"/>
  <c r="Q20" i="13" s="1"/>
  <c r="V20" i="13" s="1"/>
  <c r="Q17" i="5"/>
  <c r="T17" i="5" s="1"/>
  <c r="Q16" i="5"/>
  <c r="T16" i="5" s="1"/>
  <c r="V16" i="5" s="1"/>
  <c r="G16" i="5"/>
  <c r="I16" i="5" s="1"/>
  <c r="D16" i="6" s="1"/>
  <c r="G16" i="6" s="1"/>
  <c r="I16" i="6" s="1"/>
  <c r="D16" i="7" s="1"/>
  <c r="G16" i="7" s="1"/>
  <c r="I16" i="7" s="1"/>
  <c r="D16" i="8" s="1"/>
  <c r="G16" i="8" s="1"/>
  <c r="I16" i="8" s="1"/>
  <c r="D16" i="9" s="1"/>
  <c r="G16" i="9" s="1"/>
  <c r="I16" i="9" s="1"/>
  <c r="D16" i="10" s="1"/>
  <c r="G16" i="10" s="1"/>
  <c r="I16" i="10" s="1"/>
  <c r="Q15" i="5"/>
  <c r="T15" i="5" s="1"/>
  <c r="V15" i="5" s="1"/>
  <c r="Q15" i="6" s="1"/>
  <c r="T15" i="6" s="1"/>
  <c r="V15" i="6" s="1"/>
  <c r="Q15" i="7" s="1"/>
  <c r="T15" i="7" s="1"/>
  <c r="V15" i="7" s="1"/>
  <c r="Q15" i="8" s="1"/>
  <c r="T15" i="8" s="1"/>
  <c r="V15" i="8" s="1"/>
  <c r="Q15" i="9" s="1"/>
  <c r="T15" i="9" s="1"/>
  <c r="V15" i="9" s="1"/>
  <c r="Q15" i="10" s="1"/>
  <c r="T15" i="10" s="1"/>
  <c r="V15" i="10" s="1"/>
  <c r="Q15" i="11" s="1"/>
  <c r="T15" i="11" s="1"/>
  <c r="V15" i="11" s="1"/>
  <c r="Q15" i="12" s="1"/>
  <c r="T15" i="12" s="1"/>
  <c r="V15" i="12" s="1"/>
  <c r="Q15" i="13" s="1"/>
  <c r="T15" i="13" s="1"/>
  <c r="V15" i="13" s="1"/>
  <c r="Q14" i="5"/>
  <c r="T14" i="5" s="1"/>
  <c r="V14" i="5" s="1"/>
  <c r="Q14" i="6" s="1"/>
  <c r="T14" i="6" s="1"/>
  <c r="V14" i="6" s="1"/>
  <c r="Q14" i="7" s="1"/>
  <c r="T14" i="7" s="1"/>
  <c r="V14" i="7" s="1"/>
  <c r="Q14" i="8" s="1"/>
  <c r="T14" i="8" s="1"/>
  <c r="V14" i="8" s="1"/>
  <c r="Q14" i="9" s="1"/>
  <c r="T14" i="9" s="1"/>
  <c r="V14" i="9" s="1"/>
  <c r="Q14" i="10" s="1"/>
  <c r="T14" i="10" s="1"/>
  <c r="V14" i="10" s="1"/>
  <c r="T14" i="11" s="1"/>
  <c r="V14" i="11" s="1"/>
  <c r="T14" i="12" s="1"/>
  <c r="V14" i="12" s="1"/>
  <c r="Q14" i="13" s="1"/>
  <c r="Q13" i="5"/>
  <c r="T13" i="5" s="1"/>
  <c r="V13" i="5" s="1"/>
  <c r="Q13" i="6" s="1"/>
  <c r="T13" i="6" s="1"/>
  <c r="V13" i="6" s="1"/>
  <c r="Q13" i="7" s="1"/>
  <c r="T13" i="7" s="1"/>
  <c r="V13" i="7" s="1"/>
  <c r="Q13" i="8" s="1"/>
  <c r="T13" i="8" s="1"/>
  <c r="V13" i="8" s="1"/>
  <c r="Q13" i="9" s="1"/>
  <c r="T13" i="9" s="1"/>
  <c r="V13" i="9" s="1"/>
  <c r="Q13" i="10" s="1"/>
  <c r="T13" i="10" s="1"/>
  <c r="V13" i="10" s="1"/>
  <c r="Q13" i="11" s="1"/>
  <c r="T13" i="11" s="1"/>
  <c r="V13" i="11" s="1"/>
  <c r="Q13" i="12" s="1"/>
  <c r="T13" i="12" s="1"/>
  <c r="V13" i="12" s="1"/>
  <c r="Q13" i="13" s="1"/>
  <c r="T13" i="13" s="1"/>
  <c r="V13" i="13" s="1"/>
  <c r="Q12" i="5"/>
  <c r="T12" i="5" s="1"/>
  <c r="V12" i="5" s="1"/>
  <c r="Q12" i="6" s="1"/>
  <c r="T12" i="6" s="1"/>
  <c r="V12" i="6" s="1"/>
  <c r="Q12" i="7" s="1"/>
  <c r="T12" i="7" s="1"/>
  <c r="V12" i="7" s="1"/>
  <c r="Q12" i="8" s="1"/>
  <c r="T12" i="8" s="1"/>
  <c r="V12" i="8" s="1"/>
  <c r="Q12" i="9" s="1"/>
  <c r="T12" i="9" s="1"/>
  <c r="V12" i="9" s="1"/>
  <c r="Q12" i="10" s="1"/>
  <c r="T12" i="10" s="1"/>
  <c r="V12" i="10" s="1"/>
  <c r="Q12" i="11" s="1"/>
  <c r="T12" i="11" s="1"/>
  <c r="V12" i="11" s="1"/>
  <c r="Q12" i="12" s="1"/>
  <c r="T12" i="12" s="1"/>
  <c r="Q11" i="5"/>
  <c r="T11" i="5" s="1"/>
  <c r="V11" i="5" s="1"/>
  <c r="Q11" i="6" s="1"/>
  <c r="T11" i="6" s="1"/>
  <c r="V11" i="6" s="1"/>
  <c r="Q11" i="7" s="1"/>
  <c r="T11" i="7" s="1"/>
  <c r="V11" i="7" s="1"/>
  <c r="Q11" i="8" s="1"/>
  <c r="T11" i="8" s="1"/>
  <c r="V11" i="8" s="1"/>
  <c r="Q11" i="9" s="1"/>
  <c r="T11" i="9" s="1"/>
  <c r="V11" i="9" s="1"/>
  <c r="Q11" i="10" s="1"/>
  <c r="T11" i="10" s="1"/>
  <c r="V11" i="10" s="1"/>
  <c r="Q11" i="11" s="1"/>
  <c r="T11" i="11" s="1"/>
  <c r="V11" i="11" s="1"/>
  <c r="T11" i="12" s="1"/>
  <c r="V11" i="12" s="1"/>
  <c r="T11" i="13" s="1"/>
  <c r="V11" i="13" s="1"/>
  <c r="Q10" i="5"/>
  <c r="T10" i="5" s="1"/>
  <c r="V10" i="5" s="1"/>
  <c r="Q10" i="6" s="1"/>
  <c r="T10" i="6" s="1"/>
  <c r="V10" i="6" s="1"/>
  <c r="Q10" i="7" s="1"/>
  <c r="T10" i="7" s="1"/>
  <c r="V10" i="7" s="1"/>
  <c r="Q10" i="8" s="1"/>
  <c r="T10" i="8" s="1"/>
  <c r="V10" i="8" s="1"/>
  <c r="Q10" i="9" s="1"/>
  <c r="T10" i="9" s="1"/>
  <c r="V10" i="9" s="1"/>
  <c r="Q10" i="10" s="1"/>
  <c r="T10" i="10" s="1"/>
  <c r="V10" i="10" s="1"/>
  <c r="Q10" i="11" s="1"/>
  <c r="T10" i="11" s="1"/>
  <c r="Q9" i="5"/>
  <c r="T9" i="5" s="1"/>
  <c r="V9" i="5" s="1"/>
  <c r="Q9" i="6" s="1"/>
  <c r="T9" i="6" s="1"/>
  <c r="V9" i="6" s="1"/>
  <c r="Q9" i="7" s="1"/>
  <c r="T9" i="7" s="1"/>
  <c r="V9" i="7" s="1"/>
  <c r="Q9" i="8" s="1"/>
  <c r="T9" i="8" s="1"/>
  <c r="V9" i="8" s="1"/>
  <c r="Q9" i="9" s="1"/>
  <c r="T9" i="9" s="1"/>
  <c r="V9" i="9" s="1"/>
  <c r="Q9" i="10" s="1"/>
  <c r="T9" i="10" s="1"/>
  <c r="V9" i="10" s="1"/>
  <c r="Q9" i="11" s="1"/>
  <c r="T9" i="11" s="1"/>
  <c r="V9" i="11" s="1"/>
  <c r="Q9" i="12" s="1"/>
  <c r="T9" i="12" s="1"/>
  <c r="V9" i="12" s="1"/>
  <c r="Q9" i="13" s="1"/>
  <c r="T9" i="13" s="1"/>
  <c r="V9" i="13" s="1"/>
  <c r="Q8" i="5"/>
  <c r="T8" i="5" s="1"/>
  <c r="V8" i="5" s="1"/>
  <c r="Q8" i="6" s="1"/>
  <c r="Q7" i="5"/>
  <c r="T7" i="5" s="1"/>
  <c r="V7" i="5" s="1"/>
  <c r="Q7" i="6" s="1"/>
  <c r="T7" i="6" s="1"/>
  <c r="V7" i="6" s="1"/>
  <c r="Q7" i="7" s="1"/>
  <c r="T7" i="7" s="1"/>
  <c r="V7" i="7" s="1"/>
  <c r="Q7" i="8" s="1"/>
  <c r="T7" i="8" s="1"/>
  <c r="V7" i="8" s="1"/>
  <c r="Q7" i="9" s="1"/>
  <c r="T7" i="9" s="1"/>
  <c r="V7" i="9" s="1"/>
  <c r="Q7" i="10" s="1"/>
  <c r="T7" i="10" s="1"/>
  <c r="V7" i="10" s="1"/>
  <c r="Q7" i="11" s="1"/>
  <c r="T7" i="11" s="1"/>
  <c r="V7" i="11" s="1"/>
  <c r="Q7" i="12" s="1"/>
  <c r="T7" i="12" s="1"/>
  <c r="V7" i="12" s="1"/>
  <c r="Q7" i="13" s="1"/>
  <c r="T7" i="13" s="1"/>
  <c r="V7" i="13" s="1"/>
  <c r="H23" i="5"/>
  <c r="G29" i="5" s="1"/>
  <c r="Q6" i="5"/>
  <c r="T6" i="5" s="1"/>
  <c r="V6" i="5" s="1"/>
  <c r="Q6" i="6" s="1"/>
  <c r="T6" i="6" s="1"/>
  <c r="V6" i="6" s="1"/>
  <c r="Q6" i="7" s="1"/>
  <c r="T6" i="7" s="1"/>
  <c r="V6" i="7" s="1"/>
  <c r="V12" i="12" l="1"/>
  <c r="Q12" i="13" s="1"/>
  <c r="T12" i="13" s="1"/>
  <c r="V12" i="13" s="1"/>
  <c r="T14" i="13"/>
  <c r="V14" i="13" s="1"/>
  <c r="V10" i="11"/>
  <c r="Q10" i="12" s="1"/>
  <c r="T10" i="12" s="1"/>
  <c r="V10" i="12" s="1"/>
  <c r="T10" i="13" s="1"/>
  <c r="V10" i="13" s="1"/>
  <c r="D16" i="11"/>
  <c r="G16" i="11" s="1"/>
  <c r="I16" i="11" s="1"/>
  <c r="D16" i="12"/>
  <c r="G16" i="12" s="1"/>
  <c r="I16" i="12" s="1"/>
  <c r="D16" i="13" s="1"/>
  <c r="G16" i="13" s="1"/>
  <c r="I16" i="13" s="1"/>
  <c r="T8" i="6"/>
  <c r="V8" i="6" s="1"/>
  <c r="Q8" i="7" s="1"/>
  <c r="T8" i="7" s="1"/>
  <c r="V8" i="7" s="1"/>
  <c r="Q8" i="8" s="1"/>
  <c r="T8" i="8" s="1"/>
  <c r="V8" i="8" s="1"/>
  <c r="Q8" i="9" s="1"/>
  <c r="T8" i="9" s="1"/>
  <c r="V8" i="9" s="1"/>
  <c r="Q8" i="10" s="1"/>
  <c r="T8" i="10" s="1"/>
  <c r="V8" i="10" s="1"/>
  <c r="T8" i="11" s="1"/>
  <c r="V8" i="11" s="1"/>
  <c r="Q8" i="12" s="1"/>
  <c r="T8" i="12" s="1"/>
  <c r="V8" i="12" s="1"/>
  <c r="T8" i="13" s="1"/>
  <c r="Q16" i="6"/>
  <c r="Q20" i="6" s="1"/>
  <c r="Q6" i="8"/>
  <c r="T6" i="8" s="1"/>
  <c r="V6" i="8" s="1"/>
  <c r="Q6" i="9" s="1"/>
  <c r="V20" i="5"/>
  <c r="H33" i="5"/>
  <c r="C33" i="5"/>
  <c r="C41" i="5" s="1"/>
  <c r="U29" i="5"/>
  <c r="P29" i="5"/>
  <c r="P37" i="5" s="1"/>
  <c r="T20" i="5"/>
  <c r="H17" i="4"/>
  <c r="T20" i="6" l="1"/>
  <c r="L38" i="5"/>
  <c r="T6" i="9"/>
  <c r="V6" i="9" s="1"/>
  <c r="Q6" i="10" s="1"/>
  <c r="T16" i="6"/>
  <c r="V16" i="6" s="1"/>
  <c r="G12" i="10"/>
  <c r="H10" i="4"/>
  <c r="V20" i="6" l="1"/>
  <c r="Q20" i="7" s="1"/>
  <c r="T20" i="7" s="1"/>
  <c r="Q16" i="7"/>
  <c r="T16" i="7" s="1"/>
  <c r="V16" i="7" s="1"/>
  <c r="T6" i="10"/>
  <c r="V6" i="10" s="1"/>
  <c r="Q6" i="11" s="1"/>
  <c r="I12" i="10"/>
  <c r="D12" i="12" s="1"/>
  <c r="G12" i="12" s="1"/>
  <c r="I12" i="12" s="1"/>
  <c r="D12" i="13" s="1"/>
  <c r="G12" i="13" s="1"/>
  <c r="I12" i="13" s="1"/>
  <c r="H20" i="4"/>
  <c r="T6" i="11" l="1"/>
  <c r="V6" i="11" s="1"/>
  <c r="V20" i="7"/>
  <c r="Q16" i="8"/>
  <c r="D12" i="11"/>
  <c r="G12" i="11" s="1"/>
  <c r="I12" i="11" s="1"/>
  <c r="J47" i="4"/>
  <c r="Q6" i="12" l="1"/>
  <c r="T16" i="8"/>
  <c r="V16" i="8" s="1"/>
  <c r="Q20" i="8"/>
  <c r="T20" i="8" s="1"/>
  <c r="H21" i="4"/>
  <c r="T6" i="12" l="1"/>
  <c r="V6" i="12" s="1"/>
  <c r="Q6" i="13" s="1"/>
  <c r="V20" i="8"/>
  <c r="Q16" i="9"/>
  <c r="H15" i="4"/>
  <c r="T6" i="13" l="1"/>
  <c r="V6" i="13" s="1"/>
  <c r="T16" i="9"/>
  <c r="V16" i="9" s="1"/>
  <c r="Q16" i="10" s="1"/>
  <c r="Q20" i="9"/>
  <c r="T20" i="9" s="1"/>
  <c r="V20" i="9" s="1"/>
  <c r="H7" i="4"/>
  <c r="T16" i="10" l="1"/>
  <c r="V16" i="10" s="1"/>
  <c r="Q20" i="10"/>
  <c r="H12" i="4"/>
  <c r="U20" i="4"/>
  <c r="T25" i="4" s="1"/>
  <c r="S20" i="4"/>
  <c r="O25" i="4" s="1"/>
  <c r="Q20" i="4"/>
  <c r="U37" i="4"/>
  <c r="T26" i="4"/>
  <c r="O26" i="4"/>
  <c r="Q19" i="4"/>
  <c r="T19" i="4" s="1"/>
  <c r="V19" i="4" s="1"/>
  <c r="Q18" i="4"/>
  <c r="T18" i="4" s="1"/>
  <c r="V18" i="4" s="1"/>
  <c r="Q17" i="4"/>
  <c r="T17" i="4" s="1"/>
  <c r="Q16" i="4"/>
  <c r="T16" i="4" s="1"/>
  <c r="V16" i="4" s="1"/>
  <c r="Q15" i="4"/>
  <c r="T15" i="4" s="1"/>
  <c r="V15" i="4" s="1"/>
  <c r="Q14" i="4"/>
  <c r="T14" i="4" s="1"/>
  <c r="V14" i="4" s="1"/>
  <c r="Q13" i="4"/>
  <c r="T13" i="4" s="1"/>
  <c r="V13" i="4" s="1"/>
  <c r="Q12" i="4"/>
  <c r="T12" i="4" s="1"/>
  <c r="V12" i="4" s="1"/>
  <c r="Q11" i="4"/>
  <c r="T11" i="4" s="1"/>
  <c r="V11" i="4" s="1"/>
  <c r="Q10" i="4"/>
  <c r="T10" i="4" s="1"/>
  <c r="V10" i="4" s="1"/>
  <c r="Q9" i="4"/>
  <c r="T9" i="4" s="1"/>
  <c r="V9" i="4" s="1"/>
  <c r="Q8" i="4"/>
  <c r="T8" i="4" s="1"/>
  <c r="V8" i="4" s="1"/>
  <c r="Q7" i="4"/>
  <c r="T7" i="4" s="1"/>
  <c r="Q6" i="4"/>
  <c r="T16" i="11" l="1"/>
  <c r="V16" i="11" s="1"/>
  <c r="Q20" i="11"/>
  <c r="T20" i="11" s="1"/>
  <c r="U29" i="4"/>
  <c r="T37" i="4" s="1"/>
  <c r="V37" i="4" s="1"/>
  <c r="T26" i="5" s="1"/>
  <c r="T37" i="5" s="1"/>
  <c r="V37" i="5" s="1"/>
  <c r="T26" i="6" s="1"/>
  <c r="T37" i="6" s="1"/>
  <c r="V37" i="6" s="1"/>
  <c r="T26" i="7" s="1"/>
  <c r="T37" i="7" s="1"/>
  <c r="V37" i="7" s="1"/>
  <c r="T26" i="8" s="1"/>
  <c r="T37" i="8" s="1"/>
  <c r="V37" i="8" s="1"/>
  <c r="T26" i="9" s="1"/>
  <c r="T37" i="9" s="1"/>
  <c r="V37" i="9" s="1"/>
  <c r="T26" i="10" s="1"/>
  <c r="T37" i="10" s="1"/>
  <c r="P29" i="4"/>
  <c r="P37" i="4" s="1"/>
  <c r="T20" i="10"/>
  <c r="Y24" i="10"/>
  <c r="Y26" i="10" s="1"/>
  <c r="T20" i="4"/>
  <c r="T6" i="4"/>
  <c r="V6" i="4" s="1"/>
  <c r="O37" i="4"/>
  <c r="V7" i="4"/>
  <c r="V20" i="4" l="1"/>
  <c r="V20" i="11"/>
  <c r="V37" i="10"/>
  <c r="T26" i="11" s="1"/>
  <c r="T37" i="11" s="1"/>
  <c r="V37" i="11" s="1"/>
  <c r="T26" i="12" s="1"/>
  <c r="T37" i="12" s="1"/>
  <c r="V37" i="12" s="1"/>
  <c r="V20" i="10"/>
  <c r="R37" i="4"/>
  <c r="O26" i="5" s="1"/>
  <c r="O37" i="5" s="1"/>
  <c r="R37" i="5" s="1"/>
  <c r="H41" i="4"/>
  <c r="J23" i="4"/>
  <c r="H23" i="4"/>
  <c r="G29" i="4" s="1"/>
  <c r="F23" i="4"/>
  <c r="B29" i="4" s="1"/>
  <c r="E23" i="4"/>
  <c r="C23" i="4"/>
  <c r="B32" i="4" s="1"/>
  <c r="G17" i="4"/>
  <c r="I17" i="4" s="1"/>
  <c r="D17" i="5" s="1"/>
  <c r="G17" i="5" s="1"/>
  <c r="I17" i="5" s="1"/>
  <c r="G8" i="4"/>
  <c r="S28" i="13" l="1"/>
  <c r="O28" i="13" s="1"/>
  <c r="T16" i="12"/>
  <c r="V16" i="12" s="1"/>
  <c r="Q20" i="12"/>
  <c r="T20" i="12" s="1"/>
  <c r="M46" i="5"/>
  <c r="O26" i="6"/>
  <c r="O37" i="6" s="1"/>
  <c r="R37" i="6" s="1"/>
  <c r="O26" i="7" s="1"/>
  <c r="O37" i="7" s="1"/>
  <c r="R37" i="7" s="1"/>
  <c r="O26" i="8" s="1"/>
  <c r="O37" i="8" s="1"/>
  <c r="R37" i="8" s="1"/>
  <c r="O26" i="9" s="1"/>
  <c r="O37" i="9" s="1"/>
  <c r="R37" i="9" s="1"/>
  <c r="O26" i="10" s="1"/>
  <c r="O37" i="10" s="1"/>
  <c r="R37" i="10" s="1"/>
  <c r="O26" i="11" s="1"/>
  <c r="O37" i="11" s="1"/>
  <c r="R37" i="11" s="1"/>
  <c r="O26" i="12" s="1"/>
  <c r="O37" i="12" s="1"/>
  <c r="R37" i="12" s="1"/>
  <c r="C33" i="4"/>
  <c r="C41" i="4" s="1"/>
  <c r="H33" i="4"/>
  <c r="H16" i="3"/>
  <c r="S39" i="13" l="1"/>
  <c r="U39" i="13" s="1"/>
  <c r="O39" i="13"/>
  <c r="Q39" i="13" s="1"/>
  <c r="V20" i="12"/>
  <c r="Q16" i="13"/>
  <c r="H20" i="3"/>
  <c r="T16" i="13" l="1"/>
  <c r="V16" i="13" s="1"/>
  <c r="V22" i="13" s="1"/>
  <c r="Q22" i="13"/>
  <c r="T22" i="13" s="1"/>
  <c r="H7" i="3"/>
  <c r="H15" i="3" l="1"/>
  <c r="H22" i="3" l="1"/>
  <c r="H21" i="3" l="1"/>
  <c r="H6" i="2" l="1"/>
  <c r="H9" i="2"/>
  <c r="H14" i="2"/>
  <c r="H15" i="2"/>
  <c r="H20" i="2"/>
  <c r="H21" i="2"/>
  <c r="H22" i="2"/>
  <c r="H41" i="3"/>
  <c r="J23" i="3"/>
  <c r="F23" i="3"/>
  <c r="B29" i="3" s="1"/>
  <c r="C33" i="3" s="1"/>
  <c r="E23" i="3"/>
  <c r="C23" i="3"/>
  <c r="B32" i="3" s="1"/>
  <c r="G8" i="3"/>
  <c r="I8" i="3" s="1"/>
  <c r="H23" i="3"/>
  <c r="G29" i="3" s="1"/>
  <c r="H33" i="3" l="1"/>
  <c r="C41" i="3"/>
  <c r="M19" i="2" l="1"/>
  <c r="P19" i="2" l="1"/>
  <c r="N22" i="2"/>
  <c r="M22" i="2"/>
  <c r="N19" i="2"/>
  <c r="N23" i="2" s="1"/>
  <c r="M20" i="2"/>
  <c r="I17" i="2"/>
  <c r="D17" i="3" s="1"/>
  <c r="G17" i="3" s="1"/>
  <c r="I17" i="3" s="1"/>
  <c r="D21" i="2" l="1"/>
  <c r="D22" i="2"/>
  <c r="J23" i="2" l="1"/>
  <c r="F23" i="2"/>
  <c r="B29" i="2" s="1"/>
  <c r="E23" i="2"/>
  <c r="H41" i="2" s="1"/>
  <c r="C23" i="2"/>
  <c r="B32" i="2" s="1"/>
  <c r="H23" i="2"/>
  <c r="G29" i="2" s="1"/>
  <c r="C33" i="2" l="1"/>
  <c r="C41" i="2" s="1"/>
  <c r="H33" i="2"/>
  <c r="H17" i="1"/>
  <c r="H20" i="1" l="1"/>
  <c r="F20" i="1" l="1"/>
  <c r="G18" i="1" l="1"/>
  <c r="G7" i="1" l="1"/>
  <c r="I7" i="1" s="1"/>
  <c r="G8" i="1"/>
  <c r="I8" i="1" s="1"/>
  <c r="D8" i="2" s="1"/>
  <c r="G9" i="1"/>
  <c r="G10" i="1"/>
  <c r="I10" i="1" s="1"/>
  <c r="G11" i="1"/>
  <c r="I11" i="1" s="1"/>
  <c r="G12" i="1"/>
  <c r="I12" i="1" s="1"/>
  <c r="G13" i="1"/>
  <c r="I13" i="1" s="1"/>
  <c r="G14" i="1"/>
  <c r="G15" i="1"/>
  <c r="I15" i="1" s="1"/>
  <c r="G16" i="1"/>
  <c r="I16" i="1" s="1"/>
  <c r="G17" i="1"/>
  <c r="I17" i="1" s="1"/>
  <c r="G20" i="2" s="1"/>
  <c r="I20" i="2" s="1"/>
  <c r="D20" i="3" s="1"/>
  <c r="G20" i="3" s="1"/>
  <c r="I20" i="3" s="1"/>
  <c r="D20" i="4" s="1"/>
  <c r="G20" i="4" s="1"/>
  <c r="I20" i="4" s="1"/>
  <c r="D20" i="5" s="1"/>
  <c r="G20" i="5" s="1"/>
  <c r="I20" i="5" s="1"/>
  <c r="D20" i="6" s="1"/>
  <c r="G20" i="6" s="1"/>
  <c r="I20" i="6" s="1"/>
  <c r="D20" i="7" s="1"/>
  <c r="G20" i="7" s="1"/>
  <c r="I20" i="7" s="1"/>
  <c r="D20" i="8" s="1"/>
  <c r="G20" i="8" s="1"/>
  <c r="I20" i="8" s="1"/>
  <c r="D20" i="9" s="1"/>
  <c r="G20" i="9" s="1"/>
  <c r="I20" i="9" s="1"/>
  <c r="D20" i="10" s="1"/>
  <c r="G20" i="10" s="1"/>
  <c r="I20" i="10" s="1"/>
  <c r="G19" i="1"/>
  <c r="I19" i="1" s="1"/>
  <c r="G6" i="1"/>
  <c r="I6" i="1" s="1"/>
  <c r="D6" i="2" s="1"/>
  <c r="D20" i="1"/>
  <c r="E20" i="1"/>
  <c r="H33" i="1" s="1"/>
  <c r="H38" i="1" s="1"/>
  <c r="C38" i="1"/>
  <c r="J20" i="1"/>
  <c r="G26" i="1"/>
  <c r="B26" i="1"/>
  <c r="C20" i="1"/>
  <c r="B29" i="1" s="1"/>
  <c r="I18" i="1"/>
  <c r="I14" i="1"/>
  <c r="I9" i="1"/>
  <c r="D20" i="11" l="1"/>
  <c r="G20" i="11" s="1"/>
  <c r="I20" i="11" s="1"/>
  <c r="D20" i="12"/>
  <c r="G20" i="12" s="1"/>
  <c r="I20" i="12" s="1"/>
  <c r="D22" i="13" s="1"/>
  <c r="G22" i="13" s="1"/>
  <c r="I22" i="13" s="1"/>
  <c r="D9" i="2"/>
  <c r="G9" i="2" s="1"/>
  <c r="I9" i="2" s="1"/>
  <c r="D9" i="3" s="1"/>
  <c r="G9" i="3" s="1"/>
  <c r="I9" i="3" s="1"/>
  <c r="D9" i="4" s="1"/>
  <c r="G9" i="4" s="1"/>
  <c r="I9" i="4" s="1"/>
  <c r="D9" i="5" s="1"/>
  <c r="G9" i="5" s="1"/>
  <c r="I9" i="5" s="1"/>
  <c r="D9" i="6" s="1"/>
  <c r="G9" i="6" s="1"/>
  <c r="I9" i="6" s="1"/>
  <c r="D9" i="7" s="1"/>
  <c r="G9" i="7" s="1"/>
  <c r="I9" i="7" s="1"/>
  <c r="D9" i="8" s="1"/>
  <c r="G9" i="8" s="1"/>
  <c r="I9" i="8" s="1"/>
  <c r="D9" i="9" s="1"/>
  <c r="G9" i="9" s="1"/>
  <c r="I9" i="9" s="1"/>
  <c r="D9" i="10" s="1"/>
  <c r="G9" i="10" s="1"/>
  <c r="I9" i="10" s="1"/>
  <c r="G21" i="2"/>
  <c r="I21" i="2" s="1"/>
  <c r="D21" i="3" s="1"/>
  <c r="G21" i="3" s="1"/>
  <c r="I21" i="3" s="1"/>
  <c r="D21" i="4" s="1"/>
  <c r="G21" i="4" s="1"/>
  <c r="I21" i="4" s="1"/>
  <c r="D21" i="5" s="1"/>
  <c r="G21" i="5" s="1"/>
  <c r="I21" i="5" s="1"/>
  <c r="D21" i="6" s="1"/>
  <c r="G21" i="6" s="1"/>
  <c r="I21" i="6" s="1"/>
  <c r="D21" i="7" s="1"/>
  <c r="G21" i="7" s="1"/>
  <c r="I21" i="7" s="1"/>
  <c r="D21" i="8" s="1"/>
  <c r="G21" i="8" s="1"/>
  <c r="I21" i="8" s="1"/>
  <c r="D21" i="9" s="1"/>
  <c r="G21" i="9" s="1"/>
  <c r="I21" i="9" s="1"/>
  <c r="D21" i="10" s="1"/>
  <c r="G21" i="10" s="1"/>
  <c r="I21" i="10" s="1"/>
  <c r="D18" i="2"/>
  <c r="G18" i="2" s="1"/>
  <c r="I18" i="2" s="1"/>
  <c r="D18" i="3" s="1"/>
  <c r="G18" i="3" s="1"/>
  <c r="I18" i="3" s="1"/>
  <c r="D18" i="4" s="1"/>
  <c r="G18" i="4" s="1"/>
  <c r="I18" i="4" s="1"/>
  <c r="D18" i="5" s="1"/>
  <c r="G18" i="5" s="1"/>
  <c r="I18" i="5" s="1"/>
  <c r="D18" i="6" s="1"/>
  <c r="G18" i="6" s="1"/>
  <c r="I18" i="6" s="1"/>
  <c r="D18" i="7" s="1"/>
  <c r="G18" i="7" s="1"/>
  <c r="I18" i="7" s="1"/>
  <c r="D18" i="8" s="1"/>
  <c r="G18" i="8" s="1"/>
  <c r="I18" i="8" s="1"/>
  <c r="D18" i="9" s="1"/>
  <c r="G18" i="9" s="1"/>
  <c r="I18" i="9" s="1"/>
  <c r="D18" i="10" s="1"/>
  <c r="G18" i="10" s="1"/>
  <c r="I18" i="10" s="1"/>
  <c r="D7" i="2"/>
  <c r="G7" i="2" s="1"/>
  <c r="I7" i="2" s="1"/>
  <c r="D7" i="3" s="1"/>
  <c r="G7" i="3" s="1"/>
  <c r="I7" i="3" s="1"/>
  <c r="D7" i="4" s="1"/>
  <c r="G7" i="4" s="1"/>
  <c r="I7" i="4" s="1"/>
  <c r="D14" i="2"/>
  <c r="G14" i="2" s="1"/>
  <c r="I14" i="2" s="1"/>
  <c r="D14" i="3" s="1"/>
  <c r="G14" i="3" s="1"/>
  <c r="I14" i="3" s="1"/>
  <c r="D14" i="4" s="1"/>
  <c r="G14" i="4" s="1"/>
  <c r="I14" i="4" s="1"/>
  <c r="D14" i="5" s="1"/>
  <c r="G14" i="5" s="1"/>
  <c r="I14" i="5" s="1"/>
  <c r="D14" i="6" s="1"/>
  <c r="G14" i="6" s="1"/>
  <c r="I14" i="6" s="1"/>
  <c r="D14" i="7" s="1"/>
  <c r="G14" i="7" s="1"/>
  <c r="I14" i="7" s="1"/>
  <c r="D14" i="8" s="1"/>
  <c r="G14" i="8" s="1"/>
  <c r="I14" i="8" s="1"/>
  <c r="D14" i="9" s="1"/>
  <c r="G14" i="9" s="1"/>
  <c r="I14" i="9" s="1"/>
  <c r="D14" i="10" s="1"/>
  <c r="G14" i="10" s="1"/>
  <c r="I14" i="10" s="1"/>
  <c r="G22" i="2"/>
  <c r="I22" i="2" s="1"/>
  <c r="D22" i="3" s="1"/>
  <c r="G22" i="3" s="1"/>
  <c r="I22" i="3" s="1"/>
  <c r="D22" i="4" s="1"/>
  <c r="G22" i="4" s="1"/>
  <c r="I22" i="4" s="1"/>
  <c r="D22" i="5" s="1"/>
  <c r="G22" i="5" s="1"/>
  <c r="I22" i="5" s="1"/>
  <c r="D22" i="6" s="1"/>
  <c r="G22" i="6" s="1"/>
  <c r="I22" i="6" s="1"/>
  <c r="D22" i="7" s="1"/>
  <c r="G22" i="7" s="1"/>
  <c r="I22" i="7" s="1"/>
  <c r="D22" i="8" s="1"/>
  <c r="G22" i="8" s="1"/>
  <c r="I22" i="8" s="1"/>
  <c r="D22" i="9" s="1"/>
  <c r="G22" i="9" s="1"/>
  <c r="I22" i="9" s="1"/>
  <c r="D22" i="10" s="1"/>
  <c r="G22" i="10" s="1"/>
  <c r="I22" i="10" s="1"/>
  <c r="D19" i="2"/>
  <c r="G19" i="2" s="1"/>
  <c r="I19" i="2" s="1"/>
  <c r="D19" i="3" s="1"/>
  <c r="G19" i="3" s="1"/>
  <c r="I19" i="3" s="1"/>
  <c r="D19" i="4" s="1"/>
  <c r="G19" i="4" s="1"/>
  <c r="I19" i="4" s="1"/>
  <c r="D19" i="5" s="1"/>
  <c r="G19" i="5" s="1"/>
  <c r="I19" i="5" s="1"/>
  <c r="D19" i="6" s="1"/>
  <c r="G19" i="6" s="1"/>
  <c r="I19" i="6" s="1"/>
  <c r="D19" i="7" s="1"/>
  <c r="G19" i="7" s="1"/>
  <c r="I19" i="7" s="1"/>
  <c r="D19" i="8" s="1"/>
  <c r="G19" i="8" s="1"/>
  <c r="I19" i="8" s="1"/>
  <c r="D19" i="9" s="1"/>
  <c r="G19" i="9" s="1"/>
  <c r="I19" i="9" s="1"/>
  <c r="D19" i="10" s="1"/>
  <c r="G19" i="10" s="1"/>
  <c r="I19" i="10" s="1"/>
  <c r="D16" i="2"/>
  <c r="G16" i="2" s="1"/>
  <c r="I16" i="2" s="1"/>
  <c r="D16" i="3" s="1"/>
  <c r="G16" i="3" s="1"/>
  <c r="I16" i="3" s="1"/>
  <c r="D16" i="4" s="1"/>
  <c r="G16" i="4" s="1"/>
  <c r="D12" i="2"/>
  <c r="G12" i="2" s="1"/>
  <c r="I12" i="2" s="1"/>
  <c r="D12" i="3" s="1"/>
  <c r="G12" i="3" s="1"/>
  <c r="I12" i="3" s="1"/>
  <c r="D12" i="4" s="1"/>
  <c r="G12" i="4" s="1"/>
  <c r="I12" i="4" s="1"/>
  <c r="D12" i="5" s="1"/>
  <c r="G12" i="5" s="1"/>
  <c r="I12" i="5" s="1"/>
  <c r="D12" i="6" s="1"/>
  <c r="G12" i="6" s="1"/>
  <c r="I12" i="6" s="1"/>
  <c r="D12" i="7" s="1"/>
  <c r="G12" i="7" s="1"/>
  <c r="I12" i="7" s="1"/>
  <c r="D12" i="8" s="1"/>
  <c r="G12" i="8" s="1"/>
  <c r="I12" i="8" s="1"/>
  <c r="D12" i="9" s="1"/>
  <c r="G12" i="9" s="1"/>
  <c r="I12" i="9" s="1"/>
  <c r="D10" i="2"/>
  <c r="G10" i="2" s="1"/>
  <c r="I10" i="2" s="1"/>
  <c r="D10" i="3" s="1"/>
  <c r="G10" i="3" s="1"/>
  <c r="I10" i="3" s="1"/>
  <c r="D10" i="4" s="1"/>
  <c r="G10" i="4" s="1"/>
  <c r="I10" i="4" s="1"/>
  <c r="D15" i="2"/>
  <c r="G15" i="2" s="1"/>
  <c r="I15" i="2" s="1"/>
  <c r="D15" i="3" s="1"/>
  <c r="G15" i="3" s="1"/>
  <c r="I15" i="3" s="1"/>
  <c r="D15" i="4" s="1"/>
  <c r="G15" i="4" s="1"/>
  <c r="I15" i="4" s="1"/>
  <c r="D15" i="5" s="1"/>
  <c r="G15" i="5" s="1"/>
  <c r="I15" i="5" s="1"/>
  <c r="D15" i="6" s="1"/>
  <c r="G15" i="6" s="1"/>
  <c r="D13" i="2"/>
  <c r="G13" i="2" s="1"/>
  <c r="I13" i="2" s="1"/>
  <c r="D13" i="3" s="1"/>
  <c r="G13" i="3" s="1"/>
  <c r="I13" i="3" s="1"/>
  <c r="D13" i="4" s="1"/>
  <c r="G13" i="4" s="1"/>
  <c r="I13" i="4" s="1"/>
  <c r="D13" i="5" s="1"/>
  <c r="G13" i="5" s="1"/>
  <c r="I13" i="5" s="1"/>
  <c r="D13" i="6" s="1"/>
  <c r="G13" i="6" s="1"/>
  <c r="I13" i="6" s="1"/>
  <c r="D13" i="7" s="1"/>
  <c r="G13" i="7" s="1"/>
  <c r="I13" i="7" s="1"/>
  <c r="D13" i="8" s="1"/>
  <c r="G13" i="8" s="1"/>
  <c r="I13" i="8" s="1"/>
  <c r="D13" i="9" s="1"/>
  <c r="G13" i="9" s="1"/>
  <c r="I13" i="9" s="1"/>
  <c r="D13" i="10" s="1"/>
  <c r="G13" i="10" s="1"/>
  <c r="I13" i="10" s="1"/>
  <c r="D11" i="2"/>
  <c r="G11" i="2" s="1"/>
  <c r="I11" i="2" s="1"/>
  <c r="D11" i="3" s="1"/>
  <c r="G11" i="3" s="1"/>
  <c r="I11" i="3" s="1"/>
  <c r="D11" i="4" s="1"/>
  <c r="G11" i="4" s="1"/>
  <c r="I11" i="4" s="1"/>
  <c r="G11" i="5" s="1"/>
  <c r="I11" i="5" s="1"/>
  <c r="D11" i="6" s="1"/>
  <c r="G11" i="6" s="1"/>
  <c r="I11" i="6" s="1"/>
  <c r="D11" i="7" s="1"/>
  <c r="G11" i="7" s="1"/>
  <c r="I11" i="7" s="1"/>
  <c r="D11" i="8" s="1"/>
  <c r="G11" i="8" s="1"/>
  <c r="I11" i="8" s="1"/>
  <c r="D11" i="9" s="1"/>
  <c r="G11" i="9" s="1"/>
  <c r="I11" i="9" s="1"/>
  <c r="D11" i="10" s="1"/>
  <c r="G11" i="10" s="1"/>
  <c r="I11" i="10" s="1"/>
  <c r="G8" i="2"/>
  <c r="I8" i="2" s="1"/>
  <c r="G6" i="2"/>
  <c r="G20" i="1"/>
  <c r="I20" i="1"/>
  <c r="H30" i="1"/>
  <c r="G38" i="1" s="1"/>
  <c r="I38" i="1" s="1"/>
  <c r="G30" i="2" s="1"/>
  <c r="G41" i="2" s="1"/>
  <c r="I41" i="2" s="1"/>
  <c r="G30" i="3" s="1"/>
  <c r="G41" i="3" s="1"/>
  <c r="I41" i="3" s="1"/>
  <c r="G30" i="4" s="1"/>
  <c r="G41" i="4" s="1"/>
  <c r="I41" i="4" s="1"/>
  <c r="G30" i="5" s="1"/>
  <c r="G41" i="5" s="1"/>
  <c r="I41" i="5" s="1"/>
  <c r="G30" i="6" s="1"/>
  <c r="G41" i="6" s="1"/>
  <c r="I41" i="6" s="1"/>
  <c r="G30" i="7" s="1"/>
  <c r="G41" i="7" s="1"/>
  <c r="I41" i="7" s="1"/>
  <c r="G30" i="8" s="1"/>
  <c r="G41" i="8" s="1"/>
  <c r="I41" i="8" s="1"/>
  <c r="G30" i="9" s="1"/>
  <c r="G41" i="9" s="1"/>
  <c r="I41" i="9" s="1"/>
  <c r="G30" i="10" s="1"/>
  <c r="C30" i="1"/>
  <c r="B38" i="1" s="1"/>
  <c r="E38" i="1" s="1"/>
  <c r="B30" i="2" s="1"/>
  <c r="B41" i="2" s="1"/>
  <c r="E41" i="2" s="1"/>
  <c r="B30" i="3" s="1"/>
  <c r="B41" i="3" s="1"/>
  <c r="E41" i="3" s="1"/>
  <c r="B30" i="4" s="1"/>
  <c r="B41" i="4" s="1"/>
  <c r="E41" i="4" s="1"/>
  <c r="B30" i="5" s="1"/>
  <c r="B41" i="5" s="1"/>
  <c r="E41" i="5" s="1"/>
  <c r="B30" i="6" s="1"/>
  <c r="B41" i="6" s="1"/>
  <c r="E41" i="6" s="1"/>
  <c r="D23" i="2" l="1"/>
  <c r="D13" i="11"/>
  <c r="G13" i="11" s="1"/>
  <c r="I13" i="11" s="1"/>
  <c r="D13" i="12"/>
  <c r="G13" i="12" s="1"/>
  <c r="I13" i="12" s="1"/>
  <c r="D13" i="13" s="1"/>
  <c r="G13" i="13" s="1"/>
  <c r="I13" i="13" s="1"/>
  <c r="D19" i="11"/>
  <c r="G19" i="11" s="1"/>
  <c r="I19" i="11" s="1"/>
  <c r="D19" i="12"/>
  <c r="G19" i="12" s="1"/>
  <c r="I19" i="12" s="1"/>
  <c r="D21" i="13" s="1"/>
  <c r="G21" i="13" s="1"/>
  <c r="I21" i="13" s="1"/>
  <c r="D22" i="11"/>
  <c r="G22" i="11" s="1"/>
  <c r="I22" i="11" s="1"/>
  <c r="D22" i="12"/>
  <c r="G22" i="12" s="1"/>
  <c r="I22" i="12" s="1"/>
  <c r="D24" i="13" s="1"/>
  <c r="G24" i="13" s="1"/>
  <c r="I24" i="13" s="1"/>
  <c r="D14" i="11"/>
  <c r="G14" i="11" s="1"/>
  <c r="I14" i="11" s="1"/>
  <c r="D14" i="12"/>
  <c r="G14" i="12" s="1"/>
  <c r="I14" i="12" s="1"/>
  <c r="D14" i="13" s="1"/>
  <c r="D21" i="11"/>
  <c r="G21" i="11" s="1"/>
  <c r="I21" i="11" s="1"/>
  <c r="D21" i="12"/>
  <c r="G21" i="12" s="1"/>
  <c r="I21" i="12" s="1"/>
  <c r="D23" i="13" s="1"/>
  <c r="G23" i="13" s="1"/>
  <c r="I23" i="13" s="1"/>
  <c r="D11" i="11"/>
  <c r="G11" i="11" s="1"/>
  <c r="I11" i="11" s="1"/>
  <c r="D11" i="12"/>
  <c r="G11" i="12" s="1"/>
  <c r="I11" i="12" s="1"/>
  <c r="D11" i="13" s="1"/>
  <c r="G11" i="13" s="1"/>
  <c r="I11" i="13" s="1"/>
  <c r="D18" i="11"/>
  <c r="G18" i="11" s="1"/>
  <c r="I18" i="11" s="1"/>
  <c r="D18" i="12"/>
  <c r="G18" i="12" s="1"/>
  <c r="I18" i="12" s="1"/>
  <c r="D20" i="13" s="1"/>
  <c r="G20" i="13" s="1"/>
  <c r="I20" i="13" s="1"/>
  <c r="D9" i="11"/>
  <c r="G9" i="11" s="1"/>
  <c r="I9" i="11" s="1"/>
  <c r="D9" i="12"/>
  <c r="G9" i="12" s="1"/>
  <c r="I9" i="12" s="1"/>
  <c r="D9" i="13" s="1"/>
  <c r="G9" i="13" s="1"/>
  <c r="I9" i="13" s="1"/>
  <c r="I25" i="4"/>
  <c r="I26" i="4" s="1"/>
  <c r="D10" i="5"/>
  <c r="G10" i="5" s="1"/>
  <c r="I10" i="5" s="1"/>
  <c r="D10" i="6" s="1"/>
  <c r="G10" i="6" s="1"/>
  <c r="I10" i="6" s="1"/>
  <c r="D10" i="7" s="1"/>
  <c r="G10" i="7" s="1"/>
  <c r="I10" i="7" s="1"/>
  <c r="D10" i="8" s="1"/>
  <c r="G10" i="8" s="1"/>
  <c r="I10" i="8" s="1"/>
  <c r="D10" i="9" s="1"/>
  <c r="G10" i="9" s="1"/>
  <c r="I10" i="9" s="1"/>
  <c r="I16" i="4"/>
  <c r="D8" i="5" s="1"/>
  <c r="G8" i="5" s="1"/>
  <c r="I8" i="5" s="1"/>
  <c r="D8" i="6" s="1"/>
  <c r="G8" i="6" s="1"/>
  <c r="I8" i="6" s="1"/>
  <c r="D8" i="7" s="1"/>
  <c r="G8" i="7" s="1"/>
  <c r="I8" i="7" s="1"/>
  <c r="D8" i="8" s="1"/>
  <c r="G8" i="8" s="1"/>
  <c r="I8" i="8" s="1"/>
  <c r="B30" i="7"/>
  <c r="B41" i="7" s="1"/>
  <c r="E41" i="7" s="1"/>
  <c r="S43" i="6"/>
  <c r="D7" i="5"/>
  <c r="G7" i="5" s="1"/>
  <c r="I7" i="5" s="1"/>
  <c r="D7" i="6" s="1"/>
  <c r="G7" i="6" s="1"/>
  <c r="G23" i="2"/>
  <c r="I6" i="2"/>
  <c r="G14" i="13" l="1"/>
  <c r="D8" i="9"/>
  <c r="G8" i="9" s="1"/>
  <c r="I8" i="9" s="1"/>
  <c r="D8" i="10" s="1"/>
  <c r="I23" i="2"/>
  <c r="D6" i="3"/>
  <c r="B30" i="8"/>
  <c r="B41" i="8" s="1"/>
  <c r="E41" i="8" s="1"/>
  <c r="B30" i="9" s="1"/>
  <c r="B41" i="9" s="1"/>
  <c r="E41" i="9" s="1"/>
  <c r="B30" i="10" s="1"/>
  <c r="B41" i="10" s="1"/>
  <c r="E41" i="10" s="1"/>
  <c r="G41" i="10"/>
  <c r="I41" i="10" s="1"/>
  <c r="I14" i="13" l="1"/>
  <c r="B30" i="11"/>
  <c r="B41" i="11" s="1"/>
  <c r="E41" i="11" s="1"/>
  <c r="B30" i="12" s="1"/>
  <c r="G30" i="11"/>
  <c r="G41" i="11" s="1"/>
  <c r="I41" i="11" s="1"/>
  <c r="G30" i="12" s="1"/>
  <c r="G41" i="12" s="1"/>
  <c r="I41" i="12" s="1"/>
  <c r="F32" i="13" s="1"/>
  <c r="F43" i="13" s="1"/>
  <c r="H43" i="13" s="1"/>
  <c r="B41" i="12"/>
  <c r="E41" i="12" s="1"/>
  <c r="D23" i="3"/>
  <c r="G6" i="3"/>
  <c r="G8" i="10"/>
  <c r="D23" i="10"/>
  <c r="B32" i="13" l="1"/>
  <c r="B43" i="13" s="1"/>
  <c r="D43" i="13" s="1"/>
  <c r="I6" i="3"/>
  <c r="G23" i="3"/>
  <c r="I8" i="10"/>
  <c r="D8" i="12" s="1"/>
  <c r="G23" i="10"/>
  <c r="G8" i="12" l="1"/>
  <c r="D23" i="12"/>
  <c r="D8" i="11"/>
  <c r="I23" i="10"/>
  <c r="I23" i="3"/>
  <c r="D6" i="4"/>
  <c r="G8" i="11" l="1"/>
  <c r="D23" i="11"/>
  <c r="I8" i="12"/>
  <c r="G23" i="12"/>
  <c r="D23" i="4"/>
  <c r="G6" i="4"/>
  <c r="I8" i="11"/>
  <c r="I23" i="11" s="1"/>
  <c r="G23" i="11"/>
  <c r="I23" i="12" l="1"/>
  <c r="D8" i="13"/>
  <c r="I6" i="4"/>
  <c r="G23" i="4"/>
  <c r="G8" i="13" l="1"/>
  <c r="D25" i="13"/>
  <c r="D6" i="5"/>
  <c r="I23" i="4"/>
  <c r="I8" i="13" l="1"/>
  <c r="I25" i="13" s="1"/>
  <c r="G25" i="13"/>
  <c r="G6" i="5"/>
  <c r="D23" i="5"/>
  <c r="I6" i="5" l="1"/>
  <c r="G23" i="5"/>
  <c r="D6" i="6" l="1"/>
  <c r="G6" i="6" s="1"/>
  <c r="I23" i="5"/>
  <c r="D23" i="6" s="1"/>
  <c r="I6" i="6" l="1"/>
  <c r="G23" i="6"/>
  <c r="D6" i="7" l="1"/>
  <c r="G6" i="7" s="1"/>
  <c r="I23" i="6"/>
  <c r="D23" i="7" s="1"/>
  <c r="I6" i="7" l="1"/>
  <c r="G23" i="7"/>
  <c r="D6" i="8" l="1"/>
  <c r="I23" i="7"/>
  <c r="G6" i="8" l="1"/>
  <c r="D23" i="8"/>
  <c r="I6" i="8" l="1"/>
  <c r="G23" i="8"/>
  <c r="D6" i="9" l="1"/>
  <c r="I23" i="8"/>
  <c r="G6" i="9" l="1"/>
  <c r="D23" i="9"/>
  <c r="I6" i="9" l="1"/>
  <c r="I23" i="9" s="1"/>
  <c r="G23" i="9"/>
</calcChain>
</file>

<file path=xl/sharedStrings.xml><?xml version="1.0" encoding="utf-8"?>
<sst xmlns="http://schemas.openxmlformats.org/spreadsheetml/2006/main" count="1507" uniqueCount="156">
  <si>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</si>
  <si>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</si>
  <si>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</si>
  <si>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</si>
  <si>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</si>
  <si>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</si>
  <si>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</si>
  <si>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</si>
  <si>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</si>
  <si>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</si>
  <si>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</si>
  <si>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</si>
  <si>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</si>
  <si>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</si>
  <si>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</si>
  <si>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</si>
  <si>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</si>
  <si>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</si>
  <si>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</si>
  <si>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</si>
  <si>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</si>
  <si>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</si>
  <si>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</si>
  <si>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</si>
  <si>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</si>
  <si>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</si>
  <si>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</si>
  <si>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</si>
  <si>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SHOP 1</t>
  </si>
  <si>
    <t>SHOP 2</t>
  </si>
  <si>
    <t>SHOP 3</t>
  </si>
  <si>
    <t>SHOP 4</t>
  </si>
  <si>
    <t>DECEMBER</t>
  </si>
  <si>
    <t>TIMOTHY  KIRORI</t>
  </si>
  <si>
    <t>MARIUM KUNGU</t>
  </si>
  <si>
    <t>FREDRICK DEYA</t>
  </si>
  <si>
    <t>ROTICH ROBERT</t>
  </si>
  <si>
    <t>BENSON KIRUTI</t>
  </si>
  <si>
    <t>GARBAGE</t>
  </si>
  <si>
    <t>HASSAN MOHAMED</t>
  </si>
  <si>
    <t>FOR THE MONTH OF DECEMBER 2020</t>
  </si>
  <si>
    <t>DAVID SAFARI</t>
  </si>
  <si>
    <t>MULINGE</t>
  </si>
  <si>
    <t>PAID ON 11/12</t>
  </si>
  <si>
    <t>HASSAN</t>
  </si>
  <si>
    <t>FOR THE MONTH OF JANUARY 2021</t>
  </si>
  <si>
    <t>JANUARY</t>
  </si>
  <si>
    <t>KARIUKI HAMMERTON</t>
  </si>
  <si>
    <t>NEW</t>
  </si>
  <si>
    <t>PAID ON 11/1</t>
  </si>
  <si>
    <t>PETER</t>
  </si>
  <si>
    <t>FAITH</t>
  </si>
  <si>
    <t>NEW PAID LL</t>
  </si>
  <si>
    <t>PAID ON 14/11</t>
  </si>
  <si>
    <t>VACCATED</t>
  </si>
  <si>
    <t>PAID ON 25/1</t>
  </si>
  <si>
    <t>GRACE WACERA</t>
  </si>
  <si>
    <t>VACCANT</t>
  </si>
  <si>
    <t>FOR THE MONTH OF FEBRUARY 2021</t>
  </si>
  <si>
    <t>FEBRUARY</t>
  </si>
  <si>
    <t>MULINGE LL</t>
  </si>
  <si>
    <t>PAID ON 10/2</t>
  </si>
  <si>
    <t>DANIEL MWENDWA</t>
  </si>
  <si>
    <t xml:space="preserve">FAITH </t>
  </si>
  <si>
    <t>KONES NAMBASI</t>
  </si>
  <si>
    <t>ON DEP</t>
  </si>
  <si>
    <t>PAID ON 18/2</t>
  </si>
  <si>
    <t>TIMOTHY KIRORI</t>
  </si>
  <si>
    <t>GLEEVE OUMA</t>
  </si>
  <si>
    <t>PETER KIROSHI</t>
  </si>
  <si>
    <t>PETERKIROSHI ON DEP</t>
  </si>
  <si>
    <t>DANIEL NO.3 ON DEP</t>
  </si>
  <si>
    <t>FOR THE MONTH OF MARCH 2021</t>
  </si>
  <si>
    <t>MARCH</t>
  </si>
  <si>
    <t>ABUKALL SAIDI</t>
  </si>
  <si>
    <t>MUSA</t>
  </si>
  <si>
    <t>DENNIS WAHUYE</t>
  </si>
  <si>
    <t>ERICK</t>
  </si>
  <si>
    <t>NANCY</t>
  </si>
  <si>
    <t>SILVIA</t>
  </si>
  <si>
    <t>STENCY AKINYI</t>
  </si>
  <si>
    <t>NAMELESS</t>
  </si>
  <si>
    <t>OKEMWA KAKA</t>
  </si>
  <si>
    <t>FAITH  KAYOR</t>
  </si>
  <si>
    <t>PAID ON 10/3</t>
  </si>
  <si>
    <t>LL</t>
  </si>
  <si>
    <t>KORES NAMBASI</t>
  </si>
  <si>
    <t>APRIL</t>
  </si>
  <si>
    <t>FOR THE MONTH OF APRIL  2021</t>
  </si>
  <si>
    <t>FOR THE MONTH OF APRIL 2021</t>
  </si>
  <si>
    <t>DICKENS OMONDI</t>
  </si>
  <si>
    <t>FAITH PAID LL</t>
  </si>
  <si>
    <t>PAID ON 10/4</t>
  </si>
  <si>
    <t>NO.6 LL DAUGHTER</t>
  </si>
  <si>
    <t>OKEMWA VACCATED</t>
  </si>
  <si>
    <t>PAID ON 27/4</t>
  </si>
  <si>
    <t>FOR THE MONTH OF MAY  2021</t>
  </si>
  <si>
    <t>MAY</t>
  </si>
  <si>
    <t>FOR THE MONTH OF MAY 2021</t>
  </si>
  <si>
    <t>TEDYAN</t>
  </si>
  <si>
    <t>PAID ON 10/5</t>
  </si>
  <si>
    <t>FAITH NO.6 VACCATED</t>
  </si>
  <si>
    <t>JUNE</t>
  </si>
  <si>
    <t>FOR THE MONTH OF JUNE 2021</t>
  </si>
  <si>
    <t>FOR THE MONTH OF JUNE  2021</t>
  </si>
  <si>
    <t>CLEEVE NO.2 ON DEPOSIT</t>
  </si>
  <si>
    <t>on dep</t>
  </si>
  <si>
    <t>vaccant</t>
  </si>
  <si>
    <t>PAID ON 10/6</t>
  </si>
  <si>
    <t>PAID ON 22/6</t>
  </si>
  <si>
    <t>JULY</t>
  </si>
  <si>
    <t>FOR THE MONTH OF JULY 2021</t>
  </si>
  <si>
    <t>FROM SEPT THE RENT =10000</t>
  </si>
  <si>
    <t>PAID ON 10/7</t>
  </si>
  <si>
    <t>AUGUST</t>
  </si>
  <si>
    <t>FOR THE MONTH OF AUGUST 2021</t>
  </si>
  <si>
    <t>FOR THE MONTH OF AUGUST  2021</t>
  </si>
  <si>
    <t>SOROPHINE  ANDISA</t>
  </si>
  <si>
    <t>HAMMERTON NO.4 LL TO PAY</t>
  </si>
  <si>
    <t>PAID ON 10/8</t>
  </si>
  <si>
    <t>FOR THE MONTH OF SEPTEMBER  2021</t>
  </si>
  <si>
    <t>SEPTEMBER</t>
  </si>
  <si>
    <t>EVICTED</t>
  </si>
  <si>
    <t>FOR THE MONTH OF SEPT 2021</t>
  </si>
  <si>
    <t>PAID ON 10/9</t>
  </si>
  <si>
    <t>NO.3NANCY&amp; NO.9 ON DEPOSIT</t>
  </si>
  <si>
    <t>FAITH KAYOR</t>
  </si>
  <si>
    <t xml:space="preserve">MAUREN </t>
  </si>
  <si>
    <t>SHARON</t>
  </si>
  <si>
    <t>DEP 5000</t>
  </si>
  <si>
    <t>FOR THE MONTH OF OCTOBER  2021</t>
  </si>
  <si>
    <t>FOR THE MONTH OF OCTOBER 2021</t>
  </si>
  <si>
    <t>OCTOBER</t>
  </si>
  <si>
    <t>PAID ON 17/9</t>
  </si>
  <si>
    <t>PAID ON 11/10</t>
  </si>
  <si>
    <t>GEORGINA MITIHELL</t>
  </si>
  <si>
    <t>ESTHER MUTIO</t>
  </si>
  <si>
    <t>FELIX OTOO</t>
  </si>
  <si>
    <t xml:space="preserve">BRIYAN ABAGA </t>
  </si>
  <si>
    <t>FOR THE MONTH OFNOVEMBER 2021</t>
  </si>
  <si>
    <t>NOV</t>
  </si>
  <si>
    <t>NEWTON</t>
  </si>
  <si>
    <t>FUNDI  NEWTON</t>
  </si>
  <si>
    <t>NO.13</t>
  </si>
  <si>
    <t xml:space="preserve">PAID ON </t>
  </si>
  <si>
    <t>BRIAN NYANWESO</t>
  </si>
  <si>
    <t>PAID ON 10/11</t>
  </si>
  <si>
    <t>BRIAN</t>
  </si>
  <si>
    <t>FOR THE MONTH OF DECEMBER 2021</t>
  </si>
  <si>
    <t>FOR THE MONTH OF NOVEMBER 2021</t>
  </si>
  <si>
    <t>DEC</t>
  </si>
  <si>
    <t>PHOSTINE WANDERA</t>
  </si>
  <si>
    <t>JIM NGIGE</t>
  </si>
  <si>
    <t>PAID ON 10/12</t>
  </si>
  <si>
    <t>SILVIA MUIGI</t>
  </si>
  <si>
    <t>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</si>
</sst>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1" fillId="0" borderId="1" xfId="1" applyFont="1" applyBorder="1" applyAlignment="1">
      <alignment horizontal="left"/>
    </xf>
    <xf numFmtId="0" fontId="11" fillId="0" borderId="1" xfId="0" applyFont="1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6" fillId="0" borderId="1" xfId="0" applyFont="1" applyBorder="1"/>
    <xf numFmtId="0" fontId="11" fillId="0" borderId="1" xfId="0" applyFont="1" applyFill="1" applyBorder="1"/>
    <xf numFmtId="43" fontId="10" fillId="0" borderId="1" xfId="1" applyFont="1" applyBorder="1" applyAlignment="1">
      <alignment horizontal="left"/>
    </xf>
    <xf numFmtId="0" fontId="17" fillId="0" borderId="1" xfId="0" applyFont="1" applyBorder="1"/>
    <xf numFmtId="0" fontId="16" fillId="0" borderId="0" xfId="0" applyFont="1"/>
    <xf numFmtId="164" fontId="18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workbookViewId="0">
      <selection activeCell="F35" sqref="F35"/>
    </sheetView>
  </sheetViews>
  <sheetFormatPr defaultRowHeight="15" x14ac:dyDescent="0.25"/>
  <cols>
    <col min="1" max="1" width="14.85546875" customWidth="1"/>
    <col min="2" max="2" width="6.42578125" customWidth="1"/>
    <col min="3" max="3" width="7.7109375" customWidth="1"/>
    <col min="4" max="4" width="5.7109375" customWidth="1"/>
    <col min="5" max="5" width="7.140625" customWidth="1"/>
    <col min="6" max="6" width="11" customWidth="1"/>
  </cols>
  <sheetData>
    <row r="2" spans="1:10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0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0" ht="18.75" x14ac:dyDescent="0.3">
      <c r="A4" s="5"/>
      <c r="B4" s="1" t="s">
        <v>40</v>
      </c>
      <c r="C4" s="1"/>
      <c r="D4" s="1"/>
      <c r="E4" s="1"/>
      <c r="F4" s="1"/>
      <c r="G4" s="6"/>
      <c r="H4" s="7"/>
      <c r="I4" s="3"/>
      <c r="J4" s="3"/>
    </row>
    <row r="5" spans="1:10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0" x14ac:dyDescent="0.25">
      <c r="A6" s="12" t="s">
        <v>33</v>
      </c>
      <c r="B6" s="13">
        <v>1</v>
      </c>
      <c r="C6" s="14">
        <v>6500</v>
      </c>
      <c r="D6" s="14"/>
      <c r="E6" s="15">
        <v>200</v>
      </c>
      <c r="F6" s="16">
        <v>6500</v>
      </c>
      <c r="G6" s="16">
        <f>C6+E6+F6+D6</f>
        <v>13200</v>
      </c>
      <c r="H6" s="16">
        <v>13200</v>
      </c>
      <c r="I6" s="17">
        <f>G6-H6</f>
        <v>0</v>
      </c>
      <c r="J6" s="15"/>
    </row>
    <row r="7" spans="1:10" x14ac:dyDescent="0.25">
      <c r="A7" t="s">
        <v>34</v>
      </c>
      <c r="B7" s="13">
        <v>2</v>
      </c>
      <c r="C7" s="14"/>
      <c r="D7" s="14"/>
      <c r="E7" s="15"/>
      <c r="F7" s="16">
        <v>10000</v>
      </c>
      <c r="G7" s="16">
        <f t="shared" ref="G7:G19" si="0">C7+E7+F7+D7</f>
        <v>10000</v>
      </c>
      <c r="H7" s="16">
        <v>10000</v>
      </c>
      <c r="I7" s="17">
        <f t="shared" ref="I7:I19" si="1">G7-H7</f>
        <v>0</v>
      </c>
      <c r="J7" s="15"/>
    </row>
    <row r="8" spans="1:10" x14ac:dyDescent="0.25">
      <c r="A8" s="18" t="s">
        <v>42</v>
      </c>
      <c r="B8" s="13">
        <v>3</v>
      </c>
      <c r="C8" s="14"/>
      <c r="D8" s="14"/>
      <c r="E8" s="15"/>
      <c r="F8" s="16">
        <v>7000</v>
      </c>
      <c r="G8" s="16">
        <f t="shared" si="0"/>
        <v>7000</v>
      </c>
      <c r="H8" s="16"/>
      <c r="I8" s="17">
        <f t="shared" si="1"/>
        <v>7000</v>
      </c>
      <c r="J8" s="15"/>
    </row>
    <row r="9" spans="1:10" x14ac:dyDescent="0.25">
      <c r="A9" s="19"/>
      <c r="B9" s="13">
        <v>4</v>
      </c>
      <c r="C9" s="14"/>
      <c r="D9" s="14"/>
      <c r="E9" s="15"/>
      <c r="F9" s="16"/>
      <c r="G9" s="16">
        <f t="shared" si="0"/>
        <v>0</v>
      </c>
      <c r="H9" s="16"/>
      <c r="I9" s="17">
        <f>G9-H9</f>
        <v>0</v>
      </c>
      <c r="J9" s="15"/>
    </row>
    <row r="10" spans="1:10" x14ac:dyDescent="0.25">
      <c r="A10" s="19" t="s">
        <v>41</v>
      </c>
      <c r="B10" s="13">
        <v>5</v>
      </c>
      <c r="C10" s="14"/>
      <c r="D10" s="14"/>
      <c r="E10" s="15"/>
      <c r="F10" s="16">
        <v>6000</v>
      </c>
      <c r="G10" s="16">
        <f t="shared" si="0"/>
        <v>6000</v>
      </c>
      <c r="H10" s="16">
        <v>6000</v>
      </c>
      <c r="I10" s="17">
        <f>G10-H10</f>
        <v>0</v>
      </c>
      <c r="J10" s="15"/>
    </row>
    <row r="11" spans="1:10" x14ac:dyDescent="0.25">
      <c r="A11" s="20"/>
      <c r="B11" s="13">
        <v>6</v>
      </c>
      <c r="C11" s="14"/>
      <c r="D11" s="14"/>
      <c r="E11" s="15"/>
      <c r="F11" s="16"/>
      <c r="G11" s="16">
        <f t="shared" si="0"/>
        <v>0</v>
      </c>
      <c r="H11" s="16"/>
      <c r="I11" s="17">
        <f t="shared" si="1"/>
        <v>0</v>
      </c>
      <c r="J11" s="15"/>
    </row>
    <row r="12" spans="1:10" x14ac:dyDescent="0.25">
      <c r="A12" s="19"/>
      <c r="B12" s="13">
        <v>7</v>
      </c>
      <c r="C12" s="14"/>
      <c r="D12" s="14"/>
      <c r="E12" s="15"/>
      <c r="F12" s="16"/>
      <c r="G12" s="16">
        <f t="shared" si="0"/>
        <v>0</v>
      </c>
      <c r="H12" s="16"/>
      <c r="I12" s="17">
        <f t="shared" si="1"/>
        <v>0</v>
      </c>
      <c r="J12" s="15"/>
    </row>
    <row r="13" spans="1:10" x14ac:dyDescent="0.25">
      <c r="A13" s="21"/>
      <c r="B13" s="13">
        <v>8</v>
      </c>
      <c r="C13" s="14"/>
      <c r="D13" s="14"/>
      <c r="E13" s="15"/>
      <c r="F13" s="16"/>
      <c r="G13" s="16">
        <f t="shared" si="0"/>
        <v>0</v>
      </c>
      <c r="H13" s="16"/>
      <c r="I13" s="17">
        <f t="shared" si="1"/>
        <v>0</v>
      </c>
      <c r="J13" s="15"/>
    </row>
    <row r="14" spans="1:10" x14ac:dyDescent="0.25">
      <c r="A14" s="21"/>
      <c r="B14" s="13">
        <v>9</v>
      </c>
      <c r="C14" s="14"/>
      <c r="D14" s="14"/>
      <c r="E14" s="15"/>
      <c r="F14" s="16"/>
      <c r="G14" s="16">
        <f t="shared" si="0"/>
        <v>0</v>
      </c>
      <c r="H14" s="16"/>
      <c r="I14" s="17">
        <f t="shared" si="1"/>
        <v>0</v>
      </c>
      <c r="J14" s="15"/>
    </row>
    <row r="15" spans="1:10" x14ac:dyDescent="0.25">
      <c r="A15" s="22"/>
      <c r="B15" s="23">
        <v>10</v>
      </c>
      <c r="C15" s="14"/>
      <c r="D15" s="14"/>
      <c r="E15" s="15"/>
      <c r="F15" s="16"/>
      <c r="G15" s="16">
        <f t="shared" si="0"/>
        <v>0</v>
      </c>
      <c r="H15" s="16"/>
      <c r="I15" s="17">
        <f t="shared" si="1"/>
        <v>0</v>
      </c>
      <c r="J15" s="15"/>
    </row>
    <row r="16" spans="1:10" x14ac:dyDescent="0.25">
      <c r="A16" s="24" t="s">
        <v>34</v>
      </c>
      <c r="B16" s="13" t="s">
        <v>28</v>
      </c>
      <c r="C16" s="14"/>
      <c r="D16" s="14"/>
      <c r="E16" s="15"/>
      <c r="F16" s="16">
        <v>6000</v>
      </c>
      <c r="G16" s="16">
        <f t="shared" si="0"/>
        <v>6000</v>
      </c>
      <c r="H16" s="16">
        <v>6000</v>
      </c>
      <c r="I16" s="17">
        <f>G16-H16</f>
        <v>0</v>
      </c>
      <c r="J16" s="15"/>
    </row>
    <row r="17" spans="1:10" x14ac:dyDescent="0.25">
      <c r="A17" s="22" t="s">
        <v>35</v>
      </c>
      <c r="B17" s="13" t="s">
        <v>29</v>
      </c>
      <c r="C17" s="14"/>
      <c r="D17" s="14"/>
      <c r="E17" s="15"/>
      <c r="F17" s="16">
        <v>7000</v>
      </c>
      <c r="G17" s="16">
        <f t="shared" si="0"/>
        <v>7000</v>
      </c>
      <c r="H17" s="16">
        <f>2000+3000</f>
        <v>5000</v>
      </c>
      <c r="I17" s="17">
        <f>G17-H17</f>
        <v>2000</v>
      </c>
      <c r="J17" s="15"/>
    </row>
    <row r="18" spans="1:10" x14ac:dyDescent="0.25">
      <c r="A18" s="22" t="s">
        <v>36</v>
      </c>
      <c r="B18" s="13" t="s">
        <v>30</v>
      </c>
      <c r="C18" s="14"/>
      <c r="D18" s="14"/>
      <c r="E18" s="15"/>
      <c r="F18" s="16">
        <v>7000</v>
      </c>
      <c r="G18" s="16">
        <f>C18+E18+F18+D18</f>
        <v>7000</v>
      </c>
      <c r="H18" s="16">
        <v>7000</v>
      </c>
      <c r="I18" s="17">
        <f>G18-H18</f>
        <v>0</v>
      </c>
      <c r="J18" s="15"/>
    </row>
    <row r="19" spans="1:10" x14ac:dyDescent="0.25">
      <c r="A19" s="22" t="s">
        <v>37</v>
      </c>
      <c r="B19" s="13" t="s">
        <v>31</v>
      </c>
      <c r="C19" s="14"/>
      <c r="D19" s="14"/>
      <c r="E19" s="15"/>
      <c r="F19" s="16">
        <v>8000</v>
      </c>
      <c r="G19" s="16">
        <f t="shared" si="0"/>
        <v>8000</v>
      </c>
      <c r="H19" s="16">
        <v>8000</v>
      </c>
      <c r="I19" s="17">
        <f t="shared" si="1"/>
        <v>0</v>
      </c>
      <c r="J19" s="15"/>
    </row>
    <row r="20" spans="1:10" x14ac:dyDescent="0.25">
      <c r="A20" s="25" t="s">
        <v>10</v>
      </c>
      <c r="B20" s="26"/>
      <c r="C20" s="14">
        <f t="shared" ref="C20:J20" si="2">SUM(C6:C19)</f>
        <v>6500</v>
      </c>
      <c r="D20" s="14">
        <f t="shared" si="2"/>
        <v>0</v>
      </c>
      <c r="E20" s="15">
        <f t="shared" si="2"/>
        <v>200</v>
      </c>
      <c r="F20" s="27">
        <f>SUM(F6:F19)</f>
        <v>57500</v>
      </c>
      <c r="G20" s="16">
        <f t="shared" si="2"/>
        <v>64200</v>
      </c>
      <c r="H20" s="16">
        <f>SUM(H6:H19)</f>
        <v>55200</v>
      </c>
      <c r="I20" s="16">
        <f t="shared" si="2"/>
        <v>9000</v>
      </c>
      <c r="J20" s="15">
        <f t="shared" si="2"/>
        <v>0</v>
      </c>
    </row>
    <row r="21" spans="1:10" x14ac:dyDescent="0.25">
      <c r="E21" s="15"/>
      <c r="I21" s="28"/>
      <c r="J21" s="3"/>
    </row>
    <row r="23" spans="1:10" x14ac:dyDescent="0.25">
      <c r="A23" s="3" t="s">
        <v>11</v>
      </c>
      <c r="B23" s="29"/>
      <c r="C23" s="30"/>
      <c r="D23" s="30"/>
      <c r="E23" s="31"/>
      <c r="F23" s="32"/>
      <c r="G23" s="33"/>
      <c r="H23" s="32"/>
      <c r="I23" s="34"/>
      <c r="J23" s="3"/>
    </row>
    <row r="24" spans="1:10" x14ac:dyDescent="0.25">
      <c r="A24" s="35" t="s">
        <v>12</v>
      </c>
      <c r="B24" s="35"/>
      <c r="C24" s="35"/>
      <c r="D24" s="35"/>
      <c r="E24" s="36"/>
      <c r="F24" s="35" t="s">
        <v>7</v>
      </c>
      <c r="G24" s="3"/>
      <c r="H24" s="3"/>
      <c r="I24" s="3"/>
      <c r="J24" s="3"/>
    </row>
    <row r="25" spans="1:10" x14ac:dyDescent="0.25">
      <c r="A25" s="37" t="s">
        <v>13</v>
      </c>
      <c r="B25" s="37" t="s">
        <v>14</v>
      </c>
      <c r="C25" s="37" t="s">
        <v>15</v>
      </c>
      <c r="D25" s="37"/>
      <c r="E25" s="37" t="s">
        <v>16</v>
      </c>
      <c r="F25" s="37" t="s">
        <v>13</v>
      </c>
      <c r="G25" s="37" t="s">
        <v>14</v>
      </c>
      <c r="H25" s="37" t="s">
        <v>15</v>
      </c>
      <c r="I25" s="37" t="s">
        <v>16</v>
      </c>
      <c r="J25" s="3"/>
    </row>
    <row r="26" spans="1:10" x14ac:dyDescent="0.25">
      <c r="A26" s="26" t="s">
        <v>32</v>
      </c>
      <c r="B26" s="38">
        <f>F20</f>
        <v>57500</v>
      </c>
      <c r="C26" s="26"/>
      <c r="D26" s="26"/>
      <c r="E26" s="26"/>
      <c r="F26" s="26" t="s">
        <v>32</v>
      </c>
      <c r="G26" s="38">
        <f>H20</f>
        <v>55200</v>
      </c>
      <c r="H26" s="26"/>
      <c r="I26" s="26"/>
      <c r="J26" s="34"/>
    </row>
    <row r="27" spans="1:10" x14ac:dyDescent="0.25">
      <c r="A27" s="26" t="s">
        <v>17</v>
      </c>
      <c r="B27" s="38"/>
      <c r="C27" s="26"/>
      <c r="D27" s="26"/>
      <c r="E27" s="26"/>
      <c r="F27" s="26" t="s">
        <v>17</v>
      </c>
      <c r="G27" s="38"/>
      <c r="H27" s="26"/>
      <c r="I27" s="26"/>
      <c r="J27" s="34"/>
    </row>
    <row r="28" spans="1:10" x14ac:dyDescent="0.25">
      <c r="A28" s="26" t="s">
        <v>9</v>
      </c>
      <c r="B28" s="38"/>
      <c r="C28" s="26"/>
      <c r="D28" s="26"/>
      <c r="E28" s="26"/>
      <c r="F28" s="26"/>
      <c r="G28" s="38"/>
      <c r="H28" s="26"/>
      <c r="I28" s="26"/>
      <c r="J28" s="34" t="s">
        <v>18</v>
      </c>
    </row>
    <row r="29" spans="1:10" x14ac:dyDescent="0.25">
      <c r="A29" s="26" t="s">
        <v>3</v>
      </c>
      <c r="B29" s="38">
        <f>C20</f>
        <v>6500</v>
      </c>
      <c r="C29" s="26"/>
      <c r="D29" s="26"/>
      <c r="E29" s="26"/>
      <c r="F29" s="26"/>
      <c r="G29" s="38"/>
      <c r="H29" s="26"/>
      <c r="I29" s="26"/>
      <c r="J29" s="3"/>
    </row>
    <row r="30" spans="1:10" x14ac:dyDescent="0.25">
      <c r="A30" s="26" t="s">
        <v>19</v>
      </c>
      <c r="B30" s="39">
        <v>7.0000000000000007E-2</v>
      </c>
      <c r="C30" s="38">
        <f>B30*B26</f>
        <v>4025.0000000000005</v>
      </c>
      <c r="D30" s="38"/>
      <c r="E30" s="26"/>
      <c r="F30" s="26" t="s">
        <v>19</v>
      </c>
      <c r="G30" s="39">
        <v>7.0000000000000007E-2</v>
      </c>
      <c r="H30" s="38">
        <f>G30*B26</f>
        <v>4025.0000000000005</v>
      </c>
      <c r="I30" s="26"/>
      <c r="J30" s="3"/>
    </row>
    <row r="31" spans="1:10" x14ac:dyDescent="0.25">
      <c r="A31" s="37" t="s">
        <v>20</v>
      </c>
      <c r="B31" s="26" t="s">
        <v>21</v>
      </c>
      <c r="C31" s="26"/>
      <c r="D31" s="26"/>
      <c r="E31" s="26"/>
      <c r="F31" s="37" t="s">
        <v>20</v>
      </c>
      <c r="G31" s="40"/>
      <c r="H31" s="26"/>
      <c r="I31" s="26"/>
      <c r="J31" s="34"/>
    </row>
    <row r="32" spans="1:10" x14ac:dyDescent="0.25">
      <c r="A32" s="41" t="s">
        <v>22</v>
      </c>
      <c r="B32" s="39">
        <v>0.3</v>
      </c>
      <c r="C32" s="42"/>
      <c r="D32" s="42"/>
      <c r="E32" s="26"/>
      <c r="F32" s="41" t="s">
        <v>22</v>
      </c>
      <c r="G32" s="39">
        <v>0.3</v>
      </c>
      <c r="H32" s="42"/>
      <c r="I32" s="26"/>
      <c r="J32" s="3"/>
    </row>
    <row r="33" spans="1:11" x14ac:dyDescent="0.25">
      <c r="A33" s="40" t="s">
        <v>43</v>
      </c>
      <c r="C33">
        <v>59975</v>
      </c>
      <c r="E33" s="42"/>
      <c r="F33" s="40" t="s">
        <v>38</v>
      </c>
      <c r="H33">
        <f>E20</f>
        <v>200</v>
      </c>
      <c r="I33" s="26"/>
      <c r="J33" s="3"/>
    </row>
    <row r="34" spans="1:11" x14ac:dyDescent="0.25">
      <c r="A34" s="40"/>
      <c r="B34" s="39"/>
      <c r="C34" s="26"/>
      <c r="D34" s="26"/>
      <c r="E34" s="26"/>
      <c r="F34" s="40" t="s">
        <v>43</v>
      </c>
      <c r="H34">
        <v>59975</v>
      </c>
      <c r="I34" s="26"/>
      <c r="J34" s="34"/>
    </row>
    <row r="35" spans="1:11" x14ac:dyDescent="0.25">
      <c r="A35" s="40"/>
      <c r="B35" s="39"/>
      <c r="C35" s="26"/>
      <c r="D35" s="26"/>
      <c r="E35" s="26"/>
      <c r="F35" s="40"/>
      <c r="G35" s="39"/>
      <c r="H35" s="26"/>
      <c r="I35" s="26"/>
      <c r="J35" s="43"/>
      <c r="K35" s="28"/>
    </row>
    <row r="36" spans="1:11" x14ac:dyDescent="0.25">
      <c r="A36" s="40"/>
      <c r="B36" s="26"/>
      <c r="C36" s="42"/>
      <c r="D36" s="42"/>
      <c r="E36" s="26"/>
      <c r="F36" s="40"/>
      <c r="G36" s="26"/>
      <c r="H36" s="42"/>
      <c r="I36" s="26"/>
      <c r="J36" s="3"/>
    </row>
    <row r="37" spans="1:11" x14ac:dyDescent="0.25">
      <c r="A37" s="40"/>
      <c r="B37" s="26"/>
      <c r="C37" s="42"/>
      <c r="D37" s="42"/>
      <c r="E37" s="26"/>
      <c r="F37" s="40"/>
      <c r="G37" s="26"/>
      <c r="H37" s="42"/>
      <c r="I37" s="26"/>
      <c r="J37" s="3"/>
      <c r="K37" s="44"/>
    </row>
    <row r="38" spans="1:11" x14ac:dyDescent="0.25">
      <c r="A38" s="37" t="s">
        <v>10</v>
      </c>
      <c r="B38" s="45">
        <f>B29+B26+B27+B28-C30</f>
        <v>59975</v>
      </c>
      <c r="C38" s="45">
        <f>SUM(C32:C37)</f>
        <v>59975</v>
      </c>
      <c r="D38" s="45"/>
      <c r="E38" s="45">
        <f>B38-C38</f>
        <v>0</v>
      </c>
      <c r="F38" s="37" t="s">
        <v>10</v>
      </c>
      <c r="G38" s="45">
        <f>G26+G27+G29-H30</f>
        <v>51175</v>
      </c>
      <c r="H38" s="45">
        <f>SUM(H32:H37)</f>
        <v>60175</v>
      </c>
      <c r="I38" s="45">
        <f>G38-H38</f>
        <v>-9000</v>
      </c>
      <c r="J38" s="43"/>
    </row>
    <row r="39" spans="1:11" x14ac:dyDescent="0.25">
      <c r="A39" s="46" t="s">
        <v>23</v>
      </c>
      <c r="B39" s="47"/>
      <c r="C39" s="47" t="s">
        <v>24</v>
      </c>
      <c r="D39" s="47"/>
      <c r="E39" s="48"/>
      <c r="F39" s="46"/>
      <c r="G39" s="46" t="s">
        <v>25</v>
      </c>
      <c r="H39" s="3"/>
      <c r="I39" s="3"/>
      <c r="J39" s="3"/>
    </row>
    <row r="40" spans="1:11" x14ac:dyDescent="0.25">
      <c r="A40" s="46" t="s">
        <v>26</v>
      </c>
      <c r="B40" s="47"/>
      <c r="C40" s="47" t="s">
        <v>27</v>
      </c>
      <c r="D40" s="47"/>
      <c r="E40" s="48"/>
      <c r="F40" s="46"/>
      <c r="G40" s="46" t="s">
        <v>44</v>
      </c>
      <c r="H40" s="3"/>
    </row>
  </sheetData>
  <pageMargins left="0.7" right="0.7" top="0.75" bottom="0.75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1"/>
  <sheetViews>
    <sheetView topLeftCell="A13" workbookViewId="0">
      <selection activeCell="G45" sqref="G45"/>
    </sheetView>
  </sheetViews>
  <sheetFormatPr defaultRowHeight="15" x14ac:dyDescent="0.25"/>
  <cols>
    <col min="1" max="1" width="22.7109375" customWidth="1"/>
    <col min="14" max="14" width="19.42578125" customWidth="1"/>
    <col min="19" max="19" width="11" customWidth="1"/>
  </cols>
  <sheetData>
    <row r="2" spans="1:24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4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4" ht="18.75" x14ac:dyDescent="0.3">
      <c r="A4" s="5"/>
      <c r="B4" s="1" t="s">
        <v>120</v>
      </c>
      <c r="C4" s="1"/>
      <c r="D4" s="1"/>
      <c r="E4" s="1"/>
      <c r="F4" s="1"/>
      <c r="G4" s="6"/>
      <c r="H4" s="7"/>
      <c r="I4" s="3"/>
      <c r="J4" s="3"/>
      <c r="N4" s="5"/>
      <c r="O4" s="1" t="s">
        <v>123</v>
      </c>
      <c r="P4" s="1"/>
      <c r="Q4" s="1"/>
      <c r="R4" s="1"/>
      <c r="S4" s="1"/>
      <c r="T4" s="6"/>
      <c r="U4" s="7"/>
      <c r="V4" s="3"/>
      <c r="W4" s="3"/>
    </row>
    <row r="5" spans="1:24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4" x14ac:dyDescent="0.25">
      <c r="A6" s="22" t="s">
        <v>99</v>
      </c>
      <c r="B6" s="13">
        <v>1</v>
      </c>
      <c r="C6" s="14"/>
      <c r="D6" s="14">
        <v>6000</v>
      </c>
      <c r="E6" s="15"/>
      <c r="F6" s="16">
        <v>6000</v>
      </c>
      <c r="G6" s="16">
        <f>C6+E6+F6+D6</f>
        <v>12000</v>
      </c>
      <c r="H6" s="16">
        <v>6000</v>
      </c>
      <c r="I6" s="17">
        <f>G6-H6</f>
        <v>6000</v>
      </c>
      <c r="J6" s="15"/>
      <c r="N6" s="12" t="s">
        <v>48</v>
      </c>
      <c r="O6" s="13">
        <v>1</v>
      </c>
      <c r="P6" s="14"/>
      <c r="Q6" s="14">
        <f>'AUGUST  21'!V6:V19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4" x14ac:dyDescent="0.25">
      <c r="A7" s="53" t="s">
        <v>41</v>
      </c>
      <c r="B7" s="13">
        <v>2</v>
      </c>
      <c r="C7" s="14"/>
      <c r="D7" s="14">
        <f>'AUGUST  21'!I7:I23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'AUGUST  21'!V7:V20</f>
        <v>5000</v>
      </c>
      <c r="R7" s="15"/>
      <c r="S7" s="16">
        <v>5000</v>
      </c>
      <c r="T7" s="16">
        <f t="shared" ref="T7:T20" si="1">P7+R7+S7+Q7</f>
        <v>10000</v>
      </c>
      <c r="U7" s="16">
        <f>5000+5000</f>
        <v>10000</v>
      </c>
      <c r="V7" s="17">
        <f t="shared" ref="V7:V19" si="2">T7-U7</f>
        <v>0</v>
      </c>
      <c r="W7" s="15"/>
    </row>
    <row r="8" spans="1:24" x14ac:dyDescent="0.25">
      <c r="A8" s="26" t="s">
        <v>86</v>
      </c>
      <c r="B8" s="13">
        <v>3</v>
      </c>
      <c r="C8" s="14"/>
      <c r="D8" s="14">
        <f>'AUGUST  21'!I8:I24</f>
        <v>5350</v>
      </c>
      <c r="E8" s="15"/>
      <c r="F8" s="16">
        <v>6500</v>
      </c>
      <c r="G8" s="16">
        <f>C8+E8+F8+D8</f>
        <v>11850</v>
      </c>
      <c r="H8" s="16">
        <f>5000+1500</f>
        <v>6500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'AUGUST  21'!V8:V21</f>
        <v>5000</v>
      </c>
      <c r="R8" s="15"/>
      <c r="S8" s="16">
        <v>5000</v>
      </c>
      <c r="T8" s="16">
        <f t="shared" si="1"/>
        <v>10000</v>
      </c>
      <c r="U8" s="16">
        <f>3000</f>
        <v>3000</v>
      </c>
      <c r="V8" s="17">
        <f t="shared" si="2"/>
        <v>7000</v>
      </c>
      <c r="W8" s="15"/>
      <c r="X8" t="s">
        <v>129</v>
      </c>
    </row>
    <row r="9" spans="1:24" x14ac:dyDescent="0.25">
      <c r="A9" s="19" t="s">
        <v>47</v>
      </c>
      <c r="B9" s="13">
        <v>4</v>
      </c>
      <c r="C9" s="14"/>
      <c r="D9" s="14">
        <f>'AUGUST  21'!I9:I25</f>
        <v>2500</v>
      </c>
      <c r="E9" s="15"/>
      <c r="F9" s="16">
        <v>6000</v>
      </c>
      <c r="G9" s="16">
        <f t="shared" ref="G9:G20" si="3">C9+E9+F9+D9</f>
        <v>8500</v>
      </c>
      <c r="H9" s="16">
        <v>6000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'AUGUST  21'!V9:V22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4" x14ac:dyDescent="0.25">
      <c r="A10" s="22" t="s">
        <v>48</v>
      </c>
      <c r="B10" s="13">
        <v>5</v>
      </c>
      <c r="C10" s="14"/>
      <c r="D10" s="14"/>
      <c r="E10" s="15"/>
      <c r="F10" s="16">
        <v>6500</v>
      </c>
      <c r="G10" s="16">
        <f t="shared" si="3"/>
        <v>6500</v>
      </c>
      <c r="H10" s="16">
        <v>6500</v>
      </c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'AUGUST  21'!V10:V23</f>
        <v>6000</v>
      </c>
      <c r="R10" s="15"/>
      <c r="S10" s="16">
        <v>5000</v>
      </c>
      <c r="T10" s="16">
        <f t="shared" si="1"/>
        <v>11000</v>
      </c>
      <c r="U10" s="16"/>
      <c r="V10" s="17">
        <f t="shared" si="2"/>
        <v>11000</v>
      </c>
      <c r="W10" s="15"/>
    </row>
    <row r="11" spans="1:24" x14ac:dyDescent="0.25">
      <c r="A11" s="20" t="s">
        <v>127</v>
      </c>
      <c r="B11" s="13">
        <v>6</v>
      </c>
      <c r="C11" s="14"/>
      <c r="D11" s="14">
        <f>'AUGUST  21'!I11:I27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80</v>
      </c>
      <c r="O11" s="13">
        <v>6</v>
      </c>
      <c r="P11" s="14"/>
      <c r="Q11" s="14">
        <f>'AUGUST  21'!V11:V24</f>
        <v>6000</v>
      </c>
      <c r="R11" s="15"/>
      <c r="S11" s="16">
        <v>5000</v>
      </c>
      <c r="T11" s="16">
        <f t="shared" si="1"/>
        <v>11000</v>
      </c>
      <c r="U11" s="16">
        <f>1000+7000+3000</f>
        <v>11000</v>
      </c>
      <c r="V11" s="17">
        <f t="shared" si="2"/>
        <v>0</v>
      </c>
      <c r="W11" s="15"/>
    </row>
    <row r="12" spans="1:24" x14ac:dyDescent="0.25">
      <c r="A12" s="52" t="s">
        <v>128</v>
      </c>
      <c r="B12" s="13">
        <v>7</v>
      </c>
      <c r="C12" s="14"/>
      <c r="D12" s="14"/>
      <c r="E12" s="15"/>
      <c r="F12" s="16">
        <v>6000</v>
      </c>
      <c r="G12" s="16">
        <f t="shared" si="3"/>
        <v>6000</v>
      </c>
      <c r="H12" s="16">
        <f>6000</f>
        <v>6000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'AUGUST  21'!V12:V25</f>
        <v>5000</v>
      </c>
      <c r="R12" s="15"/>
      <c r="S12" s="16">
        <v>5000</v>
      </c>
      <c r="T12" s="16">
        <f t="shared" si="1"/>
        <v>10000</v>
      </c>
      <c r="U12" s="16">
        <f>5000</f>
        <v>5000</v>
      </c>
      <c r="V12" s="17">
        <f t="shared" si="2"/>
        <v>5000</v>
      </c>
      <c r="W12" s="15"/>
    </row>
    <row r="13" spans="1:24" x14ac:dyDescent="0.25">
      <c r="A13" s="51" t="s">
        <v>48</v>
      </c>
      <c r="B13" s="13">
        <v>8</v>
      </c>
      <c r="C13" s="14"/>
      <c r="D13" s="14">
        <f>'AUGUST  21'!I13:I29</f>
        <v>0</v>
      </c>
      <c r="E13" s="15"/>
      <c r="F13" s="16">
        <v>5500</v>
      </c>
      <c r="G13" s="16">
        <f t="shared" si="3"/>
        <v>5500</v>
      </c>
      <c r="H13" s="16">
        <v>5500</v>
      </c>
      <c r="I13" s="17">
        <f t="shared" si="0"/>
        <v>0</v>
      </c>
      <c r="J13" s="15"/>
      <c r="N13" s="51" t="s">
        <v>48</v>
      </c>
      <c r="O13" s="13">
        <v>8</v>
      </c>
      <c r="P13" s="14"/>
      <c r="Q13" s="14">
        <f>'AUGUST  21'!V13:V26</f>
        <v>0</v>
      </c>
      <c r="R13" s="15"/>
      <c r="S13" s="16">
        <v>5000</v>
      </c>
      <c r="T13" s="16">
        <f t="shared" si="1"/>
        <v>5000</v>
      </c>
      <c r="U13" s="16">
        <v>5000</v>
      </c>
      <c r="V13" s="17">
        <f t="shared" si="2"/>
        <v>0</v>
      </c>
      <c r="W13" s="15"/>
    </row>
    <row r="14" spans="1:24" x14ac:dyDescent="0.25">
      <c r="A14" s="21" t="s">
        <v>34</v>
      </c>
      <c r="B14" s="13">
        <v>9</v>
      </c>
      <c r="C14" s="14"/>
      <c r="D14" s="14">
        <f>'AUGUST 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48</v>
      </c>
      <c r="O14" s="13">
        <v>9</v>
      </c>
      <c r="P14" s="14"/>
      <c r="Q14" s="14">
        <f>'AUGUST  21'!V14:V27</f>
        <v>5000</v>
      </c>
      <c r="R14" s="15"/>
      <c r="S14" s="16">
        <v>5000</v>
      </c>
      <c r="T14" s="16">
        <f t="shared" si="1"/>
        <v>10000</v>
      </c>
      <c r="U14" s="16">
        <v>5000</v>
      </c>
      <c r="V14" s="17">
        <f t="shared" si="2"/>
        <v>5000</v>
      </c>
      <c r="W14" s="15"/>
      <c r="X14" t="s">
        <v>129</v>
      </c>
    </row>
    <row r="15" spans="1:24" x14ac:dyDescent="0.25">
      <c r="A15" s="51" t="s">
        <v>48</v>
      </c>
      <c r="B15" s="13">
        <v>10</v>
      </c>
      <c r="C15" s="14"/>
      <c r="D15" s="14">
        <f>'AUGUST  21'!I15:I31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48</v>
      </c>
      <c r="O15" s="13">
        <v>10</v>
      </c>
      <c r="P15" s="14"/>
      <c r="Q15" s="14">
        <f>'AUGUST  21'!V15:V28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4" x14ac:dyDescent="0.25">
      <c r="A16" s="21" t="s">
        <v>67</v>
      </c>
      <c r="B16" s="13">
        <v>11</v>
      </c>
      <c r="C16" s="14"/>
      <c r="D16" s="14">
        <f>'AUGUST  21'!I16:I32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>
        <f>'AUGUST  21'!V16:V29</f>
        <v>4000</v>
      </c>
      <c r="R16" s="15"/>
      <c r="S16" s="16">
        <v>5000</v>
      </c>
      <c r="T16" s="16">
        <f t="shared" si="1"/>
        <v>9000</v>
      </c>
      <c r="U16" s="16">
        <f>5000+2000</f>
        <v>7000</v>
      </c>
      <c r="V16" s="17">
        <f t="shared" si="2"/>
        <v>2000</v>
      </c>
      <c r="W16" s="15"/>
    </row>
    <row r="17" spans="1:25" x14ac:dyDescent="0.25">
      <c r="A17" s="51" t="s">
        <v>126</v>
      </c>
      <c r="B17" s="13">
        <v>12</v>
      </c>
      <c r="C17" s="14"/>
      <c r="D17" s="14">
        <f>'AUGUST  21'!I17:I33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'AUGUST 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5" x14ac:dyDescent="0.25">
      <c r="A18" s="24"/>
      <c r="B18" s="13"/>
      <c r="C18" s="14"/>
      <c r="D18" s="14">
        <f>'AUGUST  21'!I18:I34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/>
      <c r="O18" s="13">
        <v>13</v>
      </c>
      <c r="P18" s="14"/>
      <c r="Q18" s="14">
        <f>'AUGUST  21'!V18:V31</f>
        <v>0</v>
      </c>
      <c r="R18" s="15"/>
      <c r="S18" s="16"/>
      <c r="T18" s="16">
        <f t="shared" si="1"/>
        <v>0</v>
      </c>
      <c r="U18" s="16"/>
      <c r="V18" s="17">
        <f t="shared" si="2"/>
        <v>0</v>
      </c>
      <c r="W18" s="15"/>
    </row>
    <row r="19" spans="1:25" x14ac:dyDescent="0.25">
      <c r="A19" s="22" t="s">
        <v>34</v>
      </c>
      <c r="B19" s="13" t="s">
        <v>28</v>
      </c>
      <c r="C19" s="14"/>
      <c r="D19" s="14">
        <f>'AUGUST  21'!I19:I35</f>
        <v>0</v>
      </c>
      <c r="E19" s="15"/>
      <c r="F19" s="16">
        <v>10000</v>
      </c>
      <c r="G19" s="16">
        <f t="shared" si="3"/>
        <v>10000</v>
      </c>
      <c r="H19" s="16">
        <f>6000</f>
        <v>6000</v>
      </c>
      <c r="I19" s="17">
        <f t="shared" si="0"/>
        <v>4000</v>
      </c>
      <c r="J19" s="15"/>
      <c r="N19" s="25"/>
      <c r="O19" s="13"/>
      <c r="P19" s="14"/>
      <c r="Q19" s="14">
        <f>'AUGUST 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5" x14ac:dyDescent="0.25">
      <c r="A20" s="22" t="s">
        <v>35</v>
      </c>
      <c r="B20" s="13" t="s">
        <v>29</v>
      </c>
      <c r="C20" s="14"/>
      <c r="D20" s="14">
        <f>'AUGUST  21'!I20:I36</f>
        <v>4150</v>
      </c>
      <c r="E20" s="15"/>
      <c r="F20" s="16">
        <v>7000</v>
      </c>
      <c r="G20" s="16">
        <f t="shared" si="3"/>
        <v>11150</v>
      </c>
      <c r="H20" s="16">
        <f>3000+2000</f>
        <v>5000</v>
      </c>
      <c r="I20" s="17">
        <f>G20-H20</f>
        <v>6150</v>
      </c>
      <c r="J20" s="15"/>
      <c r="N20" s="22" t="s">
        <v>10</v>
      </c>
      <c r="O20" s="13"/>
      <c r="P20" s="14"/>
      <c r="Q20" s="14">
        <f>SUM(Q6:Q19)</f>
        <v>36000</v>
      </c>
      <c r="R20" s="15"/>
      <c r="S20" s="16">
        <f>SUM(S6:S19)</f>
        <v>60000</v>
      </c>
      <c r="T20" s="16">
        <f t="shared" si="1"/>
        <v>96000</v>
      </c>
      <c r="U20" s="16">
        <f>SUM(U6:U18)</f>
        <v>66000</v>
      </c>
      <c r="V20" s="17">
        <f>T20-U20</f>
        <v>30000</v>
      </c>
      <c r="W20" s="15"/>
    </row>
    <row r="21" spans="1:25" x14ac:dyDescent="0.25">
      <c r="A21" s="22" t="s">
        <v>36</v>
      </c>
      <c r="B21" s="13" t="s">
        <v>30</v>
      </c>
      <c r="C21" s="14"/>
      <c r="D21" s="14">
        <f>'AUGUST  21'!I21:I37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5" x14ac:dyDescent="0.25">
      <c r="A22" s="22" t="s">
        <v>37</v>
      </c>
      <c r="B22" s="13" t="s">
        <v>31</v>
      </c>
      <c r="C22" s="14"/>
      <c r="D22" s="14">
        <f>'AUGUST 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5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18000</v>
      </c>
      <c r="E23" s="15">
        <f t="shared" si="4"/>
        <v>0</v>
      </c>
      <c r="F23" s="27">
        <f t="shared" si="4"/>
        <v>109000</v>
      </c>
      <c r="G23" s="16">
        <f t="shared" si="4"/>
        <v>127000</v>
      </c>
      <c r="H23" s="16">
        <f t="shared" si="4"/>
        <v>103000</v>
      </c>
      <c r="I23" s="16">
        <f t="shared" si="4"/>
        <v>24000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5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  <c r="Y24">
        <f>Q20</f>
        <v>36000</v>
      </c>
    </row>
    <row r="25" spans="1:25" x14ac:dyDescent="0.25">
      <c r="I25" s="28"/>
      <c r="N25" s="26" t="s">
        <v>121</v>
      </c>
      <c r="O25" s="38">
        <f>S20</f>
        <v>60000</v>
      </c>
      <c r="P25" s="26"/>
      <c r="Q25" s="26"/>
      <c r="R25" s="26"/>
      <c r="S25" s="26" t="s">
        <v>121</v>
      </c>
      <c r="T25" s="38">
        <f>U20</f>
        <v>66000</v>
      </c>
      <c r="U25" s="26"/>
      <c r="V25" s="26"/>
      <c r="Y25">
        <v>10000</v>
      </c>
    </row>
    <row r="26" spans="1:25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'AUGUST  21'!R37</f>
        <v>0</v>
      </c>
      <c r="P26" s="26"/>
      <c r="Q26" s="26"/>
      <c r="R26" s="26"/>
      <c r="S26" s="26" t="s">
        <v>17</v>
      </c>
      <c r="T26" s="38">
        <f>'AUGUST  21'!V37</f>
        <v>-36000</v>
      </c>
      <c r="U26" s="26"/>
      <c r="V26" s="26"/>
      <c r="W26" s="3"/>
      <c r="Y26">
        <f>Y24-Y25</f>
        <v>26000</v>
      </c>
    </row>
    <row r="27" spans="1:25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5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5" x14ac:dyDescent="0.25">
      <c r="A29" s="26" t="s">
        <v>121</v>
      </c>
      <c r="B29" s="38">
        <f>F23</f>
        <v>109000</v>
      </c>
      <c r="C29" s="26"/>
      <c r="D29" s="26"/>
      <c r="E29" s="26"/>
      <c r="F29" s="26" t="s">
        <v>121</v>
      </c>
      <c r="G29" s="38">
        <f>H23</f>
        <v>103000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/>
    </row>
    <row r="30" spans="1:25" x14ac:dyDescent="0.25">
      <c r="A30" s="26" t="s">
        <v>17</v>
      </c>
      <c r="B30" s="38">
        <f>'AUGUST  21'!E41</f>
        <v>-12388</v>
      </c>
      <c r="C30" s="26"/>
      <c r="D30" s="26"/>
      <c r="E30" s="26"/>
      <c r="F30" s="26" t="s">
        <v>17</v>
      </c>
      <c r="G30" s="38">
        <f>'AUGUST  21'!I41</f>
        <v>-38863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5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5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/>
      <c r="R32" s="42"/>
      <c r="S32" s="40"/>
      <c r="V32" s="26"/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7630.0000000000009</v>
      </c>
      <c r="D33" s="38"/>
      <c r="E33" s="26"/>
      <c r="F33" s="26" t="s">
        <v>19</v>
      </c>
      <c r="G33" s="39">
        <v>7.0000000000000007E-2</v>
      </c>
      <c r="H33" s="38">
        <f>G33*B29</f>
        <v>7630.0000000000009</v>
      </c>
      <c r="I33" s="26"/>
      <c r="J33" s="34"/>
      <c r="L33" s="44"/>
      <c r="N33" s="40" t="s">
        <v>124</v>
      </c>
      <c r="O33" s="39"/>
      <c r="P33" s="26">
        <v>55800</v>
      </c>
      <c r="Q33" s="26"/>
      <c r="R33" s="26"/>
      <c r="S33" s="40" t="s">
        <v>124</v>
      </c>
      <c r="T33" s="39"/>
      <c r="U33" s="26">
        <v>55800</v>
      </c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K34" s="44"/>
      <c r="N34" s="40" t="s">
        <v>125</v>
      </c>
      <c r="O34" s="39"/>
      <c r="P34" s="26">
        <v>10000</v>
      </c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3" x14ac:dyDescent="0.25">
      <c r="A36" s="40"/>
      <c r="E36" s="42"/>
      <c r="F36" s="40"/>
      <c r="I36" s="26"/>
      <c r="J36" s="3"/>
      <c r="K36" s="44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 t="s">
        <v>124</v>
      </c>
      <c r="B37" s="39"/>
      <c r="C37" s="42">
        <v>91370</v>
      </c>
      <c r="D37" s="26"/>
      <c r="E37" s="26"/>
      <c r="F37" s="40" t="s">
        <v>124</v>
      </c>
      <c r="G37" s="39"/>
      <c r="H37" s="42">
        <v>91370</v>
      </c>
      <c r="I37" s="26"/>
      <c r="J37" s="34"/>
      <c r="K37" s="28"/>
      <c r="M37" s="44"/>
      <c r="N37" s="37" t="s">
        <v>10</v>
      </c>
      <c r="O37" s="45">
        <f>O28+O25+O26+O27</f>
        <v>60000</v>
      </c>
      <c r="P37" s="45">
        <f>SUM(P29:P36)</f>
        <v>70000</v>
      </c>
      <c r="Q37" s="45"/>
      <c r="R37" s="45">
        <f>O37-P37</f>
        <v>-10000</v>
      </c>
      <c r="S37" s="37" t="s">
        <v>10</v>
      </c>
      <c r="T37" s="45">
        <f>T25+T26+T28</f>
        <v>30000</v>
      </c>
      <c r="U37" s="45">
        <f>SUM(U29:U36)</f>
        <v>60000</v>
      </c>
      <c r="V37" s="45">
        <f>T37-U37</f>
        <v>-30000</v>
      </c>
      <c r="W37" s="34"/>
    </row>
    <row r="38" spans="1:23" x14ac:dyDescent="0.25">
      <c r="A38" s="40" t="s">
        <v>133</v>
      </c>
      <c r="B38" s="39"/>
      <c r="C38" s="26">
        <v>50000</v>
      </c>
      <c r="D38" s="26"/>
      <c r="E38" s="26"/>
      <c r="F38" s="40" t="s">
        <v>133</v>
      </c>
      <c r="G38" s="39"/>
      <c r="H38" s="26">
        <v>50000</v>
      </c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43">
        <f>U37-U29</f>
        <v>55800</v>
      </c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L40" s="44"/>
      <c r="W40" s="3"/>
    </row>
    <row r="41" spans="1:23" x14ac:dyDescent="0.25">
      <c r="A41" s="37" t="s">
        <v>10</v>
      </c>
      <c r="B41" s="45">
        <f>B32+B29+B30+B31</f>
        <v>96612</v>
      </c>
      <c r="C41" s="45">
        <f>SUM(C33:C40)</f>
        <v>149000</v>
      </c>
      <c r="D41" s="45"/>
      <c r="E41" s="45">
        <f>B41-C41</f>
        <v>-52388</v>
      </c>
      <c r="F41" s="37" t="s">
        <v>10</v>
      </c>
      <c r="G41" s="45">
        <f>G29+G30+G32-H33</f>
        <v>56507</v>
      </c>
      <c r="H41" s="45">
        <f>SUM(H35:H40)</f>
        <v>141370</v>
      </c>
      <c r="I41" s="45">
        <f>G41-H41</f>
        <v>-84863</v>
      </c>
      <c r="J41" s="43"/>
      <c r="W41" s="43"/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L42" s="44"/>
      <c r="S42" s="44"/>
      <c r="W42" s="43"/>
    </row>
    <row r="43" spans="1:23" x14ac:dyDescent="0.25">
      <c r="A43" t="s">
        <v>26</v>
      </c>
      <c r="C43" t="s">
        <v>27</v>
      </c>
      <c r="G43" t="s">
        <v>44</v>
      </c>
      <c r="S43" s="44"/>
    </row>
    <row r="44" spans="1:23" x14ac:dyDescent="0.25">
      <c r="S44" s="44"/>
    </row>
    <row r="46" spans="1:23" x14ac:dyDescent="0.25">
      <c r="R46" s="44"/>
    </row>
    <row r="51" spans="13:13" x14ac:dyDescent="0.25">
      <c r="M51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3"/>
  <sheetViews>
    <sheetView topLeftCell="A10" workbookViewId="0">
      <selection activeCell="G45" sqref="G45"/>
    </sheetView>
  </sheetViews>
  <sheetFormatPr defaultRowHeight="15" x14ac:dyDescent="0.25"/>
  <cols>
    <col min="1" max="1" width="19.140625" customWidth="1"/>
    <col min="14" max="14" width="18.5703125" customWidth="1"/>
    <col min="21" max="21" width="14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130</v>
      </c>
      <c r="C4" s="1"/>
      <c r="D4" s="1"/>
      <c r="E4" s="1"/>
      <c r="F4" s="1"/>
      <c r="G4" s="6"/>
      <c r="H4" s="7"/>
      <c r="I4" s="3"/>
      <c r="J4" s="3"/>
      <c r="N4" s="5"/>
      <c r="O4" s="1" t="s">
        <v>131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'SEPT 21'!I6:I23</f>
        <v>6000</v>
      </c>
      <c r="E6" s="15"/>
      <c r="F6" s="16">
        <v>6000</v>
      </c>
      <c r="G6" s="16">
        <f>C6+E6+F6+D6</f>
        <v>12000</v>
      </c>
      <c r="H6" s="16">
        <f>6000+3000</f>
        <v>9000</v>
      </c>
      <c r="I6" s="17">
        <f>G6-H6</f>
        <v>3000</v>
      </c>
      <c r="J6" s="15"/>
      <c r="N6" s="12" t="s">
        <v>137</v>
      </c>
      <c r="O6" s="13">
        <v>1</v>
      </c>
      <c r="P6" s="14"/>
      <c r="Q6" s="14">
        <f>'SEPT 21'!V6:V19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3" x14ac:dyDescent="0.25">
      <c r="A7" s="53" t="s">
        <v>41</v>
      </c>
      <c r="B7" s="13">
        <v>2</v>
      </c>
      <c r="C7" s="14"/>
      <c r="D7" s="14">
        <f>'SEPT 21'!I7:I24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'SEPT 21'!V7:V20</f>
        <v>0</v>
      </c>
      <c r="R7" s="15"/>
      <c r="S7" s="16">
        <v>5000</v>
      </c>
      <c r="T7" s="16">
        <f t="shared" ref="T7:T20" si="1">P7+R7+S7+Q7</f>
        <v>5000</v>
      </c>
      <c r="U7" s="16">
        <v>5000</v>
      </c>
      <c r="V7" s="17">
        <f t="shared" ref="V7:V19" si="2"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'SEPT 21'!I8:I25</f>
        <v>5350</v>
      </c>
      <c r="E8" s="15"/>
      <c r="F8" s="16">
        <v>6500</v>
      </c>
      <c r="G8" s="16">
        <f>C8+E8+F8+D8</f>
        <v>11850</v>
      </c>
      <c r="H8" s="16">
        <v>6000</v>
      </c>
      <c r="I8" s="17">
        <f>G8-H8</f>
        <v>5850</v>
      </c>
      <c r="J8" s="15"/>
      <c r="N8" s="26" t="s">
        <v>136</v>
      </c>
      <c r="O8" s="13">
        <v>3</v>
      </c>
      <c r="P8" s="14"/>
      <c r="Q8" s="14"/>
      <c r="R8" s="15"/>
      <c r="S8" s="16">
        <v>5000</v>
      </c>
      <c r="T8" s="16">
        <f t="shared" si="1"/>
        <v>5000</v>
      </c>
      <c r="U8" s="16">
        <v>4650</v>
      </c>
      <c r="V8" s="17">
        <f t="shared" si="2"/>
        <v>350</v>
      </c>
      <c r="W8" s="15"/>
    </row>
    <row r="9" spans="1:23" x14ac:dyDescent="0.25">
      <c r="A9" s="19" t="s">
        <v>47</v>
      </c>
      <c r="B9" s="13">
        <v>4</v>
      </c>
      <c r="C9" s="14"/>
      <c r="D9" s="14">
        <f>'SEPT 21'!I9:I26</f>
        <v>2500</v>
      </c>
      <c r="E9" s="15"/>
      <c r="F9" s="16">
        <v>6000</v>
      </c>
      <c r="G9" s="16">
        <f t="shared" ref="G9:G20" si="3">C9+E9+F9+D9</f>
        <v>8500</v>
      </c>
      <c r="H9" s="16">
        <v>6000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'SEPT 21'!V9:V22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3" x14ac:dyDescent="0.25">
      <c r="A10" s="22" t="s">
        <v>48</v>
      </c>
      <c r="B10" s="13">
        <v>5</v>
      </c>
      <c r="C10" s="14"/>
      <c r="D10" s="14">
        <f>'SEPT 21'!I10:I27</f>
        <v>0</v>
      </c>
      <c r="E10" s="15"/>
      <c r="F10" s="16">
        <v>6000</v>
      </c>
      <c r="G10" s="16">
        <f t="shared" si="3"/>
        <v>6000</v>
      </c>
      <c r="H10" s="16">
        <v>6000</v>
      </c>
      <c r="I10" s="17">
        <f>G10-H10</f>
        <v>0</v>
      </c>
      <c r="J10" s="15"/>
      <c r="N10" s="19" t="s">
        <v>141</v>
      </c>
      <c r="O10" s="13">
        <v>5</v>
      </c>
      <c r="P10" s="14"/>
      <c r="Q10" s="14">
        <f>'SEPT 21'!V10:V23</f>
        <v>11000</v>
      </c>
      <c r="R10" s="15"/>
      <c r="S10" s="16">
        <v>5000</v>
      </c>
      <c r="T10" s="16">
        <f t="shared" si="1"/>
        <v>16000</v>
      </c>
      <c r="U10" s="16"/>
      <c r="V10" s="17">
        <f>T10-U10</f>
        <v>16000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'SEPT 21'!I11:I28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141</v>
      </c>
      <c r="O11" s="13">
        <v>6</v>
      </c>
      <c r="P11" s="14"/>
      <c r="Q11" s="14">
        <f>'SEPT 21'!V11:V24</f>
        <v>0</v>
      </c>
      <c r="R11" s="15"/>
      <c r="S11" s="16">
        <v>5000</v>
      </c>
      <c r="T11" s="16">
        <f t="shared" si="1"/>
        <v>5000</v>
      </c>
      <c r="U11" s="16"/>
      <c r="V11" s="17">
        <f t="shared" si="2"/>
        <v>5000</v>
      </c>
      <c r="W11" s="15"/>
    </row>
    <row r="12" spans="1:23" x14ac:dyDescent="0.25">
      <c r="A12" s="52" t="s">
        <v>128</v>
      </c>
      <c r="B12" s="13">
        <v>7</v>
      </c>
      <c r="C12" s="14"/>
      <c r="D12" s="14">
        <f>'SEPT 21'!I12:I29</f>
        <v>0</v>
      </c>
      <c r="E12" s="15"/>
      <c r="F12" s="16">
        <v>6000</v>
      </c>
      <c r="G12" s="16">
        <f t="shared" si="3"/>
        <v>6000</v>
      </c>
      <c r="H12" s="16">
        <v>6000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'SEPT 21'!V12:V25</f>
        <v>5000</v>
      </c>
      <c r="R12" s="15"/>
      <c r="S12" s="16">
        <v>5000</v>
      </c>
      <c r="T12" s="16">
        <f t="shared" si="1"/>
        <v>10000</v>
      </c>
      <c r="U12" s="16">
        <f>5000+5000</f>
        <v>10000</v>
      </c>
      <c r="V12" s="17">
        <f t="shared" si="2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'SEPT 21'!I13:I30</f>
        <v>0</v>
      </c>
      <c r="E13" s="15"/>
      <c r="F13" s="16">
        <v>6000</v>
      </c>
      <c r="G13" s="16">
        <f t="shared" si="3"/>
        <v>6000</v>
      </c>
      <c r="H13" s="16">
        <v>6000</v>
      </c>
      <c r="I13" s="17">
        <f t="shared" si="0"/>
        <v>0</v>
      </c>
      <c r="J13" s="15"/>
      <c r="N13" s="21"/>
      <c r="O13" s="13">
        <v>8</v>
      </c>
      <c r="P13" s="14"/>
      <c r="Q13" s="14">
        <f>'SEPT 21'!V13:V26</f>
        <v>0</v>
      </c>
      <c r="R13" s="15"/>
      <c r="S13" s="16">
        <v>0</v>
      </c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'SEPT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138</v>
      </c>
      <c r="O14" s="13">
        <v>9</v>
      </c>
      <c r="P14" s="14"/>
      <c r="Q14" s="14"/>
      <c r="R14" s="15"/>
      <c r="S14" s="16">
        <v>5000</v>
      </c>
      <c r="T14" s="16">
        <f t="shared" si="1"/>
        <v>5000</v>
      </c>
      <c r="U14" s="16"/>
      <c r="V14" s="17">
        <f t="shared" si="2"/>
        <v>5000</v>
      </c>
      <c r="W14" s="15"/>
    </row>
    <row r="15" spans="1:23" x14ac:dyDescent="0.25">
      <c r="A15" s="51" t="s">
        <v>48</v>
      </c>
      <c r="B15" s="13">
        <v>10</v>
      </c>
      <c r="C15" s="14"/>
      <c r="D15" s="14">
        <f>'SEPT 21'!I15:I32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135</v>
      </c>
      <c r="O15" s="13">
        <v>10</v>
      </c>
      <c r="P15" s="14"/>
      <c r="Q15" s="14">
        <f>'SEPT 21'!V15:V28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'SEPT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/>
      <c r="R16" s="15"/>
      <c r="S16" s="16">
        <v>5000</v>
      </c>
      <c r="T16" s="16">
        <f t="shared" si="1"/>
        <v>5000</v>
      </c>
      <c r="U16" s="16">
        <v>5000</v>
      </c>
      <c r="V16" s="17">
        <f t="shared" si="2"/>
        <v>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'SEPT 21'!I17:I34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'SEPT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'SEPT 21'!I18:I35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 t="s">
        <v>147</v>
      </c>
      <c r="O18" s="13">
        <v>13</v>
      </c>
      <c r="P18" s="14"/>
      <c r="Q18" s="14">
        <v>4000</v>
      </c>
      <c r="R18" s="15"/>
      <c r="S18" s="16">
        <v>5000</v>
      </c>
      <c r="T18" s="16">
        <f t="shared" si="1"/>
        <v>9000</v>
      </c>
      <c r="U18" s="16"/>
      <c r="V18" s="17">
        <f t="shared" si="2"/>
        <v>9000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'SEPT 21'!I19:I36</f>
        <v>4000</v>
      </c>
      <c r="E19" s="15"/>
      <c r="F19" s="16">
        <v>10000</v>
      </c>
      <c r="G19" s="16">
        <f t="shared" si="3"/>
        <v>14000</v>
      </c>
      <c r="H19" s="16">
        <f>10000</f>
        <v>10000</v>
      </c>
      <c r="I19" s="17">
        <f t="shared" si="0"/>
        <v>4000</v>
      </c>
      <c r="J19" s="15"/>
      <c r="N19" s="25"/>
      <c r="O19" s="13"/>
      <c r="P19" s="14"/>
      <c r="Q19" s="14">
        <f>'SEPT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'SEPT 21'!I20:I37</f>
        <v>6150</v>
      </c>
      <c r="E20" s="15"/>
      <c r="F20" s="16">
        <v>7000</v>
      </c>
      <c r="G20" s="16">
        <f t="shared" si="3"/>
        <v>13150</v>
      </c>
      <c r="H20" s="16">
        <v>2000</v>
      </c>
      <c r="I20" s="17">
        <f>G20-H20</f>
        <v>11150</v>
      </c>
      <c r="J20" s="15"/>
      <c r="N20" s="22" t="s">
        <v>10</v>
      </c>
      <c r="O20" s="13"/>
      <c r="P20" s="14"/>
      <c r="Q20" s="14">
        <f>SUM(Q6:Q19)</f>
        <v>20000</v>
      </c>
      <c r="R20" s="15"/>
      <c r="S20" s="16">
        <f>SUM(S6:S19)</f>
        <v>60000</v>
      </c>
      <c r="T20" s="16">
        <f t="shared" si="1"/>
        <v>80000</v>
      </c>
      <c r="U20" s="16">
        <f>SUM(U6:U18)</f>
        <v>44650</v>
      </c>
      <c r="V20" s="17">
        <f>SUM(V6:V19)</f>
        <v>35350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'SEPT 21'!I21:I38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'SEPT 21'!I22:I39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24000</v>
      </c>
      <c r="E23" s="15">
        <f t="shared" si="4"/>
        <v>0</v>
      </c>
      <c r="F23" s="27">
        <f t="shared" si="4"/>
        <v>109000</v>
      </c>
      <c r="G23" s="16">
        <f t="shared" si="4"/>
        <v>133000</v>
      </c>
      <c r="H23" s="16">
        <f t="shared" si="4"/>
        <v>106500</v>
      </c>
      <c r="I23" s="16">
        <f t="shared" si="4"/>
        <v>26500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132</v>
      </c>
      <c r="O25" s="38">
        <f>S20</f>
        <v>60000</v>
      </c>
      <c r="P25" s="26"/>
      <c r="Q25" s="26"/>
      <c r="R25" s="26"/>
      <c r="S25" s="26" t="s">
        <v>132</v>
      </c>
      <c r="T25" s="38">
        <f>U20</f>
        <v>44650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'SEPT 21'!R37</f>
        <v>-10000</v>
      </c>
      <c r="P26" s="26"/>
      <c r="Q26" s="26"/>
      <c r="R26" s="26"/>
      <c r="S26" s="26" t="s">
        <v>17</v>
      </c>
      <c r="T26" s="38">
        <f>'SEPT 21'!V37</f>
        <v>-30000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4"/>
    </row>
    <row r="29" spans="1:23" x14ac:dyDescent="0.25">
      <c r="A29" s="26" t="s">
        <v>132</v>
      </c>
      <c r="B29" s="38">
        <f>F23</f>
        <v>109000</v>
      </c>
      <c r="C29" s="26"/>
      <c r="D29" s="26"/>
      <c r="E29" s="26"/>
      <c r="F29" s="26" t="s">
        <v>132</v>
      </c>
      <c r="G29" s="38">
        <f>H23</f>
        <v>106500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/>
    </row>
    <row r="30" spans="1:23" x14ac:dyDescent="0.25">
      <c r="A30" s="26" t="s">
        <v>17</v>
      </c>
      <c r="B30" s="38">
        <f>'SEPT 21'!E41</f>
        <v>-52388</v>
      </c>
      <c r="C30" s="26"/>
      <c r="D30" s="26"/>
      <c r="E30" s="26"/>
      <c r="F30" s="26" t="s">
        <v>17</v>
      </c>
      <c r="G30" s="38">
        <f>'SEPT 21'!I41</f>
        <v>-84863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N32" s="40" t="s">
        <v>134</v>
      </c>
      <c r="P32">
        <v>45800</v>
      </c>
      <c r="R32" s="42"/>
      <c r="S32" s="40" t="s">
        <v>134</v>
      </c>
      <c r="U32">
        <v>45800</v>
      </c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7630.0000000000009</v>
      </c>
      <c r="D33" s="38"/>
      <c r="E33" s="26"/>
      <c r="F33" s="26" t="s">
        <v>19</v>
      </c>
      <c r="G33" s="39">
        <v>7.0000000000000007E-2</v>
      </c>
      <c r="H33" s="38">
        <f>G33*B29</f>
        <v>7630.0000000000009</v>
      </c>
      <c r="I33" s="26"/>
      <c r="J33" s="34"/>
      <c r="N33" s="40"/>
      <c r="O33" s="39"/>
      <c r="P33" s="26"/>
      <c r="Q33" s="26"/>
      <c r="R33" s="26"/>
      <c r="S33" s="40"/>
      <c r="T33" s="39"/>
      <c r="U33" s="26"/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3" x14ac:dyDescent="0.25">
      <c r="A36" s="40" t="s">
        <v>134</v>
      </c>
      <c r="C36">
        <v>101370</v>
      </c>
      <c r="E36" s="42"/>
      <c r="F36" s="40" t="s">
        <v>134</v>
      </c>
      <c r="H36">
        <v>101370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N37" s="37" t="s">
        <v>10</v>
      </c>
      <c r="O37" s="45">
        <f>O28+O25+O26+O27</f>
        <v>50000</v>
      </c>
      <c r="P37" s="45">
        <f>SUM(P29:P36)</f>
        <v>50000</v>
      </c>
      <c r="Q37" s="45"/>
      <c r="R37" s="45">
        <f>O37-P37</f>
        <v>0</v>
      </c>
      <c r="S37" s="37" t="s">
        <v>10</v>
      </c>
      <c r="T37" s="45">
        <f>T25+T26+T28-U29</f>
        <v>10450</v>
      </c>
      <c r="U37" s="45">
        <f>SUM(U31:U36)</f>
        <v>45800</v>
      </c>
      <c r="V37" s="45">
        <f>T37-U37</f>
        <v>-35350</v>
      </c>
      <c r="W37" s="34"/>
    </row>
    <row r="38" spans="1:23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</row>
    <row r="41" spans="1:23" x14ac:dyDescent="0.25">
      <c r="A41" s="37" t="s">
        <v>10</v>
      </c>
      <c r="B41" s="45">
        <f>B32+B29+B30+B31</f>
        <v>56612</v>
      </c>
      <c r="C41" s="45">
        <f>SUM(C33:C40)</f>
        <v>109000</v>
      </c>
      <c r="D41" s="45"/>
      <c r="E41" s="45">
        <f>B41-C41</f>
        <v>-52388</v>
      </c>
      <c r="F41" s="37" t="s">
        <v>10</v>
      </c>
      <c r="G41" s="45">
        <f>G29+G30+G32-H33</f>
        <v>14007</v>
      </c>
      <c r="H41" s="45">
        <f>SUM(H35:H40)</f>
        <v>101370</v>
      </c>
      <c r="I41" s="45">
        <f>G41-H41</f>
        <v>-87363</v>
      </c>
      <c r="J41" s="43"/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Q42">
        <f>Q32+H36</f>
        <v>101370</v>
      </c>
    </row>
    <row r="43" spans="1:23" x14ac:dyDescent="0.25">
      <c r="A43" t="s">
        <v>26</v>
      </c>
      <c r="C43" t="s">
        <v>27</v>
      </c>
      <c r="G43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0"/>
  <sheetViews>
    <sheetView workbookViewId="0">
      <selection activeCell="A9" sqref="A9:XFD9"/>
    </sheetView>
  </sheetViews>
  <sheetFormatPr defaultRowHeight="15" x14ac:dyDescent="0.25"/>
  <cols>
    <col min="1" max="1" width="27.7109375" customWidth="1"/>
    <col min="14" max="14" width="18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139</v>
      </c>
      <c r="C4" s="1"/>
      <c r="D4" s="1"/>
      <c r="E4" s="1"/>
      <c r="F4" s="1"/>
      <c r="G4" s="6"/>
      <c r="H4" s="7"/>
      <c r="I4" s="3"/>
      <c r="J4" s="3"/>
      <c r="N4" s="5"/>
      <c r="O4" s="1" t="s">
        <v>149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'OCT 21'!I6:I22</f>
        <v>3000</v>
      </c>
      <c r="E6" s="15"/>
      <c r="F6" s="16">
        <v>6000</v>
      </c>
      <c r="G6" s="16">
        <f>C6+E6+F6+D6</f>
        <v>9000</v>
      </c>
      <c r="H6" s="16">
        <v>6000</v>
      </c>
      <c r="I6" s="17">
        <f>G6-H6</f>
        <v>3000</v>
      </c>
      <c r="J6" s="15"/>
      <c r="N6" s="12" t="s">
        <v>137</v>
      </c>
      <c r="O6" s="13">
        <v>1</v>
      </c>
      <c r="P6" s="14"/>
      <c r="Q6" s="14">
        <f>'OCT 21'!V6</f>
        <v>0</v>
      </c>
      <c r="R6" s="15"/>
      <c r="S6" s="16">
        <v>5000</v>
      </c>
      <c r="T6" s="16">
        <f>P6+R6+S6+Q6</f>
        <v>5000</v>
      </c>
      <c r="U6" s="16">
        <v>5000</v>
      </c>
      <c r="V6" s="17">
        <f>T6-U6</f>
        <v>0</v>
      </c>
      <c r="W6" s="15"/>
    </row>
    <row r="7" spans="1:23" x14ac:dyDescent="0.25">
      <c r="A7" s="53" t="s">
        <v>41</v>
      </c>
      <c r="B7" s="13">
        <v>2</v>
      </c>
      <c r="C7" s="14"/>
      <c r="D7" s="14">
        <f>'SEPT 21'!I7:I24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'OCT 21'!V7</f>
        <v>0</v>
      </c>
      <c r="R7" s="15"/>
      <c r="S7" s="16">
        <v>5000</v>
      </c>
      <c r="T7" s="16">
        <f t="shared" ref="T7:T20" si="1">P7+R7+S7+Q7</f>
        <v>5000</v>
      </c>
      <c r="U7" s="16">
        <v>5000</v>
      </c>
      <c r="V7" s="17">
        <f t="shared" ref="V7:V19" si="2"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'SEPT 21'!I8:I25</f>
        <v>5350</v>
      </c>
      <c r="E8" s="15"/>
      <c r="F8" s="16">
        <v>6500</v>
      </c>
      <c r="G8" s="16">
        <f>C8+E8+F8+D8</f>
        <v>11850</v>
      </c>
      <c r="H8" s="16">
        <f>3250+3250</f>
        <v>6500</v>
      </c>
      <c r="I8" s="17">
        <f>G8-H8</f>
        <v>5350</v>
      </c>
      <c r="J8" s="15"/>
      <c r="N8" s="26" t="s">
        <v>136</v>
      </c>
      <c r="O8" s="13">
        <v>3</v>
      </c>
      <c r="P8" s="14"/>
      <c r="Q8" s="14">
        <f>'OCT 21'!V8</f>
        <v>350</v>
      </c>
      <c r="R8" s="15"/>
      <c r="S8" s="16">
        <v>5000</v>
      </c>
      <c r="T8" s="16">
        <f t="shared" si="1"/>
        <v>5350</v>
      </c>
      <c r="U8" s="16">
        <v>350</v>
      </c>
      <c r="V8" s="17">
        <f t="shared" si="2"/>
        <v>5000</v>
      </c>
      <c r="W8" s="15"/>
    </row>
    <row r="9" spans="1:23" x14ac:dyDescent="0.25">
      <c r="A9" s="19" t="s">
        <v>47</v>
      </c>
      <c r="B9" s="13">
        <v>4</v>
      </c>
      <c r="C9" s="14"/>
      <c r="D9" s="14">
        <f>'SEPT 21'!I9:I26</f>
        <v>2500</v>
      </c>
      <c r="E9" s="15"/>
      <c r="F9" s="16">
        <v>6000</v>
      </c>
      <c r="G9" s="16">
        <f t="shared" ref="G9:G20" si="3">C9+E9+F9+D9</f>
        <v>8500</v>
      </c>
      <c r="H9" s="16">
        <v>7000</v>
      </c>
      <c r="I9" s="17">
        <f>G9-H9</f>
        <v>1500</v>
      </c>
      <c r="J9" s="15"/>
      <c r="N9" s="19" t="s">
        <v>90</v>
      </c>
      <c r="O9" s="13">
        <v>4</v>
      </c>
      <c r="P9" s="14"/>
      <c r="Q9" s="14">
        <f>'OCT 21'!V9</f>
        <v>0</v>
      </c>
      <c r="R9" s="15"/>
      <c r="S9" s="16">
        <v>5000</v>
      </c>
      <c r="T9" s="16">
        <f t="shared" si="1"/>
        <v>5000</v>
      </c>
      <c r="U9" s="16">
        <v>5000</v>
      </c>
      <c r="V9" s="17">
        <f t="shared" si="2"/>
        <v>0</v>
      </c>
      <c r="W9" s="15"/>
    </row>
    <row r="10" spans="1:23" x14ac:dyDescent="0.25">
      <c r="A10" s="22" t="s">
        <v>48</v>
      </c>
      <c r="B10" s="13">
        <v>5</v>
      </c>
      <c r="C10" s="14"/>
      <c r="D10" s="14">
        <f>'SEPT 21'!I10:I27</f>
        <v>0</v>
      </c>
      <c r="E10" s="15"/>
      <c r="F10" s="16">
        <v>6500</v>
      </c>
      <c r="G10" s="16">
        <f t="shared" si="3"/>
        <v>6500</v>
      </c>
      <c r="H10" s="16">
        <v>6500</v>
      </c>
      <c r="I10" s="17">
        <f>G10-H10</f>
        <v>0</v>
      </c>
      <c r="J10" s="15"/>
      <c r="N10" s="19" t="s">
        <v>141</v>
      </c>
      <c r="O10" s="13">
        <v>5</v>
      </c>
      <c r="P10" s="14"/>
      <c r="Q10" s="14">
        <f>'OCT 21'!V10</f>
        <v>16000</v>
      </c>
      <c r="R10" s="15"/>
      <c r="S10" s="16">
        <v>5000</v>
      </c>
      <c r="T10" s="16">
        <f t="shared" si="1"/>
        <v>21000</v>
      </c>
      <c r="U10" s="16">
        <v>20000</v>
      </c>
      <c r="V10" s="17">
        <f t="shared" si="2"/>
        <v>1000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'SEPT 21'!I11:I28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141</v>
      </c>
      <c r="O11" s="13">
        <v>6</v>
      </c>
      <c r="P11" s="14"/>
      <c r="Q11" s="14">
        <v>1000</v>
      </c>
      <c r="R11" s="15"/>
      <c r="S11" s="16">
        <v>5000</v>
      </c>
      <c r="T11" s="16">
        <f t="shared" si="1"/>
        <v>6000</v>
      </c>
      <c r="U11" s="16"/>
      <c r="V11" s="17">
        <f t="shared" si="2"/>
        <v>6000</v>
      </c>
      <c r="W11" s="15"/>
    </row>
    <row r="12" spans="1:23" x14ac:dyDescent="0.25">
      <c r="A12" s="52" t="s">
        <v>128</v>
      </c>
      <c r="B12" s="13">
        <v>7</v>
      </c>
      <c r="C12" s="14"/>
      <c r="D12" s="14">
        <f>'SEPT 21'!I12:I29</f>
        <v>0</v>
      </c>
      <c r="E12" s="15"/>
      <c r="F12" s="16">
        <v>6500</v>
      </c>
      <c r="G12" s="16">
        <f t="shared" si="3"/>
        <v>6500</v>
      </c>
      <c r="H12" s="16">
        <v>6500</v>
      </c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'OCT 21'!V12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2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'SEPT 21'!I13:I30</f>
        <v>0</v>
      </c>
      <c r="E13" s="15"/>
      <c r="F13" s="16">
        <v>6000</v>
      </c>
      <c r="G13" s="16">
        <f t="shared" si="3"/>
        <v>6000</v>
      </c>
      <c r="H13" s="16">
        <v>6000</v>
      </c>
      <c r="I13" s="17">
        <f t="shared" si="0"/>
        <v>0</v>
      </c>
      <c r="J13" s="15"/>
      <c r="N13" s="51"/>
      <c r="O13" s="13">
        <v>8</v>
      </c>
      <c r="P13" s="14"/>
      <c r="Q13" s="14">
        <f>'OCT 21'!V13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'SEPT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0"/>
        <v>0</v>
      </c>
      <c r="J14" s="15"/>
      <c r="N14" s="21" t="s">
        <v>138</v>
      </c>
      <c r="O14" s="13">
        <v>9</v>
      </c>
      <c r="P14" s="14"/>
      <c r="Q14" s="14">
        <v>4000</v>
      </c>
      <c r="R14" s="15"/>
      <c r="S14" s="16">
        <v>5000</v>
      </c>
      <c r="T14" s="16">
        <f t="shared" si="1"/>
        <v>9000</v>
      </c>
      <c r="U14" s="16">
        <v>9000</v>
      </c>
      <c r="V14" s="17">
        <f t="shared" si="2"/>
        <v>0</v>
      </c>
      <c r="W14" s="15"/>
    </row>
    <row r="15" spans="1:23" x14ac:dyDescent="0.25">
      <c r="A15" s="51" t="s">
        <v>48</v>
      </c>
      <c r="B15" s="13">
        <v>10</v>
      </c>
      <c r="C15" s="14"/>
      <c r="D15" s="14">
        <f>'SEPT 21'!I15:I32</f>
        <v>0</v>
      </c>
      <c r="E15" s="15"/>
      <c r="F15" s="16">
        <v>6000</v>
      </c>
      <c r="G15" s="16">
        <f t="shared" si="3"/>
        <v>6000</v>
      </c>
      <c r="H15" s="16">
        <v>6000</v>
      </c>
      <c r="I15" s="17">
        <f t="shared" si="0"/>
        <v>0</v>
      </c>
      <c r="J15" s="15"/>
      <c r="N15" s="21" t="s">
        <v>135</v>
      </c>
      <c r="O15" s="13">
        <v>10</v>
      </c>
      <c r="P15" s="14"/>
      <c r="Q15" s="14">
        <f>'OCT 21'!V15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'SEPT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/>
      <c r="R16" s="15"/>
      <c r="S16" s="16">
        <v>5000</v>
      </c>
      <c r="T16" s="16">
        <f t="shared" si="1"/>
        <v>5000</v>
      </c>
      <c r="U16" s="16">
        <v>5000</v>
      </c>
      <c r="V16" s="17">
        <f t="shared" si="2"/>
        <v>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'SEPT 21'!I17:I34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'OCT 21'!V17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'SEPT 21'!I18:I35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 t="s">
        <v>145</v>
      </c>
      <c r="O18" s="13">
        <v>13</v>
      </c>
      <c r="P18" s="14"/>
      <c r="Q18" s="14">
        <f>9000+5000</f>
        <v>14000</v>
      </c>
      <c r="R18" s="15"/>
      <c r="S18" s="16">
        <v>5000</v>
      </c>
      <c r="T18" s="16">
        <f t="shared" si="1"/>
        <v>19000</v>
      </c>
      <c r="U18" s="16">
        <v>19150</v>
      </c>
      <c r="V18" s="17">
        <f t="shared" si="2"/>
        <v>-150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'SEPT 21'!I19:I36</f>
        <v>4000</v>
      </c>
      <c r="E19" s="15"/>
      <c r="F19" s="16">
        <v>10000</v>
      </c>
      <c r="G19" s="16">
        <f t="shared" si="3"/>
        <v>14000</v>
      </c>
      <c r="H19" s="16">
        <v>10000</v>
      </c>
      <c r="I19" s="17">
        <f t="shared" si="0"/>
        <v>4000</v>
      </c>
      <c r="J19" s="15"/>
      <c r="N19" s="25"/>
      <c r="O19" s="13"/>
      <c r="P19" s="14"/>
      <c r="Q19" s="14">
        <f>'OCT 21'!V19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'SEPT 21'!I20:I37</f>
        <v>6150</v>
      </c>
      <c r="E20" s="15"/>
      <c r="F20" s="16">
        <v>7000</v>
      </c>
      <c r="G20" s="16">
        <f t="shared" si="3"/>
        <v>13150</v>
      </c>
      <c r="H20" s="16">
        <f>2000</f>
        <v>2000</v>
      </c>
      <c r="I20" s="17">
        <f>G20-H20</f>
        <v>11150</v>
      </c>
      <c r="J20" s="15"/>
      <c r="N20" s="22" t="s">
        <v>10</v>
      </c>
      <c r="O20" s="13"/>
      <c r="P20" s="14"/>
      <c r="Q20" s="14">
        <f>SUM(Q6:Q19)</f>
        <v>35350</v>
      </c>
      <c r="R20" s="15"/>
      <c r="S20" s="16">
        <f>SUM(S6:S19)</f>
        <v>60000</v>
      </c>
      <c r="T20" s="16">
        <f t="shared" si="1"/>
        <v>95350</v>
      </c>
      <c r="U20" s="16">
        <f>SUM(U6:U18)</f>
        <v>83500</v>
      </c>
      <c r="V20" s="17">
        <f>SUM(V6:V19)</f>
        <v>11850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'SEPT 21'!I21:I38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'SEPT 21'!I22:I39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21000</v>
      </c>
      <c r="E23" s="15">
        <f t="shared" si="4"/>
        <v>0</v>
      </c>
      <c r="F23" s="27">
        <f t="shared" si="4"/>
        <v>110000</v>
      </c>
      <c r="G23" s="16">
        <f t="shared" si="4"/>
        <v>131000</v>
      </c>
      <c r="H23" s="16">
        <f t="shared" si="4"/>
        <v>106000</v>
      </c>
      <c r="I23" s="16">
        <f t="shared" si="4"/>
        <v>25000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140</v>
      </c>
      <c r="O25" s="38">
        <f>S20</f>
        <v>60000</v>
      </c>
      <c r="P25" s="26"/>
      <c r="Q25" s="26"/>
      <c r="R25" s="26"/>
      <c r="S25" s="26" t="s">
        <v>140</v>
      </c>
      <c r="T25" s="38">
        <f>U20</f>
        <v>83500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'OCT 21'!R37</f>
        <v>0</v>
      </c>
      <c r="P26" s="26"/>
      <c r="Q26" s="26"/>
      <c r="R26" s="26"/>
      <c r="S26" s="26" t="s">
        <v>17</v>
      </c>
      <c r="T26" s="38">
        <f>'OCT 21'!V37</f>
        <v>-35350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  <c r="W27" s="28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43"/>
    </row>
    <row r="29" spans="1:23" x14ac:dyDescent="0.25">
      <c r="A29" s="26" t="s">
        <v>140</v>
      </c>
      <c r="B29" s="38">
        <f>F23</f>
        <v>110000</v>
      </c>
      <c r="C29" s="26"/>
      <c r="D29" s="26"/>
      <c r="E29" s="26"/>
      <c r="F29" s="26" t="s">
        <v>140</v>
      </c>
      <c r="G29" s="38">
        <f>H23</f>
        <v>106000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4200</v>
      </c>
      <c r="Q29" s="38"/>
      <c r="R29" s="26"/>
      <c r="S29" s="26" t="s">
        <v>19</v>
      </c>
      <c r="T29" s="39">
        <v>7.0000000000000007E-2</v>
      </c>
      <c r="U29" s="38">
        <f>T29*O25</f>
        <v>4200</v>
      </c>
      <c r="V29" s="26"/>
      <c r="W29" s="34"/>
    </row>
    <row r="30" spans="1:23" x14ac:dyDescent="0.25">
      <c r="A30" s="26" t="s">
        <v>17</v>
      </c>
      <c r="B30" s="38">
        <f>'OCT 21'!E41</f>
        <v>-52388</v>
      </c>
      <c r="C30" s="26"/>
      <c r="D30" s="26"/>
      <c r="E30" s="26"/>
      <c r="F30" s="26" t="s">
        <v>17</v>
      </c>
      <c r="G30" s="38">
        <f>'OCT 21'!I41</f>
        <v>-87363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/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N32" s="40"/>
      <c r="R32" s="42"/>
      <c r="S32" s="40"/>
      <c r="V32" s="26"/>
      <c r="W32" s="3"/>
    </row>
    <row r="33" spans="1:23" x14ac:dyDescent="0.25">
      <c r="A33" s="26" t="s">
        <v>19</v>
      </c>
      <c r="B33" s="39">
        <v>7.0000000000000007E-2</v>
      </c>
      <c r="C33" s="38">
        <f>B33*B29</f>
        <v>7700.0000000000009</v>
      </c>
      <c r="D33" s="38"/>
      <c r="E33" s="26"/>
      <c r="F33" s="26" t="s">
        <v>19</v>
      </c>
      <c r="G33" s="39">
        <v>7.0000000000000007E-2</v>
      </c>
      <c r="H33" s="38">
        <f>G33*B29</f>
        <v>7700.0000000000009</v>
      </c>
      <c r="I33" s="26"/>
      <c r="J33" s="34"/>
      <c r="N33" s="40" t="s">
        <v>142</v>
      </c>
      <c r="O33" s="39"/>
      <c r="P33" s="26">
        <v>10000</v>
      </c>
      <c r="Q33" s="26"/>
      <c r="R33" s="26"/>
      <c r="S33" s="40"/>
      <c r="T33" s="39"/>
      <c r="U33" s="26"/>
      <c r="V33" s="26"/>
      <c r="W33" s="34"/>
    </row>
    <row r="34" spans="1:2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 t="s">
        <v>143</v>
      </c>
      <c r="O34" s="39"/>
      <c r="P34" s="26">
        <v>1850</v>
      </c>
      <c r="Q34" s="26"/>
      <c r="R34" s="26"/>
      <c r="S34" s="40"/>
      <c r="T34" s="39"/>
      <c r="U34" s="26"/>
      <c r="V34" s="26"/>
      <c r="W34" s="34"/>
    </row>
    <row r="35" spans="1:2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 t="s">
        <v>144</v>
      </c>
      <c r="O35" s="26"/>
      <c r="P35" s="42">
        <v>40800</v>
      </c>
      <c r="Q35" s="42"/>
      <c r="R35" s="26"/>
      <c r="S35" s="40" t="s">
        <v>144</v>
      </c>
      <c r="T35" s="26"/>
      <c r="U35" s="42">
        <v>40800</v>
      </c>
      <c r="V35" s="26"/>
      <c r="W35" s="34"/>
    </row>
    <row r="36" spans="1:23" x14ac:dyDescent="0.25">
      <c r="A36" s="40" t="s">
        <v>146</v>
      </c>
      <c r="C36">
        <v>92300</v>
      </c>
      <c r="E36" s="42"/>
      <c r="F36" s="40" t="s">
        <v>146</v>
      </c>
      <c r="H36">
        <v>92300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3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N37" s="37" t="s">
        <v>10</v>
      </c>
      <c r="O37" s="45">
        <f>O28+O25+O26+O27</f>
        <v>60000</v>
      </c>
      <c r="P37" s="45">
        <f>SUM(P29:P36)</f>
        <v>56850</v>
      </c>
      <c r="Q37" s="45"/>
      <c r="R37" s="45">
        <f>O37-P37</f>
        <v>3150</v>
      </c>
      <c r="S37" s="37" t="s">
        <v>10</v>
      </c>
      <c r="T37" s="45">
        <f>T25+T26+T28-U29</f>
        <v>43950</v>
      </c>
      <c r="U37" s="45">
        <f>SUM(U31:U36)</f>
        <v>40800</v>
      </c>
      <c r="V37" s="45">
        <f>T37-U37</f>
        <v>3150</v>
      </c>
      <c r="W37" s="34"/>
    </row>
    <row r="38" spans="1:23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</row>
    <row r="39" spans="1:23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</row>
    <row r="40" spans="1:2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</row>
    <row r="41" spans="1:23" x14ac:dyDescent="0.25">
      <c r="A41" s="37" t="s">
        <v>10</v>
      </c>
      <c r="B41" s="45">
        <f>B32+B29+B30+B31</f>
        <v>57612</v>
      </c>
      <c r="C41" s="45">
        <f>SUM(C33:C40)</f>
        <v>100000</v>
      </c>
      <c r="D41" s="45"/>
      <c r="E41" s="45">
        <f>B41-C41</f>
        <v>-42388</v>
      </c>
      <c r="F41" s="37" t="s">
        <v>10</v>
      </c>
      <c r="G41" s="45">
        <f>G29+G30+G32-H33</f>
        <v>10937</v>
      </c>
      <c r="H41" s="45">
        <f>SUM(H35:H40)</f>
        <v>92300</v>
      </c>
      <c r="I41" s="45">
        <f>G41-H41</f>
        <v>-81363</v>
      </c>
      <c r="J41" s="43"/>
      <c r="K41" s="44"/>
      <c r="Q41" s="28"/>
    </row>
    <row r="42" spans="1:2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</row>
    <row r="43" spans="1:23" x14ac:dyDescent="0.25">
      <c r="A43" t="s">
        <v>26</v>
      </c>
      <c r="C43" t="s">
        <v>27</v>
      </c>
      <c r="G43" t="s">
        <v>44</v>
      </c>
      <c r="K43" s="44"/>
    </row>
    <row r="45" spans="1:23" x14ac:dyDescent="0.25">
      <c r="R45" s="44"/>
    </row>
    <row r="50" spans="11:11" x14ac:dyDescent="0.25">
      <c r="K5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tabSelected="1" topLeftCell="I1" workbookViewId="0">
      <selection activeCell="U7" sqref="U7"/>
    </sheetView>
  </sheetViews>
  <sheetFormatPr defaultRowHeight="15" x14ac:dyDescent="0.25"/>
  <cols>
    <col min="1" max="1" width="18.42578125" customWidth="1"/>
    <col min="2" max="2" width="15.42578125" customWidth="1"/>
    <col min="3" max="3" width="15" customWidth="1"/>
    <col min="4" max="4" width="12.7109375" customWidth="1"/>
    <col min="5" max="5" width="11" customWidth="1"/>
    <col min="14" max="14" width="22.85546875" customWidth="1"/>
    <col min="18" max="18" width="14.28515625" customWidth="1"/>
    <col min="20" max="20" width="13.1406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148</v>
      </c>
      <c r="C4" s="1"/>
      <c r="D4" s="1"/>
      <c r="E4" s="1"/>
      <c r="F4" s="1"/>
      <c r="G4" s="6"/>
      <c r="H4" s="7"/>
      <c r="I4" s="3"/>
      <c r="J4" s="3"/>
      <c r="N4" s="5"/>
      <c r="O4" s="1" t="s">
        <v>148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22" t="s">
        <v>99</v>
      </c>
      <c r="B6" s="13">
        <v>1</v>
      </c>
      <c r="C6" s="14"/>
      <c r="D6" s="14">
        <f>'NOVEMBER 21'!I6</f>
        <v>3000</v>
      </c>
      <c r="E6" s="15"/>
      <c r="F6" s="16">
        <v>6000</v>
      </c>
      <c r="G6" s="16">
        <f>C6+E6+F6+D6</f>
        <v>9000</v>
      </c>
      <c r="H6" s="16">
        <f>1400+1600</f>
        <v>3000</v>
      </c>
      <c r="I6" s="17">
        <f>G6-H6</f>
        <v>6000</v>
      </c>
      <c r="J6" s="15"/>
      <c r="N6" s="12" t="s">
        <v>137</v>
      </c>
      <c r="O6" s="13">
        <v>1</v>
      </c>
      <c r="P6" s="14"/>
      <c r="Q6" s="14">
        <f>'NOVEMBER 21'!V6</f>
        <v>0</v>
      </c>
      <c r="R6" s="15"/>
      <c r="S6" s="16">
        <v>6000</v>
      </c>
      <c r="T6" s="16">
        <f>P6+R6+S6+Q6</f>
        <v>6000</v>
      </c>
      <c r="U6" s="16">
        <v>6000</v>
      </c>
      <c r="V6" s="17">
        <f>T6-U6</f>
        <v>0</v>
      </c>
      <c r="W6" s="15"/>
    </row>
    <row r="7" spans="1:23" x14ac:dyDescent="0.25">
      <c r="A7" s="53" t="s">
        <v>41</v>
      </c>
      <c r="B7" s="13">
        <v>2</v>
      </c>
      <c r="C7" s="14"/>
      <c r="D7" s="14">
        <f>'NOVEMBER 21'!I7</f>
        <v>0</v>
      </c>
      <c r="E7" s="15"/>
      <c r="F7" s="16">
        <v>6000</v>
      </c>
      <c r="G7" s="16">
        <f>C7+E7+F7+D7</f>
        <v>6000</v>
      </c>
      <c r="H7" s="16">
        <v>6000</v>
      </c>
      <c r="I7" s="17">
        <f t="shared" ref="I7:I24" si="0">G7-H7</f>
        <v>0</v>
      </c>
      <c r="J7" s="15"/>
      <c r="N7" s="18" t="s">
        <v>74</v>
      </c>
      <c r="O7" s="13">
        <v>2</v>
      </c>
      <c r="P7" s="14"/>
      <c r="Q7" s="14">
        <f>'NOVEMBER 21'!V7</f>
        <v>0</v>
      </c>
      <c r="R7" s="15"/>
      <c r="S7" s="16">
        <v>6000</v>
      </c>
      <c r="T7" s="16">
        <f t="shared" ref="T7:T22" si="1">P7+R7+S7+Q7</f>
        <v>6000</v>
      </c>
      <c r="U7" s="16">
        <v>6000</v>
      </c>
      <c r="V7" s="17">
        <f t="shared" ref="V7:V21" si="2"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'NOVEMBER 21'!I8</f>
        <v>5350</v>
      </c>
      <c r="E8" s="15"/>
      <c r="F8" s="16">
        <v>6500</v>
      </c>
      <c r="G8" s="16">
        <f>C8+E8+F8+D8</f>
        <v>11850</v>
      </c>
      <c r="H8" s="16">
        <v>3000</v>
      </c>
      <c r="I8" s="17">
        <f>G8-H8</f>
        <v>8850</v>
      </c>
      <c r="J8" s="15"/>
      <c r="N8" s="26" t="s">
        <v>151</v>
      </c>
      <c r="O8" s="13">
        <v>3</v>
      </c>
      <c r="P8" s="14"/>
      <c r="Q8" s="14"/>
      <c r="R8" s="15"/>
      <c r="S8" s="16">
        <v>5000</v>
      </c>
      <c r="T8" s="16">
        <f t="shared" si="1"/>
        <v>5000</v>
      </c>
      <c r="U8" s="16">
        <v>5000</v>
      </c>
      <c r="V8" s="17"/>
      <c r="W8" s="15"/>
    </row>
    <row r="9" spans="1:23" x14ac:dyDescent="0.25">
      <c r="A9" s="19" t="s">
        <v>47</v>
      </c>
      <c r="B9" s="13">
        <v>4</v>
      </c>
      <c r="C9" s="14"/>
      <c r="D9" s="14">
        <f>'NOVEMBER 21'!I9</f>
        <v>1500</v>
      </c>
      <c r="E9" s="15"/>
      <c r="F9" s="16">
        <v>6000</v>
      </c>
      <c r="G9" s="16">
        <f t="shared" ref="G9:G22" si="3">C9+E9+F9+D9</f>
        <v>7500</v>
      </c>
      <c r="H9" s="16">
        <v>1500</v>
      </c>
      <c r="I9" s="17">
        <f>G9-H9</f>
        <v>6000</v>
      </c>
      <c r="J9" s="15"/>
      <c r="N9" s="19" t="s">
        <v>90</v>
      </c>
      <c r="O9" s="13">
        <v>4</v>
      </c>
      <c r="P9" s="14"/>
      <c r="Q9" s="14">
        <f>'NOVEMBER 21'!V9</f>
        <v>0</v>
      </c>
      <c r="R9" s="15"/>
      <c r="S9" s="16">
        <v>5000</v>
      </c>
      <c r="T9" s="16">
        <f t="shared" si="1"/>
        <v>5000</v>
      </c>
      <c r="U9" s="16"/>
      <c r="V9" s="17">
        <f t="shared" si="2"/>
        <v>5000</v>
      </c>
      <c r="W9" s="15"/>
    </row>
    <row r="10" spans="1:23" x14ac:dyDescent="0.25">
      <c r="A10" s="22" t="s">
        <v>154</v>
      </c>
      <c r="B10" s="13">
        <v>5</v>
      </c>
      <c r="C10" s="14"/>
      <c r="D10" s="14">
        <f>'NOVEMBER 21'!I10</f>
        <v>0</v>
      </c>
      <c r="E10" s="15"/>
      <c r="F10" s="16">
        <v>6500</v>
      </c>
      <c r="G10" s="16">
        <f t="shared" si="3"/>
        <v>6500</v>
      </c>
      <c r="H10" s="16">
        <v>6500</v>
      </c>
      <c r="I10" s="17">
        <f>G10-H10</f>
        <v>0</v>
      </c>
      <c r="J10" s="15"/>
      <c r="N10" s="19" t="s">
        <v>141</v>
      </c>
      <c r="O10" s="13">
        <v>5</v>
      </c>
      <c r="P10" s="14"/>
      <c r="Q10" s="14">
        <v>7000</v>
      </c>
      <c r="R10" s="15"/>
      <c r="S10" s="16">
        <v>5000</v>
      </c>
      <c r="T10" s="16">
        <f t="shared" si="1"/>
        <v>12000</v>
      </c>
      <c r="U10" s="16"/>
      <c r="V10" s="17">
        <f t="shared" si="2"/>
        <v>12000</v>
      </c>
      <c r="W10" s="15"/>
    </row>
    <row r="11" spans="1:23" x14ac:dyDescent="0.25">
      <c r="A11" s="20" t="s">
        <v>127</v>
      </c>
      <c r="B11" s="13">
        <v>6</v>
      </c>
      <c r="C11" s="14"/>
      <c r="D11" s="14">
        <f>'NOVEMBER 21'!I11</f>
        <v>0</v>
      </c>
      <c r="E11" s="15"/>
      <c r="F11" s="16">
        <v>6000</v>
      </c>
      <c r="G11" s="16">
        <f t="shared" si="3"/>
        <v>6000</v>
      </c>
      <c r="H11" s="16">
        <v>6000</v>
      </c>
      <c r="I11" s="17">
        <f t="shared" si="0"/>
        <v>0</v>
      </c>
      <c r="J11" s="15"/>
      <c r="N11" s="50" t="s">
        <v>48</v>
      </c>
      <c r="O11" s="13">
        <v>6</v>
      </c>
      <c r="P11" s="14"/>
      <c r="Q11" s="14"/>
      <c r="R11" s="15"/>
      <c r="S11" s="16">
        <v>5000</v>
      </c>
      <c r="T11" s="16">
        <f t="shared" si="1"/>
        <v>5000</v>
      </c>
      <c r="U11" s="16"/>
      <c r="V11" s="17">
        <f t="shared" si="2"/>
        <v>5000</v>
      </c>
      <c r="W11" s="15"/>
    </row>
    <row r="12" spans="1:23" x14ac:dyDescent="0.25">
      <c r="A12" s="52"/>
      <c r="B12" s="13">
        <v>7</v>
      </c>
      <c r="C12" s="14"/>
      <c r="D12" s="14">
        <f>'NOVEMBER 21'!I12</f>
        <v>0</v>
      </c>
      <c r="E12" s="15"/>
      <c r="F12" s="16"/>
      <c r="G12" s="16">
        <f t="shared" si="3"/>
        <v>0</v>
      </c>
      <c r="H12" s="16"/>
      <c r="I12" s="17">
        <f t="shared" si="0"/>
        <v>0</v>
      </c>
      <c r="J12" s="15"/>
      <c r="N12" s="19" t="s">
        <v>79</v>
      </c>
      <c r="O12" s="13">
        <v>7</v>
      </c>
      <c r="P12" s="14"/>
      <c r="Q12" s="14">
        <f>'NOVEMBER 21'!V12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2"/>
        <v>0</v>
      </c>
      <c r="W12" s="15"/>
    </row>
    <row r="13" spans="1:23" x14ac:dyDescent="0.25">
      <c r="A13" s="51" t="s">
        <v>155</v>
      </c>
      <c r="B13" s="13">
        <v>8</v>
      </c>
      <c r="C13" s="14"/>
      <c r="D13" s="14">
        <f>'NOVEMBER 21'!I13</f>
        <v>0</v>
      </c>
      <c r="E13" s="15"/>
      <c r="F13" s="16">
        <v>6000</v>
      </c>
      <c r="G13" s="16">
        <f t="shared" si="3"/>
        <v>6000</v>
      </c>
      <c r="H13" s="16">
        <v>6000</v>
      </c>
      <c r="I13" s="17">
        <f t="shared" si="0"/>
        <v>0</v>
      </c>
      <c r="J13" s="15"/>
      <c r="N13" s="51"/>
      <c r="O13" s="13">
        <v>8</v>
      </c>
      <c r="P13" s="14"/>
      <c r="Q13" s="14">
        <f>'NOVEMBER 21'!V13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'NOVEMBER 21'!I14</f>
        <v>0</v>
      </c>
      <c r="E14" s="15"/>
      <c r="F14" s="16">
        <v>10000</v>
      </c>
      <c r="G14" s="16">
        <f>C14+E14+F14+D14</f>
        <v>10000</v>
      </c>
      <c r="H14" s="16"/>
      <c r="I14" s="17">
        <f t="shared" si="0"/>
        <v>10000</v>
      </c>
      <c r="J14" s="15"/>
      <c r="N14" s="21" t="s">
        <v>138</v>
      </c>
      <c r="O14" s="13">
        <v>9</v>
      </c>
      <c r="P14" s="14"/>
      <c r="Q14" s="14">
        <f>'NOVEMBER 21'!V14</f>
        <v>0</v>
      </c>
      <c r="R14" s="15"/>
      <c r="S14" s="16">
        <v>5000</v>
      </c>
      <c r="T14" s="16">
        <f t="shared" si="1"/>
        <v>5000</v>
      </c>
      <c r="U14" s="16">
        <v>5000</v>
      </c>
      <c r="V14" s="17">
        <f t="shared" si="2"/>
        <v>0</v>
      </c>
      <c r="W14" s="15"/>
    </row>
    <row r="15" spans="1:23" x14ac:dyDescent="0.25">
      <c r="A15" s="51" t="s">
        <v>152</v>
      </c>
      <c r="B15" s="13">
        <v>10</v>
      </c>
      <c r="C15" s="14"/>
      <c r="D15" s="14">
        <f>'NOVEMBER 21'!I15</f>
        <v>0</v>
      </c>
      <c r="E15" s="15"/>
      <c r="F15" s="16">
        <v>6000</v>
      </c>
      <c r="G15" s="16">
        <f t="shared" si="3"/>
        <v>6000</v>
      </c>
      <c r="H15" s="16"/>
      <c r="I15" s="17">
        <f t="shared" si="0"/>
        <v>6000</v>
      </c>
      <c r="J15" s="15"/>
      <c r="N15" s="21" t="s">
        <v>135</v>
      </c>
      <c r="O15" s="13">
        <v>10</v>
      </c>
      <c r="P15" s="14"/>
      <c r="Q15" s="14">
        <f>'NOVEMBER 21'!V15</f>
        <v>0</v>
      </c>
      <c r="R15" s="15"/>
      <c r="S15" s="16">
        <v>5000</v>
      </c>
      <c r="T15" s="16">
        <f t="shared" si="1"/>
        <v>5000</v>
      </c>
      <c r="U15" s="16">
        <v>5000</v>
      </c>
      <c r="V15" s="17">
        <f t="shared" si="2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'NOVEMBER 21'!I16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>
        <f>'NOVEMBER 21'!V16</f>
        <v>0</v>
      </c>
      <c r="R16" s="15"/>
      <c r="S16" s="16">
        <v>5000</v>
      </c>
      <c r="T16" s="16">
        <f t="shared" si="1"/>
        <v>5000</v>
      </c>
      <c r="U16" s="16"/>
      <c r="V16" s="17">
        <f t="shared" si="2"/>
        <v>5000</v>
      </c>
      <c r="W16" s="15"/>
    </row>
    <row r="17" spans="1:23" x14ac:dyDescent="0.25">
      <c r="A17" s="51" t="s">
        <v>126</v>
      </c>
      <c r="B17" s="13">
        <v>12</v>
      </c>
      <c r="C17" s="14"/>
      <c r="D17" s="14">
        <f>'NOVEMBER 21'!I17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 t="shared" si="0"/>
        <v>0</v>
      </c>
      <c r="J17" s="15"/>
      <c r="N17" s="21" t="s">
        <v>117</v>
      </c>
      <c r="O17" s="13">
        <v>12</v>
      </c>
      <c r="P17" s="14"/>
      <c r="Q17" s="14">
        <f>'NOVEMBER 21'!V17</f>
        <v>0</v>
      </c>
      <c r="R17" s="15"/>
      <c r="S17" s="16">
        <v>6000</v>
      </c>
      <c r="T17" s="16">
        <f t="shared" si="1"/>
        <v>6000</v>
      </c>
      <c r="U17" s="16">
        <v>6000</v>
      </c>
      <c r="V17" s="17">
        <f t="shared" si="2"/>
        <v>0</v>
      </c>
      <c r="W17" s="15"/>
    </row>
    <row r="18" spans="1:23" x14ac:dyDescent="0.25">
      <c r="A18" s="51" t="s">
        <v>48</v>
      </c>
      <c r="B18" s="13">
        <v>13</v>
      </c>
      <c r="C18" s="14"/>
      <c r="D18" s="14"/>
      <c r="E18" s="15"/>
      <c r="F18" s="16">
        <v>8000</v>
      </c>
      <c r="G18" s="16">
        <f t="shared" ref="G18" si="4">C18+E18+F18+D18</f>
        <v>8000</v>
      </c>
      <c r="H18" s="16">
        <v>8000</v>
      </c>
      <c r="I18" s="17">
        <f t="shared" si="0"/>
        <v>0</v>
      </c>
      <c r="J18" s="15"/>
      <c r="N18" s="21" t="s">
        <v>141</v>
      </c>
      <c r="O18" s="13">
        <v>13</v>
      </c>
      <c r="P18" s="14"/>
      <c r="Q18" s="14"/>
      <c r="R18" s="15"/>
      <c r="S18" s="16">
        <v>6000</v>
      </c>
      <c r="T18" s="16">
        <f t="shared" si="1"/>
        <v>6000</v>
      </c>
      <c r="U18" s="16"/>
      <c r="V18" s="17">
        <f t="shared" si="2"/>
        <v>6000</v>
      </c>
      <c r="W18" s="15"/>
    </row>
    <row r="19" spans="1:23" x14ac:dyDescent="0.25">
      <c r="A19" s="51" t="s">
        <v>128</v>
      </c>
      <c r="B19" s="13">
        <v>14</v>
      </c>
      <c r="C19" s="14"/>
      <c r="D19" s="14"/>
      <c r="E19" s="15"/>
      <c r="F19" s="16">
        <v>6500</v>
      </c>
      <c r="G19" s="16">
        <f>C19+E19+F19+D19</f>
        <v>6500</v>
      </c>
      <c r="H19" s="16"/>
      <c r="I19" s="17">
        <f t="shared" si="0"/>
        <v>6500</v>
      </c>
      <c r="J19" s="15"/>
      <c r="N19" s="21"/>
      <c r="O19" s="13"/>
      <c r="P19" s="14"/>
      <c r="Q19" s="14"/>
      <c r="R19" s="15"/>
      <c r="S19" s="16"/>
      <c r="T19" s="16"/>
      <c r="U19" s="16"/>
      <c r="V19" s="17"/>
      <c r="W19" s="15"/>
    </row>
    <row r="20" spans="1:23" x14ac:dyDescent="0.25">
      <c r="A20" s="24" t="s">
        <v>48</v>
      </c>
      <c r="B20" s="13">
        <v>15</v>
      </c>
      <c r="C20" s="14"/>
      <c r="D20" s="14">
        <f>'NOVEMBER 21'!I18</f>
        <v>0</v>
      </c>
      <c r="E20" s="15"/>
      <c r="F20" s="16">
        <v>5500</v>
      </c>
      <c r="G20" s="16">
        <f>C20+E20+F20+D20</f>
        <v>5500</v>
      </c>
      <c r="H20" s="16"/>
      <c r="I20" s="17">
        <f t="shared" si="0"/>
        <v>5500</v>
      </c>
      <c r="J20" s="15"/>
      <c r="N20" s="24"/>
      <c r="O20" s="13">
        <v>13</v>
      </c>
      <c r="P20" s="14"/>
      <c r="Q20" s="14">
        <f>'NOVEMBER 21'!V18</f>
        <v>-150</v>
      </c>
      <c r="R20" s="15"/>
      <c r="S20" s="16"/>
      <c r="T20" s="16"/>
      <c r="U20" s="16"/>
      <c r="V20" s="17">
        <f t="shared" si="2"/>
        <v>0</v>
      </c>
      <c r="W20" s="15"/>
    </row>
    <row r="21" spans="1:23" x14ac:dyDescent="0.25">
      <c r="A21" s="22" t="s">
        <v>34</v>
      </c>
      <c r="B21" s="13" t="s">
        <v>28</v>
      </c>
      <c r="C21" s="14"/>
      <c r="D21" s="14">
        <f>'NOVEMBER 21'!I19</f>
        <v>4000</v>
      </c>
      <c r="E21" s="15"/>
      <c r="F21" s="16">
        <v>10000</v>
      </c>
      <c r="G21" s="16">
        <f t="shared" si="3"/>
        <v>14000</v>
      </c>
      <c r="H21" s="16">
        <v>10000</v>
      </c>
      <c r="I21" s="17">
        <f t="shared" si="0"/>
        <v>4000</v>
      </c>
      <c r="J21" s="15"/>
      <c r="N21" s="25"/>
      <c r="O21" s="13"/>
      <c r="P21" s="14"/>
      <c r="Q21" s="14">
        <f>'NOVEMBER 21'!V19</f>
        <v>0</v>
      </c>
      <c r="R21" s="15"/>
      <c r="S21" s="16"/>
      <c r="T21" s="16">
        <f t="shared" si="1"/>
        <v>0</v>
      </c>
      <c r="U21" s="16"/>
      <c r="V21" s="17">
        <f t="shared" si="2"/>
        <v>0</v>
      </c>
      <c r="W21" s="15"/>
    </row>
    <row r="22" spans="1:23" x14ac:dyDescent="0.25">
      <c r="A22" s="22" t="s">
        <v>35</v>
      </c>
      <c r="B22" s="13" t="s">
        <v>29</v>
      </c>
      <c r="C22" s="14"/>
      <c r="D22" s="14">
        <f>'NOVEMBER 21'!I20</f>
        <v>11150</v>
      </c>
      <c r="E22" s="15"/>
      <c r="F22" s="16">
        <v>7000</v>
      </c>
      <c r="G22" s="16">
        <f t="shared" si="3"/>
        <v>18150</v>
      </c>
      <c r="H22" s="16">
        <v>11150</v>
      </c>
      <c r="I22" s="17">
        <f>G22-H22</f>
        <v>7000</v>
      </c>
      <c r="J22" s="15"/>
      <c r="N22" s="22" t="s">
        <v>10</v>
      </c>
      <c r="O22" s="13"/>
      <c r="P22" s="14"/>
      <c r="Q22" s="14">
        <f>SUM(Q6:Q21)</f>
        <v>6850</v>
      </c>
      <c r="R22" s="15"/>
      <c r="S22" s="16">
        <f>SUM(S6:S21)</f>
        <v>64000</v>
      </c>
      <c r="T22" s="16">
        <f t="shared" si="1"/>
        <v>70850</v>
      </c>
      <c r="U22" s="16">
        <f>SUM(U6:U20)</f>
        <v>38000</v>
      </c>
      <c r="V22" s="17">
        <f>SUM(V6:V21)</f>
        <v>33000</v>
      </c>
      <c r="W22" s="15"/>
    </row>
    <row r="23" spans="1:23" x14ac:dyDescent="0.25">
      <c r="A23" s="22" t="s">
        <v>36</v>
      </c>
      <c r="B23" s="13" t="s">
        <v>30</v>
      </c>
      <c r="C23" s="14"/>
      <c r="D23" s="14">
        <f>'NOVEMBER 21'!I21</f>
        <v>0</v>
      </c>
      <c r="E23" s="15"/>
      <c r="F23" s="16">
        <v>7000</v>
      </c>
      <c r="G23" s="16">
        <f>C23+E23+F23+D23</f>
        <v>7000</v>
      </c>
      <c r="H23" s="16">
        <v>7000</v>
      </c>
      <c r="I23" s="17">
        <f t="shared" si="0"/>
        <v>0</v>
      </c>
      <c r="J23" s="15"/>
      <c r="W23" s="15"/>
    </row>
    <row r="24" spans="1:23" x14ac:dyDescent="0.25">
      <c r="A24" s="22" t="s">
        <v>37</v>
      </c>
      <c r="B24" s="13" t="s">
        <v>31</v>
      </c>
      <c r="C24" s="14"/>
      <c r="D24" s="14">
        <f>'NOVEMBER 21'!I22</f>
        <v>0</v>
      </c>
      <c r="E24" s="15"/>
      <c r="F24" s="16">
        <v>8000</v>
      </c>
      <c r="G24" s="16">
        <f>C24+E24+F24+D24</f>
        <v>8000</v>
      </c>
      <c r="H24" s="16">
        <v>8000</v>
      </c>
      <c r="I24" s="17">
        <f t="shared" si="0"/>
        <v>0</v>
      </c>
      <c r="J24" s="15"/>
      <c r="N24" s="3" t="s">
        <v>11</v>
      </c>
      <c r="O24" s="29"/>
      <c r="P24" s="30"/>
      <c r="V24" s="34"/>
      <c r="W24" s="15"/>
    </row>
    <row r="25" spans="1:23" x14ac:dyDescent="0.25">
      <c r="A25" s="25" t="s">
        <v>10</v>
      </c>
      <c r="B25" s="26"/>
      <c r="C25" s="14">
        <f t="shared" ref="C25:J25" si="5">SUM(C6:C24)</f>
        <v>0</v>
      </c>
      <c r="D25" s="14">
        <f>SUM(D6:D24)</f>
        <v>25000</v>
      </c>
      <c r="E25" s="15">
        <f t="shared" si="5"/>
        <v>0</v>
      </c>
      <c r="F25" s="27">
        <f t="shared" si="5"/>
        <v>123500</v>
      </c>
      <c r="G25" s="16">
        <f t="shared" si="5"/>
        <v>148500</v>
      </c>
      <c r="H25" s="16">
        <f t="shared" si="5"/>
        <v>88650</v>
      </c>
      <c r="I25" s="16">
        <f t="shared" si="5"/>
        <v>59850</v>
      </c>
      <c r="J25" s="15">
        <f t="shared" si="5"/>
        <v>0</v>
      </c>
      <c r="N25" s="35" t="s">
        <v>12</v>
      </c>
      <c r="O25" s="35"/>
      <c r="P25" s="35"/>
      <c r="Q25" s="36"/>
      <c r="R25" s="35" t="s">
        <v>7</v>
      </c>
      <c r="S25" s="3"/>
      <c r="T25" s="3"/>
      <c r="U25" s="3"/>
      <c r="W25" s="15"/>
    </row>
    <row r="26" spans="1:23" x14ac:dyDescent="0.25">
      <c r="E26" s="15"/>
      <c r="I26" s="28"/>
      <c r="J26" s="3"/>
      <c r="N26" s="37" t="s">
        <v>13</v>
      </c>
      <c r="O26" s="37" t="s">
        <v>14</v>
      </c>
      <c r="P26" s="37" t="s">
        <v>15</v>
      </c>
      <c r="Q26" s="37" t="s">
        <v>16</v>
      </c>
      <c r="R26" s="37" t="s">
        <v>13</v>
      </c>
      <c r="S26" s="37" t="s">
        <v>14</v>
      </c>
      <c r="T26" s="37" t="s">
        <v>15</v>
      </c>
      <c r="U26" s="37" t="s">
        <v>16</v>
      </c>
      <c r="W26" s="3"/>
    </row>
    <row r="27" spans="1:23" x14ac:dyDescent="0.25">
      <c r="I27" s="28"/>
      <c r="N27" s="26" t="s">
        <v>150</v>
      </c>
      <c r="O27" s="38">
        <f>S22</f>
        <v>64000</v>
      </c>
      <c r="P27" s="26"/>
      <c r="Q27" s="26"/>
      <c r="R27" s="26" t="s">
        <v>150</v>
      </c>
      <c r="S27" s="38">
        <f>U22</f>
        <v>38000</v>
      </c>
      <c r="T27" s="26"/>
      <c r="U27" s="26"/>
    </row>
    <row r="28" spans="1:23" x14ac:dyDescent="0.25">
      <c r="A28" s="3" t="s">
        <v>11</v>
      </c>
      <c r="B28" s="29"/>
      <c r="C28" s="30"/>
      <c r="D28" s="31"/>
      <c r="E28" s="32"/>
      <c r="F28" s="33"/>
      <c r="G28" s="32"/>
      <c r="H28" s="34"/>
      <c r="J28" s="3"/>
      <c r="N28" s="26" t="s">
        <v>17</v>
      </c>
      <c r="O28" s="38">
        <f>S28</f>
        <v>3150</v>
      </c>
      <c r="P28" s="26"/>
      <c r="Q28" s="26"/>
      <c r="R28" s="26" t="s">
        <v>17</v>
      </c>
      <c r="S28" s="38">
        <f>'NOVEMBER 21'!V37</f>
        <v>3150</v>
      </c>
      <c r="T28" s="26"/>
      <c r="U28" s="26"/>
      <c r="W28" s="3"/>
    </row>
    <row r="29" spans="1:23" x14ac:dyDescent="0.25">
      <c r="A29" s="35" t="s">
        <v>12</v>
      </c>
      <c r="B29" s="35"/>
      <c r="C29" s="35"/>
      <c r="D29" s="36"/>
      <c r="E29" s="35" t="s">
        <v>7</v>
      </c>
      <c r="F29" s="3"/>
      <c r="G29" s="3"/>
      <c r="H29" s="3"/>
      <c r="N29" s="26" t="s">
        <v>9</v>
      </c>
      <c r="O29" s="38"/>
      <c r="P29" s="26"/>
      <c r="Q29" s="26"/>
      <c r="R29" s="26"/>
      <c r="S29" s="38"/>
      <c r="T29" s="26"/>
      <c r="U29" s="26"/>
    </row>
    <row r="30" spans="1:23" x14ac:dyDescent="0.25">
      <c r="A30" s="37" t="s">
        <v>13</v>
      </c>
      <c r="B30" s="37" t="s">
        <v>14</v>
      </c>
      <c r="C30" s="37" t="s">
        <v>15</v>
      </c>
      <c r="D30" s="37" t="s">
        <v>16</v>
      </c>
      <c r="E30" s="37" t="s">
        <v>13</v>
      </c>
      <c r="F30" s="37" t="s">
        <v>14</v>
      </c>
      <c r="G30" s="37" t="s">
        <v>15</v>
      </c>
      <c r="H30" s="37" t="s">
        <v>16</v>
      </c>
      <c r="J30" s="3"/>
      <c r="N30" s="26" t="s">
        <v>3</v>
      </c>
      <c r="O30" s="38"/>
      <c r="P30" s="26"/>
      <c r="Q30" s="26"/>
      <c r="R30" s="26"/>
      <c r="S30" s="38"/>
      <c r="T30" s="26"/>
      <c r="U30" s="26"/>
      <c r="W30" s="3"/>
    </row>
    <row r="31" spans="1:23" x14ac:dyDescent="0.25">
      <c r="A31" s="26" t="s">
        <v>32</v>
      </c>
      <c r="B31" s="38">
        <f>F25</f>
        <v>123500</v>
      </c>
      <c r="C31" s="26"/>
      <c r="D31" s="26"/>
      <c r="E31" s="26" t="s">
        <v>32</v>
      </c>
      <c r="F31" s="38">
        <f>H25</f>
        <v>88650</v>
      </c>
      <c r="G31" s="26"/>
      <c r="H31" s="26"/>
      <c r="J31" s="34"/>
      <c r="N31" s="26" t="s">
        <v>19</v>
      </c>
      <c r="O31" s="39">
        <v>7.0000000000000007E-2</v>
      </c>
      <c r="P31" s="38">
        <f>O31*O27</f>
        <v>4480</v>
      </c>
      <c r="Q31" s="26"/>
      <c r="R31" s="26" t="s">
        <v>19</v>
      </c>
      <c r="S31" s="39">
        <v>7.0000000000000007E-2</v>
      </c>
      <c r="T31" s="38">
        <f>S31*O27</f>
        <v>4480</v>
      </c>
      <c r="U31" s="26"/>
      <c r="W31" s="34"/>
    </row>
    <row r="32" spans="1:23" x14ac:dyDescent="0.25">
      <c r="A32" s="26" t="s">
        <v>17</v>
      </c>
      <c r="B32" s="38">
        <f>'NOVEMBER 21'!E41</f>
        <v>-42388</v>
      </c>
      <c r="C32" s="26"/>
      <c r="D32" s="26"/>
      <c r="E32" s="26" t="s">
        <v>17</v>
      </c>
      <c r="F32" s="38">
        <f>'NOVEMBER 21'!I41</f>
        <v>-81363</v>
      </c>
      <c r="G32" s="26"/>
      <c r="H32" s="26"/>
      <c r="J32" s="34"/>
      <c r="N32" s="37" t="s">
        <v>20</v>
      </c>
      <c r="O32" s="26" t="s">
        <v>21</v>
      </c>
      <c r="P32" s="26"/>
      <c r="Q32" s="26"/>
      <c r="R32" s="37" t="s">
        <v>20</v>
      </c>
      <c r="S32" s="40"/>
      <c r="T32" s="26"/>
      <c r="U32" s="26"/>
      <c r="W32" s="34"/>
    </row>
    <row r="33" spans="1:23" x14ac:dyDescent="0.25">
      <c r="A33" s="26" t="s">
        <v>9</v>
      </c>
      <c r="B33" s="38"/>
      <c r="C33" s="26"/>
      <c r="D33" s="26"/>
      <c r="E33" s="26"/>
      <c r="F33" s="38"/>
      <c r="G33" s="26"/>
      <c r="H33" s="26"/>
      <c r="J33" s="34"/>
      <c r="N33" s="41" t="s">
        <v>22</v>
      </c>
      <c r="O33" s="39">
        <v>0.3</v>
      </c>
      <c r="P33" s="42"/>
      <c r="Q33" s="26"/>
      <c r="R33" s="41" t="s">
        <v>22</v>
      </c>
      <c r="S33" s="39">
        <v>0.3</v>
      </c>
      <c r="T33" s="42"/>
      <c r="U33" s="26"/>
      <c r="W33" s="34" t="s">
        <v>18</v>
      </c>
    </row>
    <row r="34" spans="1:23" x14ac:dyDescent="0.25">
      <c r="A34" s="26" t="s">
        <v>3</v>
      </c>
      <c r="B34" s="38"/>
      <c r="C34" s="26"/>
      <c r="D34" s="26"/>
      <c r="E34" s="26"/>
      <c r="F34" s="38"/>
      <c r="G34" s="26"/>
      <c r="H34" s="26"/>
      <c r="J34" s="34"/>
      <c r="N34" s="40" t="s">
        <v>153</v>
      </c>
      <c r="P34">
        <v>58590</v>
      </c>
      <c r="Q34" s="42"/>
      <c r="R34" s="40" t="s">
        <v>153</v>
      </c>
      <c r="T34">
        <v>58590</v>
      </c>
      <c r="W34" s="3"/>
    </row>
    <row r="35" spans="1:23" x14ac:dyDescent="0.25">
      <c r="A35" s="26" t="s">
        <v>19</v>
      </c>
      <c r="B35" s="39">
        <v>7.0000000000000007E-2</v>
      </c>
      <c r="C35" s="38">
        <f>B35*B31</f>
        <v>8645</v>
      </c>
      <c r="D35" s="26"/>
      <c r="E35" s="26" t="s">
        <v>19</v>
      </c>
      <c r="F35" s="39">
        <v>7.0000000000000007E-2</v>
      </c>
      <c r="G35" s="38">
        <f>F35*B31</f>
        <v>8645</v>
      </c>
      <c r="H35" s="26"/>
      <c r="J35" s="34"/>
      <c r="N35" s="40"/>
      <c r="O35" s="39"/>
      <c r="P35" s="26"/>
      <c r="Q35" s="26"/>
      <c r="R35" s="40"/>
      <c r="S35" s="39"/>
      <c r="T35" s="26"/>
      <c r="U35" s="26"/>
      <c r="W35" s="34"/>
    </row>
    <row r="36" spans="1:23" x14ac:dyDescent="0.25">
      <c r="A36" s="37" t="s">
        <v>20</v>
      </c>
      <c r="B36" s="26" t="s">
        <v>21</v>
      </c>
      <c r="C36" s="26"/>
      <c r="D36" s="26"/>
      <c r="E36" s="37" t="s">
        <v>20</v>
      </c>
      <c r="F36" s="40"/>
      <c r="G36" s="26"/>
      <c r="H36" s="26"/>
      <c r="J36" s="34"/>
      <c r="N36" s="40"/>
      <c r="O36" s="39"/>
      <c r="P36" s="26"/>
      <c r="Q36" s="26"/>
      <c r="R36" s="40"/>
      <c r="S36" s="39"/>
      <c r="T36" s="26"/>
      <c r="U36" s="26"/>
      <c r="W36" s="34"/>
    </row>
    <row r="37" spans="1:23" x14ac:dyDescent="0.25">
      <c r="A37" s="41" t="s">
        <v>22</v>
      </c>
      <c r="B37" s="39">
        <v>0.3</v>
      </c>
      <c r="C37" s="42"/>
      <c r="D37" s="26"/>
      <c r="E37" s="41" t="s">
        <v>22</v>
      </c>
      <c r="F37" s="39">
        <v>0.3</v>
      </c>
      <c r="G37" s="42"/>
      <c r="H37" s="26"/>
      <c r="J37" s="3"/>
      <c r="N37" s="40"/>
      <c r="O37" s="26"/>
      <c r="P37" s="42"/>
      <c r="Q37" s="26"/>
      <c r="R37" s="40"/>
      <c r="S37" s="26"/>
      <c r="T37" s="42"/>
      <c r="U37" s="26"/>
      <c r="W37" s="3"/>
    </row>
    <row r="38" spans="1:23" x14ac:dyDescent="0.25">
      <c r="A38" s="40" t="s">
        <v>153</v>
      </c>
      <c r="C38">
        <v>104855</v>
      </c>
      <c r="D38" s="42"/>
      <c r="E38" s="40" t="s">
        <v>153</v>
      </c>
      <c r="G38">
        <v>104855</v>
      </c>
      <c r="H38" s="26"/>
      <c r="J38" s="3"/>
      <c r="N38" s="40"/>
      <c r="O38" s="26"/>
      <c r="P38" s="42"/>
      <c r="Q38" s="26"/>
      <c r="R38" s="40"/>
      <c r="S38" s="26"/>
      <c r="T38" s="42"/>
      <c r="U38" s="26"/>
      <c r="W38" s="3"/>
    </row>
    <row r="39" spans="1:23" x14ac:dyDescent="0.25">
      <c r="A39" s="40"/>
      <c r="B39" s="39"/>
      <c r="C39" s="42"/>
      <c r="D39" s="26"/>
      <c r="E39" s="40"/>
      <c r="F39" s="39"/>
      <c r="G39" s="42"/>
      <c r="H39" s="26"/>
      <c r="J39" s="34"/>
      <c r="N39" s="37" t="s">
        <v>10</v>
      </c>
      <c r="O39" s="45">
        <f>O30+O27+O28+O29</f>
        <v>67150</v>
      </c>
      <c r="P39" s="45">
        <f>SUM(P31:P38)</f>
        <v>63070</v>
      </c>
      <c r="Q39" s="45">
        <f>O39-P39</f>
        <v>4080</v>
      </c>
      <c r="R39" s="37" t="s">
        <v>10</v>
      </c>
      <c r="S39" s="45">
        <f>S27+S28+S30-T31</f>
        <v>36670</v>
      </c>
      <c r="T39" s="45">
        <f>SUM(T33:T38)</f>
        <v>58590</v>
      </c>
      <c r="U39" s="45">
        <f>S39-T39</f>
        <v>-21920</v>
      </c>
      <c r="W39" s="34"/>
    </row>
    <row r="40" spans="1:23" x14ac:dyDescent="0.25">
      <c r="A40" s="40"/>
      <c r="B40" s="39"/>
      <c r="C40" s="26"/>
      <c r="D40" s="26"/>
      <c r="E40" s="40"/>
      <c r="F40" s="39"/>
      <c r="G40" s="26"/>
      <c r="H40" s="26"/>
      <c r="J40" s="43"/>
      <c r="N40" s="46" t="s">
        <v>23</v>
      </c>
      <c r="O40" s="47"/>
      <c r="P40" s="47" t="s">
        <v>24</v>
      </c>
      <c r="Q40" s="48"/>
      <c r="R40" s="46"/>
      <c r="S40" s="46" t="s">
        <v>25</v>
      </c>
      <c r="T40" s="3"/>
      <c r="U40" s="3"/>
      <c r="W40" s="43"/>
    </row>
    <row r="41" spans="1:23" x14ac:dyDescent="0.25">
      <c r="A41" s="40"/>
      <c r="B41" s="26"/>
      <c r="C41" s="42"/>
      <c r="D41" s="26"/>
      <c r="E41" s="40"/>
      <c r="F41" s="26"/>
      <c r="G41" s="42"/>
      <c r="H41" s="26"/>
      <c r="J41" s="3">
        <v>2100</v>
      </c>
      <c r="N41" s="46" t="s">
        <v>26</v>
      </c>
      <c r="O41" s="47"/>
      <c r="P41" s="47" t="s">
        <v>27</v>
      </c>
      <c r="Q41" s="48"/>
      <c r="R41" s="46"/>
      <c r="S41" s="46" t="s">
        <v>44</v>
      </c>
      <c r="T41" s="3"/>
      <c r="W41" s="3"/>
    </row>
    <row r="42" spans="1:23" x14ac:dyDescent="0.25">
      <c r="A42" s="40"/>
      <c r="B42" s="26"/>
      <c r="C42" s="42"/>
      <c r="D42" s="26"/>
      <c r="E42" s="40"/>
      <c r="F42" s="26"/>
      <c r="G42" s="42"/>
      <c r="H42" s="26"/>
      <c r="J42" s="3">
        <v>450</v>
      </c>
    </row>
    <row r="43" spans="1:23" x14ac:dyDescent="0.25">
      <c r="A43" s="37" t="s">
        <v>10</v>
      </c>
      <c r="B43" s="45">
        <f>B34+B31+B32+B33</f>
        <v>81112</v>
      </c>
      <c r="C43" s="45">
        <f>SUM(C35:C42)</f>
        <v>113500</v>
      </c>
      <c r="D43" s="45">
        <f>B43-C43</f>
        <v>-32388</v>
      </c>
      <c r="E43" s="37" t="s">
        <v>10</v>
      </c>
      <c r="F43" s="45">
        <f>F31+F32+F34-G35</f>
        <v>-1358</v>
      </c>
      <c r="G43" s="45">
        <f>SUM(G37:G42)</f>
        <v>104855</v>
      </c>
      <c r="H43" s="45">
        <f>F43-G43</f>
        <v>-106213</v>
      </c>
      <c r="J43" s="43">
        <v>5000</v>
      </c>
      <c r="K43" s="44"/>
      <c r="Q43" s="28">
        <f>P37+P36+P35</f>
        <v>0</v>
      </c>
    </row>
    <row r="44" spans="1:23" x14ac:dyDescent="0.25">
      <c r="A44" s="46" t="s">
        <v>23</v>
      </c>
      <c r="B44" s="47"/>
      <c r="C44" s="47" t="s">
        <v>24</v>
      </c>
      <c r="D44" s="48"/>
      <c r="E44" s="46"/>
      <c r="F44" s="46" t="s">
        <v>25</v>
      </c>
      <c r="G44" s="3"/>
      <c r="H44" s="3"/>
      <c r="J44" s="43">
        <v>30000</v>
      </c>
    </row>
    <row r="45" spans="1:23" x14ac:dyDescent="0.25">
      <c r="A45" t="s">
        <v>26</v>
      </c>
      <c r="C45" t="s">
        <v>27</v>
      </c>
      <c r="F45" t="s">
        <v>44</v>
      </c>
      <c r="J45" s="43">
        <v>9000</v>
      </c>
      <c r="K45" s="44"/>
    </row>
    <row r="46" spans="1:23" x14ac:dyDescent="0.25">
      <c r="J46" s="43">
        <v>9800</v>
      </c>
      <c r="L46">
        <f>2100-1800</f>
        <v>300</v>
      </c>
    </row>
    <row r="47" spans="1:23" x14ac:dyDescent="0.25">
      <c r="J47" s="43">
        <v>600</v>
      </c>
      <c r="R47" s="44"/>
    </row>
    <row r="48" spans="1:23" x14ac:dyDescent="0.25">
      <c r="J48">
        <f>SUM(J41:J47)</f>
        <v>56950</v>
      </c>
      <c r="K48" s="28"/>
    </row>
    <row r="49" spans="9:13" x14ac:dyDescent="0.25">
      <c r="I49" s="44"/>
      <c r="K49" s="28"/>
    </row>
    <row r="50" spans="9:13" x14ac:dyDescent="0.25">
      <c r="K50" s="28"/>
    </row>
    <row r="52" spans="9:13" x14ac:dyDescent="0.25">
      <c r="K52" s="28"/>
    </row>
    <row r="57" spans="9:13" x14ac:dyDescent="0.25">
      <c r="M57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K37" sqref="K37"/>
    </sheetView>
  </sheetViews>
  <sheetFormatPr defaultRowHeight="15" x14ac:dyDescent="0.25"/>
  <cols>
    <col min="1" max="1" width="17.28515625" customWidth="1"/>
    <col min="4" max="4" width="6.42578125" customWidth="1"/>
    <col min="6" max="6" width="8.140625" customWidth="1"/>
    <col min="8" max="8" width="7.85546875" customWidth="1"/>
  </cols>
  <sheetData>
    <row r="2" spans="1:11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45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1" x14ac:dyDescent="0.25">
      <c r="A6" s="12" t="s">
        <v>33</v>
      </c>
      <c r="B6" s="13">
        <v>1</v>
      </c>
      <c r="C6" s="14"/>
      <c r="D6" s="14">
        <f>'DECEMBER 20'!I6:I19</f>
        <v>0</v>
      </c>
      <c r="E6" s="15"/>
      <c r="F6" s="16">
        <v>6500</v>
      </c>
      <c r="G6" s="16">
        <f>C6+E6+F6+D6</f>
        <v>6500</v>
      </c>
      <c r="H6" s="16">
        <f>6500</f>
        <v>6500</v>
      </c>
      <c r="I6" s="17">
        <f>G6-H6</f>
        <v>0</v>
      </c>
      <c r="J6" s="15"/>
    </row>
    <row r="7" spans="1:11" x14ac:dyDescent="0.25">
      <c r="A7" t="s">
        <v>48</v>
      </c>
      <c r="B7" s="13">
        <v>2</v>
      </c>
      <c r="C7" s="14">
        <v>6500</v>
      </c>
      <c r="D7" s="14">
        <f>'DECEMBER 20'!I7:I20</f>
        <v>0</v>
      </c>
      <c r="E7" s="15"/>
      <c r="F7" s="16">
        <v>6500</v>
      </c>
      <c r="G7" s="16">
        <f t="shared" ref="G7:G22" si="0">C7+E7+F7+D7</f>
        <v>13000</v>
      </c>
      <c r="H7" s="16">
        <v>13000</v>
      </c>
      <c r="I7" s="17">
        <f t="shared" ref="I7:I22" si="1">G7-H7</f>
        <v>0</v>
      </c>
      <c r="J7" s="15"/>
    </row>
    <row r="8" spans="1:11" x14ac:dyDescent="0.25">
      <c r="A8" s="49" t="s">
        <v>42</v>
      </c>
      <c r="B8" s="13">
        <v>3</v>
      </c>
      <c r="C8" s="14"/>
      <c r="D8" s="14">
        <f>'DECEMBER 20'!I8:I21</f>
        <v>7000</v>
      </c>
      <c r="E8" s="15"/>
      <c r="F8" s="16"/>
      <c r="G8" s="16">
        <f t="shared" si="0"/>
        <v>7000</v>
      </c>
      <c r="H8" s="16">
        <v>1000</v>
      </c>
      <c r="I8" s="17">
        <f t="shared" si="1"/>
        <v>6000</v>
      </c>
      <c r="J8" s="15"/>
      <c r="K8" t="s">
        <v>54</v>
      </c>
    </row>
    <row r="9" spans="1:11" x14ac:dyDescent="0.25">
      <c r="A9" s="19" t="s">
        <v>47</v>
      </c>
      <c r="B9" s="13">
        <v>4</v>
      </c>
      <c r="C9" s="14">
        <v>6500</v>
      </c>
      <c r="D9" s="14">
        <f>'DECEMBER 20'!I9:I22</f>
        <v>0</v>
      </c>
      <c r="E9" s="15"/>
      <c r="F9" s="16">
        <v>6500</v>
      </c>
      <c r="G9" s="16">
        <f t="shared" si="0"/>
        <v>13000</v>
      </c>
      <c r="H9" s="16">
        <f>6000+6500</f>
        <v>12500</v>
      </c>
      <c r="I9" s="17">
        <f>G9-H9</f>
        <v>500</v>
      </c>
      <c r="J9" s="15"/>
    </row>
    <row r="10" spans="1:11" x14ac:dyDescent="0.25">
      <c r="A10" s="19" t="s">
        <v>41</v>
      </c>
      <c r="B10" s="13">
        <v>5</v>
      </c>
      <c r="C10" s="14"/>
      <c r="D10" s="14">
        <f>'DECEMBER 20'!I10:I23</f>
        <v>0</v>
      </c>
      <c r="E10" s="15"/>
      <c r="F10" s="16">
        <v>6000</v>
      </c>
      <c r="G10" s="16">
        <f t="shared" si="0"/>
        <v>6000</v>
      </c>
      <c r="H10" s="16">
        <v>6000</v>
      </c>
      <c r="I10" s="17">
        <f>G10-H10</f>
        <v>0</v>
      </c>
      <c r="J10" s="15"/>
    </row>
    <row r="11" spans="1:11" x14ac:dyDescent="0.25">
      <c r="A11" s="50" t="s">
        <v>50</v>
      </c>
      <c r="B11" s="13">
        <v>6</v>
      </c>
      <c r="C11" s="14">
        <v>6500</v>
      </c>
      <c r="D11" s="14">
        <f>'DECEMBER 20'!I11:I24</f>
        <v>0</v>
      </c>
      <c r="E11" s="15"/>
      <c r="F11" s="16">
        <v>6500</v>
      </c>
      <c r="G11" s="16">
        <f t="shared" si="0"/>
        <v>13000</v>
      </c>
      <c r="H11" s="16">
        <v>13000</v>
      </c>
      <c r="I11" s="17">
        <f t="shared" si="1"/>
        <v>0</v>
      </c>
      <c r="J11" s="15"/>
    </row>
    <row r="12" spans="1:11" x14ac:dyDescent="0.25">
      <c r="A12" s="19" t="s">
        <v>48</v>
      </c>
      <c r="B12" s="13">
        <v>7</v>
      </c>
      <c r="C12" s="14">
        <v>5500</v>
      </c>
      <c r="D12" s="14">
        <f>'DECEMBER 20'!I12:I25</f>
        <v>0</v>
      </c>
      <c r="E12" s="15"/>
      <c r="F12" s="16">
        <v>5500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1:11" x14ac:dyDescent="0.25">
      <c r="A13" s="21" t="s">
        <v>48</v>
      </c>
      <c r="B13" s="13">
        <v>8</v>
      </c>
      <c r="C13" s="14">
        <v>5500</v>
      </c>
      <c r="D13" s="14">
        <f>'DECEMBER 20'!I13:I26</f>
        <v>0</v>
      </c>
      <c r="E13" s="15"/>
      <c r="F13" s="16"/>
      <c r="G13" s="16">
        <f t="shared" si="0"/>
        <v>5500</v>
      </c>
      <c r="H13" s="16">
        <v>5500</v>
      </c>
      <c r="I13" s="17">
        <f t="shared" si="1"/>
        <v>0</v>
      </c>
      <c r="J13" s="15"/>
    </row>
    <row r="14" spans="1:11" x14ac:dyDescent="0.25">
      <c r="A14" s="21" t="s">
        <v>34</v>
      </c>
      <c r="B14" s="13">
        <v>9</v>
      </c>
      <c r="C14" s="14"/>
      <c r="D14" s="14">
        <f>'DECEMBER 20'!I14:I27</f>
        <v>0</v>
      </c>
      <c r="E14" s="15"/>
      <c r="F14" s="16">
        <v>10000</v>
      </c>
      <c r="G14" s="16">
        <f t="shared" si="0"/>
        <v>10000</v>
      </c>
      <c r="H14" s="16">
        <f>10000</f>
        <v>10000</v>
      </c>
      <c r="I14" s="17">
        <f t="shared" si="1"/>
        <v>0</v>
      </c>
      <c r="J14" s="15"/>
    </row>
    <row r="15" spans="1:11" x14ac:dyDescent="0.25">
      <c r="A15" s="21" t="s">
        <v>51</v>
      </c>
      <c r="B15" s="13">
        <v>10</v>
      </c>
      <c r="C15" s="14">
        <v>6500</v>
      </c>
      <c r="D15" s="14">
        <f>'DECEMBER 20'!I15:I28</f>
        <v>0</v>
      </c>
      <c r="E15" s="15"/>
      <c r="F15" s="16">
        <v>6500</v>
      </c>
      <c r="G15" s="16">
        <f t="shared" si="0"/>
        <v>13000</v>
      </c>
      <c r="H15" s="16">
        <f>13000</f>
        <v>13000</v>
      </c>
      <c r="I15" s="17">
        <f t="shared" si="1"/>
        <v>0</v>
      </c>
      <c r="J15" s="15"/>
    </row>
    <row r="16" spans="1:11" x14ac:dyDescent="0.25">
      <c r="A16" s="21" t="s">
        <v>48</v>
      </c>
      <c r="B16" s="13">
        <v>11</v>
      </c>
      <c r="C16" s="14"/>
      <c r="D16" s="14">
        <f>'DECEMBER 20'!I16:I29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1"/>
        <v>0</v>
      </c>
      <c r="J16" s="15"/>
    </row>
    <row r="17" spans="1:16" x14ac:dyDescent="0.25">
      <c r="A17" s="21" t="s">
        <v>48</v>
      </c>
      <c r="B17" s="13">
        <v>12</v>
      </c>
      <c r="C17" s="14"/>
      <c r="D17" s="14"/>
      <c r="E17" s="15"/>
      <c r="F17" s="16">
        <v>6500</v>
      </c>
      <c r="G17" s="16">
        <v>6500</v>
      </c>
      <c r="H17" s="16">
        <v>6500</v>
      </c>
      <c r="I17" s="17">
        <f t="shared" si="1"/>
        <v>0</v>
      </c>
      <c r="J17" s="15"/>
    </row>
    <row r="18" spans="1:16" x14ac:dyDescent="0.25">
      <c r="A18" s="22"/>
      <c r="B18" s="13">
        <v>13</v>
      </c>
      <c r="C18" s="14"/>
      <c r="D18" s="14">
        <f>'DECEMBER 20'!I18:I31</f>
        <v>0</v>
      </c>
      <c r="E18" s="15"/>
      <c r="F18" s="16"/>
      <c r="G18" s="16">
        <f t="shared" si="0"/>
        <v>0</v>
      </c>
      <c r="H18" s="16"/>
      <c r="I18" s="17">
        <f t="shared" si="1"/>
        <v>0</v>
      </c>
      <c r="J18" s="15"/>
    </row>
    <row r="19" spans="1:16" x14ac:dyDescent="0.25">
      <c r="A19" s="22" t="s">
        <v>34</v>
      </c>
      <c r="B19" s="13" t="s">
        <v>28</v>
      </c>
      <c r="C19" s="14"/>
      <c r="D19" s="14">
        <f>'DECEMBER 20'!I19:I32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M19">
        <f>6500+6500+500+5500</f>
        <v>19000</v>
      </c>
      <c r="N19">
        <f>0.07*6500</f>
        <v>455.00000000000006</v>
      </c>
      <c r="P19">
        <f>455+455+35</f>
        <v>945</v>
      </c>
    </row>
    <row r="20" spans="1:16" x14ac:dyDescent="0.25">
      <c r="A20" s="22" t="s">
        <v>35</v>
      </c>
      <c r="B20" s="13" t="s">
        <v>29</v>
      </c>
      <c r="C20" s="14"/>
      <c r="D20" s="14">
        <v>2000</v>
      </c>
      <c r="E20" s="15"/>
      <c r="F20" s="16">
        <v>7000</v>
      </c>
      <c r="G20" s="16">
        <f t="shared" si="0"/>
        <v>9000</v>
      </c>
      <c r="H20" s="16">
        <f>7000</f>
        <v>7000</v>
      </c>
      <c r="I20" s="17">
        <f t="shared" si="1"/>
        <v>2000</v>
      </c>
      <c r="J20" s="15"/>
      <c r="M20">
        <f>M19*B33</f>
        <v>1330.0000000000002</v>
      </c>
      <c r="N20">
        <v>455</v>
      </c>
    </row>
    <row r="21" spans="1:16" x14ac:dyDescent="0.25">
      <c r="A21" s="22" t="s">
        <v>36</v>
      </c>
      <c r="B21" s="13" t="s">
        <v>30</v>
      </c>
      <c r="C21" s="14"/>
      <c r="D21" s="14">
        <f>'DECEMBER 20'!I21:I34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N21">
        <v>35</v>
      </c>
    </row>
    <row r="22" spans="1:16" x14ac:dyDescent="0.25">
      <c r="A22" s="22" t="s">
        <v>37</v>
      </c>
      <c r="B22" s="13" t="s">
        <v>31</v>
      </c>
      <c r="C22" s="14"/>
      <c r="D22" s="14">
        <f>'DECEMBER 20'!I22:I35</f>
        <v>0</v>
      </c>
      <c r="E22" s="15"/>
      <c r="F22" s="16">
        <v>8000</v>
      </c>
      <c r="G22" s="16">
        <f t="shared" si="0"/>
        <v>8000</v>
      </c>
      <c r="H22" s="16">
        <f>8000</f>
        <v>8000</v>
      </c>
      <c r="I22" s="17">
        <f t="shared" si="1"/>
        <v>0</v>
      </c>
      <c r="J22" s="15"/>
      <c r="M22">
        <f>G33*500</f>
        <v>35</v>
      </c>
      <c r="N22">
        <f>G33*5500</f>
        <v>385.00000000000006</v>
      </c>
    </row>
    <row r="23" spans="1:16" x14ac:dyDescent="0.25">
      <c r="A23" s="25" t="s">
        <v>10</v>
      </c>
      <c r="B23" s="26"/>
      <c r="C23" s="14">
        <f t="shared" ref="C23:J23" si="2">SUM(C6:C22)</f>
        <v>37000</v>
      </c>
      <c r="D23" s="14">
        <f>SUM(D6:D22)</f>
        <v>9000</v>
      </c>
      <c r="E23" s="15">
        <f t="shared" si="2"/>
        <v>0</v>
      </c>
      <c r="F23" s="27">
        <f>SUM(F6:F22)</f>
        <v>95000</v>
      </c>
      <c r="G23" s="16">
        <f t="shared" si="2"/>
        <v>141000</v>
      </c>
      <c r="H23" s="16">
        <f>SUM(H6:H22)</f>
        <v>132500</v>
      </c>
      <c r="I23" s="16">
        <f>SUM(I6:I22)</f>
        <v>8500</v>
      </c>
      <c r="J23" s="15">
        <f t="shared" si="2"/>
        <v>0</v>
      </c>
      <c r="N23">
        <f>SUM(N19:N22)</f>
        <v>1330</v>
      </c>
    </row>
    <row r="24" spans="1:16" x14ac:dyDescent="0.25">
      <c r="E24" s="15"/>
      <c r="I24" s="28"/>
      <c r="J24" s="3"/>
    </row>
    <row r="26" spans="1:16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</row>
    <row r="27" spans="1:16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J27" s="3"/>
    </row>
    <row r="28" spans="1:16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</row>
    <row r="29" spans="1:16" x14ac:dyDescent="0.25">
      <c r="A29" s="26" t="s">
        <v>46</v>
      </c>
      <c r="B29" s="38">
        <f>F23</f>
        <v>95000</v>
      </c>
      <c r="C29" s="26"/>
      <c r="D29" s="26"/>
      <c r="E29" s="26"/>
      <c r="F29" s="26" t="s">
        <v>46</v>
      </c>
      <c r="G29" s="38">
        <f>H23</f>
        <v>132500</v>
      </c>
      <c r="H29" s="26"/>
      <c r="I29" s="26"/>
      <c r="J29" s="34"/>
    </row>
    <row r="30" spans="1:16" x14ac:dyDescent="0.25">
      <c r="A30" s="26" t="s">
        <v>17</v>
      </c>
      <c r="B30" s="38">
        <f>'DECEMBER 20'!E38</f>
        <v>0</v>
      </c>
      <c r="C30" s="26"/>
      <c r="D30" s="26"/>
      <c r="E30" s="26"/>
      <c r="F30" s="26" t="s">
        <v>17</v>
      </c>
      <c r="G30" s="38">
        <f>'DECEMBER 20'!I38</f>
        <v>-9000</v>
      </c>
      <c r="H30" s="26"/>
      <c r="I30" s="26"/>
      <c r="J30" s="34"/>
    </row>
    <row r="31" spans="1:16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M31" s="44"/>
    </row>
    <row r="32" spans="1:16" x14ac:dyDescent="0.25">
      <c r="A32" s="26" t="s">
        <v>3</v>
      </c>
      <c r="B32" s="38">
        <f>C23</f>
        <v>37000</v>
      </c>
      <c r="C32" s="26"/>
      <c r="D32" s="26"/>
      <c r="E32" s="26"/>
      <c r="F32" s="26"/>
      <c r="G32" s="38"/>
      <c r="H32" s="26"/>
      <c r="I32" s="26"/>
      <c r="J32" s="3"/>
      <c r="M32" s="28"/>
    </row>
    <row r="33" spans="1:13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  <c r="M33" s="28"/>
    </row>
    <row r="34" spans="1:13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</row>
    <row r="35" spans="1:13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</row>
    <row r="36" spans="1:13" x14ac:dyDescent="0.25">
      <c r="A36" s="40" t="s">
        <v>49</v>
      </c>
      <c r="C36">
        <v>88680</v>
      </c>
      <c r="E36" s="42"/>
      <c r="F36" s="40" t="s">
        <v>49</v>
      </c>
      <c r="H36">
        <v>88680</v>
      </c>
      <c r="I36" s="26"/>
      <c r="J36" s="3"/>
    </row>
    <row r="37" spans="1:13" x14ac:dyDescent="0.25">
      <c r="A37" s="40" t="s">
        <v>52</v>
      </c>
      <c r="B37" s="39"/>
      <c r="C37" s="26">
        <v>11000</v>
      </c>
      <c r="D37" s="26"/>
      <c r="E37" s="26"/>
      <c r="F37" s="40" t="s">
        <v>52</v>
      </c>
      <c r="G37" s="39"/>
      <c r="H37" s="26">
        <v>11000</v>
      </c>
      <c r="I37" s="26"/>
      <c r="J37" s="34"/>
    </row>
    <row r="38" spans="1:13" x14ac:dyDescent="0.25">
      <c r="A38" s="40" t="s">
        <v>53</v>
      </c>
      <c r="B38" s="39"/>
      <c r="C38" s="26">
        <v>25670</v>
      </c>
      <c r="D38" s="26"/>
      <c r="E38" s="26"/>
      <c r="F38" s="40" t="s">
        <v>53</v>
      </c>
      <c r="G38" s="39"/>
      <c r="H38" s="26">
        <v>25670</v>
      </c>
      <c r="I38" s="26"/>
      <c r="J38" s="43"/>
      <c r="K38" s="28"/>
    </row>
    <row r="39" spans="1:13" x14ac:dyDescent="0.25">
      <c r="A39" s="40" t="s">
        <v>55</v>
      </c>
      <c r="B39" s="26"/>
      <c r="C39" s="42">
        <v>10087</v>
      </c>
      <c r="D39" s="42"/>
      <c r="E39" s="26"/>
      <c r="F39" s="40" t="s">
        <v>55</v>
      </c>
      <c r="G39" s="26"/>
      <c r="H39" s="42">
        <v>10087</v>
      </c>
      <c r="I39" s="26"/>
      <c r="J39" s="3"/>
    </row>
    <row r="40" spans="1:13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</row>
    <row r="41" spans="1:13" x14ac:dyDescent="0.25">
      <c r="A41" s="37" t="s">
        <v>10</v>
      </c>
      <c r="B41" s="45">
        <f>B32+B29+B30+B31</f>
        <v>132000</v>
      </c>
      <c r="C41" s="45">
        <f>SUM(C33:C40)</f>
        <v>142087</v>
      </c>
      <c r="D41" s="45"/>
      <c r="E41" s="45">
        <f>B41-C41</f>
        <v>-10087</v>
      </c>
      <c r="F41" s="37" t="s">
        <v>10</v>
      </c>
      <c r="G41" s="45">
        <f>G29+G30+G32-H33</f>
        <v>116850</v>
      </c>
      <c r="H41" s="45">
        <f>SUM(H35:H40)</f>
        <v>135437</v>
      </c>
      <c r="I41" s="45">
        <f>G41-H41</f>
        <v>-18587</v>
      </c>
      <c r="J41" s="43"/>
    </row>
    <row r="42" spans="1:13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3"/>
    </row>
    <row r="43" spans="1:13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workbookViewId="0">
      <selection activeCell="H16" sqref="H16"/>
    </sheetView>
  </sheetViews>
  <sheetFormatPr defaultRowHeight="15" x14ac:dyDescent="0.25"/>
  <cols>
    <col min="1" max="1" width="18.5703125" bestFit="1" customWidth="1"/>
    <col min="2" max="2" width="7.5703125" customWidth="1"/>
    <col min="3" max="3" width="8.28515625" customWidth="1"/>
    <col min="5" max="5" width="7.140625" customWidth="1"/>
    <col min="6" max="6" width="10" customWidth="1"/>
    <col min="7" max="7" width="8" customWidth="1"/>
    <col min="8" max="8" width="8" bestFit="1" customWidth="1"/>
  </cols>
  <sheetData>
    <row r="2" spans="1:11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</row>
    <row r="3" spans="1:11" ht="15.75" x14ac:dyDescent="0.25">
      <c r="A3" s="3"/>
      <c r="B3" s="1" t="s">
        <v>0</v>
      </c>
      <c r="E3" s="1"/>
      <c r="F3" s="1"/>
      <c r="G3" s="4"/>
      <c r="H3" s="3"/>
      <c r="I3" s="3"/>
      <c r="J3" s="3"/>
    </row>
    <row r="4" spans="1:11" ht="18.75" x14ac:dyDescent="0.3">
      <c r="A4" s="5"/>
      <c r="B4" s="1" t="s">
        <v>58</v>
      </c>
      <c r="C4" s="1"/>
      <c r="D4" s="1"/>
      <c r="E4" s="1"/>
      <c r="F4" s="1"/>
      <c r="G4" s="6"/>
      <c r="H4" s="7"/>
      <c r="I4" s="3"/>
      <c r="J4" s="3"/>
    </row>
    <row r="5" spans="1:11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</row>
    <row r="6" spans="1:11" x14ac:dyDescent="0.25">
      <c r="A6" s="12" t="s">
        <v>41</v>
      </c>
      <c r="B6" s="13">
        <v>1</v>
      </c>
      <c r="C6" s="14"/>
      <c r="D6" s="14">
        <f>'JANUARY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</row>
    <row r="7" spans="1:11" x14ac:dyDescent="0.25">
      <c r="A7" t="s">
        <v>68</v>
      </c>
      <c r="B7" s="13">
        <v>2</v>
      </c>
      <c r="C7" s="14"/>
      <c r="D7" s="14">
        <f>'JANUARY 21'!I7:I23</f>
        <v>0</v>
      </c>
      <c r="E7" s="15"/>
      <c r="F7" s="16">
        <v>6500</v>
      </c>
      <c r="G7" s="16">
        <f t="shared" ref="G7:G22" si="0">C7+E7+F7+D7</f>
        <v>6500</v>
      </c>
      <c r="H7" s="16">
        <f>6500</f>
        <v>6500</v>
      </c>
      <c r="I7" s="17">
        <f t="shared" ref="I7:I22" si="1">G7-H7</f>
        <v>0</v>
      </c>
      <c r="J7" s="15"/>
    </row>
    <row r="8" spans="1:11" x14ac:dyDescent="0.25">
      <c r="A8" s="26" t="s">
        <v>62</v>
      </c>
      <c r="B8" s="13">
        <v>3</v>
      </c>
      <c r="C8" s="14"/>
      <c r="D8" s="14"/>
      <c r="E8" s="15"/>
      <c r="F8" s="16">
        <v>6500</v>
      </c>
      <c r="G8" s="16">
        <f t="shared" si="0"/>
        <v>6500</v>
      </c>
      <c r="H8" s="16"/>
      <c r="I8" s="17">
        <f>G8-H8</f>
        <v>6500</v>
      </c>
      <c r="J8" s="15"/>
      <c r="K8" t="s">
        <v>54</v>
      </c>
    </row>
    <row r="9" spans="1:11" x14ac:dyDescent="0.25">
      <c r="A9" s="19" t="s">
        <v>47</v>
      </c>
      <c r="B9" s="13">
        <v>4</v>
      </c>
      <c r="C9" s="14"/>
      <c r="D9" s="14">
        <f>'JANUARY 21'!I9:I25</f>
        <v>500</v>
      </c>
      <c r="E9" s="15"/>
      <c r="F9" s="16">
        <v>6500</v>
      </c>
      <c r="G9" s="16">
        <f t="shared" si="0"/>
        <v>7000</v>
      </c>
      <c r="H9" s="16">
        <v>6500</v>
      </c>
      <c r="I9" s="17">
        <f>G9-H9</f>
        <v>500</v>
      </c>
      <c r="J9" s="15"/>
    </row>
    <row r="10" spans="1:11" x14ac:dyDescent="0.25">
      <c r="A10" s="19" t="s">
        <v>67</v>
      </c>
      <c r="B10" s="13">
        <v>5</v>
      </c>
      <c r="C10" s="14"/>
      <c r="D10" s="14">
        <f>'JANUARY 21'!I10:I26</f>
        <v>0</v>
      </c>
      <c r="E10" s="15"/>
      <c r="F10" s="16">
        <v>6500</v>
      </c>
      <c r="G10" s="16">
        <f t="shared" si="0"/>
        <v>6500</v>
      </c>
      <c r="H10" s="16">
        <v>6500</v>
      </c>
      <c r="I10" s="17">
        <f>G10-H10</f>
        <v>0</v>
      </c>
      <c r="J10" s="15"/>
    </row>
    <row r="11" spans="1:11" x14ac:dyDescent="0.25">
      <c r="A11" s="20"/>
      <c r="B11" s="13">
        <v>6</v>
      </c>
      <c r="C11" s="14"/>
      <c r="D11" s="14">
        <f>'JANUARY 21'!I11:I27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</row>
    <row r="12" spans="1:11" x14ac:dyDescent="0.25">
      <c r="A12" s="19" t="s">
        <v>56</v>
      </c>
      <c r="B12" s="13">
        <v>7</v>
      </c>
      <c r="C12" s="14"/>
      <c r="D12" s="14">
        <f>'JANUARY 21'!I12:I28</f>
        <v>0</v>
      </c>
      <c r="E12" s="15"/>
      <c r="F12" s="16">
        <v>5500</v>
      </c>
      <c r="G12" s="16">
        <f t="shared" si="0"/>
        <v>5500</v>
      </c>
      <c r="H12" s="16">
        <v>5500</v>
      </c>
      <c r="I12" s="17">
        <f t="shared" si="1"/>
        <v>0</v>
      </c>
      <c r="J12" s="15"/>
    </row>
    <row r="13" spans="1:11" x14ac:dyDescent="0.25">
      <c r="A13" s="51" t="s">
        <v>57</v>
      </c>
      <c r="B13" s="13">
        <v>8</v>
      </c>
      <c r="C13" s="14"/>
      <c r="D13" s="14">
        <f>'JANUARY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</row>
    <row r="14" spans="1:11" x14ac:dyDescent="0.25">
      <c r="A14" s="21" t="s">
        <v>34</v>
      </c>
      <c r="B14" s="13">
        <v>9</v>
      </c>
      <c r="C14" s="14"/>
      <c r="D14" s="14">
        <f>'JANUARY 21'!I14:I30</f>
        <v>0</v>
      </c>
      <c r="E14" s="15"/>
      <c r="F14" s="16">
        <v>10000</v>
      </c>
      <c r="G14" s="16">
        <f t="shared" si="0"/>
        <v>10000</v>
      </c>
      <c r="H14" s="16">
        <v>10000</v>
      </c>
      <c r="I14" s="17">
        <f t="shared" si="1"/>
        <v>0</v>
      </c>
      <c r="J14" s="15"/>
    </row>
    <row r="15" spans="1:11" x14ac:dyDescent="0.25">
      <c r="A15" s="21" t="s">
        <v>63</v>
      </c>
      <c r="B15" s="13">
        <v>10</v>
      </c>
      <c r="C15" s="14"/>
      <c r="D15" s="14">
        <f>'JANUARY 21'!I15:I31</f>
        <v>0</v>
      </c>
      <c r="E15" s="15"/>
      <c r="F15" s="16">
        <v>6500</v>
      </c>
      <c r="G15" s="16">
        <f t="shared" si="0"/>
        <v>6500</v>
      </c>
      <c r="H15" s="16">
        <f>6000</f>
        <v>6000</v>
      </c>
      <c r="I15" s="17">
        <f t="shared" si="1"/>
        <v>500</v>
      </c>
      <c r="J15" s="15"/>
    </row>
    <row r="16" spans="1:11" x14ac:dyDescent="0.25">
      <c r="A16" s="21" t="s">
        <v>64</v>
      </c>
      <c r="B16" s="13">
        <v>11</v>
      </c>
      <c r="C16" s="14"/>
      <c r="D16" s="14">
        <f>'JANUARY 21'!I16:I32</f>
        <v>0</v>
      </c>
      <c r="E16" s="15"/>
      <c r="F16" s="16">
        <v>6500</v>
      </c>
      <c r="G16" s="16">
        <f>C16+E16+F16+D16</f>
        <v>6500</v>
      </c>
      <c r="H16" s="16">
        <f>4200</f>
        <v>4200</v>
      </c>
      <c r="I16" s="17">
        <f>G16-H16</f>
        <v>2300</v>
      </c>
      <c r="J16" s="15"/>
    </row>
    <row r="17" spans="1:11" x14ac:dyDescent="0.25">
      <c r="A17" s="21" t="s">
        <v>69</v>
      </c>
      <c r="B17" s="13">
        <v>12</v>
      </c>
      <c r="C17" s="14"/>
      <c r="D17" s="14">
        <f>'JANUARY 21'!I17:I33</f>
        <v>0</v>
      </c>
      <c r="E17" s="15"/>
      <c r="F17" s="16">
        <v>6500</v>
      </c>
      <c r="G17" s="16">
        <f>C17+E17+F17+D17</f>
        <v>6500</v>
      </c>
      <c r="H17" s="16"/>
      <c r="I17" s="17">
        <f>G17-H17</f>
        <v>6500</v>
      </c>
      <c r="J17" s="15"/>
      <c r="K17" t="s">
        <v>65</v>
      </c>
    </row>
    <row r="18" spans="1:11" x14ac:dyDescent="0.25">
      <c r="A18" s="24"/>
      <c r="B18" s="13"/>
      <c r="C18" s="14"/>
      <c r="D18" s="14">
        <f>'JANUARY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</row>
    <row r="19" spans="1:11" x14ac:dyDescent="0.25">
      <c r="A19" s="22" t="s">
        <v>34</v>
      </c>
      <c r="B19" s="13" t="s">
        <v>28</v>
      </c>
      <c r="C19" s="14"/>
      <c r="D19" s="14">
        <f>'JANUARY 21'!I19:I35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</row>
    <row r="20" spans="1:11" x14ac:dyDescent="0.25">
      <c r="A20" s="22" t="s">
        <v>35</v>
      </c>
      <c r="B20" s="13" t="s">
        <v>29</v>
      </c>
      <c r="C20" s="14"/>
      <c r="D20" s="14">
        <f>'JANUARY 21'!I20:I36</f>
        <v>2000</v>
      </c>
      <c r="E20" s="15"/>
      <c r="F20" s="16">
        <v>7000</v>
      </c>
      <c r="G20" s="16">
        <f t="shared" si="0"/>
        <v>9000</v>
      </c>
      <c r="H20" s="16">
        <f>1000+2000+2000</f>
        <v>5000</v>
      </c>
      <c r="I20" s="17">
        <f t="shared" si="1"/>
        <v>4000</v>
      </c>
      <c r="J20" s="15"/>
    </row>
    <row r="21" spans="1:11" x14ac:dyDescent="0.25">
      <c r="A21" s="22" t="s">
        <v>36</v>
      </c>
      <c r="B21" s="13" t="s">
        <v>30</v>
      </c>
      <c r="C21" s="14"/>
      <c r="D21" s="14">
        <f>'JANUARY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</row>
    <row r="22" spans="1:11" x14ac:dyDescent="0.25">
      <c r="A22" s="22" t="s">
        <v>37</v>
      </c>
      <c r="B22" s="13" t="s">
        <v>31</v>
      </c>
      <c r="C22" s="14"/>
      <c r="D22" s="14">
        <f>'JANUARY 21'!I22:I38</f>
        <v>0</v>
      </c>
      <c r="E22" s="15"/>
      <c r="F22" s="16">
        <v>8000</v>
      </c>
      <c r="G22" s="16">
        <f t="shared" si="0"/>
        <v>8000</v>
      </c>
      <c r="H22" s="16">
        <f>8000</f>
        <v>8000</v>
      </c>
      <c r="I22" s="17">
        <f t="shared" si="1"/>
        <v>0</v>
      </c>
      <c r="J22" s="15"/>
    </row>
    <row r="23" spans="1:11" x14ac:dyDescent="0.25">
      <c r="A23" s="25" t="s">
        <v>10</v>
      </c>
      <c r="B23" s="26"/>
      <c r="C23" s="14">
        <f t="shared" ref="C23:J23" si="2">SUM(C6:C22)</f>
        <v>0</v>
      </c>
      <c r="D23" s="14">
        <f>SUM(D6:D22)</f>
        <v>2500</v>
      </c>
      <c r="E23" s="15">
        <f t="shared" si="2"/>
        <v>0</v>
      </c>
      <c r="F23" s="27">
        <f>SUM(F6:F22)</f>
        <v>95000</v>
      </c>
      <c r="G23" s="16">
        <f t="shared" si="2"/>
        <v>97500</v>
      </c>
      <c r="H23" s="16">
        <f>SUM(H6:H22)</f>
        <v>77200</v>
      </c>
      <c r="I23" s="16">
        <f>SUM(I6:I22)</f>
        <v>20300</v>
      </c>
      <c r="J23" s="15">
        <f t="shared" si="2"/>
        <v>0</v>
      </c>
    </row>
    <row r="24" spans="1:11" x14ac:dyDescent="0.25">
      <c r="E24" s="15"/>
      <c r="I24" s="28"/>
      <c r="J24" s="3"/>
    </row>
    <row r="26" spans="1:11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</row>
    <row r="27" spans="1:11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J27" s="3"/>
    </row>
    <row r="28" spans="1:11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</row>
    <row r="29" spans="1:11" x14ac:dyDescent="0.25">
      <c r="A29" s="26" t="s">
        <v>59</v>
      </c>
      <c r="B29" s="38">
        <f>F23</f>
        <v>95000</v>
      </c>
      <c r="C29" s="26"/>
      <c r="D29" s="26"/>
      <c r="E29" s="26"/>
      <c r="F29" s="26" t="s">
        <v>59</v>
      </c>
      <c r="G29" s="38">
        <f>H23</f>
        <v>77200</v>
      </c>
      <c r="H29" s="26"/>
      <c r="I29" s="26"/>
      <c r="J29" s="34"/>
    </row>
    <row r="30" spans="1:11" x14ac:dyDescent="0.25">
      <c r="A30" s="26" t="s">
        <v>17</v>
      </c>
      <c r="B30" s="38">
        <f>'JANUARY 21'!E41</f>
        <v>-10087</v>
      </c>
      <c r="C30" s="26"/>
      <c r="D30" s="26"/>
      <c r="E30" s="26"/>
      <c r="F30" s="26" t="s">
        <v>17</v>
      </c>
      <c r="G30" s="38">
        <f>'JANUARY 21'!I41</f>
        <v>-18587</v>
      </c>
      <c r="H30" s="26"/>
      <c r="I30" s="26"/>
      <c r="J30" s="34"/>
    </row>
    <row r="31" spans="1:11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</row>
    <row r="32" spans="1:11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</row>
    <row r="33" spans="1:16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</row>
    <row r="34" spans="1:16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</row>
    <row r="35" spans="1:16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</row>
    <row r="36" spans="1:16" x14ac:dyDescent="0.25">
      <c r="A36" s="40" t="s">
        <v>60</v>
      </c>
      <c r="C36">
        <v>1000</v>
      </c>
      <c r="E36" s="42"/>
      <c r="F36" s="40" t="s">
        <v>60</v>
      </c>
      <c r="H36">
        <v>1000</v>
      </c>
      <c r="I36" s="26"/>
      <c r="J36" s="3"/>
      <c r="P36" s="44"/>
    </row>
    <row r="37" spans="1:16" x14ac:dyDescent="0.25">
      <c r="A37" s="40" t="s">
        <v>61</v>
      </c>
      <c r="B37" s="39"/>
      <c r="C37" s="26">
        <v>77260</v>
      </c>
      <c r="D37" s="26"/>
      <c r="E37" s="26"/>
      <c r="F37" s="40" t="s">
        <v>61</v>
      </c>
      <c r="G37" s="39"/>
      <c r="H37" s="26">
        <v>77260</v>
      </c>
      <c r="I37" s="26"/>
      <c r="J37" s="34"/>
      <c r="K37" s="28"/>
      <c r="M37" s="44"/>
    </row>
    <row r="38" spans="1:16" x14ac:dyDescent="0.25">
      <c r="A38" s="40" t="s">
        <v>70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</row>
    <row r="39" spans="1:16" x14ac:dyDescent="0.25">
      <c r="A39" s="40" t="s">
        <v>66</v>
      </c>
      <c r="B39" s="26"/>
      <c r="C39" s="42">
        <v>10087</v>
      </c>
      <c r="D39" s="42"/>
      <c r="E39" s="26"/>
      <c r="F39" s="40" t="s">
        <v>66</v>
      </c>
      <c r="G39" s="26"/>
      <c r="H39" s="42">
        <v>10087</v>
      </c>
      <c r="I39" s="26"/>
      <c r="J39" s="3"/>
      <c r="K39" s="28"/>
    </row>
    <row r="40" spans="1:16" x14ac:dyDescent="0.25">
      <c r="A40" s="40" t="s">
        <v>71</v>
      </c>
      <c r="B40" s="26"/>
      <c r="C40" s="42">
        <v>6500</v>
      </c>
      <c r="D40" s="42"/>
      <c r="E40" s="26"/>
      <c r="F40" s="40"/>
      <c r="G40" s="26"/>
      <c r="H40" s="42"/>
      <c r="I40" s="26"/>
      <c r="J40" s="3"/>
      <c r="K40" s="44"/>
    </row>
    <row r="41" spans="1:16" x14ac:dyDescent="0.25">
      <c r="A41" s="37" t="s">
        <v>10</v>
      </c>
      <c r="B41" s="45">
        <f>B32+B29+B30+B31</f>
        <v>84913</v>
      </c>
      <c r="C41" s="45">
        <f>SUM(C33:C40)</f>
        <v>107997</v>
      </c>
      <c r="D41" s="45"/>
      <c r="E41" s="45">
        <f>B41-C41</f>
        <v>-23084</v>
      </c>
      <c r="F41" s="37" t="s">
        <v>10</v>
      </c>
      <c r="G41" s="45">
        <f>G29+G30+G32-H33</f>
        <v>51963</v>
      </c>
      <c r="H41" s="45">
        <f>SUM(H35:H40)</f>
        <v>88347</v>
      </c>
      <c r="I41" s="45">
        <f>G41-H41</f>
        <v>-36384</v>
      </c>
      <c r="J41" s="43"/>
    </row>
    <row r="42" spans="1:16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</row>
    <row r="43" spans="1:16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G1" workbookViewId="0">
      <selection activeCell="I12" sqref="I12"/>
    </sheetView>
  </sheetViews>
  <sheetFormatPr defaultRowHeight="15" x14ac:dyDescent="0.25"/>
  <cols>
    <col min="1" max="1" width="19.5703125" customWidth="1"/>
    <col min="14" max="14" width="14.140625" bestFit="1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72</v>
      </c>
      <c r="C4" s="1"/>
      <c r="D4" s="1"/>
      <c r="E4" s="1"/>
      <c r="F4" s="1"/>
      <c r="G4" s="6"/>
      <c r="H4" s="7"/>
      <c r="I4" s="3"/>
      <c r="J4" s="3"/>
      <c r="N4" s="5"/>
      <c r="O4" s="1" t="s">
        <v>72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'FEBRUARY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'FEBRUARY 21'!V6:V22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'FEBRUARY 21'!I7:I23</f>
        <v>0</v>
      </c>
      <c r="E7" s="15"/>
      <c r="F7" s="16">
        <v>6500</v>
      </c>
      <c r="G7" s="16">
        <f t="shared" ref="G7:G20" si="0">C7+E7+F7+D7</f>
        <v>6500</v>
      </c>
      <c r="H7" s="16">
        <f>6500</f>
        <v>6500</v>
      </c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'FEBRUARY 21'!V7:V23</f>
        <v>0</v>
      </c>
      <c r="R7" s="15"/>
      <c r="S7" s="16">
        <v>6000</v>
      </c>
      <c r="T7" s="16">
        <f t="shared" ref="T7:T13" si="2">P7+R7+S7+Q7</f>
        <v>6000</v>
      </c>
      <c r="U7" s="16">
        <v>6000</v>
      </c>
      <c r="V7" s="17">
        <f>T7-U7</f>
        <v>0</v>
      </c>
      <c r="W7" s="15"/>
    </row>
    <row r="8" spans="1:23" x14ac:dyDescent="0.25">
      <c r="A8" s="49" t="s">
        <v>57</v>
      </c>
      <c r="B8" s="13">
        <v>3</v>
      </c>
      <c r="C8" s="14"/>
      <c r="D8" s="14"/>
      <c r="E8" s="15"/>
      <c r="F8" s="16"/>
      <c r="G8" s="16">
        <f t="shared" si="0"/>
        <v>0</v>
      </c>
      <c r="H8" s="16"/>
      <c r="I8" s="17"/>
      <c r="J8" s="15"/>
      <c r="N8" s="49" t="s">
        <v>78</v>
      </c>
      <c r="O8" s="13">
        <v>3</v>
      </c>
      <c r="P8" s="14"/>
      <c r="Q8" s="14">
        <f>'FEBRUARY 21'!V8:V24</f>
        <v>0</v>
      </c>
      <c r="R8" s="15"/>
      <c r="S8" s="16">
        <v>5000</v>
      </c>
      <c r="T8" s="16">
        <f t="shared" si="2"/>
        <v>5000</v>
      </c>
      <c r="U8" s="16">
        <v>5000</v>
      </c>
      <c r="V8" s="17">
        <f>T8-U8</f>
        <v>0</v>
      </c>
      <c r="W8" s="15"/>
    </row>
    <row r="9" spans="1:23" x14ac:dyDescent="0.25">
      <c r="A9" s="19" t="s">
        <v>47</v>
      </c>
      <c r="B9" s="13">
        <v>4</v>
      </c>
      <c r="C9" s="14"/>
      <c r="D9" s="14">
        <f>'FEBRUARY 21'!I9:I25</f>
        <v>500</v>
      </c>
      <c r="E9" s="15"/>
      <c r="F9" s="16">
        <v>6500</v>
      </c>
      <c r="G9" s="16">
        <f t="shared" si="0"/>
        <v>7000</v>
      </c>
      <c r="H9" s="16">
        <v>6500</v>
      </c>
      <c r="I9" s="17">
        <f>G9-H9</f>
        <v>500</v>
      </c>
      <c r="J9" s="15"/>
      <c r="N9" s="19" t="s">
        <v>81</v>
      </c>
      <c r="O9" s="13">
        <v>4</v>
      </c>
      <c r="P9" s="14"/>
      <c r="Q9" s="14">
        <f>'FEBRUARY 21'!V9:V25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19" t="s">
        <v>67</v>
      </c>
      <c r="B10" s="13">
        <v>5</v>
      </c>
      <c r="C10" s="14"/>
      <c r="D10" s="14">
        <f>'FEBRUARY 21'!I10:I26</f>
        <v>0</v>
      </c>
      <c r="E10" s="15"/>
      <c r="F10" s="16">
        <v>6500</v>
      </c>
      <c r="G10" s="16">
        <f t="shared" si="0"/>
        <v>6500</v>
      </c>
      <c r="H10" s="16">
        <f>6500</f>
        <v>6500</v>
      </c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'FEBRUARY 21'!V10:V26</f>
        <v>0</v>
      </c>
      <c r="R10" s="15"/>
      <c r="S10" s="16">
        <v>5000</v>
      </c>
      <c r="T10" s="16">
        <f t="shared" si="2"/>
        <v>5000</v>
      </c>
      <c r="U10" s="16">
        <v>5000</v>
      </c>
      <c r="V10" s="17">
        <f>T10-U10</f>
        <v>0</v>
      </c>
      <c r="W10" s="15"/>
    </row>
    <row r="11" spans="1:23" x14ac:dyDescent="0.25">
      <c r="A11" s="20" t="s">
        <v>48</v>
      </c>
      <c r="B11" s="13">
        <v>6</v>
      </c>
      <c r="C11" s="14"/>
      <c r="D11" s="14">
        <f>'FEBRUARY 21'!I11:I27</f>
        <v>0</v>
      </c>
      <c r="E11" s="15"/>
      <c r="F11" s="16">
        <v>6500</v>
      </c>
      <c r="G11" s="16">
        <f t="shared" si="0"/>
        <v>6500</v>
      </c>
      <c r="H11" s="16"/>
      <c r="I11" s="17">
        <f t="shared" si="1"/>
        <v>6500</v>
      </c>
      <c r="J11" s="15"/>
      <c r="K11" t="s">
        <v>85</v>
      </c>
      <c r="N11" s="20" t="s">
        <v>80</v>
      </c>
      <c r="O11" s="13">
        <v>6</v>
      </c>
      <c r="P11" s="14"/>
      <c r="Q11" s="14">
        <f>'FEBRUARY 21'!V11:V27</f>
        <v>0</v>
      </c>
      <c r="R11" s="15"/>
      <c r="S11" s="16">
        <v>5000</v>
      </c>
      <c r="T11" s="16">
        <f t="shared" si="2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19" t="s">
        <v>56</v>
      </c>
      <c r="B12" s="13">
        <v>7</v>
      </c>
      <c r="C12" s="14"/>
      <c r="D12" s="14">
        <f>'FEBRUARY 21'!I12:I28</f>
        <v>0</v>
      </c>
      <c r="E12" s="15"/>
      <c r="F12" s="16">
        <v>5500</v>
      </c>
      <c r="G12" s="16">
        <f t="shared" si="0"/>
        <v>5500</v>
      </c>
      <c r="H12" s="16">
        <f>3600</f>
        <v>3600</v>
      </c>
      <c r="I12" s="17">
        <f t="shared" si="1"/>
        <v>1900</v>
      </c>
      <c r="J12" s="15"/>
      <c r="N12" s="19" t="s">
        <v>79</v>
      </c>
      <c r="O12" s="13">
        <v>7</v>
      </c>
      <c r="P12" s="14"/>
      <c r="Q12" s="14">
        <f>'FEBRUARY 21'!V12:V28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57</v>
      </c>
      <c r="B13" s="13">
        <v>8</v>
      </c>
      <c r="C13" s="14"/>
      <c r="D13" s="14">
        <f>'FEBRUARY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  <c r="N13" s="51"/>
      <c r="O13" s="13">
        <v>8</v>
      </c>
      <c r="P13" s="14"/>
      <c r="Q13" s="14">
        <f>'FEBRUARY 21'!V13:V29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'FEBRUARY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1"/>
        <v>0</v>
      </c>
      <c r="J14" s="15"/>
      <c r="N14" s="21"/>
      <c r="O14" s="13">
        <v>9</v>
      </c>
      <c r="P14" s="14"/>
      <c r="Q14" s="14">
        <f>'FEBRUARY 21'!V14:V30</f>
        <v>0</v>
      </c>
      <c r="R14" s="15"/>
      <c r="S14" s="16">
        <v>5000</v>
      </c>
      <c r="T14" s="16">
        <f t="shared" ref="T14:T20" si="4">P14+R14+S14+Q14</f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'FEBRUARY 21'!I15:I31</f>
        <v>500</v>
      </c>
      <c r="E15" s="15"/>
      <c r="F15" s="16">
        <v>6500</v>
      </c>
      <c r="G15" s="16">
        <f t="shared" si="0"/>
        <v>7000</v>
      </c>
      <c r="H15" s="16">
        <f>6000</f>
        <v>6000</v>
      </c>
      <c r="I15" s="17">
        <f t="shared" si="1"/>
        <v>1000</v>
      </c>
      <c r="J15" s="15"/>
      <c r="N15" s="21" t="s">
        <v>77</v>
      </c>
      <c r="O15" s="13">
        <v>10</v>
      </c>
      <c r="P15" s="14"/>
      <c r="Q15" s="14">
        <f>'FEBRUARY 21'!V15:V31</f>
        <v>0</v>
      </c>
      <c r="R15" s="15"/>
      <c r="S15" s="16">
        <v>5000</v>
      </c>
      <c r="T15" s="16">
        <f t="shared" si="4"/>
        <v>5000</v>
      </c>
      <c r="U15" s="16">
        <v>5000</v>
      </c>
      <c r="V15" s="17">
        <f t="shared" si="3"/>
        <v>0</v>
      </c>
      <c r="W15" s="15"/>
    </row>
    <row r="16" spans="1:23" x14ac:dyDescent="0.25">
      <c r="A16" s="21" t="s">
        <v>64</v>
      </c>
      <c r="B16" s="13">
        <v>11</v>
      </c>
      <c r="C16" s="14"/>
      <c r="D16" s="14">
        <f>'FEBRUARY 21'!I16:I32</f>
        <v>2300</v>
      </c>
      <c r="E16" s="15"/>
      <c r="F16" s="16">
        <v>6500</v>
      </c>
      <c r="G16" s="16">
        <f>C16+E16+F16+D16</f>
        <v>8800</v>
      </c>
      <c r="H16" s="16">
        <f>3250+2200</f>
        <v>5450</v>
      </c>
      <c r="I16" s="17">
        <f>G16-H16</f>
        <v>3350</v>
      </c>
      <c r="J16" s="15"/>
      <c r="N16" s="21" t="s">
        <v>76</v>
      </c>
      <c r="O16" s="13">
        <v>11</v>
      </c>
      <c r="P16" s="14"/>
      <c r="Q16" s="14">
        <f>'FEBRUARY 21'!V16:V32</f>
        <v>0</v>
      </c>
      <c r="R16" s="15"/>
      <c r="S16" s="16">
        <v>5000</v>
      </c>
      <c r="T16" s="16">
        <f t="shared" si="4"/>
        <v>5000</v>
      </c>
      <c r="U16" s="16">
        <v>5000</v>
      </c>
      <c r="V16" s="17">
        <f t="shared" si="3"/>
        <v>0</v>
      </c>
      <c r="W16" s="15"/>
    </row>
    <row r="17" spans="1:23" x14ac:dyDescent="0.25">
      <c r="A17" s="21" t="s">
        <v>82</v>
      </c>
      <c r="B17" s="13">
        <v>12</v>
      </c>
      <c r="C17" s="14"/>
      <c r="D17" s="14"/>
      <c r="E17" s="15"/>
      <c r="F17" s="16">
        <v>6500</v>
      </c>
      <c r="G17" s="16">
        <f>C17+E17+F17+D17</f>
        <v>6500</v>
      </c>
      <c r="H17" s="16">
        <f>6500</f>
        <v>6500</v>
      </c>
      <c r="I17" s="17">
        <f>G17-H17</f>
        <v>0</v>
      </c>
      <c r="J17" s="15"/>
      <c r="N17" s="21"/>
      <c r="O17" s="13">
        <v>12</v>
      </c>
      <c r="P17" s="14"/>
      <c r="Q17" s="14">
        <f>'FEBRUARY 21'!V17:V33</f>
        <v>0</v>
      </c>
      <c r="R17" s="15"/>
      <c r="S17" s="16"/>
      <c r="T17" s="16">
        <f t="shared" si="4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'FEBRUARY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'FEBRUARY 21'!V18:V34</f>
        <v>0</v>
      </c>
      <c r="R18" s="15"/>
      <c r="S18" s="16"/>
      <c r="T18" s="16">
        <f t="shared" si="4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'FEBRUARY 21'!I19:I35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N19" s="25"/>
      <c r="O19" s="13"/>
      <c r="P19" s="14"/>
      <c r="Q19" s="14">
        <f>'FEBRUARY 21'!V19:V35</f>
        <v>0</v>
      </c>
      <c r="R19" s="15"/>
      <c r="S19" s="16"/>
      <c r="T19" s="16">
        <f t="shared" si="4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'FEBRUARY 21'!I20:I36</f>
        <v>4000</v>
      </c>
      <c r="E20" s="15"/>
      <c r="F20" s="16">
        <v>7000</v>
      </c>
      <c r="G20" s="16">
        <f t="shared" si="0"/>
        <v>11000</v>
      </c>
      <c r="H20" s="16">
        <f>2650+2500+2500</f>
        <v>7650</v>
      </c>
      <c r="I20" s="17">
        <f>G20-H20</f>
        <v>3350</v>
      </c>
      <c r="J20" s="15"/>
      <c r="N20" s="22" t="s">
        <v>10</v>
      </c>
      <c r="O20" s="13"/>
      <c r="P20" s="14"/>
      <c r="Q20" s="14">
        <f>'FEBRUARY 21'!V20:V36</f>
        <v>0</v>
      </c>
      <c r="R20" s="15"/>
      <c r="S20" s="16">
        <f>SUM(S6:S19)</f>
        <v>46000</v>
      </c>
      <c r="T20" s="16">
        <f t="shared" si="4"/>
        <v>46000</v>
      </c>
      <c r="U20" s="16">
        <f>SUM(U6:U18)</f>
        <v>46000</v>
      </c>
      <c r="V20" s="17">
        <f>SUM(V6:V18)</f>
        <v>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'FEBRUARY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'FEBRUARY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5">SUM(C6:C22)</f>
        <v>0</v>
      </c>
      <c r="D23" s="14">
        <f t="shared" si="5"/>
        <v>7300</v>
      </c>
      <c r="E23" s="15">
        <f t="shared" si="5"/>
        <v>0</v>
      </c>
      <c r="F23" s="27">
        <f t="shared" si="5"/>
        <v>95000</v>
      </c>
      <c r="G23" s="16">
        <f t="shared" si="5"/>
        <v>102300</v>
      </c>
      <c r="H23" s="16">
        <f t="shared" si="5"/>
        <v>85700</v>
      </c>
      <c r="I23" s="16">
        <f t="shared" si="5"/>
        <v>16600</v>
      </c>
      <c r="J23" s="15">
        <f t="shared" si="5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>
        <f>I20+I17+I15+I12+I10+I9</f>
        <v>6750</v>
      </c>
      <c r="N25" s="26" t="s">
        <v>73</v>
      </c>
      <c r="O25" s="38">
        <f>S20</f>
        <v>46000</v>
      </c>
      <c r="P25" s="26"/>
      <c r="Q25" s="26"/>
      <c r="R25" s="26"/>
      <c r="S25" s="26" t="s">
        <v>73</v>
      </c>
      <c r="T25" s="38">
        <f>U20</f>
        <v>46000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>
        <f>I25+6000</f>
        <v>12750</v>
      </c>
      <c r="J26" s="3"/>
      <c r="N26" s="26" t="s">
        <v>17</v>
      </c>
      <c r="O26" s="38">
        <f>'FEBRUARY 21'!R41</f>
        <v>0</v>
      </c>
      <c r="P26" s="26"/>
      <c r="Q26" s="26"/>
      <c r="R26" s="26"/>
      <c r="S26" s="26" t="s">
        <v>17</v>
      </c>
      <c r="T26" s="38">
        <f>'FEBRUARY 21'!V41</f>
        <v>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73</v>
      </c>
      <c r="B29" s="38">
        <f>F23</f>
        <v>95000</v>
      </c>
      <c r="C29" s="26"/>
      <c r="D29" s="26"/>
      <c r="E29" s="26"/>
      <c r="F29" s="26" t="s">
        <v>73</v>
      </c>
      <c r="G29" s="38">
        <f>H23</f>
        <v>85700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3220.0000000000005</v>
      </c>
      <c r="Q29" s="38"/>
      <c r="R29" s="26"/>
      <c r="S29" s="26" t="s">
        <v>19</v>
      </c>
      <c r="T29" s="39">
        <v>7.0000000000000007E-2</v>
      </c>
      <c r="U29" s="38">
        <f>T29*O25</f>
        <v>3220.0000000000005</v>
      </c>
      <c r="V29" s="26"/>
      <c r="W29" s="34"/>
    </row>
    <row r="30" spans="1:23" x14ac:dyDescent="0.25">
      <c r="A30" s="26" t="s">
        <v>17</v>
      </c>
      <c r="B30" s="38">
        <f>'FEBRUARY 21'!E41</f>
        <v>-23084</v>
      </c>
      <c r="C30" s="26"/>
      <c r="D30" s="26"/>
      <c r="E30" s="26"/>
      <c r="F30" s="26" t="s">
        <v>17</v>
      </c>
      <c r="G30" s="38">
        <f>'FEBRUARY 21'!I41</f>
        <v>-36384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  <c r="L32" s="44"/>
      <c r="N32" s="40" t="s">
        <v>84</v>
      </c>
      <c r="P32">
        <v>42780</v>
      </c>
      <c r="R32" s="42"/>
      <c r="S32" s="40" t="s">
        <v>84</v>
      </c>
      <c r="U32">
        <v>42780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6650.0000000000009</v>
      </c>
      <c r="D33" s="38"/>
      <c r="E33" s="26"/>
      <c r="F33" s="26" t="s">
        <v>19</v>
      </c>
      <c r="G33" s="39">
        <v>7.0000000000000007E-2</v>
      </c>
      <c r="H33" s="38">
        <f>G33*B29</f>
        <v>6650.0000000000009</v>
      </c>
      <c r="I33" s="26"/>
      <c r="J33" s="3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84</v>
      </c>
      <c r="C36">
        <v>71760</v>
      </c>
      <c r="E36" s="42"/>
      <c r="F36" s="40" t="s">
        <v>84</v>
      </c>
      <c r="H36">
        <v>71760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93</v>
      </c>
      <c r="B37" s="39"/>
      <c r="C37" s="42">
        <v>6500</v>
      </c>
      <c r="D37" s="26"/>
      <c r="E37" s="26"/>
      <c r="F37" s="40"/>
      <c r="G37" s="39"/>
      <c r="H37" s="26"/>
      <c r="I37" s="26"/>
      <c r="J37" s="34"/>
      <c r="K37" s="28"/>
      <c r="M37" s="44"/>
      <c r="N37" s="37" t="s">
        <v>10</v>
      </c>
      <c r="O37" s="45">
        <f>O28+O25+O26+O27</f>
        <v>46000</v>
      </c>
      <c r="P37" s="45">
        <f>SUM(P29:P36)</f>
        <v>46000</v>
      </c>
      <c r="Q37" s="45"/>
      <c r="R37" s="45">
        <f>O37-P37</f>
        <v>0</v>
      </c>
      <c r="S37" s="37" t="s">
        <v>10</v>
      </c>
      <c r="T37" s="45">
        <f>T25+T26+T28-U29</f>
        <v>42780</v>
      </c>
      <c r="U37" s="45">
        <f>SUM(U31:U36)</f>
        <v>42780</v>
      </c>
      <c r="V37" s="45">
        <f>T37-U37</f>
        <v>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71916</v>
      </c>
      <c r="C41" s="45">
        <f>SUM(C33:C40)</f>
        <v>84910</v>
      </c>
      <c r="D41" s="45"/>
      <c r="E41" s="45">
        <f>B41-C41</f>
        <v>-12994</v>
      </c>
      <c r="F41" s="37" t="s">
        <v>10</v>
      </c>
      <c r="G41" s="45">
        <f>G29+G30+G32-H33</f>
        <v>42666</v>
      </c>
      <c r="H41" s="45">
        <f>SUM(H35:H40)</f>
        <v>71760</v>
      </c>
      <c r="I41" s="45">
        <f>G41-H41</f>
        <v>-29094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W42" s="43"/>
    </row>
    <row r="43" spans="1:24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  <row r="47" spans="1:24" x14ac:dyDescent="0.25">
      <c r="J47">
        <f>C36+P32</f>
        <v>114540</v>
      </c>
    </row>
  </sheetData>
  <pageMargins left="0" right="0" top="0" bottom="0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6"/>
  <sheetViews>
    <sheetView topLeftCell="F1" workbookViewId="0">
      <selection activeCell="H12" sqref="H12"/>
    </sheetView>
  </sheetViews>
  <sheetFormatPr defaultRowHeight="15" x14ac:dyDescent="0.25"/>
  <cols>
    <col min="1" max="1" width="18.5703125" customWidth="1"/>
    <col min="14" max="15" width="16.42578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88</v>
      </c>
      <c r="C4" s="1"/>
      <c r="D4" s="1"/>
      <c r="E4" s="1"/>
      <c r="F4" s="1"/>
      <c r="G4" s="6"/>
      <c r="H4" s="7"/>
      <c r="I4" s="3"/>
      <c r="J4" s="3"/>
      <c r="N4" s="5"/>
      <c r="O4" s="1" t="s">
        <v>89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'MARCH 21'!I6:I22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'FEBRUARY 21'!V6:V22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'MARCH 21'!I7:I23</f>
        <v>0</v>
      </c>
      <c r="E7" s="15"/>
      <c r="F7" s="16">
        <v>6500</v>
      </c>
      <c r="G7" s="16">
        <f t="shared" ref="G7:G20" si="0">C7+E7+F7+D7</f>
        <v>6500</v>
      </c>
      <c r="H7" s="16">
        <f>6500</f>
        <v>6500</v>
      </c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'FEBRUARY 21'!V7:V23</f>
        <v>0</v>
      </c>
      <c r="R7" s="15"/>
      <c r="S7" s="16">
        <v>5000</v>
      </c>
      <c r="T7" s="16">
        <f t="shared" ref="T7:T13" si="2">P7+R7+S7+Q7</f>
        <v>5000</v>
      </c>
      <c r="U7" s="16">
        <v>5000</v>
      </c>
      <c r="V7" s="17">
        <f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'MARCH 21'!I16</f>
        <v>3350</v>
      </c>
      <c r="E8" s="15"/>
      <c r="F8" s="16">
        <v>6500</v>
      </c>
      <c r="G8" s="16">
        <f t="shared" si="0"/>
        <v>9850</v>
      </c>
      <c r="H8" s="16">
        <f>6000</f>
        <v>6000</v>
      </c>
      <c r="I8" s="17">
        <f>G8-H8</f>
        <v>3850</v>
      </c>
      <c r="J8" s="15"/>
      <c r="N8" s="26" t="s">
        <v>78</v>
      </c>
      <c r="O8" s="13">
        <v>3</v>
      </c>
      <c r="P8" s="14"/>
      <c r="Q8" s="14">
        <f>'FEBRUARY 21'!V8:V24</f>
        <v>0</v>
      </c>
      <c r="R8" s="15"/>
      <c r="S8" s="16">
        <v>5000</v>
      </c>
      <c r="T8" s="16">
        <f t="shared" si="2"/>
        <v>5000</v>
      </c>
      <c r="U8" s="16">
        <v>5000</v>
      </c>
      <c r="V8" s="17">
        <f>T8-U8</f>
        <v>0</v>
      </c>
      <c r="W8" s="15"/>
    </row>
    <row r="9" spans="1:23" x14ac:dyDescent="0.25">
      <c r="A9" s="19" t="s">
        <v>47</v>
      </c>
      <c r="B9" s="13">
        <v>4</v>
      </c>
      <c r="C9" s="14"/>
      <c r="D9" s="14">
        <f>'MARCH 21'!I9:I25</f>
        <v>500</v>
      </c>
      <c r="E9" s="15"/>
      <c r="F9" s="16">
        <v>6500</v>
      </c>
      <c r="G9" s="16">
        <f t="shared" si="0"/>
        <v>7000</v>
      </c>
      <c r="H9" s="16">
        <f>5000</f>
        <v>5000</v>
      </c>
      <c r="I9" s="17">
        <f>G9-H9</f>
        <v>2000</v>
      </c>
      <c r="J9" s="15"/>
      <c r="N9" s="19" t="s">
        <v>90</v>
      </c>
      <c r="O9" s="13">
        <v>4</v>
      </c>
      <c r="P9" s="14"/>
      <c r="Q9" s="14">
        <f>'FEBRUARY 21'!V9:V25</f>
        <v>0</v>
      </c>
      <c r="R9" s="15"/>
      <c r="S9" s="16">
        <v>5000</v>
      </c>
      <c r="T9" s="16">
        <f t="shared" si="2"/>
        <v>5000</v>
      </c>
      <c r="U9" s="16">
        <f>5000</f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'MARCH 21'!I10:I26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'FEBRUARY 21'!V10:V26</f>
        <v>0</v>
      </c>
      <c r="R10" s="15"/>
      <c r="S10" s="16">
        <v>5000</v>
      </c>
      <c r="T10" s="16">
        <f t="shared" si="2"/>
        <v>5000</v>
      </c>
      <c r="U10" s="16">
        <v>5000</v>
      </c>
      <c r="V10" s="17">
        <f>T10-U10</f>
        <v>0</v>
      </c>
      <c r="W10" s="15"/>
    </row>
    <row r="11" spans="1:23" x14ac:dyDescent="0.25">
      <c r="A11" s="20" t="s">
        <v>57</v>
      </c>
      <c r="B11" s="13">
        <v>6</v>
      </c>
      <c r="C11" s="14"/>
      <c r="D11" s="14"/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'FEBRUARY 21'!V11:V27</f>
        <v>0</v>
      </c>
      <c r="R11" s="15"/>
      <c r="S11" s="16">
        <v>5000</v>
      </c>
      <c r="T11" s="16">
        <f t="shared" si="2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19" t="s">
        <v>56</v>
      </c>
      <c r="B12" s="13">
        <v>7</v>
      </c>
      <c r="C12" s="14"/>
      <c r="D12" s="14">
        <f>'MARCH 21'!I12:I28</f>
        <v>1900</v>
      </c>
      <c r="E12" s="15"/>
      <c r="F12" s="16">
        <v>5500</v>
      </c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'FEBRUARY 21'!V12:V28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57</v>
      </c>
      <c r="B13" s="13">
        <v>8</v>
      </c>
      <c r="C13" s="14"/>
      <c r="D13" s="14">
        <f>'MARCH 21'!I13:I29</f>
        <v>0</v>
      </c>
      <c r="E13" s="15"/>
      <c r="F13" s="16"/>
      <c r="G13" s="16">
        <f t="shared" si="0"/>
        <v>0</v>
      </c>
      <c r="H13" s="16"/>
      <c r="I13" s="17">
        <f t="shared" si="1"/>
        <v>0</v>
      </c>
      <c r="J13" s="15"/>
      <c r="N13" s="51"/>
      <c r="O13" s="13">
        <v>8</v>
      </c>
      <c r="P13" s="14"/>
      <c r="Q13" s="14">
        <f>'FEBRUARY 21'!V13:V29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'MARCH 21'!I14:I30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1"/>
        <v>0</v>
      </c>
      <c r="J14" s="15"/>
      <c r="N14" s="21" t="s">
        <v>81</v>
      </c>
      <c r="O14" s="13">
        <v>9</v>
      </c>
      <c r="P14" s="14"/>
      <c r="Q14" s="14">
        <f>'FEBRUARY 21'!V14:V30</f>
        <v>0</v>
      </c>
      <c r="R14" s="15"/>
      <c r="S14" s="16">
        <v>5000</v>
      </c>
      <c r="T14" s="16">
        <f t="shared" ref="T14:T20" si="4">P14+R14+S14+Q14</f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'MARCH 21'!I15:I31</f>
        <v>1000</v>
      </c>
      <c r="E15" s="15"/>
      <c r="F15" s="16">
        <v>6000</v>
      </c>
      <c r="G15" s="16">
        <f t="shared" si="0"/>
        <v>7000</v>
      </c>
      <c r="H15" s="16">
        <f>6000+1000</f>
        <v>7000</v>
      </c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'FEBRUARY 21'!V15:V31</f>
        <v>0</v>
      </c>
      <c r="R15" s="15"/>
      <c r="S15" s="16">
        <v>5000</v>
      </c>
      <c r="T15" s="16">
        <f t="shared" si="4"/>
        <v>5000</v>
      </c>
      <c r="U15" s="16"/>
      <c r="V15" s="17">
        <f t="shared" si="3"/>
        <v>5000</v>
      </c>
      <c r="W15" s="15"/>
    </row>
    <row r="16" spans="1:23" x14ac:dyDescent="0.25">
      <c r="A16" s="21" t="s">
        <v>67</v>
      </c>
      <c r="B16" s="13">
        <v>11</v>
      </c>
      <c r="C16" s="14"/>
      <c r="D16" s="14"/>
      <c r="E16" s="15"/>
      <c r="F16" s="16">
        <v>6500</v>
      </c>
      <c r="G16" s="16">
        <f>C16+E16+F16+D16</f>
        <v>6500</v>
      </c>
      <c r="H16" s="16"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'FEBRUARY 21'!V16:V32</f>
        <v>0</v>
      </c>
      <c r="R16" s="15"/>
      <c r="S16" s="16">
        <v>5000</v>
      </c>
      <c r="T16" s="16">
        <f t="shared" si="4"/>
        <v>5000</v>
      </c>
      <c r="U16" s="16">
        <v>5000</v>
      </c>
      <c r="V16" s="17">
        <f t="shared" si="3"/>
        <v>0</v>
      </c>
      <c r="W16" s="15"/>
    </row>
    <row r="17" spans="1:27" x14ac:dyDescent="0.25">
      <c r="A17" s="21" t="s">
        <v>82</v>
      </c>
      <c r="B17" s="13">
        <v>12</v>
      </c>
      <c r="C17" s="14"/>
      <c r="D17" s="14">
        <f>'MARCH 21'!I17:I33</f>
        <v>0</v>
      </c>
      <c r="E17" s="15"/>
      <c r="F17" s="16">
        <v>6500</v>
      </c>
      <c r="G17" s="16">
        <f>C17+E17+F17+D17</f>
        <v>6500</v>
      </c>
      <c r="H17" s="16"/>
      <c r="I17" s="17">
        <f>G17-H17</f>
        <v>6500</v>
      </c>
      <c r="J17" s="15"/>
      <c r="K17" t="s">
        <v>54</v>
      </c>
      <c r="N17" s="21"/>
      <c r="O17" s="13">
        <v>12</v>
      </c>
      <c r="P17" s="14"/>
      <c r="Q17" s="14">
        <f>'FEBRUARY 21'!V17:V33</f>
        <v>0</v>
      </c>
      <c r="R17" s="15"/>
      <c r="S17" s="16"/>
      <c r="T17" s="16">
        <f t="shared" si="4"/>
        <v>0</v>
      </c>
      <c r="U17" s="16"/>
      <c r="V17" s="17"/>
      <c r="W17" s="15"/>
    </row>
    <row r="18" spans="1:27" x14ac:dyDescent="0.25">
      <c r="A18" s="24"/>
      <c r="B18" s="13"/>
      <c r="C18" s="14"/>
      <c r="D18" s="14">
        <f>'MARCH 21'!I18:I34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'FEBRUARY 21'!V18:V34</f>
        <v>0</v>
      </c>
      <c r="R18" s="15"/>
      <c r="S18" s="16"/>
      <c r="T18" s="16">
        <f t="shared" si="4"/>
        <v>0</v>
      </c>
      <c r="U18" s="16"/>
      <c r="V18" s="17">
        <f>T18-U18</f>
        <v>0</v>
      </c>
      <c r="W18" s="15"/>
    </row>
    <row r="19" spans="1:27" x14ac:dyDescent="0.25">
      <c r="A19" s="22" t="s">
        <v>34</v>
      </c>
      <c r="B19" s="13" t="s">
        <v>28</v>
      </c>
      <c r="C19" s="14"/>
      <c r="D19" s="14">
        <f>'MARCH 21'!I19:I35</f>
        <v>0</v>
      </c>
      <c r="E19" s="15"/>
      <c r="F19" s="16">
        <v>6000</v>
      </c>
      <c r="G19" s="16">
        <f t="shared" si="0"/>
        <v>6000</v>
      </c>
      <c r="H19" s="16">
        <f>6000</f>
        <v>6000</v>
      </c>
      <c r="I19" s="17">
        <f t="shared" si="1"/>
        <v>0</v>
      </c>
      <c r="J19" s="15"/>
      <c r="N19" s="25"/>
      <c r="O19" s="13"/>
      <c r="P19" s="14"/>
      <c r="Q19" s="14">
        <f>'FEBRUARY 21'!V19:V35</f>
        <v>0</v>
      </c>
      <c r="R19" s="15"/>
      <c r="S19" s="16"/>
      <c r="T19" s="16">
        <f t="shared" si="4"/>
        <v>0</v>
      </c>
      <c r="U19" s="16"/>
      <c r="V19" s="17">
        <f>T19-U19</f>
        <v>0</v>
      </c>
      <c r="W19" s="15"/>
    </row>
    <row r="20" spans="1:27" x14ac:dyDescent="0.25">
      <c r="A20" s="22" t="s">
        <v>35</v>
      </c>
      <c r="B20" s="13" t="s">
        <v>29</v>
      </c>
      <c r="C20" s="14"/>
      <c r="D20" s="14">
        <f>'MARCH 21'!I20:I36</f>
        <v>3350</v>
      </c>
      <c r="E20" s="15"/>
      <c r="F20" s="16">
        <v>7000</v>
      </c>
      <c r="G20" s="16">
        <f t="shared" si="0"/>
        <v>10350</v>
      </c>
      <c r="H20" s="16">
        <f>2000</f>
        <v>2000</v>
      </c>
      <c r="I20" s="17">
        <f>G20-H20</f>
        <v>8350</v>
      </c>
      <c r="J20" s="15"/>
      <c r="N20" s="22" t="s">
        <v>10</v>
      </c>
      <c r="O20" s="13"/>
      <c r="P20" s="14"/>
      <c r="Q20" s="14">
        <f>'FEBRUARY 21'!V20:V36</f>
        <v>0</v>
      </c>
      <c r="R20" s="15"/>
      <c r="S20" s="16">
        <f>SUM(S6:S19)</f>
        <v>45000</v>
      </c>
      <c r="T20" s="16">
        <f t="shared" si="4"/>
        <v>45000</v>
      </c>
      <c r="U20" s="16">
        <f>SUM(U6:U18)</f>
        <v>40000</v>
      </c>
      <c r="V20" s="17">
        <f>SUM(V6:V18)</f>
        <v>5000</v>
      </c>
      <c r="W20" s="15"/>
    </row>
    <row r="21" spans="1:27" x14ac:dyDescent="0.25">
      <c r="A21" s="22" t="s">
        <v>36</v>
      </c>
      <c r="B21" s="13" t="s">
        <v>30</v>
      </c>
      <c r="C21" s="14"/>
      <c r="D21" s="14">
        <f>'MARCH 21'!I21:I37</f>
        <v>0</v>
      </c>
      <c r="E21" s="15"/>
      <c r="F21" s="16">
        <v>7000</v>
      </c>
      <c r="G21" s="16">
        <f>C21+E21+F21+D21</f>
        <v>7000</v>
      </c>
      <c r="H21" s="16">
        <v>7000</v>
      </c>
      <c r="I21" s="17">
        <f t="shared" si="1"/>
        <v>0</v>
      </c>
      <c r="J21" s="15"/>
      <c r="W21" s="15"/>
    </row>
    <row r="22" spans="1:27" x14ac:dyDescent="0.25">
      <c r="A22" s="22" t="s">
        <v>37</v>
      </c>
      <c r="B22" s="13" t="s">
        <v>31</v>
      </c>
      <c r="C22" s="14"/>
      <c r="D22" s="14">
        <f>'MARCH 21'!I22:I38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7" x14ac:dyDescent="0.25">
      <c r="A23" s="25" t="s">
        <v>10</v>
      </c>
      <c r="B23" s="26"/>
      <c r="C23" s="14">
        <f t="shared" ref="C23:J23" si="5">SUM(C6:C22)</f>
        <v>0</v>
      </c>
      <c r="D23" s="14">
        <f>SUM(D6:D22)</f>
        <v>10100</v>
      </c>
      <c r="E23" s="15">
        <f t="shared" si="5"/>
        <v>0</v>
      </c>
      <c r="F23" s="27">
        <f t="shared" si="5"/>
        <v>88000</v>
      </c>
      <c r="G23" s="16">
        <f t="shared" si="5"/>
        <v>98100</v>
      </c>
      <c r="H23" s="16">
        <f t="shared" si="5"/>
        <v>70000</v>
      </c>
      <c r="I23" s="16">
        <f t="shared" si="5"/>
        <v>28100</v>
      </c>
      <c r="J23" s="15">
        <f t="shared" si="5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7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7" x14ac:dyDescent="0.25">
      <c r="I25" s="28"/>
      <c r="N25" s="26" t="s">
        <v>87</v>
      </c>
      <c r="O25" s="38">
        <f>S20</f>
        <v>45000</v>
      </c>
      <c r="P25" s="26"/>
      <c r="Q25" s="26"/>
      <c r="R25" s="26"/>
      <c r="S25" s="26" t="s">
        <v>87</v>
      </c>
      <c r="T25" s="38">
        <f>U20</f>
        <v>40000</v>
      </c>
      <c r="U25" s="26"/>
      <c r="V25" s="26"/>
    </row>
    <row r="26" spans="1:27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'MARCH 21'!R37</f>
        <v>0</v>
      </c>
      <c r="P26" s="26"/>
      <c r="Q26" s="26"/>
      <c r="R26" s="26"/>
      <c r="S26" s="26" t="s">
        <v>17</v>
      </c>
      <c r="T26" s="38">
        <f>'MARCH 21'!V37</f>
        <v>0</v>
      </c>
      <c r="U26" s="26"/>
      <c r="V26" s="26"/>
      <c r="W26" s="3"/>
    </row>
    <row r="27" spans="1:27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7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7" x14ac:dyDescent="0.25">
      <c r="A29" s="26" t="s">
        <v>87</v>
      </c>
      <c r="B29" s="38">
        <f>F23</f>
        <v>88000</v>
      </c>
      <c r="C29" s="26"/>
      <c r="D29" s="26"/>
      <c r="E29" s="26"/>
      <c r="F29" s="26" t="s">
        <v>87</v>
      </c>
      <c r="G29" s="38">
        <f>H23</f>
        <v>70000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7" x14ac:dyDescent="0.25">
      <c r="A30" s="26" t="s">
        <v>17</v>
      </c>
      <c r="B30" s="38">
        <f>'MARCH 21'!E41</f>
        <v>-12994</v>
      </c>
      <c r="C30" s="26"/>
      <c r="D30" s="26"/>
      <c r="E30" s="26"/>
      <c r="F30" s="26" t="s">
        <v>17</v>
      </c>
      <c r="G30" s="38">
        <f>'MARCH 21'!I41</f>
        <v>-29094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  <c r="AA30">
        <f>8000+1280+600</f>
        <v>9880</v>
      </c>
    </row>
    <row r="31" spans="1:27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 t="s">
        <v>18</v>
      </c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  <c r="AA31">
        <f>AA30+16000+8000+3000</f>
        <v>36880</v>
      </c>
    </row>
    <row r="32" spans="1:27" x14ac:dyDescent="0.25">
      <c r="A32" s="26" t="s">
        <v>3</v>
      </c>
      <c r="B32" s="38">
        <f>C23</f>
        <v>0</v>
      </c>
      <c r="C32" s="26"/>
      <c r="D32" s="26"/>
      <c r="E32" s="26"/>
      <c r="F32" s="26"/>
      <c r="G32" s="38"/>
      <c r="H32" s="26"/>
      <c r="I32" s="26"/>
      <c r="J32" s="3"/>
      <c r="L32" s="44"/>
      <c r="N32" s="40" t="s">
        <v>92</v>
      </c>
      <c r="P32">
        <v>41850</v>
      </c>
      <c r="R32" s="42"/>
      <c r="S32" s="40" t="s">
        <v>92</v>
      </c>
      <c r="U32">
        <f>P32</f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6160.0000000000009</v>
      </c>
      <c r="D33" s="38"/>
      <c r="E33" s="26"/>
      <c r="F33" s="26" t="s">
        <v>19</v>
      </c>
      <c r="G33" s="39">
        <v>7.0000000000000007E-2</v>
      </c>
      <c r="H33" s="38">
        <f>G33*B29</f>
        <v>6160.0000000000009</v>
      </c>
      <c r="I33" s="26"/>
      <c r="J33" s="3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91</v>
      </c>
      <c r="C36">
        <v>1000</v>
      </c>
      <c r="E36" s="42"/>
      <c r="F36" s="40" t="s">
        <v>91</v>
      </c>
      <c r="H36">
        <v>1000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92</v>
      </c>
      <c r="B37" s="39"/>
      <c r="C37" s="42">
        <v>80840</v>
      </c>
      <c r="D37" s="26"/>
      <c r="E37" s="26"/>
      <c r="F37" s="40" t="s">
        <v>92</v>
      </c>
      <c r="G37" s="39"/>
      <c r="H37" s="42">
        <v>80840</v>
      </c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36850</v>
      </c>
      <c r="U37" s="45">
        <f>SUM(U31:U36)</f>
        <v>41850</v>
      </c>
      <c r="V37" s="45">
        <f>T37-U37</f>
        <v>-5000</v>
      </c>
      <c r="W37" s="34"/>
      <c r="X37" s="28"/>
    </row>
    <row r="38" spans="1:24" x14ac:dyDescent="0.25">
      <c r="A38" s="40" t="s">
        <v>94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  <c r="L38" s="44">
        <f>B29-C33</f>
        <v>81840</v>
      </c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 t="s">
        <v>95</v>
      </c>
      <c r="B39" s="26"/>
      <c r="C39" s="42">
        <v>3000</v>
      </c>
      <c r="D39" s="42"/>
      <c r="E39" s="26"/>
      <c r="F39" s="40" t="s">
        <v>95</v>
      </c>
      <c r="G39" s="26"/>
      <c r="H39" s="42">
        <v>3000</v>
      </c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75006</v>
      </c>
      <c r="C41" s="45">
        <f>SUM(C33:C40)</f>
        <v>97500</v>
      </c>
      <c r="D41" s="45"/>
      <c r="E41" s="45">
        <f>B41-C41</f>
        <v>-22494</v>
      </c>
      <c r="F41" s="37" t="s">
        <v>10</v>
      </c>
      <c r="G41" s="45">
        <f>G29+G30+G32-H33</f>
        <v>34746</v>
      </c>
      <c r="H41" s="45">
        <f>SUM(H35:H40)</f>
        <v>84840</v>
      </c>
      <c r="I41" s="45">
        <f>G41-H41</f>
        <v>-50094</v>
      </c>
      <c r="J41" s="43"/>
      <c r="K41" s="44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W42" s="43"/>
    </row>
    <row r="43" spans="1:24" x14ac:dyDescent="0.25">
      <c r="A43" s="46" t="s">
        <v>26</v>
      </c>
      <c r="B43" s="47"/>
      <c r="C43" s="47" t="s">
        <v>27</v>
      </c>
      <c r="D43" s="47"/>
      <c r="E43" s="48"/>
      <c r="F43" s="46"/>
      <c r="G43" s="46" t="s">
        <v>44</v>
      </c>
      <c r="H43" s="3"/>
    </row>
    <row r="46" spans="1:24" x14ac:dyDescent="0.25">
      <c r="M46" s="44">
        <f>L38+R37</f>
        <v>81840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G1" workbookViewId="0">
      <selection activeCell="F12" sqref="F12"/>
    </sheetView>
  </sheetViews>
  <sheetFormatPr defaultRowHeight="15" x14ac:dyDescent="0.25"/>
  <cols>
    <col min="1" max="1" width="22.42578125" customWidth="1"/>
    <col min="14" max="14" width="14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96</v>
      </c>
      <c r="C4" s="1"/>
      <c r="D4" s="1"/>
      <c r="E4" s="1"/>
      <c r="F4" s="1"/>
      <c r="G4" s="6"/>
      <c r="H4" s="7"/>
      <c r="I4" s="3"/>
      <c r="J4" s="3"/>
      <c r="N4" s="5"/>
      <c r="O4" s="1" t="s">
        <v>98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'APRIL 21'!I6:I23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'APRIL 21'!V6:V20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t="s">
        <v>68</v>
      </c>
      <c r="B7" s="13">
        <v>2</v>
      </c>
      <c r="C7" s="14"/>
      <c r="D7" s="14">
        <f>'APRIL 21'!I7:I24</f>
        <v>0</v>
      </c>
      <c r="E7" s="15"/>
      <c r="F7" s="16">
        <v>6500</v>
      </c>
      <c r="G7" s="16">
        <f t="shared" ref="G7:G20" si="0">C7+E7+F7+D7</f>
        <v>6500</v>
      </c>
      <c r="H7" s="16"/>
      <c r="I7" s="17"/>
      <c r="J7" s="15"/>
      <c r="K7" t="s">
        <v>106</v>
      </c>
      <c r="N7" t="s">
        <v>74</v>
      </c>
      <c r="O7" s="13">
        <v>2</v>
      </c>
      <c r="P7" s="14"/>
      <c r="Q7" s="14">
        <f>'APRIL 21'!V7:V21</f>
        <v>0</v>
      </c>
      <c r="R7" s="15"/>
      <c r="S7" s="16">
        <v>5000</v>
      </c>
      <c r="T7" s="16">
        <f t="shared" ref="T7:T20" si="1">P7+R7+S7+Q7</f>
        <v>5000</v>
      </c>
      <c r="U7" s="16">
        <f>5000</f>
        <v>5000</v>
      </c>
      <c r="V7" s="17">
        <f>T7-U7</f>
        <v>0</v>
      </c>
      <c r="W7" s="15"/>
    </row>
    <row r="8" spans="1:23" x14ac:dyDescent="0.25">
      <c r="A8" s="26" t="s">
        <v>86</v>
      </c>
      <c r="B8" s="13">
        <v>3</v>
      </c>
      <c r="C8" s="14"/>
      <c r="D8" s="14">
        <f>'APRIL 21'!I8:I25</f>
        <v>3850</v>
      </c>
      <c r="E8" s="15"/>
      <c r="F8" s="16">
        <v>6500</v>
      </c>
      <c r="G8" s="16">
        <f t="shared" si="0"/>
        <v>10350</v>
      </c>
      <c r="H8" s="16">
        <f>6500</f>
        <v>6500</v>
      </c>
      <c r="I8" s="17">
        <f>G8-H8</f>
        <v>3850</v>
      </c>
      <c r="J8" s="15"/>
      <c r="N8" s="26" t="s">
        <v>78</v>
      </c>
      <c r="O8" s="13">
        <v>3</v>
      </c>
      <c r="P8" s="14"/>
      <c r="Q8" s="14">
        <f>'APRIL 21'!V8:V22</f>
        <v>0</v>
      </c>
      <c r="R8" s="15"/>
      <c r="S8" s="16">
        <v>5000</v>
      </c>
      <c r="T8" s="16">
        <f t="shared" si="1"/>
        <v>5000</v>
      </c>
      <c r="U8" s="16"/>
      <c r="V8" s="17">
        <f>T8-U8</f>
        <v>5000</v>
      </c>
      <c r="W8" s="15"/>
    </row>
    <row r="9" spans="1:23" x14ac:dyDescent="0.25">
      <c r="A9" s="19" t="s">
        <v>47</v>
      </c>
      <c r="B9" s="13">
        <v>4</v>
      </c>
      <c r="C9" s="14"/>
      <c r="D9" s="14">
        <f>'APRIL 21'!I9:I26</f>
        <v>2000</v>
      </c>
      <c r="E9" s="15"/>
      <c r="F9" s="16">
        <v>6500</v>
      </c>
      <c r="G9" s="16">
        <f t="shared" si="0"/>
        <v>8500</v>
      </c>
      <c r="H9" s="16">
        <f>6500</f>
        <v>6500</v>
      </c>
      <c r="I9" s="17">
        <f>G9-H9</f>
        <v>2000</v>
      </c>
      <c r="J9" s="15"/>
      <c r="N9" s="19" t="s">
        <v>90</v>
      </c>
      <c r="O9" s="13">
        <v>4</v>
      </c>
      <c r="P9" s="14"/>
      <c r="Q9" s="14">
        <f>'APRIL 21'!V9:V23</f>
        <v>0</v>
      </c>
      <c r="R9" s="15"/>
      <c r="S9" s="16">
        <v>5000</v>
      </c>
      <c r="T9" s="54">
        <f t="shared" si="1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'APRIL 21'!I10:I27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'APRIL 21'!V10:V24</f>
        <v>0</v>
      </c>
      <c r="R10" s="15"/>
      <c r="S10" s="16">
        <v>5000</v>
      </c>
      <c r="T10" s="16">
        <f t="shared" si="1"/>
        <v>5000</v>
      </c>
      <c r="U10" s="16">
        <f>4000</f>
        <v>4000</v>
      </c>
      <c r="V10" s="17">
        <f>T10-U10</f>
        <v>1000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'APRIL 21'!I11:I28</f>
        <v>0</v>
      </c>
      <c r="E11" s="15"/>
      <c r="F11" s="16"/>
      <c r="G11" s="16">
        <f t="shared" si="0"/>
        <v>0</v>
      </c>
      <c r="H11" s="16"/>
      <c r="I11" s="17">
        <f t="shared" ref="I11:I22" si="2">G11-H11</f>
        <v>0</v>
      </c>
      <c r="J11" s="15"/>
      <c r="N11" s="50" t="s">
        <v>80</v>
      </c>
      <c r="O11" s="13">
        <v>6</v>
      </c>
      <c r="P11" s="14"/>
      <c r="Q11" s="14">
        <f>'APRIL 21'!V11:V25</f>
        <v>0</v>
      </c>
      <c r="R11" s="15"/>
      <c r="S11" s="16">
        <v>5000</v>
      </c>
      <c r="T11" s="16">
        <f t="shared" si="1"/>
        <v>5000</v>
      </c>
      <c r="U11" s="16">
        <v>5000</v>
      </c>
      <c r="V11" s="17">
        <f t="shared" ref="V11:V16" si="3">T11-U11</f>
        <v>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'APRIL 21'!I12:I29</f>
        <v>7400</v>
      </c>
      <c r="E12" s="15"/>
      <c r="F12" s="16"/>
      <c r="G12" s="16">
        <f t="shared" si="0"/>
        <v>7400</v>
      </c>
      <c r="H12" s="16"/>
      <c r="I12" s="17">
        <f t="shared" si="2"/>
        <v>7400</v>
      </c>
      <c r="J12" s="15"/>
      <c r="N12" s="19" t="s">
        <v>79</v>
      </c>
      <c r="O12" s="13">
        <v>7</v>
      </c>
      <c r="P12" s="14"/>
      <c r="Q12" s="14">
        <f>'APRIL 21'!V12:V26</f>
        <v>0</v>
      </c>
      <c r="R12" s="15"/>
      <c r="S12" s="16">
        <v>5000</v>
      </c>
      <c r="T12" s="16">
        <f t="shared" si="1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'APRIL 21'!I13:I30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2"/>
        <v>0</v>
      </c>
      <c r="J13" s="15"/>
      <c r="N13" s="51"/>
      <c r="O13" s="13">
        <v>8</v>
      </c>
      <c r="P13" s="14"/>
      <c r="Q13" s="14">
        <f>'APRIL 21'!V13:V27</f>
        <v>0</v>
      </c>
      <c r="R13" s="15"/>
      <c r="S13" s="16"/>
      <c r="T13" s="16">
        <f t="shared" si="1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'APRIL 21'!I14:I31</f>
        <v>0</v>
      </c>
      <c r="E14" s="15"/>
      <c r="F14" s="16">
        <v>10000</v>
      </c>
      <c r="G14" s="16">
        <f>C14+E14+F14+D14</f>
        <v>10000</v>
      </c>
      <c r="H14" s="16">
        <v>10000</v>
      </c>
      <c r="I14" s="17">
        <f t="shared" si="2"/>
        <v>0</v>
      </c>
      <c r="J14" s="15"/>
      <c r="N14" s="21" t="s">
        <v>81</v>
      </c>
      <c r="O14" s="13">
        <v>9</v>
      </c>
      <c r="P14" s="14"/>
      <c r="Q14" s="14">
        <f>'APRIL 21'!V14:V28</f>
        <v>0</v>
      </c>
      <c r="R14" s="15"/>
      <c r="S14" s="16">
        <v>5000</v>
      </c>
      <c r="T14" s="16">
        <f t="shared" si="1"/>
        <v>5000</v>
      </c>
      <c r="U14" s="16">
        <f>5000</f>
        <v>5000</v>
      </c>
      <c r="V14" s="17">
        <f t="shared" si="3"/>
        <v>0</v>
      </c>
      <c r="W14" s="15"/>
    </row>
    <row r="15" spans="1:23" x14ac:dyDescent="0.25">
      <c r="A15" s="21" t="s">
        <v>83</v>
      </c>
      <c r="B15" s="13">
        <v>10</v>
      </c>
      <c r="C15" s="14"/>
      <c r="D15" s="14">
        <f>'APRIL 21'!I15:I32</f>
        <v>0</v>
      </c>
      <c r="E15" s="15"/>
      <c r="F15" s="16">
        <v>6000</v>
      </c>
      <c r="G15" s="16">
        <f t="shared" si="0"/>
        <v>6000</v>
      </c>
      <c r="H15" s="16"/>
      <c r="I15" s="17"/>
      <c r="J15" s="15"/>
      <c r="K15" t="s">
        <v>54</v>
      </c>
      <c r="N15" s="21" t="s">
        <v>77</v>
      </c>
      <c r="O15" s="13">
        <v>10</v>
      </c>
      <c r="P15" s="14"/>
      <c r="Q15" s="14">
        <f>'APRIL 21'!V15:V29</f>
        <v>5000</v>
      </c>
      <c r="R15" s="15"/>
      <c r="S15" s="16">
        <v>5000</v>
      </c>
      <c r="T15" s="16">
        <f t="shared" si="1"/>
        <v>10000</v>
      </c>
      <c r="U15" s="16">
        <v>10000</v>
      </c>
      <c r="V15" s="17">
        <f t="shared" si="3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'APRIL 21'!I16:I33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2"/>
        <v>0</v>
      </c>
      <c r="J16" s="15"/>
      <c r="N16" s="21" t="s">
        <v>76</v>
      </c>
      <c r="O16" s="13">
        <v>11</v>
      </c>
      <c r="P16" s="14"/>
      <c r="Q16" s="14">
        <f>'APRIL 21'!V16:V30</f>
        <v>0</v>
      </c>
      <c r="R16" s="15"/>
      <c r="S16" s="16">
        <v>5000</v>
      </c>
      <c r="T16" s="16">
        <f t="shared" si="1"/>
        <v>5000</v>
      </c>
      <c r="U16" s="16"/>
      <c r="V16" s="17">
        <f t="shared" si="3"/>
        <v>5000</v>
      </c>
      <c r="W16" s="15"/>
    </row>
    <row r="17" spans="1:23" x14ac:dyDescent="0.25">
      <c r="A17" s="21" t="s">
        <v>99</v>
      </c>
      <c r="B17" s="13">
        <v>12</v>
      </c>
      <c r="C17" s="14">
        <v>6000</v>
      </c>
      <c r="D17" s="14">
        <v>0</v>
      </c>
      <c r="E17" s="15"/>
      <c r="F17" s="16">
        <v>6000</v>
      </c>
      <c r="G17" s="16">
        <f>C17+E17+F17+D17</f>
        <v>12000</v>
      </c>
      <c r="H17" s="16">
        <v>12000</v>
      </c>
      <c r="I17" s="17">
        <f>G17-H17</f>
        <v>0</v>
      </c>
      <c r="J17" s="15"/>
      <c r="N17" s="21"/>
      <c r="O17" s="13">
        <v>12</v>
      </c>
      <c r="P17" s="14"/>
      <c r="Q17" s="14">
        <f>'APRIL 21'!V17:V31</f>
        <v>0</v>
      </c>
      <c r="R17" s="15"/>
      <c r="S17" s="16"/>
      <c r="T17" s="16">
        <f t="shared" si="1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'APRIL 21'!I18:I35</f>
        <v>0</v>
      </c>
      <c r="E18" s="15"/>
      <c r="F18" s="16"/>
      <c r="G18" s="16">
        <f>C18+E18+F18+D18</f>
        <v>0</v>
      </c>
      <c r="H18" s="16"/>
      <c r="I18" s="17">
        <f t="shared" si="2"/>
        <v>0</v>
      </c>
      <c r="J18" s="15"/>
      <c r="N18" s="24"/>
      <c r="O18" s="13"/>
      <c r="P18" s="14"/>
      <c r="Q18" s="14">
        <f>'APRIL 21'!V18:V32</f>
        <v>0</v>
      </c>
      <c r="R18" s="15"/>
      <c r="S18" s="16"/>
      <c r="T18" s="16">
        <f t="shared" si="1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'APRIL 21'!I19:I36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2"/>
        <v>0</v>
      </c>
      <c r="J19" s="15"/>
      <c r="N19" s="25"/>
      <c r="O19" s="13"/>
      <c r="P19" s="14"/>
      <c r="Q19" s="14">
        <f>'APRIL 21'!V19:V33</f>
        <v>0</v>
      </c>
      <c r="R19" s="15"/>
      <c r="S19" s="16"/>
      <c r="T19" s="16">
        <f t="shared" si="1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'APRIL 21'!I20:I37</f>
        <v>8350</v>
      </c>
      <c r="E20" s="15"/>
      <c r="F20" s="16">
        <v>7000</v>
      </c>
      <c r="G20" s="16">
        <f t="shared" si="0"/>
        <v>15350</v>
      </c>
      <c r="H20" s="16">
        <f>500+3200+500+1000+2000+1000+2000+500</f>
        <v>10700</v>
      </c>
      <c r="I20" s="17">
        <f>G20-H20</f>
        <v>4650</v>
      </c>
      <c r="J20" s="15"/>
      <c r="N20" s="22" t="s">
        <v>10</v>
      </c>
      <c r="O20" s="13"/>
      <c r="P20" s="14"/>
      <c r="Q20" s="14">
        <f>SUM(Q6:Q19)</f>
        <v>5000</v>
      </c>
      <c r="R20" s="15"/>
      <c r="S20" s="16">
        <f>SUM(S6:S19)</f>
        <v>45000</v>
      </c>
      <c r="T20" s="16">
        <f t="shared" si="1"/>
        <v>50000</v>
      </c>
      <c r="U20" s="16">
        <f>SUM(U6:U18)</f>
        <v>39000</v>
      </c>
      <c r="V20" s="17">
        <f>SUM(V6:V18)</f>
        <v>11000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'APRIL 21'!I21:I38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2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'APRIL 21'!I22:I39</f>
        <v>0</v>
      </c>
      <c r="E22" s="15"/>
      <c r="F22" s="16">
        <v>8000</v>
      </c>
      <c r="G22" s="16">
        <f>C22+E22+F22+D22</f>
        <v>8000</v>
      </c>
      <c r="H22" s="16">
        <f>3000+5000</f>
        <v>8000</v>
      </c>
      <c r="I22" s="17">
        <f t="shared" si="2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6000</v>
      </c>
      <c r="D23" s="14">
        <f>'APRIL 21'!I23:I40</f>
        <v>28100</v>
      </c>
      <c r="E23" s="15">
        <f t="shared" si="4"/>
        <v>0</v>
      </c>
      <c r="F23" s="27">
        <f t="shared" si="4"/>
        <v>87500</v>
      </c>
      <c r="G23" s="16">
        <f t="shared" si="4"/>
        <v>115100</v>
      </c>
      <c r="H23" s="16">
        <f t="shared" si="4"/>
        <v>84700</v>
      </c>
      <c r="I23" s="16">
        <f t="shared" si="4"/>
        <v>17900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97</v>
      </c>
      <c r="O25" s="38">
        <f>S20</f>
        <v>45000</v>
      </c>
      <c r="P25" s="26"/>
      <c r="Q25" s="26"/>
      <c r="R25" s="26"/>
      <c r="S25" s="26" t="s">
        <v>97</v>
      </c>
      <c r="T25" s="38">
        <f>U20</f>
        <v>39000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'APRIL 21'!R37</f>
        <v>0</v>
      </c>
      <c r="P26" s="26"/>
      <c r="Q26" s="26"/>
      <c r="R26" s="26"/>
      <c r="S26" s="26" t="s">
        <v>17</v>
      </c>
      <c r="T26" s="38">
        <f>'APRIL 21'!V37</f>
        <v>-5000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97</v>
      </c>
      <c r="B29" s="38">
        <f>F23</f>
        <v>87500</v>
      </c>
      <c r="C29" s="26"/>
      <c r="D29" s="26"/>
      <c r="E29" s="26"/>
      <c r="F29" s="26" t="s">
        <v>97</v>
      </c>
      <c r="G29" s="38">
        <f>H23</f>
        <v>84700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'APRIL 21'!E41</f>
        <v>-22494</v>
      </c>
      <c r="C30" s="26"/>
      <c r="D30" s="26"/>
      <c r="E30" s="26"/>
      <c r="F30" s="26" t="s">
        <v>17</v>
      </c>
      <c r="G30" s="38">
        <f>'APRIL 21'!I41</f>
        <v>-50094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>
        <f>C23</f>
        <v>6000</v>
      </c>
      <c r="C32" s="26"/>
      <c r="D32" s="26"/>
      <c r="E32" s="26"/>
      <c r="F32" s="26"/>
      <c r="G32" s="38"/>
      <c r="H32" s="26"/>
      <c r="I32" s="26"/>
      <c r="J32" s="34"/>
      <c r="L32" s="44"/>
      <c r="N32" s="40" t="s">
        <v>100</v>
      </c>
      <c r="P32">
        <v>41850</v>
      </c>
      <c r="R32" s="42"/>
      <c r="S32" s="40" t="s">
        <v>100</v>
      </c>
      <c r="U32"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6125.0000000000009</v>
      </c>
      <c r="D33" s="38"/>
      <c r="E33" s="26"/>
      <c r="F33" s="26" t="s">
        <v>19</v>
      </c>
      <c r="G33" s="39">
        <v>7.0000000000000007E-2</v>
      </c>
      <c r="H33" s="38">
        <f>G33*B29</f>
        <v>6125.0000000000009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100</v>
      </c>
      <c r="C36">
        <v>76125</v>
      </c>
      <c r="E36" s="42"/>
      <c r="F36" s="40" t="s">
        <v>100</v>
      </c>
      <c r="H36">
        <v>76125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101</v>
      </c>
      <c r="B37" s="39"/>
      <c r="C37" s="42">
        <v>6000</v>
      </c>
      <c r="D37" s="26"/>
      <c r="E37" s="26"/>
      <c r="F37" s="40"/>
      <c r="G37" s="39"/>
      <c r="H37" s="42"/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30850</v>
      </c>
      <c r="U37" s="45">
        <f>SUM(U31:U36)</f>
        <v>41850</v>
      </c>
      <c r="V37" s="45">
        <f>T37-U37</f>
        <v>-11000</v>
      </c>
      <c r="W37" s="34"/>
      <c r="X37" s="28"/>
    </row>
    <row r="38" spans="1:24" x14ac:dyDescent="0.25">
      <c r="A38" s="40" t="s">
        <v>105</v>
      </c>
      <c r="B38" s="39"/>
      <c r="C38" s="26">
        <v>6500</v>
      </c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71006</v>
      </c>
      <c r="C41" s="45">
        <f>SUM(C33:C40)</f>
        <v>94750</v>
      </c>
      <c r="D41" s="45"/>
      <c r="E41" s="45">
        <f>B41-C41</f>
        <v>-23744</v>
      </c>
      <c r="F41" s="37" t="s">
        <v>10</v>
      </c>
      <c r="G41" s="45">
        <f>G29+G30+G32-H33</f>
        <v>28481</v>
      </c>
      <c r="H41" s="45">
        <f>SUM(H35:H40)</f>
        <v>76125</v>
      </c>
      <c r="I41" s="45">
        <f>G41-H41</f>
        <v>-47644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>
        <f>O25-P29</f>
        <v>41850</v>
      </c>
      <c r="W42" s="43"/>
    </row>
    <row r="43" spans="1:24" x14ac:dyDescent="0.25">
      <c r="J43" s="44"/>
      <c r="S43" s="44">
        <f>S42+E41</f>
        <v>18106</v>
      </c>
    </row>
    <row r="44" spans="1:24" x14ac:dyDescent="0.25">
      <c r="J44" s="28"/>
      <c r="L44">
        <f>22500/2</f>
        <v>11250</v>
      </c>
    </row>
    <row r="45" spans="1:24" x14ac:dyDescent="0.25">
      <c r="J45" s="44"/>
      <c r="L45" s="28">
        <f>C37</f>
        <v>6000</v>
      </c>
    </row>
    <row r="46" spans="1:24" x14ac:dyDescent="0.25">
      <c r="J46" s="28"/>
      <c r="L46">
        <f>C38</f>
        <v>6500</v>
      </c>
    </row>
    <row r="47" spans="1:24" x14ac:dyDescent="0.25">
      <c r="L47" s="28">
        <f>L44+L45+L46</f>
        <v>23750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F1" workbookViewId="0">
      <selection activeCell="L23" sqref="L23"/>
    </sheetView>
  </sheetViews>
  <sheetFormatPr defaultRowHeight="15" x14ac:dyDescent="0.25"/>
  <cols>
    <col min="1" max="1" width="28.28515625" customWidth="1"/>
    <col min="14" max="14" width="18.5703125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104</v>
      </c>
      <c r="C4" s="1"/>
      <c r="D4" s="1"/>
      <c r="E4" s="1"/>
      <c r="F4" s="1"/>
      <c r="G4" s="6"/>
      <c r="H4" s="7"/>
      <c r="I4" s="3"/>
      <c r="J4" s="3"/>
      <c r="N4" s="5"/>
      <c r="O4" s="1" t="s">
        <v>103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'MAY 20'!I6:I23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'MAY 20'!V6:V20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s="53" t="s">
        <v>107</v>
      </c>
      <c r="B7" s="13">
        <v>2</v>
      </c>
      <c r="C7" s="14"/>
      <c r="D7" s="14">
        <f>'MAY 20'!I7:I24</f>
        <v>0</v>
      </c>
      <c r="E7" s="15"/>
      <c r="F7" s="16"/>
      <c r="G7" s="16">
        <f t="shared" ref="G7:G20" si="0">C7+E7+F7+D7</f>
        <v>0</v>
      </c>
      <c r="H7" s="16"/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'MAY 20'!V7:V21</f>
        <v>0</v>
      </c>
      <c r="R7" s="15"/>
      <c r="S7" s="16">
        <v>5000</v>
      </c>
      <c r="T7" s="16">
        <f t="shared" ref="T7:T20" si="2">P7+R7+S7+Q7</f>
        <v>5000</v>
      </c>
      <c r="U7" s="16"/>
      <c r="V7" s="17">
        <f>T7-U7</f>
        <v>5000</v>
      </c>
      <c r="W7" s="15"/>
    </row>
    <row r="8" spans="1:23" x14ac:dyDescent="0.25">
      <c r="A8" s="26" t="s">
        <v>86</v>
      </c>
      <c r="B8" s="13">
        <v>3</v>
      </c>
      <c r="C8" s="14"/>
      <c r="D8" s="14">
        <f>'MAY 20'!I8:I25</f>
        <v>3850</v>
      </c>
      <c r="E8" s="15"/>
      <c r="F8" s="16">
        <v>6500</v>
      </c>
      <c r="G8" s="16">
        <f t="shared" si="0"/>
        <v>10350</v>
      </c>
      <c r="H8" s="16"/>
      <c r="I8" s="17">
        <f>G8-H8</f>
        <v>10350</v>
      </c>
      <c r="J8" s="15"/>
      <c r="N8" s="26" t="s">
        <v>78</v>
      </c>
      <c r="O8" s="13">
        <v>3</v>
      </c>
      <c r="P8" s="14"/>
      <c r="Q8" s="14">
        <f>'MAY 20'!V8:V22</f>
        <v>5000</v>
      </c>
      <c r="R8" s="15"/>
      <c r="S8" s="16">
        <v>5000</v>
      </c>
      <c r="T8" s="16">
        <f t="shared" si="2"/>
        <v>10000</v>
      </c>
      <c r="U8" s="16"/>
      <c r="V8" s="17">
        <f>T8-U8</f>
        <v>10000</v>
      </c>
      <c r="W8" s="15"/>
    </row>
    <row r="9" spans="1:23" x14ac:dyDescent="0.25">
      <c r="A9" s="19" t="s">
        <v>47</v>
      </c>
      <c r="B9" s="13">
        <v>4</v>
      </c>
      <c r="C9" s="14"/>
      <c r="D9" s="14">
        <f>'MAY 20'!I9:I26</f>
        <v>2000</v>
      </c>
      <c r="E9" s="15"/>
      <c r="F9" s="16">
        <v>6500</v>
      </c>
      <c r="G9" s="16">
        <f t="shared" si="0"/>
        <v>8500</v>
      </c>
      <c r="H9" s="16">
        <f>5000</f>
        <v>5000</v>
      </c>
      <c r="I9" s="17">
        <f>G9-H9</f>
        <v>3500</v>
      </c>
      <c r="J9" s="15"/>
      <c r="N9" s="19" t="s">
        <v>90</v>
      </c>
      <c r="O9" s="13">
        <v>4</v>
      </c>
      <c r="P9" s="14"/>
      <c r="Q9" s="14">
        <f>'MAY 20'!V9:V23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'MAY 20'!I10:I27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'MAY 20'!V10:V24</f>
        <v>1000</v>
      </c>
      <c r="R10" s="15"/>
      <c r="S10" s="16">
        <v>5000</v>
      </c>
      <c r="T10" s="16">
        <f t="shared" si="2"/>
        <v>6000</v>
      </c>
      <c r="U10" s="16"/>
      <c r="V10" s="17">
        <f>T10-U10</f>
        <v>6000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'MAY 20'!I11:I28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'MAY 20'!V11:V25</f>
        <v>0</v>
      </c>
      <c r="R11" s="15"/>
      <c r="S11" s="16">
        <v>5000</v>
      </c>
      <c r="T11" s="16">
        <f t="shared" si="2"/>
        <v>5000</v>
      </c>
      <c r="U11" s="16"/>
      <c r="V11" s="17">
        <f t="shared" ref="V11:V16" si="3">T11-U11</f>
        <v>5000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'MAY 20'!I12:I29</f>
        <v>7400</v>
      </c>
      <c r="E12" s="15"/>
      <c r="F12" s="16"/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'MAY 20'!V12:V26</f>
        <v>0</v>
      </c>
      <c r="R12" s="15"/>
      <c r="S12" s="16">
        <v>5000</v>
      </c>
      <c r="T12" s="16">
        <f t="shared" si="2"/>
        <v>5000</v>
      </c>
      <c r="U12" s="16">
        <f>5000</f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'MAY 20'!I13:I30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1"/>
        <v>0</v>
      </c>
      <c r="J13" s="15"/>
      <c r="N13" s="51"/>
      <c r="O13" s="13">
        <v>8</v>
      </c>
      <c r="P13" s="14"/>
      <c r="Q13" s="14">
        <f>'MAY 20'!V13:V27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'MAY 20'!I14:I31</f>
        <v>0</v>
      </c>
      <c r="E14" s="15"/>
      <c r="F14" s="16">
        <v>10000</v>
      </c>
      <c r="G14" s="16">
        <f>C14+E14+F14+D14</f>
        <v>10000</v>
      </c>
      <c r="H14" s="16">
        <f>7000</f>
        <v>7000</v>
      </c>
      <c r="I14" s="17">
        <f t="shared" si="1"/>
        <v>3000</v>
      </c>
      <c r="J14" s="15"/>
      <c r="N14" s="21"/>
      <c r="O14" s="13">
        <v>9</v>
      </c>
      <c r="P14" s="14"/>
      <c r="Q14" s="14">
        <f>'MAY 20'!V14:V28</f>
        <v>0</v>
      </c>
      <c r="R14" s="15"/>
      <c r="S14" s="16"/>
      <c r="T14" s="16">
        <f t="shared" si="2"/>
        <v>0</v>
      </c>
      <c r="U14" s="16"/>
      <c r="V14" s="17">
        <f t="shared" si="3"/>
        <v>0</v>
      </c>
      <c r="W14" s="15"/>
    </row>
    <row r="15" spans="1:23" x14ac:dyDescent="0.25">
      <c r="A15" s="51" t="s">
        <v>57</v>
      </c>
      <c r="B15" s="13">
        <v>10</v>
      </c>
      <c r="C15" s="14"/>
      <c r="D15" s="14"/>
      <c r="E15" s="15"/>
      <c r="F15" s="16"/>
      <c r="G15" s="16">
        <f t="shared" si="0"/>
        <v>0</v>
      </c>
      <c r="H15" s="16"/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'MAY 20'!V15:V29</f>
        <v>0</v>
      </c>
      <c r="R15" s="15"/>
      <c r="S15" s="16">
        <v>5000</v>
      </c>
      <c r="T15" s="16">
        <f t="shared" si="2"/>
        <v>5000</v>
      </c>
      <c r="U15" s="16"/>
      <c r="V15" s="17">
        <f t="shared" si="3"/>
        <v>5000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'MAY 20'!I16:I33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'MAY 20'!V16:V30</f>
        <v>5000</v>
      </c>
      <c r="R16" s="15"/>
      <c r="S16" s="16">
        <v>5000</v>
      </c>
      <c r="T16" s="16">
        <f t="shared" si="2"/>
        <v>10000</v>
      </c>
      <c r="U16" s="16">
        <v>10000</v>
      </c>
      <c r="V16" s="17">
        <f t="shared" si="3"/>
        <v>0</v>
      </c>
      <c r="W16" s="15"/>
    </row>
    <row r="17" spans="1:23" x14ac:dyDescent="0.25">
      <c r="A17" s="21" t="s">
        <v>99</v>
      </c>
      <c r="B17" s="13">
        <v>12</v>
      </c>
      <c r="C17" s="14"/>
      <c r="D17" s="14">
        <f>'MAY 20'!I17:I34</f>
        <v>0</v>
      </c>
      <c r="E17" s="15"/>
      <c r="F17" s="16">
        <v>6000</v>
      </c>
      <c r="G17" s="16">
        <f>C17+E17+F17+D17</f>
        <v>6000</v>
      </c>
      <c r="H17" s="16">
        <v>6000</v>
      </c>
      <c r="I17" s="17">
        <f>G17-H17</f>
        <v>0</v>
      </c>
      <c r="J17" s="15"/>
      <c r="N17" s="21"/>
      <c r="O17" s="13">
        <v>12</v>
      </c>
      <c r="P17" s="14"/>
      <c r="Q17" s="14">
        <f>'MAY 20'!V17:V31</f>
        <v>0</v>
      </c>
      <c r="R17" s="15"/>
      <c r="S17" s="16"/>
      <c r="T17" s="16">
        <f t="shared" si="2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'MAY 20'!I18:I35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'MAY 20'!V18:V32</f>
        <v>0</v>
      </c>
      <c r="R18" s="15"/>
      <c r="S18" s="16"/>
      <c r="T18" s="16">
        <f t="shared" si="2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'MAY 20'!I19:I36</f>
        <v>0</v>
      </c>
      <c r="E19" s="15"/>
      <c r="F19" s="16">
        <v>6000</v>
      </c>
      <c r="G19" s="16">
        <f t="shared" si="0"/>
        <v>6000</v>
      </c>
      <c r="H19" s="16">
        <v>6000</v>
      </c>
      <c r="I19" s="17">
        <f t="shared" si="1"/>
        <v>0</v>
      </c>
      <c r="J19" s="15"/>
      <c r="N19" s="25"/>
      <c r="O19" s="13"/>
      <c r="P19" s="14"/>
      <c r="Q19" s="14">
        <f>'MAY 20'!V19:V33</f>
        <v>0</v>
      </c>
      <c r="R19" s="15"/>
      <c r="S19" s="16"/>
      <c r="T19" s="16">
        <f t="shared" si="2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'MAY 20'!I20:I37</f>
        <v>4650</v>
      </c>
      <c r="E20" s="15"/>
      <c r="F20" s="16">
        <v>7000</v>
      </c>
      <c r="G20" s="16">
        <f t="shared" si="0"/>
        <v>11650</v>
      </c>
      <c r="H20" s="16">
        <f>1000+1000+1000+3000</f>
        <v>6000</v>
      </c>
      <c r="I20" s="17">
        <f>G20-H20</f>
        <v>5650</v>
      </c>
      <c r="J20" s="15"/>
      <c r="N20" s="22" t="s">
        <v>10</v>
      </c>
      <c r="O20" s="13"/>
      <c r="P20" s="14"/>
      <c r="Q20" s="14">
        <f>'MAY 20'!V20:V34</f>
        <v>11000</v>
      </c>
      <c r="R20" s="15"/>
      <c r="S20" s="16">
        <f>SUM(S6:S19)</f>
        <v>40000</v>
      </c>
      <c r="T20" s="16">
        <f t="shared" si="2"/>
        <v>51000</v>
      </c>
      <c r="U20" s="16">
        <f>SUM(U6:U18)</f>
        <v>20000</v>
      </c>
      <c r="V20" s="17">
        <f>SUM(V6:V18)</f>
        <v>31000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'MAY 20'!I21:I38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'MAY 20'!I22:I39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'MAY 20'!I23:I40</f>
        <v>17900</v>
      </c>
      <c r="E23" s="15">
        <f t="shared" si="4"/>
        <v>0</v>
      </c>
      <c r="F23" s="27">
        <f t="shared" si="4"/>
        <v>75000</v>
      </c>
      <c r="G23" s="16">
        <f t="shared" si="4"/>
        <v>92900</v>
      </c>
      <c r="H23" s="16">
        <f t="shared" si="4"/>
        <v>63000</v>
      </c>
      <c r="I23" s="16">
        <f t="shared" si="4"/>
        <v>29900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102</v>
      </c>
      <c r="O25" s="38">
        <f>S20</f>
        <v>40000</v>
      </c>
      <c r="P25" s="26"/>
      <c r="Q25" s="26"/>
      <c r="R25" s="26"/>
      <c r="S25" s="26" t="s">
        <v>102</v>
      </c>
      <c r="T25" s="38">
        <f>U20</f>
        <v>20000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'MAY 20'!R37</f>
        <v>0</v>
      </c>
      <c r="P26" s="26"/>
      <c r="Q26" s="26"/>
      <c r="R26" s="26"/>
      <c r="S26" s="26" t="s">
        <v>17</v>
      </c>
      <c r="T26" s="38">
        <f>'MAY 20'!V37</f>
        <v>-11000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102</v>
      </c>
      <c r="B29" s="38">
        <f>F23</f>
        <v>75000</v>
      </c>
      <c r="C29" s="26"/>
      <c r="D29" s="26"/>
      <c r="E29" s="26"/>
      <c r="F29" s="26" t="s">
        <v>102</v>
      </c>
      <c r="G29" s="38">
        <f>H23</f>
        <v>63000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2800.0000000000005</v>
      </c>
      <c r="Q29" s="38"/>
      <c r="R29" s="26"/>
      <c r="S29" s="26" t="s">
        <v>19</v>
      </c>
      <c r="T29" s="39">
        <v>7.0000000000000007E-2</v>
      </c>
      <c r="U29" s="38">
        <f>T29*O25</f>
        <v>2800.0000000000005</v>
      </c>
      <c r="V29" s="26"/>
      <c r="W29" s="34"/>
    </row>
    <row r="30" spans="1:23" x14ac:dyDescent="0.25">
      <c r="A30" s="26" t="s">
        <v>17</v>
      </c>
      <c r="B30" s="38">
        <f>'MAY 20'!E41</f>
        <v>-23744</v>
      </c>
      <c r="C30" s="26"/>
      <c r="D30" s="26"/>
      <c r="E30" s="26"/>
      <c r="F30" s="26" t="s">
        <v>17</v>
      </c>
      <c r="G30" s="38">
        <f>'MAY 20'!I41</f>
        <v>-47644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108</v>
      </c>
      <c r="P32">
        <v>37200</v>
      </c>
      <c r="R32" s="42"/>
      <c r="S32" s="40" t="s">
        <v>108</v>
      </c>
      <c r="U32">
        <v>37200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5250.0000000000009</v>
      </c>
      <c r="D33" s="38"/>
      <c r="E33" s="26"/>
      <c r="F33" s="26" t="s">
        <v>19</v>
      </c>
      <c r="G33" s="39">
        <v>7.0000000000000007E-2</v>
      </c>
      <c r="H33" s="38">
        <f>G33*B29</f>
        <v>5250.0000000000009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108</v>
      </c>
      <c r="C36">
        <v>59750</v>
      </c>
      <c r="E36" s="42"/>
      <c r="F36" s="40" t="s">
        <v>108</v>
      </c>
      <c r="H36">
        <v>59750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109</v>
      </c>
      <c r="B37" s="39"/>
      <c r="C37" s="42">
        <v>20102</v>
      </c>
      <c r="D37" s="26"/>
      <c r="E37" s="26"/>
      <c r="F37" s="40" t="s">
        <v>109</v>
      </c>
      <c r="G37" s="39"/>
      <c r="H37" s="42">
        <v>20102</v>
      </c>
      <c r="I37" s="26"/>
      <c r="J37" s="34"/>
      <c r="K37" s="28"/>
      <c r="M37" s="44"/>
      <c r="N37" s="37" t="s">
        <v>10</v>
      </c>
      <c r="O37" s="45">
        <f>O28+O25+O26+O27</f>
        <v>40000</v>
      </c>
      <c r="P37" s="45">
        <f>SUM(P29:P36)</f>
        <v>40000</v>
      </c>
      <c r="Q37" s="45"/>
      <c r="R37" s="45">
        <f>O37-P37</f>
        <v>0</v>
      </c>
      <c r="S37" s="37" t="s">
        <v>10</v>
      </c>
      <c r="T37" s="45">
        <f>T25+T26+T28-U29</f>
        <v>6200</v>
      </c>
      <c r="U37" s="45">
        <f>SUM(U31:U36)</f>
        <v>37200</v>
      </c>
      <c r="V37" s="45">
        <f>T37-U37</f>
        <v>-31000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51256</v>
      </c>
      <c r="C41" s="45">
        <f>SUM(C33:C40)</f>
        <v>85102</v>
      </c>
      <c r="D41" s="45"/>
      <c r="E41" s="45">
        <f>B41-C41</f>
        <v>-33846</v>
      </c>
      <c r="F41" s="37" t="s">
        <v>10</v>
      </c>
      <c r="G41" s="45">
        <f>G29+G30+G32-H33</f>
        <v>10106</v>
      </c>
      <c r="H41" s="45">
        <f>SUM(H35:H40)</f>
        <v>79852</v>
      </c>
      <c r="I41" s="45">
        <f>G41-H41</f>
        <v>-69746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4" x14ac:dyDescent="0.25">
      <c r="S43" s="44"/>
    </row>
    <row r="47" spans="1:24" x14ac:dyDescent="0.25">
      <c r="H47" s="44"/>
      <c r="I47" s="44">
        <f>C36+P32</f>
        <v>96950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topLeftCell="A16" zoomScaleNormal="100" workbookViewId="0">
      <selection activeCell="F45" sqref="F45:H50"/>
    </sheetView>
  </sheetViews>
  <sheetFormatPr defaultRowHeight="15" x14ac:dyDescent="0.25"/>
  <cols>
    <col min="1" max="1" width="18.42578125" bestFit="1" customWidth="1"/>
    <col min="14" max="14" width="15.140625" bestFit="1" customWidth="1"/>
    <col min="23" max="23" width="8" bestFit="1" customWidth="1"/>
  </cols>
  <sheetData>
    <row r="2" spans="1:23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3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3" ht="18.75" x14ac:dyDescent="0.3">
      <c r="A4" s="5"/>
      <c r="B4" s="1" t="s">
        <v>104</v>
      </c>
      <c r="C4" s="1"/>
      <c r="D4" s="1"/>
      <c r="E4" s="1"/>
      <c r="F4" s="1"/>
      <c r="G4" s="6"/>
      <c r="H4" s="7"/>
      <c r="I4" s="3"/>
      <c r="J4" s="3"/>
      <c r="N4" s="5"/>
      <c r="O4" s="1" t="s">
        <v>111</v>
      </c>
      <c r="P4" s="1"/>
      <c r="Q4" s="1"/>
      <c r="R4" s="1"/>
      <c r="S4" s="1"/>
      <c r="T4" s="6"/>
      <c r="U4" s="7"/>
      <c r="V4" s="3"/>
      <c r="W4" s="3"/>
    </row>
    <row r="5" spans="1:23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3" x14ac:dyDescent="0.25">
      <c r="A6" s="12" t="s">
        <v>41</v>
      </c>
      <c r="B6" s="13">
        <v>1</v>
      </c>
      <c r="C6" s="14"/>
      <c r="D6" s="14">
        <f>JUNE21!I6:I22</f>
        <v>0</v>
      </c>
      <c r="E6" s="15"/>
      <c r="F6" s="16">
        <v>6000</v>
      </c>
      <c r="G6" s="16">
        <f>C6+E6+F6+D6</f>
        <v>6000</v>
      </c>
      <c r="H6" s="16">
        <v>6000</v>
      </c>
      <c r="I6" s="17">
        <f>G6-H6</f>
        <v>0</v>
      </c>
      <c r="J6" s="15"/>
      <c r="N6" s="12"/>
      <c r="O6" s="13">
        <v>1</v>
      </c>
      <c r="P6" s="14"/>
      <c r="Q6" s="14">
        <f>JUNE21!V6:V20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3" x14ac:dyDescent="0.25">
      <c r="A7" s="53" t="s">
        <v>107</v>
      </c>
      <c r="B7" s="13">
        <v>2</v>
      </c>
      <c r="C7" s="14"/>
      <c r="D7" s="14">
        <f>JUNE21!I7:I23</f>
        <v>0</v>
      </c>
      <c r="E7" s="15"/>
      <c r="F7" s="16"/>
      <c r="G7" s="16">
        <f t="shared" ref="G7:G20" si="0">C7+E7+F7+D7</f>
        <v>0</v>
      </c>
      <c r="H7" s="16"/>
      <c r="I7" s="17">
        <f t="shared" ref="I7:I22" si="1">G7-H7</f>
        <v>0</v>
      </c>
      <c r="J7" s="15"/>
      <c r="N7" t="s">
        <v>74</v>
      </c>
      <c r="O7" s="13">
        <v>2</v>
      </c>
      <c r="P7" s="14"/>
      <c r="Q7" s="14">
        <f>JUNE21!V7:V21</f>
        <v>5000</v>
      </c>
      <c r="R7" s="15"/>
      <c r="S7" s="16">
        <v>5000</v>
      </c>
      <c r="T7" s="16">
        <f t="shared" ref="T7:T20" si="2">P7+R7+S7+Q7</f>
        <v>10000</v>
      </c>
      <c r="U7" s="16">
        <v>5000</v>
      </c>
      <c r="V7" s="17">
        <f>T7-U7</f>
        <v>5000</v>
      </c>
      <c r="W7" s="15"/>
    </row>
    <row r="8" spans="1:23" x14ac:dyDescent="0.25">
      <c r="A8" s="26" t="s">
        <v>86</v>
      </c>
      <c r="B8" s="13">
        <v>3</v>
      </c>
      <c r="C8" s="14"/>
      <c r="D8" s="14">
        <f>JUNE21!I8:I24</f>
        <v>10350</v>
      </c>
      <c r="E8" s="15"/>
      <c r="F8" s="16">
        <v>6500</v>
      </c>
      <c r="G8" s="16">
        <f t="shared" si="0"/>
        <v>16850</v>
      </c>
      <c r="H8" s="16">
        <f>5000+6500</f>
        <v>11500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JUNE21!V8:V22</f>
        <v>10000</v>
      </c>
      <c r="R8" s="15"/>
      <c r="S8" s="16">
        <v>5000</v>
      </c>
      <c r="T8" s="16">
        <f t="shared" si="2"/>
        <v>15000</v>
      </c>
      <c r="U8" s="16">
        <f>5000+5000</f>
        <v>10000</v>
      </c>
      <c r="V8" s="17">
        <f>T8-U8</f>
        <v>5000</v>
      </c>
      <c r="W8" s="15"/>
    </row>
    <row r="9" spans="1:23" x14ac:dyDescent="0.25">
      <c r="A9" s="19" t="s">
        <v>47</v>
      </c>
      <c r="B9" s="13">
        <v>4</v>
      </c>
      <c r="C9" s="14"/>
      <c r="D9" s="14">
        <f>JUNE21!I9:I25</f>
        <v>3500</v>
      </c>
      <c r="E9" s="15"/>
      <c r="F9" s="16">
        <v>6500</v>
      </c>
      <c r="G9" s="16">
        <f t="shared" si="0"/>
        <v>10000</v>
      </c>
      <c r="H9" s="16">
        <f>5000</f>
        <v>5000</v>
      </c>
      <c r="I9" s="17">
        <f>G9-H9</f>
        <v>5000</v>
      </c>
      <c r="J9" s="15"/>
      <c r="N9" s="19" t="s">
        <v>90</v>
      </c>
      <c r="O9" s="13">
        <v>4</v>
      </c>
      <c r="P9" s="14"/>
      <c r="Q9" s="14">
        <f>JUNE21!V9:V23</f>
        <v>0</v>
      </c>
      <c r="R9" s="15"/>
      <c r="S9" s="16">
        <v>5000</v>
      </c>
      <c r="T9" s="16">
        <f t="shared" si="2"/>
        <v>5000</v>
      </c>
      <c r="U9" s="16">
        <v>5000</v>
      </c>
      <c r="V9" s="17">
        <f>T9-U9</f>
        <v>0</v>
      </c>
      <c r="W9" s="15"/>
    </row>
    <row r="10" spans="1:23" x14ac:dyDescent="0.25">
      <c r="A10" s="24" t="s">
        <v>57</v>
      </c>
      <c r="B10" s="13">
        <v>5</v>
      </c>
      <c r="C10" s="14"/>
      <c r="D10" s="14">
        <f>JUNE21!I10:I26</f>
        <v>0</v>
      </c>
      <c r="E10" s="15"/>
      <c r="F10" s="16"/>
      <c r="G10" s="16">
        <f t="shared" si="0"/>
        <v>0</v>
      </c>
      <c r="H10" s="16"/>
      <c r="I10" s="17">
        <f>G10-H10</f>
        <v>0</v>
      </c>
      <c r="J10" s="15"/>
      <c r="N10" s="19" t="s">
        <v>75</v>
      </c>
      <c r="O10" s="13">
        <v>5</v>
      </c>
      <c r="P10" s="14"/>
      <c r="Q10" s="14">
        <f>JUNE21!V10:V24</f>
        <v>6000</v>
      </c>
      <c r="R10" s="15"/>
      <c r="S10" s="16">
        <v>5000</v>
      </c>
      <c r="T10" s="16">
        <f t="shared" si="2"/>
        <v>11000</v>
      </c>
      <c r="U10" s="16">
        <v>5000</v>
      </c>
      <c r="V10" s="17">
        <f>T10-U10</f>
        <v>6000</v>
      </c>
      <c r="W10" s="15"/>
    </row>
    <row r="11" spans="1:23" x14ac:dyDescent="0.25">
      <c r="A11" s="20" t="s">
        <v>57</v>
      </c>
      <c r="B11" s="13">
        <v>6</v>
      </c>
      <c r="C11" s="14"/>
      <c r="D11" s="14">
        <f>JUNE21!I11:I27</f>
        <v>0</v>
      </c>
      <c r="E11" s="15"/>
      <c r="F11" s="16"/>
      <c r="G11" s="16">
        <f t="shared" si="0"/>
        <v>0</v>
      </c>
      <c r="H11" s="16"/>
      <c r="I11" s="17">
        <f t="shared" si="1"/>
        <v>0</v>
      </c>
      <c r="J11" s="15"/>
      <c r="N11" s="50" t="s">
        <v>80</v>
      </c>
      <c r="O11" s="13">
        <v>6</v>
      </c>
      <c r="P11" s="14"/>
      <c r="Q11" s="14">
        <f>JUNE21!V11:V25</f>
        <v>5000</v>
      </c>
      <c r="R11" s="15"/>
      <c r="S11" s="16">
        <v>5000</v>
      </c>
      <c r="T11" s="16">
        <f t="shared" si="2"/>
        <v>10000</v>
      </c>
      <c r="U11" s="16">
        <v>5000</v>
      </c>
      <c r="V11" s="17">
        <f t="shared" ref="V11:V16" si="3">T11-U11</f>
        <v>5000</v>
      </c>
      <c r="W11" s="15"/>
    </row>
    <row r="12" spans="1:23" x14ac:dyDescent="0.25">
      <c r="A12" s="52" t="s">
        <v>56</v>
      </c>
      <c r="B12" s="13">
        <v>7</v>
      </c>
      <c r="C12" s="14"/>
      <c r="D12" s="14">
        <f>JUNE21!I12:I28</f>
        <v>7400</v>
      </c>
      <c r="E12" s="15"/>
      <c r="F12" s="16"/>
      <c r="G12" s="16">
        <f t="shared" si="0"/>
        <v>7400</v>
      </c>
      <c r="H12" s="16"/>
      <c r="I12" s="17">
        <f t="shared" si="1"/>
        <v>7400</v>
      </c>
      <c r="J12" s="15"/>
      <c r="N12" s="19" t="s">
        <v>79</v>
      </c>
      <c r="O12" s="13">
        <v>7</v>
      </c>
      <c r="P12" s="14"/>
      <c r="Q12" s="14">
        <f>JUNE21!V12:V26</f>
        <v>0</v>
      </c>
      <c r="R12" s="15"/>
      <c r="S12" s="16">
        <v>5000</v>
      </c>
      <c r="T12" s="16">
        <f t="shared" si="2"/>
        <v>5000</v>
      </c>
      <c r="U12" s="16">
        <v>5000</v>
      </c>
      <c r="V12" s="17">
        <f t="shared" si="3"/>
        <v>0</v>
      </c>
      <c r="W12" s="15"/>
    </row>
    <row r="13" spans="1:23" x14ac:dyDescent="0.25">
      <c r="A13" s="51" t="s">
        <v>48</v>
      </c>
      <c r="B13" s="13">
        <v>8</v>
      </c>
      <c r="C13" s="14"/>
      <c r="D13" s="14">
        <f>JUNE21!I13:I29</f>
        <v>0</v>
      </c>
      <c r="E13" s="15"/>
      <c r="F13" s="16">
        <v>5500</v>
      </c>
      <c r="G13" s="16">
        <f t="shared" si="0"/>
        <v>5500</v>
      </c>
      <c r="H13" s="16">
        <v>5500</v>
      </c>
      <c r="I13" s="17">
        <f t="shared" si="1"/>
        <v>0</v>
      </c>
      <c r="J13" s="15"/>
      <c r="N13" s="51"/>
      <c r="O13" s="13">
        <v>8</v>
      </c>
      <c r="P13" s="14"/>
      <c r="Q13" s="14">
        <f>JUNE21!V13:V27</f>
        <v>0</v>
      </c>
      <c r="R13" s="15"/>
      <c r="S13" s="16"/>
      <c r="T13" s="16">
        <f t="shared" si="2"/>
        <v>0</v>
      </c>
      <c r="U13" s="16"/>
      <c r="V13" s="17">
        <f t="shared" si="3"/>
        <v>0</v>
      </c>
      <c r="W13" s="15"/>
    </row>
    <row r="14" spans="1:23" x14ac:dyDescent="0.25">
      <c r="A14" s="21" t="s">
        <v>34</v>
      </c>
      <c r="B14" s="13">
        <v>9</v>
      </c>
      <c r="C14" s="14"/>
      <c r="D14" s="14">
        <f>JUNE21!I14:I30</f>
        <v>3000</v>
      </c>
      <c r="E14" s="15"/>
      <c r="F14" s="16">
        <v>10000</v>
      </c>
      <c r="G14" s="16">
        <f>C14+E14+F14+D14</f>
        <v>13000</v>
      </c>
      <c r="H14" s="16">
        <f>3000</f>
        <v>3000</v>
      </c>
      <c r="I14" s="17">
        <f t="shared" si="1"/>
        <v>10000</v>
      </c>
      <c r="J14" s="15"/>
      <c r="N14" s="21" t="s">
        <v>48</v>
      </c>
      <c r="O14" s="13">
        <v>9</v>
      </c>
      <c r="P14" s="14"/>
      <c r="Q14" s="14">
        <f>JUNE21!V14:V28</f>
        <v>0</v>
      </c>
      <c r="R14" s="15"/>
      <c r="S14" s="16">
        <v>5000</v>
      </c>
      <c r="T14" s="16">
        <f t="shared" si="2"/>
        <v>5000</v>
      </c>
      <c r="U14" s="16">
        <v>5000</v>
      </c>
      <c r="V14" s="17">
        <f t="shared" si="3"/>
        <v>0</v>
      </c>
      <c r="W14" s="15"/>
    </row>
    <row r="15" spans="1:23" x14ac:dyDescent="0.25">
      <c r="A15" s="51" t="s">
        <v>57</v>
      </c>
      <c r="B15" s="13">
        <v>10</v>
      </c>
      <c r="C15" s="14"/>
      <c r="D15" s="14">
        <f>JUNE21!I15:I31</f>
        <v>0</v>
      </c>
      <c r="E15" s="15"/>
      <c r="F15" s="16"/>
      <c r="G15" s="16">
        <f t="shared" si="0"/>
        <v>0</v>
      </c>
      <c r="H15" s="16"/>
      <c r="I15" s="17">
        <f t="shared" si="1"/>
        <v>0</v>
      </c>
      <c r="J15" s="15"/>
      <c r="N15" s="21" t="s">
        <v>77</v>
      </c>
      <c r="O15" s="13">
        <v>10</v>
      </c>
      <c r="P15" s="14"/>
      <c r="Q15" s="14">
        <f>JUNE21!V15:V29</f>
        <v>5000</v>
      </c>
      <c r="R15" s="15"/>
      <c r="S15" s="16">
        <v>5000</v>
      </c>
      <c r="T15" s="16">
        <f t="shared" si="2"/>
        <v>10000</v>
      </c>
      <c r="U15" s="16">
        <f>5000+5000</f>
        <v>10000</v>
      </c>
      <c r="V15" s="17">
        <f t="shared" si="3"/>
        <v>0</v>
      </c>
      <c r="W15" s="15"/>
    </row>
    <row r="16" spans="1:23" x14ac:dyDescent="0.25">
      <c r="A16" s="21" t="s">
        <v>67</v>
      </c>
      <c r="B16" s="13">
        <v>11</v>
      </c>
      <c r="C16" s="14"/>
      <c r="D16" s="14">
        <f>JUNE21!I16:I32</f>
        <v>0</v>
      </c>
      <c r="E16" s="15"/>
      <c r="F16" s="16">
        <v>6500</v>
      </c>
      <c r="G16" s="16">
        <f>C16+E16+F16+D16</f>
        <v>6500</v>
      </c>
      <c r="H16" s="16">
        <f>6500</f>
        <v>6500</v>
      </c>
      <c r="I16" s="17">
        <f t="shared" si="1"/>
        <v>0</v>
      </c>
      <c r="J16" s="15"/>
      <c r="N16" s="21" t="s">
        <v>76</v>
      </c>
      <c r="O16" s="13">
        <v>11</v>
      </c>
      <c r="P16" s="14"/>
      <c r="Q16" s="14">
        <f>JUNE21!V16:V30</f>
        <v>0</v>
      </c>
      <c r="R16" s="15"/>
      <c r="S16" s="16">
        <v>5000</v>
      </c>
      <c r="T16" s="16">
        <f t="shared" si="2"/>
        <v>5000</v>
      </c>
      <c r="U16" s="16"/>
      <c r="V16" s="17">
        <f t="shared" si="3"/>
        <v>5000</v>
      </c>
      <c r="W16" s="15"/>
    </row>
    <row r="17" spans="1:23" x14ac:dyDescent="0.25">
      <c r="A17" s="21" t="s">
        <v>99</v>
      </c>
      <c r="B17" s="13">
        <v>12</v>
      </c>
      <c r="C17" s="14"/>
      <c r="D17" s="14">
        <f>JUNE21!I17:I33</f>
        <v>0</v>
      </c>
      <c r="E17" s="15"/>
      <c r="F17" s="16">
        <v>6000</v>
      </c>
      <c r="G17" s="16">
        <f>C17+E17+F17+D17</f>
        <v>6000</v>
      </c>
      <c r="H17" s="16">
        <f>6000</f>
        <v>6000</v>
      </c>
      <c r="I17" s="17">
        <f>G17-H17</f>
        <v>0</v>
      </c>
      <c r="J17" s="15"/>
      <c r="N17" s="21"/>
      <c r="O17" s="13">
        <v>12</v>
      </c>
      <c r="P17" s="14"/>
      <c r="Q17" s="14">
        <f>JUNE21!V17:V31</f>
        <v>0</v>
      </c>
      <c r="R17" s="15"/>
      <c r="S17" s="16"/>
      <c r="T17" s="16">
        <f t="shared" si="2"/>
        <v>0</v>
      </c>
      <c r="U17" s="16"/>
      <c r="V17" s="17"/>
      <c r="W17" s="15"/>
    </row>
    <row r="18" spans="1:23" x14ac:dyDescent="0.25">
      <c r="A18" s="24"/>
      <c r="B18" s="13"/>
      <c r="C18" s="14"/>
      <c r="D18" s="14">
        <f>JUNE21!I18:I34</f>
        <v>0</v>
      </c>
      <c r="E18" s="15"/>
      <c r="F18" s="16"/>
      <c r="G18" s="16">
        <f>C18+E18+F18+D18</f>
        <v>0</v>
      </c>
      <c r="H18" s="16"/>
      <c r="I18" s="17">
        <f t="shared" si="1"/>
        <v>0</v>
      </c>
      <c r="J18" s="15"/>
      <c r="N18" s="24"/>
      <c r="O18" s="13"/>
      <c r="P18" s="14"/>
      <c r="Q18" s="14">
        <f>JUNE21!V18:V32</f>
        <v>0</v>
      </c>
      <c r="R18" s="15"/>
      <c r="S18" s="16"/>
      <c r="T18" s="16">
        <f t="shared" si="2"/>
        <v>0</v>
      </c>
      <c r="U18" s="16"/>
      <c r="V18" s="17">
        <f>T18-U18</f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JUNE21!I19:I35</f>
        <v>0</v>
      </c>
      <c r="E19" s="15"/>
      <c r="F19" s="16">
        <v>6000</v>
      </c>
      <c r="G19" s="16">
        <f t="shared" si="0"/>
        <v>6000</v>
      </c>
      <c r="H19" s="16">
        <f>6000</f>
        <v>6000</v>
      </c>
      <c r="I19" s="17">
        <f t="shared" si="1"/>
        <v>0</v>
      </c>
      <c r="J19" s="15"/>
      <c r="K19" t="s">
        <v>112</v>
      </c>
      <c r="N19" s="25"/>
      <c r="O19" s="13"/>
      <c r="P19" s="14"/>
      <c r="Q19" s="14">
        <f>JUNE21!V19:V33</f>
        <v>0</v>
      </c>
      <c r="R19" s="15"/>
      <c r="S19" s="16"/>
      <c r="T19" s="16">
        <f t="shared" si="2"/>
        <v>0</v>
      </c>
      <c r="U19" s="16"/>
      <c r="V19" s="17">
        <f>T19-U19</f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JUNE21!I20:I36</f>
        <v>5650</v>
      </c>
      <c r="E20" s="15"/>
      <c r="F20" s="16">
        <v>7000</v>
      </c>
      <c r="G20" s="16">
        <f t="shared" si="0"/>
        <v>12650</v>
      </c>
      <c r="H20" s="16">
        <f>5000+1000+4000+2000</f>
        <v>12000</v>
      </c>
      <c r="I20" s="17">
        <f>G20-H20</f>
        <v>650</v>
      </c>
      <c r="J20" s="15"/>
      <c r="N20" s="22" t="s">
        <v>10</v>
      </c>
      <c r="O20" s="13"/>
      <c r="P20" s="14"/>
      <c r="Q20" s="14">
        <f>SUM(Q6:Q19)</f>
        <v>31000</v>
      </c>
      <c r="R20" s="15"/>
      <c r="S20" s="16">
        <f>SUM(S6:S19)</f>
        <v>45000</v>
      </c>
      <c r="T20" s="16">
        <f t="shared" si="2"/>
        <v>76000</v>
      </c>
      <c r="U20" s="16">
        <f>SUM(U6:U18)</f>
        <v>50000</v>
      </c>
      <c r="V20" s="17">
        <f>SUM(V6:V18)</f>
        <v>26000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JUNE21!I21:I37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1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JUNE21!I22:I38</f>
        <v>0</v>
      </c>
      <c r="E22" s="15"/>
      <c r="F22" s="16">
        <v>8000</v>
      </c>
      <c r="G22" s="16">
        <f>C22+E22+F22+D22</f>
        <v>8000</v>
      </c>
      <c r="H22" s="16">
        <f>8000</f>
        <v>8000</v>
      </c>
      <c r="I22" s="17">
        <f t="shared" si="1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29900</v>
      </c>
      <c r="E23" s="15">
        <f t="shared" si="4"/>
        <v>0</v>
      </c>
      <c r="F23" s="27">
        <f t="shared" si="4"/>
        <v>75000</v>
      </c>
      <c r="G23" s="16">
        <f t="shared" si="4"/>
        <v>104900</v>
      </c>
      <c r="H23" s="16">
        <f t="shared" si="4"/>
        <v>76500</v>
      </c>
      <c r="I23" s="16">
        <f t="shared" si="4"/>
        <v>28400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110</v>
      </c>
      <c r="O25" s="38">
        <f>S20</f>
        <v>45000</v>
      </c>
      <c r="P25" s="26"/>
      <c r="Q25" s="26"/>
      <c r="R25" s="26"/>
      <c r="S25" s="26" t="s">
        <v>110</v>
      </c>
      <c r="T25" s="38">
        <f>U20</f>
        <v>50000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JUNE21!R37</f>
        <v>0</v>
      </c>
      <c r="P26" s="26"/>
      <c r="Q26" s="26"/>
      <c r="R26" s="26"/>
      <c r="S26" s="26" t="s">
        <v>17</v>
      </c>
      <c r="T26" s="38">
        <f>JUNE21!V37</f>
        <v>-31000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110</v>
      </c>
      <c r="B29" s="38">
        <f>F23</f>
        <v>75000</v>
      </c>
      <c r="C29" s="26"/>
      <c r="D29" s="26"/>
      <c r="E29" s="26"/>
      <c r="F29" s="26" t="s">
        <v>110</v>
      </c>
      <c r="G29" s="38">
        <f>H23</f>
        <v>76500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JUNE21!E41</f>
        <v>-33846</v>
      </c>
      <c r="C30" s="26"/>
      <c r="D30" s="26"/>
      <c r="E30" s="26"/>
      <c r="F30" s="26" t="s">
        <v>17</v>
      </c>
      <c r="G30" s="38">
        <f>JUNE21!I41</f>
        <v>-69746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113</v>
      </c>
      <c r="P32">
        <v>41850</v>
      </c>
      <c r="R32" s="42"/>
      <c r="S32" s="40" t="s">
        <v>113</v>
      </c>
      <c r="U32">
        <v>41850</v>
      </c>
      <c r="V32" s="26"/>
      <c r="W32" s="3"/>
    </row>
    <row r="33" spans="1:26" x14ac:dyDescent="0.25">
      <c r="A33" s="26" t="s">
        <v>19</v>
      </c>
      <c r="B33" s="39">
        <v>7.0000000000000007E-2</v>
      </c>
      <c r="C33" s="38">
        <f>B33*B29</f>
        <v>5250.0000000000009</v>
      </c>
      <c r="D33" s="38"/>
      <c r="E33" s="26"/>
      <c r="F33" s="26" t="s">
        <v>19</v>
      </c>
      <c r="G33" s="39">
        <v>7.0000000000000007E-2</v>
      </c>
      <c r="H33" s="38">
        <f>G33*B29</f>
        <v>5250.0000000000009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"/>
    </row>
    <row r="34" spans="1:26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6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6" x14ac:dyDescent="0.25">
      <c r="A36" s="40" t="s">
        <v>113</v>
      </c>
      <c r="C36">
        <v>59750</v>
      </c>
      <c r="E36" s="42"/>
      <c r="F36" s="40" t="s">
        <v>113</v>
      </c>
      <c r="H36">
        <v>59750</v>
      </c>
      <c r="I36" s="26"/>
      <c r="J36" s="3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6" x14ac:dyDescent="0.25">
      <c r="A37" s="40"/>
      <c r="B37" s="39"/>
      <c r="C37" s="42"/>
      <c r="D37" s="26"/>
      <c r="E37" s="26"/>
      <c r="F37" s="40"/>
      <c r="G37" s="39"/>
      <c r="H37" s="42"/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15850</v>
      </c>
      <c r="U37" s="45">
        <f>SUM(U31:U36)</f>
        <v>41850</v>
      </c>
      <c r="V37" s="45">
        <f>T37-U37</f>
        <v>-26000</v>
      </c>
      <c r="W37" s="34"/>
      <c r="X37" s="28"/>
    </row>
    <row r="38" spans="1:26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6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6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6" x14ac:dyDescent="0.25">
      <c r="A41" s="37" t="s">
        <v>10</v>
      </c>
      <c r="B41" s="45">
        <f>B32+B29+B30+B31</f>
        <v>41154</v>
      </c>
      <c r="C41" s="45">
        <f>SUM(C33:C40)</f>
        <v>65000</v>
      </c>
      <c r="D41" s="45"/>
      <c r="E41" s="45">
        <f>B41-C41</f>
        <v>-23846</v>
      </c>
      <c r="F41" s="37" t="s">
        <v>10</v>
      </c>
      <c r="G41" s="45">
        <f>G29+G30+G32-H33</f>
        <v>1503.9999999999991</v>
      </c>
      <c r="H41" s="45">
        <f>SUM(H35:H40)</f>
        <v>59750</v>
      </c>
      <c r="I41" s="45">
        <f>G41-H41</f>
        <v>-58246</v>
      </c>
      <c r="J41" s="43"/>
      <c r="W41" s="43"/>
      <c r="Z41" s="44"/>
    </row>
    <row r="42" spans="1:26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6" x14ac:dyDescent="0.25">
      <c r="A43" t="s">
        <v>26</v>
      </c>
      <c r="C43" t="s">
        <v>27</v>
      </c>
      <c r="G43" t="s">
        <v>44</v>
      </c>
      <c r="S43" s="44"/>
      <c r="Z43" s="4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7"/>
  <sheetViews>
    <sheetView topLeftCell="A10" workbookViewId="0">
      <selection activeCell="G43" sqref="G43"/>
    </sheetView>
  </sheetViews>
  <sheetFormatPr defaultRowHeight="15" x14ac:dyDescent="0.25"/>
  <cols>
    <col min="1" max="1" width="19.85546875" customWidth="1"/>
    <col min="14" max="14" width="18.140625" customWidth="1"/>
  </cols>
  <sheetData>
    <row r="2" spans="1:24" ht="15.75" x14ac:dyDescent="0.25">
      <c r="B2" s="1" t="s">
        <v>39</v>
      </c>
      <c r="C2" s="1"/>
      <c r="D2" s="1"/>
      <c r="E2" s="1"/>
      <c r="F2" s="1"/>
      <c r="G2" s="2"/>
      <c r="H2" s="3"/>
      <c r="I2" s="3"/>
      <c r="J2" s="3"/>
      <c r="O2" s="1" t="s">
        <v>39</v>
      </c>
    </row>
    <row r="3" spans="1:24" ht="15.75" x14ac:dyDescent="0.25">
      <c r="B3" s="1" t="s">
        <v>0</v>
      </c>
      <c r="E3" s="1"/>
      <c r="F3" s="1"/>
      <c r="G3" s="4"/>
      <c r="H3" s="3"/>
      <c r="I3" s="3"/>
      <c r="J3" s="3"/>
      <c r="N3" s="3"/>
      <c r="O3" s="1" t="s">
        <v>0</v>
      </c>
      <c r="R3" s="1"/>
      <c r="S3" s="1"/>
      <c r="T3" s="4"/>
      <c r="U3" s="3"/>
      <c r="V3" s="3"/>
      <c r="W3" s="3"/>
    </row>
    <row r="4" spans="1:24" ht="18.75" x14ac:dyDescent="0.3">
      <c r="A4" s="5"/>
      <c r="B4" s="1" t="s">
        <v>116</v>
      </c>
      <c r="C4" s="1"/>
      <c r="D4" s="1"/>
      <c r="E4" s="1"/>
      <c r="F4" s="1"/>
      <c r="G4" s="6"/>
      <c r="H4" s="7"/>
      <c r="I4" s="3"/>
      <c r="J4" s="3"/>
      <c r="N4" s="5"/>
      <c r="O4" s="1" t="s">
        <v>115</v>
      </c>
      <c r="P4" s="1"/>
      <c r="Q4" s="1"/>
      <c r="R4" s="1"/>
      <c r="S4" s="1"/>
      <c r="T4" s="6"/>
      <c r="U4" s="7"/>
      <c r="V4" s="3"/>
      <c r="W4" s="3"/>
    </row>
    <row r="5" spans="1:24" x14ac:dyDescent="0.25">
      <c r="A5" s="8" t="s">
        <v>1</v>
      </c>
      <c r="B5" s="8" t="s">
        <v>2</v>
      </c>
      <c r="C5" s="8" t="s">
        <v>3</v>
      </c>
      <c r="D5" s="8" t="s">
        <v>4</v>
      </c>
      <c r="E5" s="9" t="s">
        <v>38</v>
      </c>
      <c r="F5" s="10" t="s">
        <v>5</v>
      </c>
      <c r="G5" s="9" t="s">
        <v>6</v>
      </c>
      <c r="H5" s="10" t="s">
        <v>7</v>
      </c>
      <c r="I5" s="11" t="s">
        <v>8</v>
      </c>
      <c r="J5" s="9" t="s">
        <v>9</v>
      </c>
      <c r="N5" s="8" t="s">
        <v>1</v>
      </c>
      <c r="O5" s="8" t="s">
        <v>2</v>
      </c>
      <c r="P5" s="8" t="s">
        <v>3</v>
      </c>
      <c r="Q5" s="8" t="s">
        <v>4</v>
      </c>
      <c r="R5" s="9" t="s">
        <v>38</v>
      </c>
      <c r="S5" s="10" t="s">
        <v>5</v>
      </c>
      <c r="T5" s="9" t="s">
        <v>6</v>
      </c>
      <c r="U5" s="10" t="s">
        <v>7</v>
      </c>
      <c r="V5" s="11" t="s">
        <v>8</v>
      </c>
      <c r="W5" s="9" t="s">
        <v>9</v>
      </c>
    </row>
    <row r="6" spans="1:24" x14ac:dyDescent="0.25">
      <c r="A6" s="12" t="s">
        <v>41</v>
      </c>
      <c r="B6" s="13">
        <v>1</v>
      </c>
      <c r="C6" s="14"/>
      <c r="D6" s="14">
        <f>'JULY 21'!I6:I22</f>
        <v>0</v>
      </c>
      <c r="E6" s="15"/>
      <c r="F6" s="16">
        <v>6000</v>
      </c>
      <c r="G6" s="16">
        <f>C6+E6+F6+D6</f>
        <v>6000</v>
      </c>
      <c r="H6" s="16">
        <v>5925</v>
      </c>
      <c r="I6" s="17">
        <f>G6-H6</f>
        <v>75</v>
      </c>
      <c r="J6" s="15"/>
      <c r="N6" s="12"/>
      <c r="O6" s="13">
        <v>1</v>
      </c>
      <c r="P6" s="14"/>
      <c r="Q6" s="14">
        <f>'JULY 21'!V6:V19</f>
        <v>0</v>
      </c>
      <c r="R6" s="15"/>
      <c r="S6" s="16"/>
      <c r="T6" s="16">
        <f>P6+R6+S6+Q6</f>
        <v>0</v>
      </c>
      <c r="U6" s="16"/>
      <c r="V6" s="17">
        <f>T6-U6</f>
        <v>0</v>
      </c>
      <c r="W6" s="15"/>
    </row>
    <row r="7" spans="1:24" x14ac:dyDescent="0.25">
      <c r="A7" s="53" t="s">
        <v>107</v>
      </c>
      <c r="B7" s="13">
        <v>2</v>
      </c>
      <c r="C7" s="14"/>
      <c r="D7" s="14">
        <f>'JULY 21'!I7:I23</f>
        <v>0</v>
      </c>
      <c r="E7" s="15"/>
      <c r="F7" s="16"/>
      <c r="G7" s="16">
        <f>C7+E7+F7+D7</f>
        <v>0</v>
      </c>
      <c r="H7" s="16"/>
      <c r="I7" s="17">
        <f t="shared" ref="I7:I22" si="0">G7-H7</f>
        <v>0</v>
      </c>
      <c r="J7" s="15"/>
      <c r="N7" s="18" t="s">
        <v>74</v>
      </c>
      <c r="O7" s="13">
        <v>2</v>
      </c>
      <c r="P7" s="14"/>
      <c r="Q7" s="14">
        <f>'JULY 21'!V7:V20</f>
        <v>5000</v>
      </c>
      <c r="R7" s="15"/>
      <c r="S7" s="16">
        <v>5000</v>
      </c>
      <c r="T7" s="16">
        <f t="shared" ref="T7:T20" si="1">P7+R7+S7+Q7</f>
        <v>10000</v>
      </c>
      <c r="U7" s="16">
        <v>5000</v>
      </c>
      <c r="V7" s="17">
        <f t="shared" ref="V7:V19" si="2">T7-U7</f>
        <v>5000</v>
      </c>
      <c r="W7" s="15"/>
    </row>
    <row r="8" spans="1:24" x14ac:dyDescent="0.25">
      <c r="A8" s="26" t="s">
        <v>86</v>
      </c>
      <c r="B8" s="13">
        <v>3</v>
      </c>
      <c r="C8" s="14"/>
      <c r="D8" s="14">
        <f>'JULY 21'!I8:I24</f>
        <v>5350</v>
      </c>
      <c r="E8" s="15"/>
      <c r="F8" s="16">
        <v>6500</v>
      </c>
      <c r="G8" s="16">
        <f>C8+E8+F8+D8</f>
        <v>11850</v>
      </c>
      <c r="H8" s="16">
        <f>6500</f>
        <v>6500</v>
      </c>
      <c r="I8" s="17">
        <f>G8-H8</f>
        <v>5350</v>
      </c>
      <c r="J8" s="15"/>
      <c r="N8" s="26" t="s">
        <v>78</v>
      </c>
      <c r="O8" s="13">
        <v>3</v>
      </c>
      <c r="P8" s="14"/>
      <c r="Q8" s="14">
        <f>'JULY 21'!V8:V21</f>
        <v>5000</v>
      </c>
      <c r="R8" s="15"/>
      <c r="S8" s="16">
        <v>5000</v>
      </c>
      <c r="T8" s="16">
        <f t="shared" si="1"/>
        <v>10000</v>
      </c>
      <c r="U8" s="16">
        <v>5000</v>
      </c>
      <c r="V8" s="17">
        <f t="shared" si="2"/>
        <v>5000</v>
      </c>
      <c r="W8" s="15"/>
    </row>
    <row r="9" spans="1:24" x14ac:dyDescent="0.25">
      <c r="A9" s="19" t="s">
        <v>47</v>
      </c>
      <c r="B9" s="13">
        <v>4</v>
      </c>
      <c r="C9" s="14"/>
      <c r="D9" s="14">
        <f>'JULY 21'!I9:I25</f>
        <v>5000</v>
      </c>
      <c r="E9" s="15"/>
      <c r="F9" s="16">
        <v>6000</v>
      </c>
      <c r="G9" s="16">
        <f t="shared" ref="G9:G20" si="3">C9+E9+F9+D9</f>
        <v>11000</v>
      </c>
      <c r="H9" s="16">
        <f>7000+1500</f>
        <v>8500</v>
      </c>
      <c r="I9" s="17">
        <f>G9-H9</f>
        <v>2500</v>
      </c>
      <c r="J9" s="15"/>
      <c r="N9" s="19" t="s">
        <v>90</v>
      </c>
      <c r="O9" s="13">
        <v>4</v>
      </c>
      <c r="P9" s="14"/>
      <c r="Q9" s="14">
        <f>'JULY 21'!V9:V22</f>
        <v>0</v>
      </c>
      <c r="R9" s="15"/>
      <c r="S9" s="16">
        <v>5000</v>
      </c>
      <c r="T9" s="16">
        <f t="shared" si="1"/>
        <v>5000</v>
      </c>
      <c r="U9" s="16">
        <f>5000</f>
        <v>5000</v>
      </c>
      <c r="V9" s="17">
        <f t="shared" si="2"/>
        <v>0</v>
      </c>
      <c r="W9" s="15"/>
    </row>
    <row r="10" spans="1:24" x14ac:dyDescent="0.25">
      <c r="A10" s="22" t="s">
        <v>99</v>
      </c>
      <c r="B10" s="13">
        <v>5</v>
      </c>
      <c r="C10" s="14"/>
      <c r="D10" s="14">
        <f>'JULY 21'!I10:I26</f>
        <v>0</v>
      </c>
      <c r="E10" s="15"/>
      <c r="F10" s="16">
        <v>6000</v>
      </c>
      <c r="G10" s="16">
        <f t="shared" si="3"/>
        <v>6000</v>
      </c>
      <c r="H10" s="16"/>
      <c r="I10" s="17">
        <f>G10-H10</f>
        <v>6000</v>
      </c>
      <c r="J10" s="15"/>
      <c r="K10" t="s">
        <v>54</v>
      </c>
      <c r="N10" s="19" t="s">
        <v>75</v>
      </c>
      <c r="O10" s="13">
        <v>5</v>
      </c>
      <c r="P10" s="14"/>
      <c r="Q10" s="14">
        <f>'JULY 21'!V10:V23</f>
        <v>6000</v>
      </c>
      <c r="R10" s="15"/>
      <c r="S10" s="16">
        <v>5000</v>
      </c>
      <c r="T10" s="16">
        <f t="shared" si="1"/>
        <v>11000</v>
      </c>
      <c r="U10" s="16">
        <v>5000</v>
      </c>
      <c r="V10" s="17">
        <f t="shared" si="2"/>
        <v>6000</v>
      </c>
      <c r="W10" s="15"/>
    </row>
    <row r="11" spans="1:24" x14ac:dyDescent="0.25">
      <c r="A11" s="20" t="s">
        <v>57</v>
      </c>
      <c r="B11" s="13">
        <v>6</v>
      </c>
      <c r="C11" s="14"/>
      <c r="D11" s="14">
        <f>'JULY 21'!I11:I27</f>
        <v>0</v>
      </c>
      <c r="E11" s="15"/>
      <c r="F11" s="16"/>
      <c r="G11" s="16">
        <f t="shared" si="3"/>
        <v>0</v>
      </c>
      <c r="H11" s="16"/>
      <c r="I11" s="17">
        <f t="shared" si="0"/>
        <v>0</v>
      </c>
      <c r="J11" s="15"/>
      <c r="N11" s="50" t="s">
        <v>80</v>
      </c>
      <c r="O11" s="13">
        <v>6</v>
      </c>
      <c r="P11" s="14"/>
      <c r="Q11" s="14">
        <f>'JULY 21'!V11:V24</f>
        <v>5000</v>
      </c>
      <c r="R11" s="15"/>
      <c r="S11" s="16">
        <v>5000</v>
      </c>
      <c r="T11" s="16">
        <f t="shared" si="1"/>
        <v>10000</v>
      </c>
      <c r="U11" s="16">
        <v>4000</v>
      </c>
      <c r="V11" s="17">
        <f t="shared" si="2"/>
        <v>6000</v>
      </c>
      <c r="W11" s="15"/>
    </row>
    <row r="12" spans="1:24" x14ac:dyDescent="0.25">
      <c r="A12" s="52" t="s">
        <v>56</v>
      </c>
      <c r="B12" s="13">
        <v>7</v>
      </c>
      <c r="C12" s="14"/>
      <c r="D12" s="14">
        <f>'JULY 21'!I12:I28</f>
        <v>7400</v>
      </c>
      <c r="E12" s="15"/>
      <c r="F12" s="16"/>
      <c r="G12" s="16">
        <f t="shared" si="3"/>
        <v>7400</v>
      </c>
      <c r="H12" s="16">
        <v>5000</v>
      </c>
      <c r="I12" s="17">
        <f t="shared" si="0"/>
        <v>2400</v>
      </c>
      <c r="J12" s="15"/>
      <c r="K12" t="s">
        <v>122</v>
      </c>
      <c r="N12" s="19" t="s">
        <v>79</v>
      </c>
      <c r="O12" s="13">
        <v>7</v>
      </c>
      <c r="P12" s="14"/>
      <c r="Q12" s="14">
        <f>'JULY 21'!V12:V25</f>
        <v>0</v>
      </c>
      <c r="R12" s="15"/>
      <c r="S12" s="16">
        <v>5000</v>
      </c>
      <c r="T12" s="16">
        <f t="shared" si="1"/>
        <v>5000</v>
      </c>
      <c r="U12" s="16"/>
      <c r="V12" s="17">
        <f t="shared" si="2"/>
        <v>5000</v>
      </c>
      <c r="W12" s="15"/>
    </row>
    <row r="13" spans="1:24" x14ac:dyDescent="0.25">
      <c r="A13" s="51" t="s">
        <v>48</v>
      </c>
      <c r="B13" s="13">
        <v>8</v>
      </c>
      <c r="C13" s="14"/>
      <c r="D13" s="14">
        <f>'JULY 21'!I13:I29</f>
        <v>0</v>
      </c>
      <c r="E13" s="15"/>
      <c r="F13" s="16">
        <v>5500</v>
      </c>
      <c r="G13" s="16">
        <f t="shared" si="3"/>
        <v>5500</v>
      </c>
      <c r="H13" s="16">
        <v>5500</v>
      </c>
      <c r="I13" s="17">
        <f t="shared" si="0"/>
        <v>0</v>
      </c>
      <c r="J13" s="15"/>
      <c r="N13" s="51"/>
      <c r="O13" s="13">
        <v>8</v>
      </c>
      <c r="P13" s="14"/>
      <c r="Q13" s="14">
        <f>'JULY 21'!V13:V26</f>
        <v>0</v>
      </c>
      <c r="R13" s="15"/>
      <c r="S13" s="16"/>
      <c r="T13" s="16">
        <f t="shared" si="1"/>
        <v>0</v>
      </c>
      <c r="U13" s="16"/>
      <c r="V13" s="17">
        <f t="shared" si="2"/>
        <v>0</v>
      </c>
      <c r="W13" s="15"/>
    </row>
    <row r="14" spans="1:24" x14ac:dyDescent="0.25">
      <c r="A14" s="21" t="s">
        <v>34</v>
      </c>
      <c r="B14" s="13">
        <v>9</v>
      </c>
      <c r="C14" s="14"/>
      <c r="D14" s="14">
        <f>'JULY 21'!I14:I30</f>
        <v>10000</v>
      </c>
      <c r="E14" s="15"/>
      <c r="F14" s="16">
        <v>10000</v>
      </c>
      <c r="G14" s="16">
        <f>C14+E14+F14+D14</f>
        <v>20000</v>
      </c>
      <c r="H14" s="16">
        <f>10000+10000</f>
        <v>20000</v>
      </c>
      <c r="I14" s="17">
        <f t="shared" si="0"/>
        <v>0</v>
      </c>
      <c r="J14" s="15"/>
      <c r="N14" s="21" t="s">
        <v>48</v>
      </c>
      <c r="O14" s="13">
        <v>9</v>
      </c>
      <c r="P14" s="14"/>
      <c r="Q14" s="14">
        <f>'JULY 21'!V14:V27</f>
        <v>0</v>
      </c>
      <c r="R14" s="15"/>
      <c r="S14" s="16">
        <v>5000</v>
      </c>
      <c r="T14" s="16">
        <f t="shared" si="1"/>
        <v>5000</v>
      </c>
      <c r="U14" s="16"/>
      <c r="V14" s="17">
        <f t="shared" si="2"/>
        <v>5000</v>
      </c>
      <c r="W14" s="15"/>
      <c r="X14" s="28">
        <f>U10-350</f>
        <v>4650</v>
      </c>
    </row>
    <row r="15" spans="1:24" x14ac:dyDescent="0.25">
      <c r="A15" s="51" t="s">
        <v>57</v>
      </c>
      <c r="B15" s="13">
        <v>10</v>
      </c>
      <c r="C15" s="14"/>
      <c r="D15" s="14">
        <f>'JULY 21'!I15:I31</f>
        <v>0</v>
      </c>
      <c r="E15" s="15"/>
      <c r="F15" s="16"/>
      <c r="G15" s="16">
        <f t="shared" si="3"/>
        <v>0</v>
      </c>
      <c r="H15" s="16"/>
      <c r="I15" s="17">
        <f t="shared" si="0"/>
        <v>0</v>
      </c>
      <c r="J15" s="15"/>
      <c r="N15" s="21"/>
      <c r="O15" s="13">
        <v>10</v>
      </c>
      <c r="P15" s="14"/>
      <c r="Q15" s="14">
        <f>'JULY 21'!V15:V28</f>
        <v>0</v>
      </c>
      <c r="R15" s="15"/>
      <c r="S15" s="16"/>
      <c r="T15" s="16">
        <f t="shared" si="1"/>
        <v>0</v>
      </c>
      <c r="U15" s="16"/>
      <c r="V15" s="17">
        <f t="shared" si="2"/>
        <v>0</v>
      </c>
      <c r="W15" s="15"/>
    </row>
    <row r="16" spans="1:24" x14ac:dyDescent="0.25">
      <c r="A16" s="21" t="s">
        <v>67</v>
      </c>
      <c r="B16" s="13">
        <v>11</v>
      </c>
      <c r="C16" s="14"/>
      <c r="D16" s="14">
        <f>'JULY 21'!I16:I32</f>
        <v>0</v>
      </c>
      <c r="E16" s="15"/>
      <c r="F16" s="16">
        <v>6500</v>
      </c>
      <c r="G16" s="16">
        <f>C16+E16+F16+D16</f>
        <v>6500</v>
      </c>
      <c r="H16" s="16">
        <v>6500</v>
      </c>
      <c r="I16" s="17">
        <f t="shared" si="0"/>
        <v>0</v>
      </c>
      <c r="J16" s="15"/>
      <c r="N16" s="21" t="s">
        <v>76</v>
      </c>
      <c r="O16" s="13">
        <v>11</v>
      </c>
      <c r="P16" s="14"/>
      <c r="Q16" s="14">
        <f>'JULY 21'!V16:V29</f>
        <v>5000</v>
      </c>
      <c r="R16" s="15"/>
      <c r="S16" s="16">
        <v>5000</v>
      </c>
      <c r="T16" s="16">
        <f t="shared" si="1"/>
        <v>10000</v>
      </c>
      <c r="U16" s="16">
        <f>5000+650+350</f>
        <v>6000</v>
      </c>
      <c r="V16" s="17">
        <f t="shared" si="2"/>
        <v>4000</v>
      </c>
      <c r="W16" s="15"/>
    </row>
    <row r="17" spans="1:23" x14ac:dyDescent="0.25">
      <c r="A17" s="51" t="s">
        <v>57</v>
      </c>
      <c r="B17" s="13">
        <v>12</v>
      </c>
      <c r="C17" s="14"/>
      <c r="D17" s="14">
        <f>'JULY 21'!I17:I33</f>
        <v>0</v>
      </c>
      <c r="E17" s="15"/>
      <c r="F17" s="16"/>
      <c r="G17" s="16">
        <f>C17+E17+F17+D17</f>
        <v>0</v>
      </c>
      <c r="H17" s="16"/>
      <c r="I17" s="17">
        <f>G17-H17</f>
        <v>0</v>
      </c>
      <c r="J17" s="15"/>
      <c r="N17" s="21" t="s">
        <v>117</v>
      </c>
      <c r="O17" s="13">
        <v>12</v>
      </c>
      <c r="P17" s="14"/>
      <c r="Q17" s="14">
        <f>'JULY 21'!V17:V30</f>
        <v>0</v>
      </c>
      <c r="R17" s="15"/>
      <c r="S17" s="16">
        <v>5000</v>
      </c>
      <c r="T17" s="16">
        <f t="shared" si="1"/>
        <v>5000</v>
      </c>
      <c r="U17" s="16">
        <v>5000</v>
      </c>
      <c r="V17" s="17">
        <f t="shared" si="2"/>
        <v>0</v>
      </c>
      <c r="W17" s="15"/>
    </row>
    <row r="18" spans="1:23" x14ac:dyDescent="0.25">
      <c r="A18" s="24"/>
      <c r="B18" s="13"/>
      <c r="C18" s="14"/>
      <c r="D18" s="14">
        <f>'JULY 21'!I18:I34</f>
        <v>0</v>
      </c>
      <c r="E18" s="15"/>
      <c r="F18" s="16"/>
      <c r="G18" s="16">
        <f>C18+E18+F18+D18</f>
        <v>0</v>
      </c>
      <c r="H18" s="16"/>
      <c r="I18" s="17">
        <f t="shared" si="0"/>
        <v>0</v>
      </c>
      <c r="J18" s="15"/>
      <c r="N18" s="24"/>
      <c r="O18" s="13">
        <v>13</v>
      </c>
      <c r="P18" s="14"/>
      <c r="Q18" s="14">
        <f>'JULY 21'!V18:V31</f>
        <v>0</v>
      </c>
      <c r="R18" s="15"/>
      <c r="S18" s="16"/>
      <c r="T18" s="16">
        <f t="shared" si="1"/>
        <v>0</v>
      </c>
      <c r="U18" s="16"/>
      <c r="V18" s="17">
        <f t="shared" si="2"/>
        <v>0</v>
      </c>
      <c r="W18" s="15"/>
    </row>
    <row r="19" spans="1:23" x14ac:dyDescent="0.25">
      <c r="A19" s="22" t="s">
        <v>34</v>
      </c>
      <c r="B19" s="13" t="s">
        <v>28</v>
      </c>
      <c r="C19" s="14"/>
      <c r="D19" s="14">
        <f>'JULY 21'!I19:I35</f>
        <v>0</v>
      </c>
      <c r="E19" s="15"/>
      <c r="F19" s="16">
        <v>6000</v>
      </c>
      <c r="G19" s="16">
        <f t="shared" si="3"/>
        <v>6000</v>
      </c>
      <c r="H19" s="16">
        <v>6000</v>
      </c>
      <c r="I19" s="17">
        <f t="shared" si="0"/>
        <v>0</v>
      </c>
      <c r="J19" s="15"/>
      <c r="N19" s="25"/>
      <c r="O19" s="13"/>
      <c r="P19" s="14"/>
      <c r="Q19" s="14">
        <f>'JULY 21'!V19:V32</f>
        <v>0</v>
      </c>
      <c r="R19" s="15"/>
      <c r="S19" s="16"/>
      <c r="T19" s="16">
        <f t="shared" si="1"/>
        <v>0</v>
      </c>
      <c r="U19" s="16"/>
      <c r="V19" s="17">
        <f t="shared" si="2"/>
        <v>0</v>
      </c>
      <c r="W19" s="15"/>
    </row>
    <row r="20" spans="1:23" x14ac:dyDescent="0.25">
      <c r="A20" s="22" t="s">
        <v>35</v>
      </c>
      <c r="B20" s="13" t="s">
        <v>29</v>
      </c>
      <c r="C20" s="14"/>
      <c r="D20" s="14">
        <f>'JULY 21'!I20:I36</f>
        <v>650</v>
      </c>
      <c r="E20" s="15"/>
      <c r="F20" s="16">
        <v>7000</v>
      </c>
      <c r="G20" s="16">
        <f t="shared" si="3"/>
        <v>7650</v>
      </c>
      <c r="H20" s="16">
        <f>2000+1500</f>
        <v>3500</v>
      </c>
      <c r="I20" s="17">
        <f>G20-H20</f>
        <v>4150</v>
      </c>
      <c r="J20" s="15"/>
      <c r="N20" s="22" t="s">
        <v>10</v>
      </c>
      <c r="O20" s="13"/>
      <c r="P20" s="14"/>
      <c r="Q20" s="14">
        <f>SUM(Q6:Q19)</f>
        <v>26000</v>
      </c>
      <c r="R20" s="15"/>
      <c r="S20" s="16">
        <f>SUM(S6:S19)</f>
        <v>45000</v>
      </c>
      <c r="T20" s="16">
        <f t="shared" si="1"/>
        <v>71000</v>
      </c>
      <c r="U20" s="16">
        <f>SUM(U6:U18)</f>
        <v>35000</v>
      </c>
      <c r="V20" s="17">
        <f>T20-U20</f>
        <v>36000</v>
      </c>
      <c r="W20" s="15"/>
    </row>
    <row r="21" spans="1:23" x14ac:dyDescent="0.25">
      <c r="A21" s="22" t="s">
        <v>36</v>
      </c>
      <c r="B21" s="13" t="s">
        <v>30</v>
      </c>
      <c r="C21" s="14"/>
      <c r="D21" s="14">
        <f>'JULY 21'!I21:I37</f>
        <v>0</v>
      </c>
      <c r="E21" s="15"/>
      <c r="F21" s="16">
        <v>7000</v>
      </c>
      <c r="G21" s="16">
        <f>C21+E21+F21+D21</f>
        <v>7000</v>
      </c>
      <c r="H21" s="16">
        <f>7000</f>
        <v>7000</v>
      </c>
      <c r="I21" s="17">
        <f t="shared" si="0"/>
        <v>0</v>
      </c>
      <c r="J21" s="15"/>
      <c r="W21" s="15"/>
    </row>
    <row r="22" spans="1:23" x14ac:dyDescent="0.25">
      <c r="A22" s="22" t="s">
        <v>37</v>
      </c>
      <c r="B22" s="13" t="s">
        <v>31</v>
      </c>
      <c r="C22" s="14"/>
      <c r="D22" s="14">
        <f>'JULY 21'!I22:I38</f>
        <v>0</v>
      </c>
      <c r="E22" s="15"/>
      <c r="F22" s="16">
        <v>8000</v>
      </c>
      <c r="G22" s="16">
        <f>C22+E22+F22+D22</f>
        <v>8000</v>
      </c>
      <c r="H22" s="16">
        <v>8000</v>
      </c>
      <c r="I22" s="17">
        <f t="shared" si="0"/>
        <v>0</v>
      </c>
      <c r="J22" s="15"/>
      <c r="N22" s="3" t="s">
        <v>11</v>
      </c>
      <c r="O22" s="29"/>
      <c r="P22" s="30"/>
      <c r="Q22" s="30"/>
      <c r="R22" s="31"/>
      <c r="S22" s="32"/>
      <c r="T22" s="33"/>
      <c r="U22" s="32"/>
      <c r="V22" s="34"/>
      <c r="W22" s="15"/>
    </row>
    <row r="23" spans="1:23" x14ac:dyDescent="0.25">
      <c r="A23" s="25" t="s">
        <v>10</v>
      </c>
      <c r="B23" s="26"/>
      <c r="C23" s="14">
        <f t="shared" ref="C23:J23" si="4">SUM(C6:C22)</f>
        <v>0</v>
      </c>
      <c r="D23" s="14">
        <f>SUM(D6:D22)</f>
        <v>28400</v>
      </c>
      <c r="E23" s="15">
        <f t="shared" si="4"/>
        <v>0</v>
      </c>
      <c r="F23" s="27">
        <f t="shared" si="4"/>
        <v>74500</v>
      </c>
      <c r="G23" s="16">
        <f t="shared" si="4"/>
        <v>102900</v>
      </c>
      <c r="H23" s="16">
        <f t="shared" si="4"/>
        <v>82425</v>
      </c>
      <c r="I23" s="16">
        <f t="shared" si="4"/>
        <v>20475</v>
      </c>
      <c r="J23" s="15">
        <f t="shared" si="4"/>
        <v>0</v>
      </c>
      <c r="N23" s="35" t="s">
        <v>12</v>
      </c>
      <c r="O23" s="35"/>
      <c r="P23" s="35"/>
      <c r="Q23" s="35"/>
      <c r="R23" s="36"/>
      <c r="S23" s="35" t="s">
        <v>7</v>
      </c>
      <c r="T23" s="3"/>
      <c r="U23" s="3"/>
      <c r="V23" s="3"/>
      <c r="W23" s="15"/>
    </row>
    <row r="24" spans="1:23" x14ac:dyDescent="0.25">
      <c r="E24" s="15"/>
      <c r="I24" s="28"/>
      <c r="J24" s="3"/>
      <c r="N24" s="37" t="s">
        <v>13</v>
      </c>
      <c r="O24" s="37" t="s">
        <v>14</v>
      </c>
      <c r="P24" s="37" t="s">
        <v>15</v>
      </c>
      <c r="Q24" s="37"/>
      <c r="R24" s="37" t="s">
        <v>16</v>
      </c>
      <c r="S24" s="37" t="s">
        <v>13</v>
      </c>
      <c r="T24" s="37" t="s">
        <v>14</v>
      </c>
      <c r="U24" s="37" t="s">
        <v>15</v>
      </c>
      <c r="V24" s="37" t="s">
        <v>16</v>
      </c>
      <c r="W24" s="3"/>
    </row>
    <row r="25" spans="1:23" x14ac:dyDescent="0.25">
      <c r="I25" s="28"/>
      <c r="N25" s="26" t="s">
        <v>114</v>
      </c>
      <c r="O25" s="38">
        <f>S20</f>
        <v>45000</v>
      </c>
      <c r="P25" s="26"/>
      <c r="Q25" s="26"/>
      <c r="R25" s="26"/>
      <c r="S25" s="26" t="s">
        <v>114</v>
      </c>
      <c r="T25" s="38">
        <f>U20</f>
        <v>35000</v>
      </c>
      <c r="U25" s="26"/>
      <c r="V25" s="26"/>
    </row>
    <row r="26" spans="1:23" x14ac:dyDescent="0.25">
      <c r="A26" s="3" t="s">
        <v>11</v>
      </c>
      <c r="B26" s="29"/>
      <c r="C26" s="30"/>
      <c r="D26" s="30"/>
      <c r="E26" s="31"/>
      <c r="F26" s="32"/>
      <c r="G26" s="33"/>
      <c r="H26" s="32"/>
      <c r="I26" s="34"/>
      <c r="J26" s="3"/>
      <c r="N26" s="26" t="s">
        <v>17</v>
      </c>
      <c r="O26" s="38">
        <f>'JULY 21'!R37</f>
        <v>0</v>
      </c>
      <c r="P26" s="26"/>
      <c r="Q26" s="26"/>
      <c r="R26" s="26"/>
      <c r="S26" s="26" t="s">
        <v>17</v>
      </c>
      <c r="T26" s="38">
        <f>'JULY 21'!V37</f>
        <v>-26000</v>
      </c>
      <c r="U26" s="26"/>
      <c r="V26" s="26"/>
      <c r="W26" s="3"/>
    </row>
    <row r="27" spans="1:23" x14ac:dyDescent="0.25">
      <c r="A27" s="35" t="s">
        <v>12</v>
      </c>
      <c r="B27" s="35"/>
      <c r="C27" s="35"/>
      <c r="D27" s="35"/>
      <c r="E27" s="36"/>
      <c r="F27" s="35" t="s">
        <v>7</v>
      </c>
      <c r="G27" s="3"/>
      <c r="H27" s="3"/>
      <c r="I27" s="3"/>
      <c r="N27" s="26" t="s">
        <v>9</v>
      </c>
      <c r="O27" s="38"/>
      <c r="P27" s="26"/>
      <c r="Q27" s="26"/>
      <c r="R27" s="26"/>
      <c r="S27" s="26"/>
      <c r="T27" s="38"/>
      <c r="U27" s="26"/>
      <c r="V27" s="26"/>
    </row>
    <row r="28" spans="1:23" x14ac:dyDescent="0.25">
      <c r="A28" s="37" t="s">
        <v>13</v>
      </c>
      <c r="B28" s="37" t="s">
        <v>14</v>
      </c>
      <c r="C28" s="37" t="s">
        <v>15</v>
      </c>
      <c r="D28" s="37"/>
      <c r="E28" s="37" t="s">
        <v>16</v>
      </c>
      <c r="F28" s="37" t="s">
        <v>13</v>
      </c>
      <c r="G28" s="37" t="s">
        <v>14</v>
      </c>
      <c r="H28" s="37" t="s">
        <v>15</v>
      </c>
      <c r="I28" s="37" t="s">
        <v>16</v>
      </c>
      <c r="J28" s="3"/>
      <c r="K28" s="28"/>
      <c r="N28" s="26" t="s">
        <v>3</v>
      </c>
      <c r="O28" s="38"/>
      <c r="P28" s="26"/>
      <c r="Q28" s="26"/>
      <c r="R28" s="26"/>
      <c r="S28" s="26"/>
      <c r="T28" s="38"/>
      <c r="U28" s="26"/>
      <c r="V28" s="26"/>
      <c r="W28" s="3"/>
    </row>
    <row r="29" spans="1:23" x14ac:dyDescent="0.25">
      <c r="A29" s="26" t="s">
        <v>114</v>
      </c>
      <c r="B29" s="38">
        <f>F23</f>
        <v>74500</v>
      </c>
      <c r="C29" s="26"/>
      <c r="D29" s="26"/>
      <c r="E29" s="26"/>
      <c r="F29" s="26" t="s">
        <v>114</v>
      </c>
      <c r="G29" s="38">
        <f>H23</f>
        <v>82425</v>
      </c>
      <c r="H29" s="26"/>
      <c r="I29" s="26"/>
      <c r="J29" s="34"/>
      <c r="N29" s="26" t="s">
        <v>19</v>
      </c>
      <c r="O29" s="39">
        <v>7.0000000000000007E-2</v>
      </c>
      <c r="P29" s="38">
        <f>O29*O25</f>
        <v>3150.0000000000005</v>
      </c>
      <c r="Q29" s="38"/>
      <c r="R29" s="26"/>
      <c r="S29" s="26" t="s">
        <v>19</v>
      </c>
      <c r="T29" s="39">
        <v>7.0000000000000007E-2</v>
      </c>
      <c r="U29" s="38">
        <f>T29*O25</f>
        <v>3150.0000000000005</v>
      </c>
      <c r="V29" s="26"/>
      <c r="W29" s="34"/>
    </row>
    <row r="30" spans="1:23" x14ac:dyDescent="0.25">
      <c r="A30" s="26" t="s">
        <v>17</v>
      </c>
      <c r="B30" s="38">
        <f>'JULY 21'!E41</f>
        <v>-23846</v>
      </c>
      <c r="C30" s="26"/>
      <c r="D30" s="26"/>
      <c r="E30" s="26"/>
      <c r="F30" s="26" t="s">
        <v>17</v>
      </c>
      <c r="G30" s="38">
        <f>'JULY 21'!I41</f>
        <v>-58246</v>
      </c>
      <c r="H30" s="26"/>
      <c r="I30" s="26"/>
      <c r="J30" s="34"/>
      <c r="N30" s="37" t="s">
        <v>20</v>
      </c>
      <c r="O30" s="26" t="s">
        <v>21</v>
      </c>
      <c r="P30" s="26"/>
      <c r="Q30" s="26"/>
      <c r="R30" s="26"/>
      <c r="S30" s="37" t="s">
        <v>20</v>
      </c>
      <c r="T30" s="40"/>
      <c r="U30" s="26"/>
      <c r="V30" s="26"/>
      <c r="W30" s="34"/>
    </row>
    <row r="31" spans="1:23" x14ac:dyDescent="0.25">
      <c r="A31" s="26" t="s">
        <v>9</v>
      </c>
      <c r="B31" s="38"/>
      <c r="C31" s="26"/>
      <c r="D31" s="26"/>
      <c r="E31" s="26"/>
      <c r="F31" s="26"/>
      <c r="G31" s="38"/>
      <c r="H31" s="26"/>
      <c r="I31" s="26"/>
      <c r="J31" s="34"/>
      <c r="N31" s="41" t="s">
        <v>22</v>
      </c>
      <c r="O31" s="39">
        <v>0.3</v>
      </c>
      <c r="P31" s="42"/>
      <c r="Q31" s="42"/>
      <c r="R31" s="26"/>
      <c r="S31" s="41" t="s">
        <v>22</v>
      </c>
      <c r="T31" s="39">
        <v>0.3</v>
      </c>
      <c r="U31" s="42"/>
      <c r="V31" s="26"/>
      <c r="W31" s="34" t="s">
        <v>18</v>
      </c>
    </row>
    <row r="32" spans="1:23" x14ac:dyDescent="0.25">
      <c r="A32" s="26" t="s">
        <v>3</v>
      </c>
      <c r="B32" s="38"/>
      <c r="C32" s="26"/>
      <c r="D32" s="26"/>
      <c r="E32" s="26"/>
      <c r="F32" s="26"/>
      <c r="G32" s="38"/>
      <c r="H32" s="26"/>
      <c r="I32" s="26"/>
      <c r="J32" s="34"/>
      <c r="L32" s="44"/>
      <c r="N32" s="40" t="s">
        <v>119</v>
      </c>
      <c r="P32">
        <v>41850</v>
      </c>
      <c r="R32" s="42"/>
      <c r="S32" s="40" t="s">
        <v>119</v>
      </c>
      <c r="U32">
        <v>41850</v>
      </c>
      <c r="V32" s="26"/>
      <c r="W32" s="3"/>
    </row>
    <row r="33" spans="1:24" x14ac:dyDescent="0.25">
      <c r="A33" s="26" t="s">
        <v>19</v>
      </c>
      <c r="B33" s="39">
        <v>7.0000000000000007E-2</v>
      </c>
      <c r="C33" s="38">
        <f>B33*B29</f>
        <v>5215.0000000000009</v>
      </c>
      <c r="D33" s="38"/>
      <c r="E33" s="26"/>
      <c r="F33" s="26" t="s">
        <v>19</v>
      </c>
      <c r="G33" s="39">
        <v>7.0000000000000007E-2</v>
      </c>
      <c r="H33" s="38">
        <f>G33*B29</f>
        <v>5215.0000000000009</v>
      </c>
      <c r="I33" s="26"/>
      <c r="J33" s="34"/>
      <c r="L33" s="44"/>
      <c r="N33" s="40"/>
      <c r="O33" s="39"/>
      <c r="P33" s="26"/>
      <c r="Q33" s="26"/>
      <c r="R33" s="26"/>
      <c r="S33" s="40"/>
      <c r="T33" s="39"/>
      <c r="U33" s="26"/>
      <c r="V33" s="26"/>
      <c r="W33" s="34"/>
    </row>
    <row r="34" spans="1:24" x14ac:dyDescent="0.25">
      <c r="A34" s="37" t="s">
        <v>20</v>
      </c>
      <c r="B34" s="26" t="s">
        <v>21</v>
      </c>
      <c r="C34" s="26"/>
      <c r="D34" s="26"/>
      <c r="E34" s="26"/>
      <c r="F34" s="37" t="s">
        <v>20</v>
      </c>
      <c r="G34" s="40"/>
      <c r="H34" s="26"/>
      <c r="I34" s="26"/>
      <c r="J34" s="34"/>
      <c r="K34" s="44"/>
      <c r="N34" s="40"/>
      <c r="O34" s="39"/>
      <c r="P34" s="26"/>
      <c r="Q34" s="26"/>
      <c r="R34" s="26"/>
      <c r="S34" s="40"/>
      <c r="T34" s="39"/>
      <c r="U34" s="26"/>
      <c r="V34" s="26"/>
      <c r="W34" s="34"/>
    </row>
    <row r="35" spans="1:24" x14ac:dyDescent="0.25">
      <c r="A35" s="41" t="s">
        <v>22</v>
      </c>
      <c r="B35" s="39">
        <v>0.3</v>
      </c>
      <c r="C35" s="42"/>
      <c r="D35" s="42"/>
      <c r="E35" s="26"/>
      <c r="F35" s="41" t="s">
        <v>22</v>
      </c>
      <c r="G35" s="39">
        <v>0.3</v>
      </c>
      <c r="H35" s="42"/>
      <c r="I35" s="26"/>
      <c r="J35" s="3"/>
      <c r="N35" s="40"/>
      <c r="O35" s="26"/>
      <c r="P35" s="42"/>
      <c r="Q35" s="42"/>
      <c r="R35" s="26"/>
      <c r="S35" s="40"/>
      <c r="T35" s="26"/>
      <c r="U35" s="42"/>
      <c r="V35" s="26"/>
      <c r="W35" s="3"/>
    </row>
    <row r="36" spans="1:24" x14ac:dyDescent="0.25">
      <c r="A36" s="40" t="s">
        <v>118</v>
      </c>
      <c r="C36">
        <v>1500</v>
      </c>
      <c r="E36" s="42"/>
      <c r="F36" s="40" t="s">
        <v>118</v>
      </c>
      <c r="H36">
        <v>1500</v>
      </c>
      <c r="I36" s="26"/>
      <c r="J36" s="3"/>
      <c r="K36" s="44"/>
      <c r="N36" s="40"/>
      <c r="O36" s="26"/>
      <c r="P36" s="42"/>
      <c r="Q36" s="42"/>
      <c r="R36" s="26"/>
      <c r="S36" s="40"/>
      <c r="T36" s="26"/>
      <c r="U36" s="42"/>
      <c r="V36" s="26"/>
      <c r="W36" s="3"/>
    </row>
    <row r="37" spans="1:24" x14ac:dyDescent="0.25">
      <c r="A37" s="40" t="s">
        <v>119</v>
      </c>
      <c r="B37" s="39"/>
      <c r="C37" s="42">
        <v>56327</v>
      </c>
      <c r="D37" s="26"/>
      <c r="E37" s="26"/>
      <c r="F37" s="40" t="s">
        <v>119</v>
      </c>
      <c r="G37" s="39"/>
      <c r="H37" s="42">
        <v>56327</v>
      </c>
      <c r="I37" s="26"/>
      <c r="J37" s="34"/>
      <c r="K37" s="28"/>
      <c r="M37" s="44"/>
      <c r="N37" s="37" t="s">
        <v>10</v>
      </c>
      <c r="O37" s="45">
        <f>O28+O25+O26+O27</f>
        <v>45000</v>
      </c>
      <c r="P37" s="45">
        <f>SUM(P29:P36)</f>
        <v>45000</v>
      </c>
      <c r="Q37" s="45"/>
      <c r="R37" s="45">
        <f>O37-P37</f>
        <v>0</v>
      </c>
      <c r="S37" s="37" t="s">
        <v>10</v>
      </c>
      <c r="T37" s="45">
        <f>T25+T26+T28-U29</f>
        <v>5850</v>
      </c>
      <c r="U37" s="45">
        <f>SUM(U31:U36)</f>
        <v>41850</v>
      </c>
      <c r="V37" s="45">
        <f>T37-U37</f>
        <v>-36000</v>
      </c>
      <c r="W37" s="34"/>
      <c r="X37" s="28"/>
    </row>
    <row r="38" spans="1:24" x14ac:dyDescent="0.25">
      <c r="A38" s="40"/>
      <c r="B38" s="39"/>
      <c r="C38" s="26"/>
      <c r="D38" s="26"/>
      <c r="E38" s="26"/>
      <c r="F38" s="40"/>
      <c r="G38" s="39"/>
      <c r="H38" s="26"/>
      <c r="I38" s="26"/>
      <c r="J38" s="43"/>
      <c r="K38" s="28"/>
      <c r="L38" s="44"/>
      <c r="N38" s="46" t="s">
        <v>23</v>
      </c>
      <c r="O38" s="47"/>
      <c r="P38" s="47" t="s">
        <v>24</v>
      </c>
      <c r="Q38" s="47"/>
      <c r="R38" s="48"/>
      <c r="S38" s="46"/>
      <c r="T38" s="46" t="s">
        <v>25</v>
      </c>
      <c r="U38" s="3"/>
      <c r="V38" s="3"/>
      <c r="W38" s="43"/>
      <c r="X38" s="28"/>
    </row>
    <row r="39" spans="1:24" x14ac:dyDescent="0.25">
      <c r="A39" s="40"/>
      <c r="B39" s="26"/>
      <c r="C39" s="42"/>
      <c r="D39" s="42"/>
      <c r="E39" s="26"/>
      <c r="F39" s="40"/>
      <c r="G39" s="26"/>
      <c r="H39" s="42"/>
      <c r="I39" s="26"/>
      <c r="J39" s="3"/>
      <c r="K39" s="28"/>
      <c r="N39" s="46" t="s">
        <v>26</v>
      </c>
      <c r="O39" s="47"/>
      <c r="P39" s="47" t="s">
        <v>27</v>
      </c>
      <c r="Q39" s="47"/>
      <c r="R39" s="48"/>
      <c r="S39" s="46"/>
      <c r="T39" s="46" t="s">
        <v>44</v>
      </c>
      <c r="U39" s="3"/>
      <c r="W39" s="3"/>
      <c r="X39" s="28"/>
    </row>
    <row r="40" spans="1:24" x14ac:dyDescent="0.25">
      <c r="A40" s="40"/>
      <c r="B40" s="26"/>
      <c r="C40" s="42"/>
      <c r="D40" s="42"/>
      <c r="E40" s="26"/>
      <c r="F40" s="40"/>
      <c r="G40" s="26"/>
      <c r="H40" s="42"/>
      <c r="I40" s="26"/>
      <c r="J40" s="3"/>
      <c r="K40" s="44"/>
      <c r="W40" s="3"/>
      <c r="X40" s="44"/>
    </row>
    <row r="41" spans="1:24" x14ac:dyDescent="0.25">
      <c r="A41" s="37" t="s">
        <v>10</v>
      </c>
      <c r="B41" s="45">
        <f>B32+B29+B30+B31</f>
        <v>50654</v>
      </c>
      <c r="C41" s="45">
        <f>SUM(C33:C40)</f>
        <v>63042</v>
      </c>
      <c r="D41" s="45"/>
      <c r="E41" s="45">
        <f>B41-C41</f>
        <v>-12388</v>
      </c>
      <c r="F41" s="37" t="s">
        <v>10</v>
      </c>
      <c r="G41" s="45">
        <f>G29+G30+G32-H33</f>
        <v>18964</v>
      </c>
      <c r="H41" s="45">
        <f>SUM(H35:H40)</f>
        <v>57827</v>
      </c>
      <c r="I41" s="45">
        <f>G41-H41</f>
        <v>-38863</v>
      </c>
      <c r="J41" s="43"/>
      <c r="W41" s="43"/>
    </row>
    <row r="42" spans="1:24" x14ac:dyDescent="0.25">
      <c r="A42" s="46" t="s">
        <v>23</v>
      </c>
      <c r="B42" s="47"/>
      <c r="C42" s="47" t="s">
        <v>24</v>
      </c>
      <c r="D42" s="47"/>
      <c r="E42" s="48"/>
      <c r="F42" s="46"/>
      <c r="G42" s="46" t="s">
        <v>25</v>
      </c>
      <c r="H42" s="3"/>
      <c r="I42" s="3"/>
      <c r="J42" s="43"/>
      <c r="K42" s="44"/>
      <c r="S42" s="44"/>
      <c r="W42" s="43"/>
    </row>
    <row r="43" spans="1:24" x14ac:dyDescent="0.25">
      <c r="A43" t="s">
        <v>26</v>
      </c>
      <c r="C43" t="s">
        <v>27</v>
      </c>
      <c r="G43" t="s">
        <v>44</v>
      </c>
      <c r="S43" s="44"/>
    </row>
    <row r="44" spans="1:24" x14ac:dyDescent="0.25">
      <c r="O44" s="28"/>
    </row>
    <row r="47" spans="1:24" x14ac:dyDescent="0.25">
      <c r="G47">
        <f>2*6500</f>
        <v>13000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 21</vt:lpstr>
      <vt:lpstr>MAY 20</vt:lpstr>
      <vt:lpstr>JUNE21</vt:lpstr>
      <vt:lpstr>JULY 21</vt:lpstr>
      <vt:lpstr>AUGUST  21</vt:lpstr>
      <vt:lpstr>SEPT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2021-03-10T07:37:32Z</cp:lastPrinted>
  <dcterms:created xsi:type="dcterms:W3CDTF">2020-11-25T13:55:37Z</dcterms:created>
  <dcterms:modified xsi:type="dcterms:W3CDTF">2021-12-17T08:20:42Z</dcterms:modified>
</cp:coreProperties>
</file>