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none" defaultThemeVersion="124226"/>
  <bookViews>
    <workbookView xWindow="1200" yWindow="930" windowWidth="17475" windowHeight="10965" firstSheet="17" activeTab="21"/>
  </bookViews>
  <sheets>
    <sheet name="MARCH 20" sheetId="1" r:id="rId1"/>
    <sheet name="APRIL 20" sheetId="2" r:id="rId2"/>
    <sheet name="MAY 20" sheetId="3" r:id="rId3"/>
    <sheet name="JUNE 20" sheetId="4" r:id="rId4"/>
    <sheet name="JULY 20" sheetId="5" r:id="rId5"/>
    <sheet name="AUG 20" sheetId="6" r:id="rId6"/>
    <sheet name="SEPTEMBER 20" sheetId="7" r:id="rId7"/>
    <sheet name="OCTOBER 20" sheetId="8" r:id="rId8"/>
    <sheet name="NOVEMBR20" sheetId="9" r:id="rId9"/>
    <sheet name="DECEMBER 20" sheetId="10" r:id="rId10"/>
    <sheet name="JANUARY 21" sheetId="11" r:id="rId11"/>
    <sheet name="FEBRUARY21" sheetId="12" r:id="rId12"/>
    <sheet name="MARCH 21" sheetId="13" r:id="rId13"/>
    <sheet name="APRIL 21" sheetId="14" r:id="rId14"/>
    <sheet name="MAY 21" sheetId="15" r:id="rId15"/>
    <sheet name="JUNE 21" sheetId="16" r:id="rId16"/>
    <sheet name="JULY 21" sheetId="17" r:id="rId17"/>
    <sheet name="AUGUST 21" sheetId="18" r:id="rId18"/>
    <sheet name="SEPT 21" sheetId="19" r:id="rId19"/>
    <sheet name="OCTOBER 21" sheetId="20" r:id="rId20"/>
    <sheet name="NOVEMBER 21" sheetId="21" r:id="rId21"/>
    <sheet name="DECEMBER 21" sheetId="22" r:id="rId22"/>
  </sheets>
  <calcPr calcId="144525"/>
</workbook>
</file>

<file path=xl/calcChain.xml><?xml version="1.0" encoding="utf-8"?>
<calcChain xmlns="http://schemas.openxmlformats.org/spreadsheetml/2006/main">
  <c r="I19" i="22" l="1"/>
  <c r="M38" i="22" l="1"/>
  <c r="M34" i="22"/>
  <c r="H12" i="19" l="1"/>
  <c r="I12" i="20"/>
  <c r="L20" i="21" l="1"/>
  <c r="N36" i="22" l="1"/>
  <c r="P38" i="16"/>
  <c r="L37" i="17"/>
  <c r="M37" i="17" s="1"/>
  <c r="N37" i="16"/>
  <c r="O38" i="16" s="1"/>
  <c r="I19" i="21" l="1"/>
  <c r="I38" i="22" l="1"/>
  <c r="L20" i="22"/>
  <c r="K20" i="22"/>
  <c r="G20" i="22"/>
  <c r="D25" i="22" s="1"/>
  <c r="L31" i="22" s="1"/>
  <c r="F20" i="22"/>
  <c r="E20" i="22"/>
  <c r="C20" i="22"/>
  <c r="D27" i="22" s="1"/>
  <c r="I20" i="22"/>
  <c r="H25" i="22" s="1"/>
  <c r="I29" i="22" l="1"/>
  <c r="E29" i="22"/>
  <c r="E38" i="22" l="1"/>
  <c r="L32" i="22"/>
  <c r="L33" i="22" s="1"/>
  <c r="I10" i="20"/>
  <c r="I13" i="20"/>
  <c r="L35" i="22" l="1"/>
  <c r="L37" i="22" s="1"/>
  <c r="L39" i="22" s="1"/>
  <c r="M31" i="22"/>
  <c r="M33" i="22" s="1"/>
  <c r="M35" i="22" s="1"/>
  <c r="M37" i="22" s="1"/>
  <c r="M39" i="22" s="1"/>
  <c r="M41" i="22" s="1"/>
  <c r="M43" i="22" s="1"/>
  <c r="I8" i="20"/>
  <c r="I16" i="20"/>
  <c r="N23" i="19" l="1"/>
  <c r="I38" i="21" l="1"/>
  <c r="K20" i="21"/>
  <c r="G20" i="21"/>
  <c r="D25" i="21" s="1"/>
  <c r="F20" i="21"/>
  <c r="E20" i="21"/>
  <c r="C20" i="21"/>
  <c r="I20" i="21"/>
  <c r="H25" i="21" s="1"/>
  <c r="I29" i="21" l="1"/>
  <c r="E29" i="21"/>
  <c r="E38" i="21" s="1"/>
  <c r="D27" i="20"/>
  <c r="I19" i="20" l="1"/>
  <c r="I15" i="20" l="1"/>
  <c r="I5" i="20"/>
  <c r="H19" i="19" l="1"/>
  <c r="J10" i="19"/>
  <c r="H10" i="19"/>
  <c r="I7" i="20" l="1"/>
  <c r="L37" i="19" l="1"/>
  <c r="L20" i="20"/>
  <c r="K20" i="20"/>
  <c r="I34" i="20" s="1"/>
  <c r="I38" i="20" s="1"/>
  <c r="G20" i="20"/>
  <c r="D25" i="20" s="1"/>
  <c r="F20" i="20"/>
  <c r="E20" i="20"/>
  <c r="C20" i="20"/>
  <c r="I20" i="20"/>
  <c r="H25" i="20" s="1"/>
  <c r="I29" i="20" l="1"/>
  <c r="E29" i="20"/>
  <c r="E38" i="20" s="1"/>
  <c r="L24" i="19"/>
  <c r="K20" i="18"/>
  <c r="H8" i="19" l="1"/>
  <c r="H5" i="19" l="1"/>
  <c r="H15" i="19" l="1"/>
  <c r="H9" i="19" l="1"/>
  <c r="H38" i="19" l="1"/>
  <c r="K20" i="19"/>
  <c r="J20" i="19"/>
  <c r="H20" i="19"/>
  <c r="G25" i="19" s="1"/>
  <c r="F20" i="19"/>
  <c r="C25" i="19" s="1"/>
  <c r="E20" i="19"/>
  <c r="D20" i="19"/>
  <c r="B20" i="19"/>
  <c r="G16" i="19"/>
  <c r="I16" i="19" s="1"/>
  <c r="G14" i="19"/>
  <c r="I14" i="19" s="1"/>
  <c r="D14" i="20" s="1"/>
  <c r="H14" i="20" s="1"/>
  <c r="J14" i="20" s="1"/>
  <c r="D14" i="21" s="1"/>
  <c r="H14" i="21" s="1"/>
  <c r="J14" i="21" s="1"/>
  <c r="D14" i="22" s="1"/>
  <c r="H14" i="22" s="1"/>
  <c r="J14" i="22" s="1"/>
  <c r="G13" i="19"/>
  <c r="I13" i="19" s="1"/>
  <c r="N24" i="18"/>
  <c r="N25" i="18" s="1"/>
  <c r="N28" i="18" s="1"/>
  <c r="Q34" i="18"/>
  <c r="H16" i="20" l="1"/>
  <c r="J16" i="20" s="1"/>
  <c r="D16" i="21" s="1"/>
  <c r="H16" i="21" s="1"/>
  <c r="J16" i="21" s="1"/>
  <c r="D16" i="22" s="1"/>
  <c r="H16" i="22" s="1"/>
  <c r="J16" i="22" s="1"/>
  <c r="D13" i="20"/>
  <c r="H13" i="20" s="1"/>
  <c r="J13" i="20" s="1"/>
  <c r="D13" i="21" s="1"/>
  <c r="H13" i="21" s="1"/>
  <c r="J13" i="21" s="1"/>
  <c r="D13" i="22" s="1"/>
  <c r="H13" i="22" s="1"/>
  <c r="J13" i="22" s="1"/>
  <c r="H29" i="19"/>
  <c r="D29" i="19"/>
  <c r="D38" i="19" s="1"/>
  <c r="Q29" i="18"/>
  <c r="L36" i="19" l="1"/>
  <c r="L38" i="19" s="1"/>
  <c r="L40" i="19" s="1"/>
  <c r="I10" i="18" l="1"/>
  <c r="O27" i="18" l="1"/>
  <c r="P27" i="18" s="1"/>
  <c r="P32" i="18" l="1"/>
  <c r="P33" i="18" s="1"/>
  <c r="I17" i="18"/>
  <c r="I11" i="18" l="1"/>
  <c r="I15" i="18" l="1"/>
  <c r="I16" i="18" l="1"/>
  <c r="I9" i="18"/>
  <c r="N30" i="18" l="1"/>
  <c r="E20" i="18"/>
  <c r="N25" i="17"/>
  <c r="O25" i="17" s="1"/>
  <c r="M22" i="17"/>
  <c r="M23" i="17" s="1"/>
  <c r="M26" i="17" s="1"/>
  <c r="I38" i="18" l="1"/>
  <c r="L20" i="18"/>
  <c r="G20" i="18"/>
  <c r="D25" i="18" s="1"/>
  <c r="F20" i="18"/>
  <c r="C20" i="18"/>
  <c r="I20" i="18"/>
  <c r="H25" i="18" s="1"/>
  <c r="Q33" i="18" l="1"/>
  <c r="Q37" i="18" s="1"/>
  <c r="Q39" i="18" s="1"/>
  <c r="P30" i="18"/>
  <c r="E29" i="18"/>
  <c r="E38" i="18" s="1"/>
  <c r="I29" i="18"/>
  <c r="I16" i="17"/>
  <c r="I15" i="17"/>
  <c r="L34" i="18" l="1"/>
  <c r="L37" i="18" s="1"/>
  <c r="I19" i="17"/>
  <c r="I17" i="17"/>
  <c r="I5" i="17" l="1"/>
  <c r="F20" i="17" l="1"/>
  <c r="E20" i="17"/>
  <c r="I7" i="17" l="1"/>
  <c r="G6" i="16" l="1"/>
  <c r="G19" i="16" l="1"/>
  <c r="I36" i="17" l="1"/>
  <c r="L20" i="17"/>
  <c r="K20" i="17"/>
  <c r="G20" i="17"/>
  <c r="D25" i="17" s="1"/>
  <c r="C20" i="17"/>
  <c r="I20" i="17"/>
  <c r="H25" i="17" s="1"/>
  <c r="O26" i="17" l="1"/>
  <c r="I29" i="17"/>
  <c r="E29" i="17"/>
  <c r="E36" i="17" s="1"/>
  <c r="G8" i="16"/>
  <c r="P27" i="17" l="1"/>
  <c r="O28" i="17"/>
  <c r="G13" i="16"/>
  <c r="G17" i="16" l="1"/>
  <c r="G16" i="16" l="1"/>
  <c r="G18" i="16" l="1"/>
  <c r="J20" i="16" l="1"/>
  <c r="R43" i="18" s="1"/>
  <c r="O40" i="18" s="1"/>
  <c r="I20" i="16"/>
  <c r="G15" i="16" l="1"/>
  <c r="G9" i="16" l="1"/>
  <c r="G5" i="16" l="1"/>
  <c r="G7" i="16" l="1"/>
  <c r="F6" i="16" l="1"/>
  <c r="H6" i="16" s="1"/>
  <c r="D6" i="17" s="1"/>
  <c r="I36" i="16"/>
  <c r="E20" i="16"/>
  <c r="D25" i="16" s="1"/>
  <c r="C20" i="16"/>
  <c r="F7" i="16"/>
  <c r="H7" i="16" s="1"/>
  <c r="D7" i="17" s="1"/>
  <c r="G20" i="16"/>
  <c r="H25" i="16" s="1"/>
  <c r="H7" i="17" l="1"/>
  <c r="J7" i="17" s="1"/>
  <c r="D7" i="18" s="1"/>
  <c r="H7" i="18" s="1"/>
  <c r="J7" i="18" s="1"/>
  <c r="C7" i="19" s="1"/>
  <c r="G7" i="19" s="1"/>
  <c r="I7" i="19" s="1"/>
  <c r="D7" i="20" s="1"/>
  <c r="H7" i="20" s="1"/>
  <c r="J7" i="20" s="1"/>
  <c r="D7" i="21" s="1"/>
  <c r="H7" i="21" s="1"/>
  <c r="J7" i="21" s="1"/>
  <c r="D7" i="22" s="1"/>
  <c r="H7" i="22" s="1"/>
  <c r="J7" i="22" s="1"/>
  <c r="H6" i="17"/>
  <c r="J6" i="17" s="1"/>
  <c r="D6" i="18" s="1"/>
  <c r="I29" i="16"/>
  <c r="E29" i="16"/>
  <c r="E36" i="16" s="1"/>
  <c r="H6" i="18" l="1"/>
  <c r="J6" i="18" s="1"/>
  <c r="C6" i="19" s="1"/>
  <c r="G6" i="19" s="1"/>
  <c r="I6" i="19" s="1"/>
  <c r="D6" i="20" s="1"/>
  <c r="H6" i="20" s="1"/>
  <c r="J6" i="20" s="1"/>
  <c r="D6" i="21" s="1"/>
  <c r="H6" i="21" s="1"/>
  <c r="J6" i="21" s="1"/>
  <c r="D6" i="22" s="1"/>
  <c r="H6" i="22" s="1"/>
  <c r="J6" i="22" s="1"/>
  <c r="I33" i="15" l="1"/>
  <c r="E33" i="15"/>
  <c r="G15" i="14" l="1"/>
  <c r="G16" i="15" l="1"/>
  <c r="G19" i="15"/>
  <c r="G17" i="15"/>
  <c r="G15" i="15" l="1"/>
  <c r="G11" i="15"/>
  <c r="G8" i="15" l="1"/>
  <c r="G5" i="15"/>
  <c r="G13" i="15" l="1"/>
  <c r="F16" i="15" l="1"/>
  <c r="H16" i="15" s="1"/>
  <c r="D16" i="16" s="1"/>
  <c r="F16" i="16" s="1"/>
  <c r="H16" i="16" s="1"/>
  <c r="D16" i="17" s="1"/>
  <c r="H16" i="17" s="1"/>
  <c r="J16" i="17" s="1"/>
  <c r="D16" i="18" s="1"/>
  <c r="H16" i="18" s="1"/>
  <c r="J16" i="18" s="1"/>
  <c r="I40" i="15" l="1"/>
  <c r="E20" i="15"/>
  <c r="C20" i="15"/>
  <c r="G20" i="15"/>
  <c r="H25" i="15" l="1"/>
  <c r="D25" i="15"/>
  <c r="I29" i="15" s="1"/>
  <c r="G13" i="14"/>
  <c r="E29" i="15" l="1"/>
  <c r="E40" i="15" s="1"/>
  <c r="G8" i="14"/>
  <c r="G17" i="14" l="1"/>
  <c r="G14" i="14" l="1"/>
  <c r="D6" i="14" l="1"/>
  <c r="D5" i="14"/>
  <c r="I40" i="14" l="1"/>
  <c r="E20" i="14"/>
  <c r="D25" i="14" s="1"/>
  <c r="C20" i="14"/>
  <c r="G20" i="14"/>
  <c r="H25" i="14" s="1"/>
  <c r="F6" i="14"/>
  <c r="H6" i="14" s="1"/>
  <c r="D6" i="15" s="1"/>
  <c r="F6" i="15" s="1"/>
  <c r="H6" i="15" s="1"/>
  <c r="I29" i="14" l="1"/>
  <c r="E29" i="14"/>
  <c r="E40" i="14" s="1"/>
  <c r="F5" i="14"/>
  <c r="G13" i="13"/>
  <c r="H5" i="14" l="1"/>
  <c r="G10" i="13"/>
  <c r="D5" i="16" l="1"/>
  <c r="D5" i="15"/>
  <c r="G9" i="13"/>
  <c r="F5" i="15" l="1"/>
  <c r="F5" i="16"/>
  <c r="G8" i="13"/>
  <c r="H5" i="15" l="1"/>
  <c r="H5" i="16"/>
  <c r="G18" i="13"/>
  <c r="G16" i="13"/>
  <c r="D5" i="17" l="1"/>
  <c r="G43" i="12"/>
  <c r="H5" i="17" l="1"/>
  <c r="I40" i="13"/>
  <c r="E20" i="13"/>
  <c r="D25" i="13" s="1"/>
  <c r="C20" i="13"/>
  <c r="G20" i="13"/>
  <c r="H25" i="13" s="1"/>
  <c r="J5" i="17" l="1"/>
  <c r="P28" i="13"/>
  <c r="P30" i="13" s="1"/>
  <c r="I29" i="13"/>
  <c r="E29" i="13"/>
  <c r="M32" i="13" s="1"/>
  <c r="G10" i="12"/>
  <c r="G13" i="12"/>
  <c r="D5" i="18" l="1"/>
  <c r="H5" i="18" s="1"/>
  <c r="E40" i="13"/>
  <c r="P31" i="13"/>
  <c r="P32" i="13" s="1"/>
  <c r="P34" i="13" s="1"/>
  <c r="P36" i="13" s="1"/>
  <c r="P38" i="13" s="1"/>
  <c r="R40" i="13" s="1"/>
  <c r="R41" i="13" s="1"/>
  <c r="G5" i="12"/>
  <c r="J5" i="18" l="1"/>
  <c r="C5" i="19" s="1"/>
  <c r="G5" i="19" s="1"/>
  <c r="I5" i="19" s="1"/>
  <c r="D5" i="20" s="1"/>
  <c r="H5" i="20" s="1"/>
  <c r="J5" i="20" s="1"/>
  <c r="D5" i="21" s="1"/>
  <c r="H5" i="21" s="1"/>
  <c r="J5" i="21" s="1"/>
  <c r="D5" i="22" s="1"/>
  <c r="K15" i="12"/>
  <c r="E20" i="12"/>
  <c r="H5" i="22" l="1"/>
  <c r="I40" i="12"/>
  <c r="D25" i="12"/>
  <c r="C20" i="12"/>
  <c r="G20" i="12"/>
  <c r="H25" i="12" s="1"/>
  <c r="J5" i="22" l="1"/>
  <c r="I29" i="12"/>
  <c r="E29" i="12"/>
  <c r="E40" i="12" s="1"/>
  <c r="G13" i="11" l="1"/>
  <c r="G10" i="11" l="1"/>
  <c r="G12" i="11" l="1"/>
  <c r="G14" i="11" l="1"/>
  <c r="I39" i="11" l="1"/>
  <c r="E20" i="11"/>
  <c r="D25" i="11" s="1"/>
  <c r="C20" i="11"/>
  <c r="D28" i="11" s="1"/>
  <c r="F15" i="1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G20" i="11"/>
  <c r="H25" i="11" s="1"/>
  <c r="G13" i="10"/>
  <c r="H15" i="17" l="1"/>
  <c r="J15" i="17" s="1"/>
  <c r="D15" i="18" s="1"/>
  <c r="H15" i="18" s="1"/>
  <c r="J15" i="18" s="1"/>
  <c r="C15" i="19" s="1"/>
  <c r="G15" i="19" s="1"/>
  <c r="I15" i="19" s="1"/>
  <c r="D15" i="20" s="1"/>
  <c r="H15" i="20" s="1"/>
  <c r="J15" i="20" s="1"/>
  <c r="D15" i="21" s="1"/>
  <c r="H15" i="21" s="1"/>
  <c r="J15" i="21" s="1"/>
  <c r="D15" i="22" s="1"/>
  <c r="H15" i="22" s="1"/>
  <c r="J15" i="22" s="1"/>
  <c r="I29" i="11"/>
  <c r="E29" i="11"/>
  <c r="E39" i="11" s="1"/>
  <c r="G8" i="10"/>
  <c r="G7" i="10" l="1"/>
  <c r="G10" i="9" l="1"/>
  <c r="I38" i="10" l="1"/>
  <c r="E20" i="10"/>
  <c r="D25" i="10" s="1"/>
  <c r="C20" i="10"/>
  <c r="D27" i="10" s="1"/>
  <c r="G20" i="10"/>
  <c r="H25" i="10" s="1"/>
  <c r="I28" i="10" l="1"/>
  <c r="E28" i="10"/>
  <c r="G6" i="9"/>
  <c r="E38" i="10" l="1"/>
  <c r="I38" i="7"/>
  <c r="I38" i="9" l="1"/>
  <c r="E20" i="9"/>
  <c r="D25" i="9" s="1"/>
  <c r="L28" i="9" s="1"/>
  <c r="C20" i="9"/>
  <c r="D27" i="9" s="1"/>
  <c r="G20" i="9"/>
  <c r="H25" i="9" s="1"/>
  <c r="I28" i="9" l="1"/>
  <c r="E28" i="9"/>
  <c r="G13" i="8"/>
  <c r="E38" i="9" l="1"/>
  <c r="L29" i="9"/>
  <c r="L30" i="9" s="1"/>
  <c r="G18" i="8"/>
  <c r="G14" i="8" l="1"/>
  <c r="G6" i="8" l="1"/>
  <c r="G12" i="8" l="1"/>
  <c r="G5" i="8" l="1"/>
  <c r="G15" i="8" l="1"/>
  <c r="G11" i="8" l="1"/>
  <c r="G7" i="8" l="1"/>
  <c r="G8" i="8" l="1"/>
  <c r="G10" i="8" l="1"/>
  <c r="I38" i="8" l="1"/>
  <c r="E20" i="8"/>
  <c r="D25" i="8" s="1"/>
  <c r="C20" i="8"/>
  <c r="D27" i="8" s="1"/>
  <c r="G20" i="8"/>
  <c r="H25" i="8" s="1"/>
  <c r="I28" i="8" l="1"/>
  <c r="E28" i="8"/>
  <c r="E38" i="8" s="1"/>
  <c r="G10" i="7"/>
  <c r="G8" i="4" l="1"/>
  <c r="G8" i="3"/>
  <c r="G14" i="7" l="1"/>
  <c r="G5" i="7" l="1"/>
  <c r="G7" i="7" l="1"/>
  <c r="G11" i="7" l="1"/>
  <c r="G6" i="7" l="1"/>
  <c r="E20" i="7" l="1"/>
  <c r="D25" i="7" s="1"/>
  <c r="C20" i="7"/>
  <c r="D27" i="7" s="1"/>
  <c r="G20" i="7"/>
  <c r="H25" i="7" s="1"/>
  <c r="E28" i="7" l="1"/>
  <c r="E38" i="7" s="1"/>
  <c r="I28" i="7"/>
  <c r="G10" i="6"/>
  <c r="I32" i="6" l="1"/>
  <c r="I38" i="6" s="1"/>
  <c r="G11" i="6" l="1"/>
  <c r="G7" i="6" l="1"/>
  <c r="G14" i="6" l="1"/>
  <c r="G6" i="6" l="1"/>
  <c r="I38" i="5" l="1"/>
  <c r="E20" i="6" l="1"/>
  <c r="D25" i="6" s="1"/>
  <c r="C20" i="6"/>
  <c r="D27" i="6" s="1"/>
  <c r="F19" i="6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G20" i="6"/>
  <c r="D19" i="10" l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D19" i="16" s="1"/>
  <c r="F19" i="16" s="1"/>
  <c r="H19" i="16" s="1"/>
  <c r="D19" i="17" s="1"/>
  <c r="H19" i="17" s="1"/>
  <c r="J19" i="17" s="1"/>
  <c r="D19" i="18" s="1"/>
  <c r="H19" i="18" s="1"/>
  <c r="J19" i="18" s="1"/>
  <c r="C19" i="19" s="1"/>
  <c r="H25" i="6"/>
  <c r="I28" i="6"/>
  <c r="E28" i="6"/>
  <c r="E38" i="6" s="1"/>
  <c r="G19" i="19" l="1"/>
  <c r="G16" i="5"/>
  <c r="I19" i="19" l="1"/>
  <c r="G17" i="4"/>
  <c r="F9" i="4"/>
  <c r="H9" i="4" s="1"/>
  <c r="G11" i="4"/>
  <c r="G14" i="4"/>
  <c r="F16" i="4"/>
  <c r="H16" i="4" s="1"/>
  <c r="G18" i="4"/>
  <c r="F19" i="4"/>
  <c r="H19" i="4" s="1"/>
  <c r="C20" i="4"/>
  <c r="D27" i="4" s="1"/>
  <c r="E20" i="4"/>
  <c r="D25" i="4" s="1"/>
  <c r="E31" i="4"/>
  <c r="I31" i="4" s="1"/>
  <c r="E32" i="4"/>
  <c r="I28" i="4" l="1"/>
  <c r="I38" i="4" s="1"/>
  <c r="I39" i="4" s="1"/>
  <c r="E28" i="4"/>
  <c r="G20" i="4"/>
  <c r="H25" i="4" s="1"/>
  <c r="E38" i="4"/>
  <c r="D19" i="20"/>
  <c r="H19" i="20" l="1"/>
  <c r="D9" i="5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10" i="16" s="1"/>
  <c r="F10" i="16" s="1"/>
  <c r="H10" i="16" s="1"/>
  <c r="D10" i="17" s="1"/>
  <c r="D16" i="5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G20" i="5"/>
  <c r="H25" i="5" s="1"/>
  <c r="E20" i="5"/>
  <c r="D25" i="5" s="1"/>
  <c r="E28" i="5" s="1"/>
  <c r="E38" i="5" s="1"/>
  <c r="C20" i="5"/>
  <c r="D27" i="5" s="1"/>
  <c r="F19" i="5"/>
  <c r="H19" i="5" s="1"/>
  <c r="J19" i="20" l="1"/>
  <c r="D19" i="21" s="1"/>
  <c r="H19" i="21" s="1"/>
  <c r="J19" i="21" s="1"/>
  <c r="D19" i="22" s="1"/>
  <c r="H19" i="22" s="1"/>
  <c r="J19" i="22" s="1"/>
  <c r="H10" i="17"/>
  <c r="J10" i="17" s="1"/>
  <c r="D10" i="18" s="1"/>
  <c r="H10" i="18" s="1"/>
  <c r="J10" i="18" s="1"/>
  <c r="C10" i="19" s="1"/>
  <c r="G10" i="19" s="1"/>
  <c r="I10" i="19" s="1"/>
  <c r="D10" i="20" s="1"/>
  <c r="H10" i="20" s="1"/>
  <c r="J10" i="20" s="1"/>
  <c r="D10" i="21" s="1"/>
  <c r="H10" i="21" s="1"/>
  <c r="J10" i="21" s="1"/>
  <c r="H10" i="22" s="1"/>
  <c r="J10" i="22" s="1"/>
  <c r="I28" i="5"/>
  <c r="G10" i="3" l="1"/>
  <c r="G17" i="3" l="1"/>
  <c r="G16" i="3" l="1"/>
  <c r="G5" i="3" l="1"/>
  <c r="I31" i="3" l="1"/>
  <c r="E31" i="3"/>
  <c r="I35" i="2" l="1"/>
  <c r="E35" i="2"/>
  <c r="G7" i="2" l="1"/>
  <c r="E34" i="2"/>
  <c r="G19" i="3" l="1"/>
  <c r="H24" i="3" s="1"/>
  <c r="E19" i="3"/>
  <c r="D24" i="3" s="1"/>
  <c r="I27" i="3" s="1"/>
  <c r="I37" i="3" s="1"/>
  <c r="C19" i="3"/>
  <c r="D26" i="3" s="1"/>
  <c r="F18" i="3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l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D18" i="16" s="1"/>
  <c r="F18" i="16" s="1"/>
  <c r="H18" i="16" s="1"/>
  <c r="D18" i="17" s="1"/>
  <c r="H18" i="17" s="1"/>
  <c r="J18" i="17" s="1"/>
  <c r="D18" i="18" s="1"/>
  <c r="H18" i="18" s="1"/>
  <c r="J18" i="18" s="1"/>
  <c r="C18" i="19" s="1"/>
  <c r="G18" i="19" s="1"/>
  <c r="I18" i="19" s="1"/>
  <c r="D18" i="20" s="1"/>
  <c r="H18" i="20" s="1"/>
  <c r="J18" i="20" s="1"/>
  <c r="D18" i="21" s="1"/>
  <c r="H18" i="21" s="1"/>
  <c r="J18" i="21" s="1"/>
  <c r="D18" i="22" s="1"/>
  <c r="H18" i="22" s="1"/>
  <c r="J18" i="22" s="1"/>
  <c r="E27" i="3"/>
  <c r="E37" i="3" s="1"/>
  <c r="D19" i="2" l="1"/>
  <c r="F5" i="2"/>
  <c r="G19" i="2"/>
  <c r="H24" i="2" s="1"/>
  <c r="E19" i="2"/>
  <c r="D24" i="2" s="1"/>
  <c r="I27" i="2" s="1"/>
  <c r="I38" i="2" s="1"/>
  <c r="I39" i="2" s="1"/>
  <c r="C19" i="2"/>
  <c r="D26" i="2" s="1"/>
  <c r="F18" i="2"/>
  <c r="H18" i="2" s="1"/>
  <c r="F17" i="2"/>
  <c r="H17" i="2" s="1"/>
  <c r="D17" i="3" s="1"/>
  <c r="F17" i="3" s="1"/>
  <c r="H17" i="3" s="1"/>
  <c r="F16" i="2"/>
  <c r="H16" i="2" s="1"/>
  <c r="D16" i="3" s="1"/>
  <c r="F16" i="3" s="1"/>
  <c r="H16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D14" i="17" s="1"/>
  <c r="F13" i="2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D12" i="16" s="1"/>
  <c r="F12" i="16" s="1"/>
  <c r="H12" i="16" s="1"/>
  <c r="D12" i="17" s="1"/>
  <c r="F11" i="2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F9" i="2"/>
  <c r="H9" i="2" s="1"/>
  <c r="D9" i="3" s="1"/>
  <c r="F9" i="3" s="1"/>
  <c r="H9" i="3" s="1"/>
  <c r="F8" i="2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9" i="16" s="1"/>
  <c r="F9" i="16" s="1"/>
  <c r="H9" i="16" s="1"/>
  <c r="D9" i="17" s="1"/>
  <c r="F7" i="2"/>
  <c r="H7" i="2" s="1"/>
  <c r="D7" i="3" s="1"/>
  <c r="F6" i="2"/>
  <c r="H6" i="2" s="1"/>
  <c r="D6" i="3" s="1"/>
  <c r="F6" i="3" s="1"/>
  <c r="H6" i="3" s="1"/>
  <c r="D6" i="4" s="1"/>
  <c r="F6" i="4" s="1"/>
  <c r="H6" i="4" s="1"/>
  <c r="D6" i="5" s="1"/>
  <c r="F6" i="5" s="1"/>
  <c r="H6" i="5" s="1"/>
  <c r="H11" i="17" l="1"/>
  <c r="J11" i="17" s="1"/>
  <c r="D11" i="18" s="1"/>
  <c r="H11" i="18" s="1"/>
  <c r="J11" i="18" s="1"/>
  <c r="C11" i="19" s="1"/>
  <c r="G11" i="19" s="1"/>
  <c r="I11" i="19" s="1"/>
  <c r="D11" i="20" s="1"/>
  <c r="H11" i="20" s="1"/>
  <c r="J11" i="20" s="1"/>
  <c r="D11" i="21" s="1"/>
  <c r="H11" i="21" s="1"/>
  <c r="J11" i="21" s="1"/>
  <c r="D11" i="22" s="1"/>
  <c r="H11" i="22" s="1"/>
  <c r="J11" i="22" s="1"/>
  <c r="H13" i="17"/>
  <c r="J13" i="17" s="1"/>
  <c r="D13" i="18" s="1"/>
  <c r="H13" i="18" s="1"/>
  <c r="J13" i="18" s="1"/>
  <c r="H9" i="17"/>
  <c r="J9" i="17" s="1"/>
  <c r="D9" i="18" s="1"/>
  <c r="H9" i="18" s="1"/>
  <c r="J9" i="18" s="1"/>
  <c r="C9" i="19" s="1"/>
  <c r="G9" i="19" s="1"/>
  <c r="I9" i="19" s="1"/>
  <c r="D9" i="20" s="1"/>
  <c r="H9" i="20" s="1"/>
  <c r="J9" i="20" s="1"/>
  <c r="D9" i="21" s="1"/>
  <c r="H9" i="21" s="1"/>
  <c r="J9" i="21" s="1"/>
  <c r="D9" i="22" s="1"/>
  <c r="H9" i="22" s="1"/>
  <c r="J9" i="22" s="1"/>
  <c r="H12" i="17"/>
  <c r="J12" i="17" s="1"/>
  <c r="D12" i="18" s="1"/>
  <c r="H12" i="18" s="1"/>
  <c r="J12" i="18" s="1"/>
  <c r="C12" i="19" s="1"/>
  <c r="G12" i="19" s="1"/>
  <c r="I12" i="19" s="1"/>
  <c r="D12" i="20" s="1"/>
  <c r="H12" i="20" s="1"/>
  <c r="J12" i="20" s="1"/>
  <c r="D12" i="21" s="1"/>
  <c r="H14" i="17"/>
  <c r="J14" i="17" s="1"/>
  <c r="D14" i="18" s="1"/>
  <c r="H14" i="18" s="1"/>
  <c r="J14" i="18" s="1"/>
  <c r="D17" i="1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D6" i="6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D6" i="11" s="1"/>
  <c r="F6" i="11" s="1"/>
  <c r="H6" i="11" s="1"/>
  <c r="D6" i="12" s="1"/>
  <c r="F6" i="12" s="1"/>
  <c r="H6" i="12" s="1"/>
  <c r="D6" i="13" s="1"/>
  <c r="F6" i="13" s="1"/>
  <c r="F7" i="3"/>
  <c r="F19" i="2"/>
  <c r="E27" i="2"/>
  <c r="E38" i="2" s="1"/>
  <c r="H5" i="2"/>
  <c r="H12" i="21" l="1"/>
  <c r="H17" i="17"/>
  <c r="J17" i="17" s="1"/>
  <c r="D17" i="18" s="1"/>
  <c r="H17" i="18" s="1"/>
  <c r="J17" i="18" s="1"/>
  <c r="C17" i="19" s="1"/>
  <c r="G17" i="19" s="1"/>
  <c r="I17" i="19" s="1"/>
  <c r="D17" i="20" s="1"/>
  <c r="H17" i="20" s="1"/>
  <c r="J17" i="20" s="1"/>
  <c r="D17" i="21" s="1"/>
  <c r="H17" i="21" s="1"/>
  <c r="J17" i="21" s="1"/>
  <c r="D17" i="22" s="1"/>
  <c r="H17" i="22" s="1"/>
  <c r="J17" i="22" s="1"/>
  <c r="H19" i="2"/>
  <c r="D5" i="3"/>
  <c r="H7" i="3"/>
  <c r="J12" i="21" l="1"/>
  <c r="H12" i="22" s="1"/>
  <c r="J12" i="22" s="1"/>
  <c r="D7" i="4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F5" i="3"/>
  <c r="D19" i="3"/>
  <c r="E19" i="1"/>
  <c r="D7" i="14" l="1"/>
  <c r="H20" i="13"/>
  <c r="H5" i="3"/>
  <c r="F19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19" i="1" l="1"/>
  <c r="D20" i="14"/>
  <c r="F7" i="14"/>
  <c r="D5" i="4"/>
  <c r="H19" i="3"/>
  <c r="C19" i="1"/>
  <c r="D26" i="1" s="1"/>
  <c r="H13" i="1"/>
  <c r="H7" i="14" l="1"/>
  <c r="F20" i="14"/>
  <c r="F5" i="4"/>
  <c r="D20" i="4"/>
  <c r="I35" i="1"/>
  <c r="G19" i="1"/>
  <c r="H24" i="1" s="1"/>
  <c r="D24" i="1"/>
  <c r="D35" i="1" s="1"/>
  <c r="D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D7" i="15" l="1"/>
  <c r="H20" i="14"/>
  <c r="H5" i="4"/>
  <c r="F20" i="4"/>
  <c r="H19" i="1"/>
  <c r="E27" i="1"/>
  <c r="F7" i="15" l="1"/>
  <c r="D20" i="15"/>
  <c r="H20" i="4"/>
  <c r="D5" i="5"/>
  <c r="I27" i="1"/>
  <c r="H35" i="1" s="1"/>
  <c r="J35" i="1" s="1"/>
  <c r="H26" i="2" s="1"/>
  <c r="H38" i="2" s="1"/>
  <c r="J38" i="2" s="1"/>
  <c r="H26" i="3" s="1"/>
  <c r="H37" i="3" s="1"/>
  <c r="J37" i="3" s="1"/>
  <c r="H27" i="4" s="1"/>
  <c r="H38" i="4" s="1"/>
  <c r="J38" i="4" s="1"/>
  <c r="H27" i="5" s="1"/>
  <c r="H38" i="5" s="1"/>
  <c r="J38" i="5" s="1"/>
  <c r="H27" i="6" s="1"/>
  <c r="H38" i="6" s="1"/>
  <c r="J38" i="6" s="1"/>
  <c r="H27" i="7" s="1"/>
  <c r="H38" i="7" s="1"/>
  <c r="J38" i="7" s="1"/>
  <c r="H27" i="8" s="1"/>
  <c r="H38" i="8" s="1"/>
  <c r="J38" i="8" s="1"/>
  <c r="H27" i="9" s="1"/>
  <c r="H38" i="9" s="1"/>
  <c r="J38" i="9" s="1"/>
  <c r="H27" i="10" s="1"/>
  <c r="H38" i="10" s="1"/>
  <c r="J38" i="10" s="1"/>
  <c r="H28" i="11" s="1"/>
  <c r="E35" i="1"/>
  <c r="F35" i="1" s="1"/>
  <c r="D25" i="2" s="1"/>
  <c r="D38" i="2" s="1"/>
  <c r="F38" i="2" s="1"/>
  <c r="D25" i="3" s="1"/>
  <c r="D37" i="3" s="1"/>
  <c r="F37" i="3" s="1"/>
  <c r="D26" i="4" s="1"/>
  <c r="D38" i="4" s="1"/>
  <c r="F38" i="4" s="1"/>
  <c r="D26" i="5" s="1"/>
  <c r="D38" i="5" s="1"/>
  <c r="F38" i="5" s="1"/>
  <c r="D26" i="6" s="1"/>
  <c r="D38" i="6" s="1"/>
  <c r="F38" i="6" s="1"/>
  <c r="D26" i="7" s="1"/>
  <c r="D38" i="7" s="1"/>
  <c r="F38" i="7" s="1"/>
  <c r="D26" i="8" s="1"/>
  <c r="D38" i="8" s="1"/>
  <c r="F38" i="8" s="1"/>
  <c r="D26" i="9" s="1"/>
  <c r="H39" i="11" l="1"/>
  <c r="J39" i="11" s="1"/>
  <c r="H28" i="12" s="1"/>
  <c r="H40" i="12" s="1"/>
  <c r="J40" i="12" s="1"/>
  <c r="H28" i="13" s="1"/>
  <c r="H40" i="13" s="1"/>
  <c r="J40" i="13" s="1"/>
  <c r="H28" i="14" s="1"/>
  <c r="H40" i="14" s="1"/>
  <c r="J40" i="14" s="1"/>
  <c r="H28" i="15" s="1"/>
  <c r="H40" i="15" s="1"/>
  <c r="J40" i="15" s="1"/>
  <c r="H28" i="16" s="1"/>
  <c r="H36" i="16" s="1"/>
  <c r="J36" i="16" s="1"/>
  <c r="H28" i="17" s="1"/>
  <c r="H7" i="15"/>
  <c r="F20" i="15"/>
  <c r="D38" i="9"/>
  <c r="F38" i="9" s="1"/>
  <c r="D26" i="10" s="1"/>
  <c r="D38" i="10" s="1"/>
  <c r="F38" i="10" s="1"/>
  <c r="D26" i="11" s="1"/>
  <c r="D39" i="11" s="1"/>
  <c r="L31" i="9"/>
  <c r="L32" i="9" s="1"/>
  <c r="L33" i="9" s="1"/>
  <c r="L34" i="9" s="1"/>
  <c r="L35" i="9" s="1"/>
  <c r="F5" i="5"/>
  <c r="D20" i="5"/>
  <c r="H36" i="17" l="1"/>
  <c r="J36" i="17" s="1"/>
  <c r="H28" i="18" s="1"/>
  <c r="H38" i="18" s="1"/>
  <c r="J38" i="18" s="1"/>
  <c r="G28" i="19" s="1"/>
  <c r="G38" i="19" s="1"/>
  <c r="I38" i="19" s="1"/>
  <c r="D8" i="16"/>
  <c r="H20" i="15"/>
  <c r="F39" i="11"/>
  <c r="D26" i="12" s="1"/>
  <c r="D40" i="12" s="1"/>
  <c r="F40" i="12" s="1"/>
  <c r="D26" i="13" s="1"/>
  <c r="D40" i="13" s="1"/>
  <c r="F40" i="13" s="1"/>
  <c r="D26" i="14" s="1"/>
  <c r="D40" i="14" s="1"/>
  <c r="F40" i="14" s="1"/>
  <c r="D26" i="15" s="1"/>
  <c r="D40" i="15" s="1"/>
  <c r="F40" i="15" s="1"/>
  <c r="D26" i="16" s="1"/>
  <c r="D36" i="16" s="1"/>
  <c r="F36" i="16" s="1"/>
  <c r="D26" i="17" s="1"/>
  <c r="H5" i="5"/>
  <c r="F20" i="5"/>
  <c r="H28" i="20" l="1"/>
  <c r="H38" i="20" s="1"/>
  <c r="J38" i="20" s="1"/>
  <c r="H28" i="21" s="1"/>
  <c r="H38" i="21" s="1"/>
  <c r="J38" i="21" s="1"/>
  <c r="H28" i="22" s="1"/>
  <c r="H38" i="22" s="1"/>
  <c r="J38" i="22" s="1"/>
  <c r="D36" i="17"/>
  <c r="F36" i="17" s="1"/>
  <c r="D26" i="18" s="1"/>
  <c r="D38" i="18" s="1"/>
  <c r="F38" i="18" s="1"/>
  <c r="C26" i="19" s="1"/>
  <c r="C38" i="19" s="1"/>
  <c r="E38" i="19" s="1"/>
  <c r="F8" i="16"/>
  <c r="D20" i="16"/>
  <c r="D5" i="6"/>
  <c r="H20" i="5"/>
  <c r="D26" i="20" l="1"/>
  <c r="D38" i="20" s="1"/>
  <c r="F38" i="20" s="1"/>
  <c r="D26" i="21" s="1"/>
  <c r="D38" i="21" s="1"/>
  <c r="F38" i="21" s="1"/>
  <c r="H8" i="16"/>
  <c r="F20" i="16"/>
  <c r="D20" i="6"/>
  <c r="F5" i="6"/>
  <c r="D26" i="22" l="1"/>
  <c r="D38" i="22" s="1"/>
  <c r="F38" i="22" s="1"/>
  <c r="D8" i="17"/>
  <c r="H20" i="16"/>
  <c r="F20" i="6"/>
  <c r="H5" i="6"/>
  <c r="H8" i="17" l="1"/>
  <c r="H20" i="17" s="1"/>
  <c r="D20" i="17"/>
  <c r="H20" i="6"/>
  <c r="D20" i="7" s="1"/>
  <c r="D5" i="7"/>
  <c r="F5" i="7" s="1"/>
  <c r="J8" i="17" l="1"/>
  <c r="F20" i="7"/>
  <c r="H5" i="7"/>
  <c r="D8" i="18" l="1"/>
  <c r="J20" i="17"/>
  <c r="H20" i="7"/>
  <c r="D20" i="8" s="1"/>
  <c r="D5" i="8"/>
  <c r="F5" i="8" s="1"/>
  <c r="H8" i="18" l="1"/>
  <c r="D20" i="18"/>
  <c r="H5" i="8"/>
  <c r="F20" i="8"/>
  <c r="J8" i="18" l="1"/>
  <c r="H20" i="18"/>
  <c r="H20" i="8"/>
  <c r="D20" i="9" s="1"/>
  <c r="D5" i="9"/>
  <c r="F5" i="9" s="1"/>
  <c r="J20" i="18" l="1"/>
  <c r="C8" i="19"/>
  <c r="F20" i="9"/>
  <c r="H5" i="9"/>
  <c r="G8" i="19" l="1"/>
  <c r="C20" i="19"/>
  <c r="H20" i="9"/>
  <c r="D5" i="10"/>
  <c r="I8" i="19" l="1"/>
  <c r="G20" i="19"/>
  <c r="F5" i="10"/>
  <c r="D20" i="10"/>
  <c r="D8" i="20" l="1"/>
  <c r="I20" i="19"/>
  <c r="H5" i="10"/>
  <c r="F20" i="10"/>
  <c r="H8" i="20" l="1"/>
  <c r="D20" i="20"/>
  <c r="H20" i="10"/>
  <c r="D5" i="11"/>
  <c r="J8" i="20" l="1"/>
  <c r="H20" i="20"/>
  <c r="F5" i="11"/>
  <c r="D20" i="11"/>
  <c r="J20" i="20" l="1"/>
  <c r="D8" i="21"/>
  <c r="F20" i="11"/>
  <c r="H5" i="11"/>
  <c r="H8" i="21" l="1"/>
  <c r="D20" i="21"/>
  <c r="H20" i="11"/>
  <c r="D5" i="12"/>
  <c r="J8" i="21" l="1"/>
  <c r="H20" i="21"/>
  <c r="D20" i="12"/>
  <c r="F5" i="12"/>
  <c r="J20" i="21" l="1"/>
  <c r="D8" i="22"/>
  <c r="F20" i="12"/>
  <c r="H5" i="12"/>
  <c r="H8" i="22" l="1"/>
  <c r="D20" i="22"/>
  <c r="H20" i="12"/>
  <c r="D5" i="13"/>
  <c r="J8" i="22" l="1"/>
  <c r="J20" i="22" s="1"/>
  <c r="H20" i="22"/>
  <c r="D20" i="13"/>
  <c r="F5" i="13"/>
  <c r="F20" i="13" s="1"/>
</calcChain>
</file>

<file path=xl/sharedStrings.xml><?xml version="1.0" encoding="utf-8"?>
<sst xmlns="http://schemas.openxmlformats.org/spreadsheetml/2006/main" count="1583" uniqueCount="220">
  <si>
    <t xml:space="preserve">RENT STATEMENT </t>
  </si>
  <si>
    <t>FOR THE MONTH OF MARCH 2020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</si>
  <si>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</si>
  <si>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</si>
  <si>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</si>
  <si>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</si>
  <si>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</si>
  <si>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</si>
  <si>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</si>
  <si>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</si>
  <si>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</si>
  <si>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 xml:space="preserve"> 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</si>
  <si>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</si>
  <si>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</si>
  <si>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</si>
  <si>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</si>
  <si>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</si>
  <si>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</si>
  <si>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</si>
  <si>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MARCH</t>
  </si>
  <si>
    <t>COMM</t>
  </si>
  <si>
    <t>PAYMENTS</t>
  </si>
  <si>
    <t xml:space="preserve">PREPARED BY </t>
  </si>
  <si>
    <t>APPROVED BY</t>
  </si>
  <si>
    <t xml:space="preserve">RECEIVED BY </t>
  </si>
  <si>
    <t>FLORENCE</t>
  </si>
  <si>
    <t>GRACE</t>
  </si>
  <si>
    <t>JESINTA</t>
  </si>
  <si>
    <t>JESINTA SOILA</t>
  </si>
  <si>
    <t>S1</t>
  </si>
  <si>
    <t>S2</t>
  </si>
  <si>
    <t>BENJAMIN AMUNZE</t>
  </si>
  <si>
    <t>DENNIS SHIMANYU</t>
  </si>
  <si>
    <t>COLLINS OMONDI</t>
  </si>
  <si>
    <t>SUSAN ATIENO</t>
  </si>
  <si>
    <t>MARGARET MWANGI</t>
  </si>
  <si>
    <t>JAMES OMARE</t>
  </si>
  <si>
    <t>STANELY OMOTE</t>
  </si>
  <si>
    <t>JANET WANJIRU</t>
  </si>
  <si>
    <t>DEPOSIT</t>
  </si>
  <si>
    <t>PAID ON 22/2</t>
  </si>
  <si>
    <t>STEPHEN</t>
  </si>
  <si>
    <t>MAINA K</t>
  </si>
  <si>
    <t>GEOFFREY KIRIMI</t>
  </si>
  <si>
    <t>CYRUS OLUNGA</t>
  </si>
  <si>
    <t>J.KAMAU</t>
  </si>
  <si>
    <t>PAID ON 5/3</t>
  </si>
  <si>
    <t>PAID ON 14/3</t>
  </si>
  <si>
    <t>PAID ON 16/3</t>
  </si>
  <si>
    <t>APRIL</t>
  </si>
  <si>
    <t>FOR THE MONTH OF APRIL 2020</t>
  </si>
  <si>
    <t>PAID ON 8/4</t>
  </si>
  <si>
    <t>PAID ON 12/4</t>
  </si>
  <si>
    <t>PAID ON 15/4</t>
  </si>
  <si>
    <t>PAID ON 20/4</t>
  </si>
  <si>
    <t>MAY</t>
  </si>
  <si>
    <t>FOR THE MONTH OF MAY 2020</t>
  </si>
  <si>
    <t>LL1500</t>
  </si>
  <si>
    <t>DENNIS</t>
  </si>
  <si>
    <t>PAID ON 25/4</t>
  </si>
  <si>
    <t>PAID ON 27/4-PREMIER</t>
  </si>
  <si>
    <t>PAID ON 30/4</t>
  </si>
  <si>
    <t>AT HOME</t>
  </si>
  <si>
    <t>TO PAY TOGETHER WITH MAY RENT</t>
  </si>
  <si>
    <t>TO PAY WHEN HE GETS MONEY</t>
  </si>
  <si>
    <t>PAID ON 1/5</t>
  </si>
  <si>
    <t>PAID ON 4/5</t>
  </si>
  <si>
    <t>LL 500</t>
  </si>
  <si>
    <t>LL 1000</t>
  </si>
  <si>
    <t>KIRIMI +STANELY+BENJAMIN</t>
  </si>
  <si>
    <t>PAID ON 9/5</t>
  </si>
  <si>
    <t>PAID ON 8/5</t>
  </si>
  <si>
    <t>PAID ON 11/5</t>
  </si>
  <si>
    <t>ON DEPOSIT</t>
  </si>
  <si>
    <t>VACANT</t>
  </si>
  <si>
    <t>FOR THE MONTH OF JUNE 2020</t>
  </si>
  <si>
    <t>JUNE</t>
  </si>
  <si>
    <t>PAID ON 30.5</t>
  </si>
  <si>
    <t xml:space="preserve">PREMIER </t>
  </si>
  <si>
    <t>5a</t>
  </si>
  <si>
    <t xml:space="preserve">5b </t>
  </si>
  <si>
    <t>LL 2500</t>
  </si>
  <si>
    <t>PAID ON 10/6</t>
  </si>
  <si>
    <t>PAID ON 13/6</t>
  </si>
  <si>
    <t>CYRUS ON DEPOSIT</t>
  </si>
  <si>
    <t>DENNIS PAID LL</t>
  </si>
  <si>
    <t xml:space="preserve"> PAID LL</t>
  </si>
  <si>
    <t>PAID ON 24/6</t>
  </si>
  <si>
    <t>SILVIA EMKOLE</t>
  </si>
  <si>
    <t>PAUL</t>
  </si>
  <si>
    <t>PAUL 8 PAID LL</t>
  </si>
  <si>
    <t>JULY</t>
  </si>
  <si>
    <t>FOR THE MONTH OF JULY 2020</t>
  </si>
  <si>
    <t>MAXWEL MURIMI</t>
  </si>
  <si>
    <t>STANLEY</t>
  </si>
  <si>
    <t>VACCANT</t>
  </si>
  <si>
    <t>PAID ON 11/7</t>
  </si>
  <si>
    <t>SILVIA</t>
  </si>
  <si>
    <t xml:space="preserve">SILVIA </t>
  </si>
  <si>
    <t>PAID ON 18/7</t>
  </si>
  <si>
    <t>AUGUST</t>
  </si>
  <si>
    <t>FOR THE MONTH OF AUGUST 2020</t>
  </si>
  <si>
    <t>PAID ON 3/8</t>
  </si>
  <si>
    <t>PAID ON 8/8</t>
  </si>
  <si>
    <t>PAID ON 10/8</t>
  </si>
  <si>
    <t>SEPTEMBER</t>
  </si>
  <si>
    <t>FOR THE MONTH OF SEPTEMBER 2020</t>
  </si>
  <si>
    <t>PAID ON 3/9</t>
  </si>
  <si>
    <t>FOR THE MONTH OF OCTOBER 2020</t>
  </si>
  <si>
    <t>OCTOBER</t>
  </si>
  <si>
    <t>PAID ON 7/10</t>
  </si>
  <si>
    <t>+</t>
  </si>
  <si>
    <t>MAINA  JOHN</t>
  </si>
  <si>
    <t>MARGDALINE</t>
  </si>
  <si>
    <t>VACCATED</t>
  </si>
  <si>
    <t>PAID ON 21/10</t>
  </si>
  <si>
    <t>NOVEMBER</t>
  </si>
  <si>
    <t>PAID ON 26/10</t>
  </si>
  <si>
    <t>FOR THE MONTH OF NOVEMBER 2020</t>
  </si>
  <si>
    <t>PAID ON 27/10</t>
  </si>
  <si>
    <t>BODEX</t>
  </si>
  <si>
    <t>paid on 6/11</t>
  </si>
  <si>
    <t>PAID TO BANCY ON6/11</t>
  </si>
  <si>
    <t>PAID ON 20/11</t>
  </si>
  <si>
    <t>DECEMBER</t>
  </si>
  <si>
    <t>FOR THE MONTH OF DECEMBER 2020</t>
  </si>
  <si>
    <t>PAID ON 30/11</t>
  </si>
  <si>
    <t>PAID ON 05/12</t>
  </si>
  <si>
    <t>PAID ON 01/12</t>
  </si>
  <si>
    <t>PAID ON 6/12</t>
  </si>
  <si>
    <t>PAID ON 10/12</t>
  </si>
  <si>
    <t>DANIEL OTISO</t>
  </si>
  <si>
    <t>FOR THE MONTH OF JANUARY 2021</t>
  </si>
  <si>
    <t>JANUARY</t>
  </si>
  <si>
    <t>MAINA JOHN ON DEPOSIT</t>
  </si>
  <si>
    <t>PAID ON 22/12</t>
  </si>
  <si>
    <t>NEW</t>
  </si>
  <si>
    <t>PAID ON 5/1</t>
  </si>
  <si>
    <t>LOAN</t>
  </si>
  <si>
    <t>PAID ON 11/1</t>
  </si>
  <si>
    <t>GARBAGE+STIMA</t>
  </si>
  <si>
    <t>GARBAGE+STIMA DANIEL</t>
  </si>
  <si>
    <t>PAID ON 20/1</t>
  </si>
  <si>
    <t>PAID ON 20/1 ADVANCE</t>
  </si>
  <si>
    <t>FRANCE</t>
  </si>
  <si>
    <t>FOR THE MONTH OF FEBRUARY 2021</t>
  </si>
  <si>
    <t>FEBRUARY</t>
  </si>
  <si>
    <t>PAID ON 1/2</t>
  </si>
  <si>
    <t>PAID ON 9/2PREMIER</t>
  </si>
  <si>
    <t>NEW PAID LL</t>
  </si>
  <si>
    <t>SOPHIA</t>
  </si>
  <si>
    <t>PAID ON 9/2</t>
  </si>
  <si>
    <t>PAID ON  16/2</t>
  </si>
  <si>
    <t>PAID ON 20/2</t>
  </si>
  <si>
    <t>LL</t>
  </si>
  <si>
    <t>DANIEL OUMA</t>
  </si>
  <si>
    <t>FOR THE MONTH OF MARCH 2021</t>
  </si>
  <si>
    <t>PAID ON 4/3</t>
  </si>
  <si>
    <t>DAVID OUMA</t>
  </si>
  <si>
    <t>PAID ON 10/3</t>
  </si>
  <si>
    <t>FAULU</t>
  </si>
  <si>
    <t>FOR THE MONTH OF APRIL 2021</t>
  </si>
  <si>
    <t>BENJAMIN LL FEB DEMOLISHED</t>
  </si>
  <si>
    <t>STEPHEN SHOP DEMOLISHED</t>
  </si>
  <si>
    <t>DENNIS NO.3 PAID LL</t>
  </si>
  <si>
    <t>PAID ON 30/3</t>
  </si>
  <si>
    <t>PAID ON 9/4</t>
  </si>
  <si>
    <t>PAID ON 10/4</t>
  </si>
  <si>
    <t>DAVID OUMA VACCATED</t>
  </si>
  <si>
    <t>FOR THE MONTH OF MAY 2021</t>
  </si>
  <si>
    <t>PAID ON 27/5</t>
  </si>
  <si>
    <t>CATHERINE</t>
  </si>
  <si>
    <t>PAID ON 10/5</t>
  </si>
  <si>
    <t>S3</t>
  </si>
  <si>
    <t>FOR THE MONTH OF JUNE 2021</t>
  </si>
  <si>
    <t>RONALD</t>
  </si>
  <si>
    <t>ROSE KYUNGU</t>
  </si>
  <si>
    <t>FAULU BANK EVERY MONTH=KSH 30000</t>
  </si>
  <si>
    <t>ruthgichoya@gmail.com</t>
  </si>
  <si>
    <t>PAID ON 10/6 FAULU</t>
  </si>
  <si>
    <t>GARBAGE</t>
  </si>
  <si>
    <t>ELECTRICITY</t>
  </si>
  <si>
    <t>PAID ON 11/6</t>
  </si>
  <si>
    <t>FOR THE MONTH OF JULY 2021</t>
  </si>
  <si>
    <t>LL3000</t>
  </si>
  <si>
    <t>DENNIS SHIMANYU/GEORGE</t>
  </si>
  <si>
    <t>PAID ON 11/7 FAULU</t>
  </si>
  <si>
    <t>PAID ON 14/7</t>
  </si>
  <si>
    <t>GEORGE</t>
  </si>
  <si>
    <t>FOR THE MONTH OF AUGUST 2021</t>
  </si>
  <si>
    <t>PAID BANCY</t>
  </si>
  <si>
    <t>PAID NGUGI ON 10/8</t>
  </si>
  <si>
    <t>PAID FROM JUNE</t>
  </si>
  <si>
    <t>PAID ON 13/8</t>
  </si>
  <si>
    <t>vaccated</t>
  </si>
  <si>
    <t>paid garbage</t>
  </si>
  <si>
    <t>MAXWEL VACCATED</t>
  </si>
  <si>
    <t>MARGARET VACCATED</t>
  </si>
  <si>
    <t>SEPT</t>
  </si>
  <si>
    <t>FOR THE MONTH OF SEPT 2021</t>
  </si>
  <si>
    <t>EXHAUSTER</t>
  </si>
  <si>
    <t>PAID ON 10/9</t>
  </si>
  <si>
    <t>FOR THE MONTH OF OCTOBER 2021</t>
  </si>
  <si>
    <t xml:space="preserve">GEORGE NJUGUNA </t>
  </si>
  <si>
    <t>BENEDICT OSIMBO</t>
  </si>
  <si>
    <t>PAID ON 27/9</t>
  </si>
  <si>
    <t>PAID ON 12/10</t>
  </si>
  <si>
    <t>GARBAGE john</t>
  </si>
  <si>
    <t xml:space="preserve">ELECTRICITY </t>
  </si>
  <si>
    <t>FOR THE MONTH OF NOVEMBER 2021</t>
  </si>
  <si>
    <t>garbage BANCY</t>
  </si>
  <si>
    <t>GARBAGE JOHN</t>
  </si>
  <si>
    <t>PAID ON 10/11</t>
  </si>
  <si>
    <t>FOR THE MONTH OF DECEMBER 2021</t>
  </si>
  <si>
    <t>VICTOR ODHIAMBO</t>
  </si>
  <si>
    <t>DEPOSIT REFUND TO ROSE</t>
  </si>
  <si>
    <t>sophia</t>
  </si>
  <si>
    <t>PAID ON 8/12</t>
  </si>
  <si>
    <t>KAMAU</t>
  </si>
  <si>
    <t>ELECTRICITY -OCT+NOV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</si>
</sst>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3" fontId="5" fillId="0" borderId="1" xfId="0" applyNumberFormat="1" applyFont="1" applyBorder="1"/>
    <xf numFmtId="0" fontId="3" fillId="0" borderId="2" xfId="0" applyFont="1" applyFill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3" fontId="0" fillId="0" borderId="0" xfId="0" applyNumberFormat="1"/>
    <xf numFmtId="0" fontId="3" fillId="0" borderId="0" xfId="0" applyFont="1" applyFill="1" applyBorder="1"/>
    <xf numFmtId="9" fontId="0" fillId="0" borderId="0" xfId="0" applyNumberFormat="1"/>
    <xf numFmtId="9" fontId="3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18" fontId="0" fillId="0" borderId="1" xfId="0" applyNumberFormat="1" applyBorder="1"/>
    <xf numFmtId="14" fontId="3" fillId="0" borderId="0" xfId="0" applyNumberFormat="1" applyFont="1" applyBorder="1"/>
    <xf numFmtId="0" fontId="3" fillId="0" borderId="0" xfId="0" applyFont="1" applyBorder="1"/>
    <xf numFmtId="0" fontId="2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4" xfId="0" applyFont="1" applyFill="1" applyBorder="1"/>
    <xf numFmtId="0" fontId="2" fillId="0" borderId="5" xfId="0" applyFont="1" applyFill="1" applyBorder="1"/>
    <xf numFmtId="0" fontId="2" fillId="0" borderId="1" xfId="0" applyFont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N32" sqref="N32"/>
    </sheetView>
  </sheetViews>
  <sheetFormatPr defaultRowHeight="15" x14ac:dyDescent="0.25"/>
  <cols>
    <col min="1" max="1" width="4.85546875" bestFit="1" customWidth="1"/>
    <col min="2" max="2" width="18" bestFit="1" customWidth="1"/>
    <col min="3" max="3" width="8.8554687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1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>
        <v>5000</v>
      </c>
      <c r="D5" s="3"/>
      <c r="E5" s="3">
        <v>5000</v>
      </c>
      <c r="F5" s="3">
        <f>D5+E5+C5</f>
        <v>10000</v>
      </c>
      <c r="G5" s="3">
        <v>10000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>
        <v>5000</v>
      </c>
      <c r="D6" s="3"/>
      <c r="E6" s="3">
        <v>5000</v>
      </c>
      <c r="F6" s="3">
        <f t="shared" ref="F6:F18" si="0">D6+E6+C6</f>
        <v>10000</v>
      </c>
      <c r="G6" s="3">
        <v>10000</v>
      </c>
      <c r="H6" s="3">
        <f t="shared" ref="H6:H18" si="1">F6-G6</f>
        <v>0</v>
      </c>
    </row>
    <row r="7" spans="1:11" x14ac:dyDescent="0.25">
      <c r="A7" s="3">
        <v>3</v>
      </c>
      <c r="B7" s="3" t="s">
        <v>32</v>
      </c>
      <c r="C7" s="3"/>
      <c r="D7" s="3"/>
      <c r="E7" s="3">
        <v>3000</v>
      </c>
      <c r="F7" s="3">
        <f t="shared" si="0"/>
        <v>3000</v>
      </c>
      <c r="G7" s="3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/>
      <c r="E8" s="3">
        <v>3000</v>
      </c>
      <c r="F8" s="3">
        <f t="shared" si="0"/>
        <v>3000</v>
      </c>
      <c r="G8" s="3">
        <v>3000</v>
      </c>
      <c r="H8" s="3">
        <f t="shared" si="1"/>
        <v>0</v>
      </c>
    </row>
    <row r="9" spans="1:11" x14ac:dyDescent="0.25">
      <c r="A9" s="3">
        <v>5</v>
      </c>
      <c r="B9" s="3" t="s">
        <v>34</v>
      </c>
      <c r="C9" s="3"/>
      <c r="D9" s="3"/>
      <c r="E9" s="3">
        <v>7000</v>
      </c>
      <c r="F9" s="3">
        <f t="shared" si="0"/>
        <v>7000</v>
      </c>
      <c r="G9" s="3">
        <v>7000</v>
      </c>
      <c r="H9" s="3">
        <f t="shared" si="1"/>
        <v>0</v>
      </c>
    </row>
    <row r="10" spans="1:11" x14ac:dyDescent="0.25">
      <c r="A10" s="3">
        <v>6</v>
      </c>
      <c r="B10" s="4" t="s">
        <v>43</v>
      </c>
      <c r="C10" s="4"/>
      <c r="D10" s="3"/>
      <c r="E10" s="3">
        <v>3000</v>
      </c>
      <c r="F10" s="3">
        <f t="shared" si="0"/>
        <v>3000</v>
      </c>
      <c r="G10" s="3">
        <v>3000</v>
      </c>
      <c r="H10" s="3">
        <f t="shared" si="1"/>
        <v>0</v>
      </c>
    </row>
    <row r="11" spans="1:11" x14ac:dyDescent="0.25">
      <c r="A11" s="3">
        <v>7</v>
      </c>
      <c r="B11" s="3" t="s">
        <v>45</v>
      </c>
      <c r="C11" s="3"/>
      <c r="D11" s="3"/>
      <c r="E11" s="3">
        <v>3000</v>
      </c>
      <c r="F11" s="3">
        <f t="shared" si="0"/>
        <v>3000</v>
      </c>
      <c r="G11" s="3">
        <v>3000</v>
      </c>
      <c r="H11" s="3">
        <f t="shared" si="1"/>
        <v>0</v>
      </c>
    </row>
    <row r="12" spans="1:11" x14ac:dyDescent="0.25">
      <c r="A12" s="3">
        <v>8</v>
      </c>
      <c r="B12" s="3" t="s">
        <v>44</v>
      </c>
      <c r="C12" s="3"/>
      <c r="D12" s="3"/>
      <c r="E12" s="3">
        <v>2500</v>
      </c>
      <c r="F12" s="3">
        <f t="shared" si="0"/>
        <v>2500</v>
      </c>
      <c r="G12" s="3">
        <v>2500</v>
      </c>
      <c r="H12" s="3">
        <f t="shared" si="1"/>
        <v>0</v>
      </c>
    </row>
    <row r="13" spans="1:11" x14ac:dyDescent="0.25">
      <c r="A13" s="3">
        <v>9</v>
      </c>
      <c r="B13" s="3" t="s">
        <v>35</v>
      </c>
      <c r="C13" s="3"/>
      <c r="D13" s="3"/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K13" s="5"/>
    </row>
    <row r="14" spans="1:11" x14ac:dyDescent="0.25">
      <c r="A14" s="3">
        <v>10</v>
      </c>
      <c r="B14" s="3" t="s">
        <v>42</v>
      </c>
      <c r="C14" s="3"/>
      <c r="D14" s="3"/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K14" s="5"/>
    </row>
    <row r="15" spans="1:11" x14ac:dyDescent="0.25">
      <c r="A15" s="3">
        <v>11</v>
      </c>
      <c r="B15" s="3" t="s">
        <v>36</v>
      </c>
      <c r="C15" s="3"/>
      <c r="D15" s="3"/>
      <c r="E15" s="3">
        <v>2500</v>
      </c>
      <c r="F15" s="3">
        <f t="shared" si="0"/>
        <v>2500</v>
      </c>
      <c r="G15" s="3">
        <v>2500</v>
      </c>
      <c r="H15" s="3">
        <f t="shared" si="1"/>
        <v>0</v>
      </c>
      <c r="I15" s="5"/>
      <c r="K15" s="5"/>
    </row>
    <row r="16" spans="1:11" x14ac:dyDescent="0.25">
      <c r="A16" s="3">
        <v>12</v>
      </c>
      <c r="B16" s="3" t="s">
        <v>37</v>
      </c>
      <c r="C16" s="3"/>
      <c r="D16" s="3"/>
      <c r="E16" s="3">
        <v>4500</v>
      </c>
      <c r="F16" s="3">
        <f t="shared" si="0"/>
        <v>4500</v>
      </c>
      <c r="G16" s="3">
        <v>4500</v>
      </c>
      <c r="H16" s="3">
        <f t="shared" si="1"/>
        <v>0</v>
      </c>
      <c r="I16" s="5"/>
      <c r="K16" s="5"/>
    </row>
    <row r="17" spans="1:12" x14ac:dyDescent="0.25">
      <c r="A17" s="3">
        <v>13</v>
      </c>
      <c r="B17" s="3" t="s">
        <v>38</v>
      </c>
      <c r="C17" s="3"/>
      <c r="D17" s="3"/>
      <c r="E17" s="3">
        <v>4500</v>
      </c>
      <c r="F17" s="3">
        <f t="shared" si="0"/>
        <v>4500</v>
      </c>
      <c r="G17" s="3">
        <v>4500</v>
      </c>
      <c r="H17" s="3">
        <f t="shared" si="1"/>
        <v>0</v>
      </c>
      <c r="I17" s="5"/>
      <c r="K17" s="5"/>
    </row>
    <row r="18" spans="1:12" x14ac:dyDescent="0.25">
      <c r="A18" s="3">
        <v>14</v>
      </c>
      <c r="B18" s="3"/>
      <c r="C18" s="3"/>
      <c r="D18" s="3"/>
      <c r="E18" s="3"/>
      <c r="F18" s="3">
        <f t="shared" si="0"/>
        <v>0</v>
      </c>
      <c r="G18" s="3"/>
      <c r="H18" s="3">
        <f t="shared" si="1"/>
        <v>0</v>
      </c>
      <c r="I18" s="5"/>
      <c r="K18" s="5"/>
    </row>
    <row r="19" spans="1:12" x14ac:dyDescent="0.25">
      <c r="A19" s="3"/>
      <c r="B19" s="2" t="s">
        <v>9</v>
      </c>
      <c r="C19" s="2">
        <f t="shared" ref="C19:H19" si="2">SUM(C5:C18)</f>
        <v>10000</v>
      </c>
      <c r="D19" s="3">
        <f t="shared" si="2"/>
        <v>0</v>
      </c>
      <c r="E19" s="2">
        <f>SUM(E5:E18)</f>
        <v>48000</v>
      </c>
      <c r="F19" s="2">
        <f>SUM(F5:F18)</f>
        <v>58000</v>
      </c>
      <c r="G19" s="2">
        <f t="shared" si="2"/>
        <v>58000</v>
      </c>
      <c r="H19" s="2">
        <f t="shared" si="2"/>
        <v>0</v>
      </c>
      <c r="J19" t="s">
        <v>10</v>
      </c>
    </row>
    <row r="20" spans="1:12" x14ac:dyDescent="0.25">
      <c r="A20" s="5"/>
      <c r="B20" s="6"/>
      <c r="C20" s="6"/>
      <c r="D20" s="6"/>
      <c r="E20" s="6" t="s">
        <v>11</v>
      </c>
      <c r="F20" s="6"/>
      <c r="G20" s="6"/>
      <c r="H20" s="5"/>
    </row>
    <row r="21" spans="1:12" x14ac:dyDescent="0.25">
      <c r="B21" s="7" t="s">
        <v>12</v>
      </c>
      <c r="C21" s="7"/>
      <c r="D21" s="8"/>
      <c r="E21" s="9"/>
      <c r="F21" s="10"/>
      <c r="G21" s="11"/>
      <c r="H21" s="12"/>
      <c r="I21" s="11"/>
      <c r="J21" s="7"/>
    </row>
    <row r="22" spans="1:12" x14ac:dyDescent="0.25">
      <c r="B22" s="13" t="s">
        <v>13</v>
      </c>
      <c r="C22" s="13"/>
      <c r="D22" s="13"/>
      <c r="E22" s="13"/>
      <c r="F22" s="14"/>
      <c r="G22" s="13" t="s">
        <v>14</v>
      </c>
      <c r="H22" s="7"/>
      <c r="I22" s="7"/>
      <c r="J22" s="7"/>
    </row>
    <row r="23" spans="1:12" x14ac:dyDescent="0.25">
      <c r="B23" s="15" t="s">
        <v>15</v>
      </c>
      <c r="C23" s="15"/>
      <c r="D23" s="15" t="s">
        <v>16</v>
      </c>
      <c r="E23" s="15" t="s">
        <v>17</v>
      </c>
      <c r="F23" s="15" t="s">
        <v>18</v>
      </c>
      <c r="G23" s="15" t="s">
        <v>15</v>
      </c>
      <c r="H23" s="15" t="s">
        <v>16</v>
      </c>
      <c r="I23" s="15" t="s">
        <v>17</v>
      </c>
      <c r="J23" s="15" t="s">
        <v>18</v>
      </c>
    </row>
    <row r="24" spans="1:12" x14ac:dyDescent="0.25">
      <c r="B24" s="16" t="s">
        <v>19</v>
      </c>
      <c r="C24" s="16"/>
      <c r="D24" s="17">
        <f>E19</f>
        <v>48000</v>
      </c>
      <c r="E24" s="16"/>
      <c r="F24" s="16"/>
      <c r="G24" s="16" t="s">
        <v>19</v>
      </c>
      <c r="H24" s="17">
        <f>G19</f>
        <v>58000</v>
      </c>
      <c r="I24" s="16"/>
      <c r="J24" s="16"/>
    </row>
    <row r="25" spans="1:12" x14ac:dyDescent="0.25">
      <c r="B25" s="16" t="s">
        <v>4</v>
      </c>
      <c r="C25" s="16"/>
      <c r="D25" s="17"/>
      <c r="E25" s="16"/>
      <c r="F25" s="16"/>
      <c r="G25" s="16"/>
      <c r="H25" s="17"/>
      <c r="I25" s="16"/>
      <c r="J25" s="16"/>
    </row>
    <row r="26" spans="1:12" x14ac:dyDescent="0.25">
      <c r="B26" s="16" t="s">
        <v>39</v>
      </c>
      <c r="C26" s="16"/>
      <c r="D26" s="17">
        <f>C19</f>
        <v>10000</v>
      </c>
      <c r="E26" s="16"/>
      <c r="F26" s="16"/>
      <c r="G26" s="16" t="s">
        <v>4</v>
      </c>
      <c r="H26" s="17"/>
      <c r="I26" s="16"/>
      <c r="J26" s="16"/>
    </row>
    <row r="27" spans="1:12" x14ac:dyDescent="0.25">
      <c r="B27" s="16" t="s">
        <v>20</v>
      </c>
      <c r="C27" s="16"/>
      <c r="D27" s="18">
        <v>0.1</v>
      </c>
      <c r="E27" s="17">
        <f>D27*D24</f>
        <v>4800</v>
      </c>
      <c r="F27" s="16"/>
      <c r="G27" s="16" t="s">
        <v>20</v>
      </c>
      <c r="H27" s="18">
        <v>0.1</v>
      </c>
      <c r="I27" s="17">
        <f>E27</f>
        <v>4800</v>
      </c>
      <c r="J27" s="16"/>
    </row>
    <row r="28" spans="1:12" x14ac:dyDescent="0.25">
      <c r="B28" s="15" t="s">
        <v>21</v>
      </c>
      <c r="C28" s="15"/>
      <c r="D28" s="19"/>
      <c r="E28" s="15"/>
      <c r="F28" s="15"/>
      <c r="G28" s="15" t="s">
        <v>21</v>
      </c>
      <c r="H28" s="19"/>
      <c r="I28" s="15"/>
      <c r="J28" s="15"/>
    </row>
    <row r="29" spans="1:12" x14ac:dyDescent="0.25">
      <c r="B29" s="20"/>
      <c r="C29" s="25"/>
      <c r="D29" s="26"/>
      <c r="G29" s="20"/>
      <c r="H29" s="27"/>
      <c r="I29" s="26"/>
      <c r="L29" s="24"/>
    </row>
    <row r="30" spans="1:12" x14ac:dyDescent="0.25">
      <c r="B30" s="20" t="s">
        <v>40</v>
      </c>
      <c r="C30" s="25"/>
      <c r="E30">
        <v>5061</v>
      </c>
      <c r="G30" s="20" t="s">
        <v>40</v>
      </c>
      <c r="H30" s="25"/>
      <c r="I30">
        <v>5061</v>
      </c>
      <c r="L30" s="24"/>
    </row>
    <row r="31" spans="1:12" x14ac:dyDescent="0.25">
      <c r="B31" s="21" t="s">
        <v>46</v>
      </c>
      <c r="C31" s="21"/>
      <c r="D31" s="16"/>
      <c r="E31">
        <v>5061</v>
      </c>
      <c r="F31" s="16"/>
      <c r="G31" s="21" t="s">
        <v>46</v>
      </c>
      <c r="H31" s="21"/>
      <c r="I31" s="16">
        <v>5061</v>
      </c>
      <c r="J31" s="16"/>
      <c r="L31" s="24"/>
    </row>
    <row r="32" spans="1:12" x14ac:dyDescent="0.25">
      <c r="B32" s="22" t="s">
        <v>47</v>
      </c>
      <c r="C32" s="22"/>
      <c r="D32" s="16"/>
      <c r="E32" s="16">
        <v>40000</v>
      </c>
      <c r="F32" s="16"/>
      <c r="G32" s="22" t="s">
        <v>47</v>
      </c>
      <c r="H32" s="22"/>
      <c r="I32" s="16">
        <v>40000</v>
      </c>
      <c r="J32" s="16"/>
    </row>
    <row r="33" spans="2:13" x14ac:dyDescent="0.25">
      <c r="B33" s="21" t="s">
        <v>48</v>
      </c>
      <c r="C33" s="21"/>
      <c r="D33" s="16"/>
      <c r="E33" s="23">
        <v>3000</v>
      </c>
      <c r="F33" s="16"/>
      <c r="G33" s="21" t="s">
        <v>48</v>
      </c>
      <c r="H33" s="21"/>
      <c r="I33" s="16">
        <v>3000</v>
      </c>
      <c r="J33" s="23"/>
    </row>
    <row r="34" spans="2:13" x14ac:dyDescent="0.25">
      <c r="B34" s="21"/>
      <c r="C34" s="21"/>
      <c r="D34" s="16"/>
      <c r="E34" s="23"/>
      <c r="F34" s="16"/>
      <c r="G34" s="21"/>
      <c r="H34" s="16"/>
      <c r="I34" s="23"/>
      <c r="J34" s="16"/>
    </row>
    <row r="35" spans="2:13" x14ac:dyDescent="0.25">
      <c r="B35" s="15" t="s">
        <v>9</v>
      </c>
      <c r="C35" s="15"/>
      <c r="D35" s="19">
        <f>D24+D26</f>
        <v>58000</v>
      </c>
      <c r="E35" s="19">
        <f>SUM(E27:E34)</f>
        <v>57922</v>
      </c>
      <c r="F35" s="19">
        <f>D35-E35</f>
        <v>78</v>
      </c>
      <c r="G35" s="15" t="s">
        <v>9</v>
      </c>
      <c r="H35" s="19">
        <f>H24+H26-I27</f>
        <v>53200</v>
      </c>
      <c r="I35" s="19">
        <f>SUM(I29:I34)</f>
        <v>53122</v>
      </c>
      <c r="J35" s="19">
        <f>H35-I35</f>
        <v>78</v>
      </c>
    </row>
    <row r="36" spans="2:13" x14ac:dyDescent="0.25">
      <c r="M36" s="24"/>
    </row>
    <row r="37" spans="2:13" x14ac:dyDescent="0.25">
      <c r="B37" t="s">
        <v>22</v>
      </c>
      <c r="E37" t="s">
        <v>23</v>
      </c>
      <c r="H37" t="s">
        <v>24</v>
      </c>
    </row>
    <row r="39" spans="2:13" x14ac:dyDescent="0.25">
      <c r="B39" t="s">
        <v>25</v>
      </c>
      <c r="E39" t="s">
        <v>26</v>
      </c>
      <c r="H39" t="s">
        <v>27</v>
      </c>
      <c r="J39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J17" sqref="J17"/>
    </sheetView>
  </sheetViews>
  <sheetFormatPr defaultRowHeight="15" x14ac:dyDescent="0.25"/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125</v>
      </c>
      <c r="E3" s="1"/>
      <c r="F3" s="1"/>
      <c r="G3" s="1"/>
      <c r="H3" s="1"/>
      <c r="J3" t="s">
        <v>111</v>
      </c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 t="s">
        <v>29</v>
      </c>
      <c r="B5" s="3" t="s">
        <v>31</v>
      </c>
      <c r="C5" s="3"/>
      <c r="D5" s="3">
        <f>NOVEMBR20!H5:H19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0" x14ac:dyDescent="0.25">
      <c r="A6" s="3" t="s">
        <v>30</v>
      </c>
      <c r="B6" s="3" t="s">
        <v>41</v>
      </c>
      <c r="C6" s="3"/>
      <c r="D6" s="3">
        <f>NOVEMBR20!H6:H20</f>
        <v>0</v>
      </c>
      <c r="E6" s="3">
        <v>5000</v>
      </c>
      <c r="F6" s="3">
        <f t="shared" ref="F6:F19" si="0">D6+E6+C6</f>
        <v>5000</v>
      </c>
      <c r="G6" s="30">
        <v>5000</v>
      </c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NOVEMBR20!H7:H21</f>
        <v>0</v>
      </c>
      <c r="E7" s="3">
        <v>3000</v>
      </c>
      <c r="F7" s="3">
        <f t="shared" si="0"/>
        <v>3000</v>
      </c>
      <c r="G7" s="30">
        <f>3000</f>
        <v>3000</v>
      </c>
      <c r="H7" s="3">
        <f t="shared" si="1"/>
        <v>0</v>
      </c>
    </row>
    <row r="8" spans="1:10" x14ac:dyDescent="0.25">
      <c r="A8" s="3">
        <v>4</v>
      </c>
      <c r="B8" s="3" t="s">
        <v>33</v>
      </c>
      <c r="C8" s="3"/>
      <c r="D8" s="3">
        <f>NOVEMBR20!H8:H22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/>
      <c r="C9" s="3"/>
      <c r="D9" s="3">
        <f>NOVEMBR20!H9:H23</f>
        <v>0</v>
      </c>
      <c r="E9" s="3"/>
      <c r="F9" s="3">
        <f>D9+E9+C9</f>
        <v>0</v>
      </c>
      <c r="G9" s="30"/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NOVEMBR20!H10:H24</f>
        <v>1000</v>
      </c>
      <c r="E10" s="3">
        <v>6000</v>
      </c>
      <c r="F10" s="3">
        <f t="shared" si="0"/>
        <v>7000</v>
      </c>
      <c r="G10" s="30">
        <v>6000</v>
      </c>
      <c r="H10" s="3">
        <f t="shared" si="1"/>
        <v>1000</v>
      </c>
    </row>
    <row r="11" spans="1:10" x14ac:dyDescent="0.25">
      <c r="A11" s="3">
        <v>6</v>
      </c>
      <c r="B11" s="4" t="s">
        <v>43</v>
      </c>
      <c r="C11" s="4"/>
      <c r="D11" s="3">
        <f>NOVEMBR20!H11:H25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NOVEMBR20!H12:H26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NOVEMBR20!H13:H27</f>
        <v>0</v>
      </c>
      <c r="E13" s="3">
        <v>2500</v>
      </c>
      <c r="F13" s="3">
        <f t="shared" si="0"/>
        <v>2500</v>
      </c>
      <c r="G13" s="30">
        <f>2000+500</f>
        <v>2500</v>
      </c>
      <c r="H13" s="3">
        <f t="shared" si="1"/>
        <v>0</v>
      </c>
    </row>
    <row r="14" spans="1:10" x14ac:dyDescent="0.25">
      <c r="A14" s="3">
        <v>9</v>
      </c>
      <c r="B14" s="3" t="s">
        <v>35</v>
      </c>
      <c r="C14" s="3"/>
      <c r="D14" s="3">
        <f>NOVEMBR20!H14:H28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112</v>
      </c>
      <c r="C15" s="3"/>
      <c r="D15" s="3">
        <f>NOVEMBR20!H15:H29</f>
        <v>0</v>
      </c>
      <c r="E15" s="3">
        <v>2500</v>
      </c>
      <c r="F15" s="3">
        <f t="shared" si="0"/>
        <v>2500</v>
      </c>
      <c r="G15" s="30"/>
      <c r="H15" s="3"/>
      <c r="I15" t="s">
        <v>73</v>
      </c>
    </row>
    <row r="16" spans="1:10" x14ac:dyDescent="0.25">
      <c r="A16" s="3">
        <v>11</v>
      </c>
      <c r="B16" s="3" t="s">
        <v>131</v>
      </c>
      <c r="C16" s="3"/>
      <c r="D16" s="3">
        <f>NOVEMBR20!H16:H30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</row>
    <row r="17" spans="1:13" x14ac:dyDescent="0.25">
      <c r="A17" s="3">
        <v>12</v>
      </c>
      <c r="B17" s="3" t="s">
        <v>113</v>
      </c>
      <c r="C17" s="3"/>
      <c r="D17" s="3">
        <f>NOVEMBR20!H17:H31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3" x14ac:dyDescent="0.25">
      <c r="A18" s="3">
        <v>13</v>
      </c>
      <c r="B18" s="3" t="s">
        <v>38</v>
      </c>
      <c r="C18" s="3"/>
      <c r="D18" s="3">
        <f>NOVEMBR20!H18:H32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</row>
    <row r="19" spans="1:13" x14ac:dyDescent="0.25">
      <c r="A19" s="3">
        <v>14</v>
      </c>
      <c r="B19" s="3"/>
      <c r="C19" s="3"/>
      <c r="D19" s="3">
        <f>NOVEMBR20!H19:H33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3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1500</v>
      </c>
      <c r="E20" s="2">
        <f t="shared" si="2"/>
        <v>45000</v>
      </c>
      <c r="F20" s="2">
        <f t="shared" si="2"/>
        <v>46500</v>
      </c>
      <c r="G20" s="31">
        <f t="shared" si="2"/>
        <v>42500</v>
      </c>
      <c r="H20" s="2">
        <f t="shared" si="2"/>
        <v>1500</v>
      </c>
      <c r="J20" t="s">
        <v>10</v>
      </c>
    </row>
    <row r="21" spans="1:13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3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3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3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3" x14ac:dyDescent="0.25">
      <c r="B25" s="16" t="s">
        <v>124</v>
      </c>
      <c r="C25" s="16"/>
      <c r="D25" s="17">
        <f>E20</f>
        <v>45000</v>
      </c>
      <c r="E25" s="16"/>
      <c r="F25" s="16"/>
      <c r="G25" s="16" t="s">
        <v>124</v>
      </c>
      <c r="H25" s="17">
        <f>G20</f>
        <v>42500</v>
      </c>
      <c r="I25" s="16"/>
      <c r="J25" s="16"/>
      <c r="M25" s="24"/>
    </row>
    <row r="26" spans="1:13" x14ac:dyDescent="0.25">
      <c r="B26" s="16" t="s">
        <v>4</v>
      </c>
      <c r="C26" s="16"/>
      <c r="D26" s="17">
        <f>NOVEMBR20!F38</f>
        <v>-1524</v>
      </c>
      <c r="E26" s="16"/>
      <c r="F26" s="16"/>
      <c r="G26" s="16"/>
      <c r="H26" s="17"/>
      <c r="I26" s="16"/>
      <c r="J26" s="16"/>
      <c r="M26" s="24"/>
    </row>
    <row r="27" spans="1:13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NOVEMBR20!J38</f>
        <v>-3024</v>
      </c>
      <c r="I27" s="16"/>
      <c r="J27" s="16"/>
      <c r="M27" s="24"/>
    </row>
    <row r="28" spans="1:13" x14ac:dyDescent="0.25">
      <c r="B28" s="16" t="s">
        <v>20</v>
      </c>
      <c r="C28" s="16"/>
      <c r="D28" s="18">
        <v>0.1</v>
      </c>
      <c r="E28" s="17">
        <f>D28*D25</f>
        <v>4500</v>
      </c>
      <c r="F28" s="16"/>
      <c r="G28" s="16" t="s">
        <v>20</v>
      </c>
      <c r="H28" s="18">
        <v>0.1</v>
      </c>
      <c r="I28" s="17">
        <f>H28*D25</f>
        <v>4500</v>
      </c>
      <c r="J28" s="16"/>
    </row>
    <row r="29" spans="1:13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  <c r="M29" s="24"/>
    </row>
    <row r="30" spans="1:13" x14ac:dyDescent="0.25">
      <c r="B30" s="16" t="s">
        <v>128</v>
      </c>
      <c r="C30" s="15"/>
      <c r="D30" s="19"/>
      <c r="E30" s="16">
        <v>1056</v>
      </c>
      <c r="F30" s="15"/>
      <c r="G30" s="16" t="s">
        <v>128</v>
      </c>
      <c r="H30" s="15"/>
      <c r="I30" s="19">
        <v>1056</v>
      </c>
      <c r="J30" s="16"/>
    </row>
    <row r="31" spans="1:13" x14ac:dyDescent="0.25">
      <c r="B31" s="16" t="s">
        <v>127</v>
      </c>
      <c r="C31" s="16"/>
      <c r="D31" s="17"/>
      <c r="E31" s="16">
        <v>1000</v>
      </c>
      <c r="F31" s="16"/>
      <c r="G31" s="16" t="s">
        <v>127</v>
      </c>
      <c r="H31" s="16"/>
      <c r="I31" s="17">
        <v>1000</v>
      </c>
      <c r="J31" s="16"/>
      <c r="M31" s="24"/>
    </row>
    <row r="32" spans="1:13" x14ac:dyDescent="0.25">
      <c r="B32" s="22" t="s">
        <v>129</v>
      </c>
      <c r="C32" s="22"/>
      <c r="D32" s="16"/>
      <c r="E32" s="16">
        <v>11462</v>
      </c>
      <c r="F32" s="16"/>
      <c r="G32" s="22" t="s">
        <v>129</v>
      </c>
      <c r="H32" s="22"/>
      <c r="I32" s="16">
        <v>11462</v>
      </c>
      <c r="J32" s="16"/>
    </row>
    <row r="33" spans="2:13" x14ac:dyDescent="0.25">
      <c r="B33" s="22" t="s">
        <v>130</v>
      </c>
      <c r="C33" s="22"/>
      <c r="D33" s="16"/>
      <c r="E33" s="16">
        <v>25500</v>
      </c>
      <c r="F33" s="16"/>
      <c r="G33" s="22" t="s">
        <v>130</v>
      </c>
      <c r="H33" s="22"/>
      <c r="I33" s="16">
        <v>25500</v>
      </c>
      <c r="J33" s="16"/>
    </row>
    <row r="34" spans="2:13" x14ac:dyDescent="0.25">
      <c r="B34" s="22" t="s">
        <v>134</v>
      </c>
      <c r="C34" s="22"/>
      <c r="D34" s="16"/>
      <c r="E34" s="16">
        <v>2500</v>
      </c>
      <c r="F34" s="16"/>
      <c r="G34" s="22"/>
      <c r="H34" s="22"/>
      <c r="I34" s="16"/>
      <c r="J34" s="16"/>
      <c r="M34" s="24"/>
    </row>
    <row r="35" spans="2:13" x14ac:dyDescent="0.25">
      <c r="B35" s="21" t="s">
        <v>135</v>
      </c>
      <c r="C35" s="21"/>
      <c r="D35" s="16"/>
      <c r="E35" s="23">
        <v>2541</v>
      </c>
      <c r="F35" s="16"/>
      <c r="G35" s="21" t="s">
        <v>135</v>
      </c>
      <c r="H35" s="21"/>
      <c r="I35" s="16">
        <v>2541</v>
      </c>
      <c r="J35" s="23"/>
    </row>
    <row r="36" spans="2:13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3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3" x14ac:dyDescent="0.25">
      <c r="B38" s="15" t="s">
        <v>9</v>
      </c>
      <c r="C38" s="15"/>
      <c r="D38" s="19">
        <f>D25+D26+D27</f>
        <v>43476</v>
      </c>
      <c r="E38" s="19">
        <f>SUM(E28:E37)</f>
        <v>48559</v>
      </c>
      <c r="F38" s="19">
        <f>D38-E38</f>
        <v>-5083</v>
      </c>
      <c r="G38" s="15" t="s">
        <v>9</v>
      </c>
      <c r="H38" s="19">
        <f>H25+H27+H26-I28</f>
        <v>34976</v>
      </c>
      <c r="I38" s="19">
        <f>SUM(I30:I37)</f>
        <v>41559</v>
      </c>
      <c r="J38" s="19">
        <f>H38-I38</f>
        <v>-6583</v>
      </c>
    </row>
    <row r="40" spans="2:13" x14ac:dyDescent="0.25">
      <c r="B40" t="s">
        <v>22</v>
      </c>
      <c r="E40" t="s">
        <v>23</v>
      </c>
      <c r="H40" t="s">
        <v>24</v>
      </c>
    </row>
    <row r="41" spans="2:13" x14ac:dyDescent="0.25">
      <c r="B41" t="s">
        <v>25</v>
      </c>
      <c r="E41" t="s">
        <v>26</v>
      </c>
      <c r="H41" t="s">
        <v>27</v>
      </c>
    </row>
    <row r="43" spans="2:13" x14ac:dyDescent="0.25">
      <c r="K43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J47" sqref="J47"/>
    </sheetView>
  </sheetViews>
  <sheetFormatPr defaultRowHeight="15" x14ac:dyDescent="0.25"/>
  <cols>
    <col min="1" max="1" width="5" customWidth="1"/>
    <col min="3" max="3" width="10.5703125" customWidth="1"/>
    <col min="8" max="8" width="10.5703125" customWidth="1"/>
  </cols>
  <sheetData>
    <row r="1" spans="1:9" x14ac:dyDescent="0.25">
      <c r="A1" s="1"/>
      <c r="D1" s="1" t="s">
        <v>28</v>
      </c>
      <c r="E1" s="1"/>
      <c r="F1" s="1"/>
      <c r="G1" s="1"/>
      <c r="H1" s="1"/>
    </row>
    <row r="2" spans="1:9" x14ac:dyDescent="0.25">
      <c r="A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132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9" x14ac:dyDescent="0.25">
      <c r="A5" s="3" t="s">
        <v>29</v>
      </c>
      <c r="B5" s="3" t="s">
        <v>31</v>
      </c>
      <c r="C5" s="3"/>
      <c r="D5" s="3">
        <f>'DECEMBER 20'!H5:H19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9" x14ac:dyDescent="0.25">
      <c r="A6" s="3" t="s">
        <v>30</v>
      </c>
      <c r="B6" s="3" t="s">
        <v>41</v>
      </c>
      <c r="C6" s="3"/>
      <c r="D6" s="3">
        <f>'DECEMBER 20'!H6:H20</f>
        <v>0</v>
      </c>
      <c r="E6" s="3">
        <v>5000</v>
      </c>
      <c r="F6" s="3">
        <f t="shared" ref="F6:F19" si="0">D6+E6+C6</f>
        <v>5000</v>
      </c>
      <c r="G6" s="30"/>
      <c r="H6" s="3">
        <f t="shared" ref="H6:H19" si="1">F6-G6</f>
        <v>5000</v>
      </c>
    </row>
    <row r="7" spans="1:9" x14ac:dyDescent="0.25">
      <c r="A7" s="3">
        <v>3</v>
      </c>
      <c r="B7" s="3" t="s">
        <v>32</v>
      </c>
      <c r="C7" s="3"/>
      <c r="D7" s="3">
        <f>'DECEMBER 20'!H7:H21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9" x14ac:dyDescent="0.25">
      <c r="A8" s="3">
        <v>4</v>
      </c>
      <c r="B8" s="3" t="s">
        <v>33</v>
      </c>
      <c r="C8" s="3"/>
      <c r="D8" s="3">
        <f>'DECEMBER 20'!H8:H22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9" x14ac:dyDescent="0.25">
      <c r="A9" s="34" t="s">
        <v>79</v>
      </c>
      <c r="B9" s="3" t="s">
        <v>136</v>
      </c>
      <c r="C9" s="3"/>
      <c r="D9" s="3">
        <f>'DECEMBER 20'!H9:H23</f>
        <v>0</v>
      </c>
      <c r="E9" s="3"/>
      <c r="F9" s="3">
        <f>D9+E9+C9</f>
        <v>0</v>
      </c>
      <c r="G9" s="30"/>
      <c r="H9" s="3">
        <f>F9-G9</f>
        <v>0</v>
      </c>
    </row>
    <row r="10" spans="1:9" x14ac:dyDescent="0.25">
      <c r="A10" s="3" t="s">
        <v>80</v>
      </c>
      <c r="B10" s="30" t="s">
        <v>37</v>
      </c>
      <c r="C10" s="3"/>
      <c r="D10" s="3">
        <f>'DECEMBER 20'!H10:H24</f>
        <v>1000</v>
      </c>
      <c r="E10" s="3">
        <v>6000</v>
      </c>
      <c r="F10" s="3">
        <f t="shared" si="0"/>
        <v>7000</v>
      </c>
      <c r="G10" s="30">
        <f>3000</f>
        <v>3000</v>
      </c>
      <c r="H10" s="3">
        <f t="shared" si="1"/>
        <v>4000</v>
      </c>
    </row>
    <row r="11" spans="1:9" x14ac:dyDescent="0.25">
      <c r="A11" s="3">
        <v>6</v>
      </c>
      <c r="B11" s="4" t="s">
        <v>43</v>
      </c>
      <c r="C11" s="4"/>
      <c r="D11" s="3">
        <f>'DECEMBER 20'!H11:H25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9" x14ac:dyDescent="0.25">
      <c r="A12" s="3">
        <v>7</v>
      </c>
      <c r="B12" s="3" t="s">
        <v>45</v>
      </c>
      <c r="C12" s="3"/>
      <c r="D12" s="3">
        <f>'DECEMBER 20'!H12:H26</f>
        <v>0</v>
      </c>
      <c r="E12" s="3">
        <v>3000</v>
      </c>
      <c r="F12" s="3">
        <f t="shared" si="0"/>
        <v>3000</v>
      </c>
      <c r="G12" s="30">
        <f>3000</f>
        <v>3000</v>
      </c>
      <c r="H12" s="3">
        <f t="shared" si="1"/>
        <v>0</v>
      </c>
    </row>
    <row r="13" spans="1:9" x14ac:dyDescent="0.25">
      <c r="A13" s="3">
        <v>8</v>
      </c>
      <c r="B13" s="3" t="s">
        <v>93</v>
      </c>
      <c r="C13" s="3"/>
      <c r="D13" s="3">
        <f>'DECEMBER 20'!H13:H27</f>
        <v>0</v>
      </c>
      <c r="E13" s="3">
        <v>2500</v>
      </c>
      <c r="F13" s="3">
        <f t="shared" si="0"/>
        <v>2500</v>
      </c>
      <c r="G13" s="30">
        <f>2500</f>
        <v>2500</v>
      </c>
      <c r="H13" s="3">
        <f t="shared" si="1"/>
        <v>0</v>
      </c>
    </row>
    <row r="14" spans="1:9" x14ac:dyDescent="0.25">
      <c r="A14" s="3">
        <v>9</v>
      </c>
      <c r="B14" s="3" t="s">
        <v>35</v>
      </c>
      <c r="C14" s="3"/>
      <c r="D14" s="3">
        <f>'DECEMBER 20'!H14:H28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9" x14ac:dyDescent="0.25">
      <c r="A15" s="3">
        <v>10</v>
      </c>
      <c r="B15" s="3"/>
      <c r="C15" s="3"/>
      <c r="D15" s="3"/>
      <c r="E15" s="3"/>
      <c r="F15" s="3">
        <f t="shared" si="0"/>
        <v>0</v>
      </c>
      <c r="G15" s="30"/>
      <c r="H15" s="3">
        <f t="shared" si="1"/>
        <v>0</v>
      </c>
    </row>
    <row r="16" spans="1:9" x14ac:dyDescent="0.25">
      <c r="A16" s="3">
        <v>11</v>
      </c>
      <c r="B16" s="3" t="s">
        <v>144</v>
      </c>
      <c r="C16" s="3"/>
      <c r="D16" s="3">
        <f>'DECEMBER 20'!H16:H30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</row>
    <row r="17" spans="1:10" x14ac:dyDescent="0.25">
      <c r="A17" s="3">
        <v>12</v>
      </c>
      <c r="B17" s="3" t="s">
        <v>131</v>
      </c>
      <c r="C17" s="3"/>
      <c r="D17" s="3">
        <f>'DECEMBER 20'!H17:H31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0" x14ac:dyDescent="0.25">
      <c r="A18" s="3">
        <v>13</v>
      </c>
      <c r="B18" s="3" t="s">
        <v>113</v>
      </c>
      <c r="C18" s="3"/>
      <c r="D18" s="3">
        <f>'DECEMBER 20'!H18:H32</f>
        <v>0</v>
      </c>
      <c r="E18" s="3">
        <v>2500</v>
      </c>
      <c r="F18" s="3">
        <f t="shared" si="0"/>
        <v>2500</v>
      </c>
      <c r="G18" s="30">
        <v>2500</v>
      </c>
      <c r="H18" s="3">
        <f t="shared" si="1"/>
        <v>0</v>
      </c>
      <c r="I18" s="5"/>
    </row>
    <row r="19" spans="1:10" x14ac:dyDescent="0.25">
      <c r="A19" s="3">
        <v>14</v>
      </c>
      <c r="B19" s="3" t="s">
        <v>38</v>
      </c>
      <c r="C19" s="3"/>
      <c r="D19" s="3">
        <f>'DECEMBER 20'!H19:H33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0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1500</v>
      </c>
      <c r="E20" s="2">
        <f t="shared" si="2"/>
        <v>45000</v>
      </c>
      <c r="F20" s="2">
        <f t="shared" si="2"/>
        <v>46500</v>
      </c>
      <c r="G20" s="31">
        <f t="shared" si="2"/>
        <v>37000</v>
      </c>
      <c r="H20" s="2">
        <f t="shared" si="2"/>
        <v>9500</v>
      </c>
      <c r="J20" t="s">
        <v>10</v>
      </c>
    </row>
    <row r="21" spans="1:10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0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0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0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0" x14ac:dyDescent="0.25">
      <c r="B25" s="16" t="s">
        <v>133</v>
      </c>
      <c r="C25" s="16"/>
      <c r="D25" s="17">
        <f>E20</f>
        <v>45000</v>
      </c>
      <c r="E25" s="16"/>
      <c r="F25" s="16"/>
      <c r="G25" s="16" t="s">
        <v>133</v>
      </c>
      <c r="H25" s="17">
        <f>G20</f>
        <v>37000</v>
      </c>
      <c r="I25" s="16"/>
      <c r="J25" s="16"/>
    </row>
    <row r="26" spans="1:10" x14ac:dyDescent="0.25">
      <c r="B26" s="16" t="s">
        <v>4</v>
      </c>
      <c r="C26" s="16"/>
      <c r="D26" s="17">
        <f>'DECEMBER 20'!F38</f>
        <v>-5083</v>
      </c>
      <c r="E26" s="16"/>
      <c r="F26" s="16"/>
      <c r="G26" s="16"/>
      <c r="H26" s="17"/>
      <c r="I26" s="16"/>
      <c r="J26" s="16"/>
    </row>
    <row r="27" spans="1:10" x14ac:dyDescent="0.25">
      <c r="B27" s="16" t="s">
        <v>141</v>
      </c>
      <c r="C27" s="16"/>
      <c r="D27" s="17">
        <v>500</v>
      </c>
      <c r="E27" s="16"/>
      <c r="F27" s="16"/>
      <c r="G27" s="16" t="s">
        <v>140</v>
      </c>
      <c r="H27" s="16">
        <v>500</v>
      </c>
      <c r="I27" s="17"/>
      <c r="J27" s="16"/>
    </row>
    <row r="28" spans="1:10" x14ac:dyDescent="0.25">
      <c r="B28" s="16" t="s">
        <v>39</v>
      </c>
      <c r="C28" s="16"/>
      <c r="D28" s="17">
        <f>C20</f>
        <v>0</v>
      </c>
      <c r="E28" s="16"/>
      <c r="F28" s="16"/>
      <c r="G28" s="16" t="s">
        <v>4</v>
      </c>
      <c r="H28" s="17">
        <f>'DECEMBER 20'!J38</f>
        <v>-6583</v>
      </c>
      <c r="I28" s="16"/>
      <c r="J28" s="16"/>
    </row>
    <row r="29" spans="1:10" x14ac:dyDescent="0.25">
      <c r="B29" s="16" t="s">
        <v>20</v>
      </c>
      <c r="C29" s="16"/>
      <c r="D29" s="18">
        <v>0.1</v>
      </c>
      <c r="E29" s="17">
        <f>D29*D25</f>
        <v>4500</v>
      </c>
      <c r="F29" s="16"/>
      <c r="G29" s="16" t="s">
        <v>20</v>
      </c>
      <c r="H29" s="18">
        <v>0.1</v>
      </c>
      <c r="I29" s="17">
        <f>H29*D25</f>
        <v>4500</v>
      </c>
      <c r="J29" s="16"/>
    </row>
    <row r="30" spans="1:10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0" x14ac:dyDescent="0.25">
      <c r="B31" s="16" t="s">
        <v>137</v>
      </c>
      <c r="C31" s="15"/>
      <c r="D31" s="19"/>
      <c r="E31" s="16">
        <v>11462</v>
      </c>
      <c r="F31" s="15"/>
      <c r="G31" s="16" t="s">
        <v>137</v>
      </c>
      <c r="H31" s="15"/>
      <c r="I31" s="19">
        <v>11462</v>
      </c>
      <c r="J31" s="16"/>
    </row>
    <row r="32" spans="1:10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</row>
    <row r="33" spans="2:12" x14ac:dyDescent="0.25">
      <c r="B33" s="22" t="s">
        <v>139</v>
      </c>
      <c r="C33" s="22"/>
      <c r="D33" s="16"/>
      <c r="E33" s="16">
        <v>16705</v>
      </c>
      <c r="F33" s="16"/>
      <c r="G33" s="22" t="s">
        <v>139</v>
      </c>
      <c r="H33" s="22"/>
      <c r="I33" s="16">
        <v>16705</v>
      </c>
      <c r="J33" s="16"/>
    </row>
    <row r="34" spans="2:12" x14ac:dyDescent="0.25">
      <c r="B34" s="22" t="s">
        <v>142</v>
      </c>
      <c r="C34" s="22"/>
      <c r="D34" s="16"/>
      <c r="E34" s="16">
        <v>500</v>
      </c>
      <c r="F34" s="16"/>
      <c r="G34" s="22" t="s">
        <v>142</v>
      </c>
      <c r="H34" s="22"/>
      <c r="I34" s="16">
        <v>500</v>
      </c>
      <c r="J34" s="16"/>
    </row>
    <row r="35" spans="2:12" x14ac:dyDescent="0.25">
      <c r="B35" s="22" t="s">
        <v>143</v>
      </c>
      <c r="C35" s="22"/>
      <c r="D35" s="16"/>
      <c r="E35" s="16">
        <v>500</v>
      </c>
      <c r="F35" s="16"/>
      <c r="G35" s="22" t="s">
        <v>143</v>
      </c>
      <c r="H35" s="22"/>
      <c r="I35" s="16">
        <v>500</v>
      </c>
      <c r="J35" s="16"/>
    </row>
    <row r="36" spans="2:12" x14ac:dyDescent="0.25">
      <c r="B36" s="21"/>
      <c r="C36" s="21"/>
      <c r="D36" s="16"/>
      <c r="E36" s="23"/>
      <c r="F36" s="16"/>
      <c r="G36" s="21"/>
      <c r="H36" s="21"/>
      <c r="I36" s="16"/>
      <c r="J36" s="23"/>
    </row>
    <row r="37" spans="2:12" x14ac:dyDescent="0.25">
      <c r="B37" s="21"/>
      <c r="C37" s="21"/>
      <c r="D37" s="16"/>
      <c r="E37" s="23"/>
      <c r="F37" s="16"/>
      <c r="G37" s="21"/>
      <c r="H37" s="16"/>
      <c r="I37" s="23"/>
      <c r="J37" s="23"/>
    </row>
    <row r="38" spans="2:12" x14ac:dyDescent="0.25">
      <c r="B38" s="21"/>
      <c r="C38" s="21"/>
      <c r="D38" s="16"/>
      <c r="E38" s="23"/>
      <c r="F38" s="16"/>
      <c r="G38" s="21"/>
      <c r="I38" s="23"/>
      <c r="J38" s="16"/>
    </row>
    <row r="39" spans="2:12" x14ac:dyDescent="0.25">
      <c r="B39" s="15" t="s">
        <v>9</v>
      </c>
      <c r="C39" s="15"/>
      <c r="D39" s="19">
        <f>D25+D26+D28+D27</f>
        <v>40417</v>
      </c>
      <c r="E39" s="19">
        <f>SUM(E29:E38)</f>
        <v>38667</v>
      </c>
      <c r="F39" s="19">
        <f>D39-E39</f>
        <v>1750</v>
      </c>
      <c r="G39" s="15" t="s">
        <v>9</v>
      </c>
      <c r="H39" s="19">
        <f>H25+H28+H26+H27-I29</f>
        <v>26417</v>
      </c>
      <c r="I39" s="19">
        <f>SUM(I31:I38)</f>
        <v>34167</v>
      </c>
      <c r="J39" s="19">
        <f>H39-I39</f>
        <v>-7750</v>
      </c>
    </row>
    <row r="41" spans="2:12" x14ac:dyDescent="0.25">
      <c r="B41" t="s">
        <v>22</v>
      </c>
      <c r="E41" t="s">
        <v>23</v>
      </c>
      <c r="H41" t="s">
        <v>24</v>
      </c>
    </row>
    <row r="42" spans="2:12" x14ac:dyDescent="0.25">
      <c r="B42" t="s">
        <v>25</v>
      </c>
      <c r="E42" t="s">
        <v>26</v>
      </c>
      <c r="H42" t="s">
        <v>27</v>
      </c>
      <c r="L42" s="24"/>
    </row>
    <row r="43" spans="2:12" x14ac:dyDescent="0.25">
      <c r="L43" s="24"/>
    </row>
    <row r="44" spans="2:12" x14ac:dyDescent="0.25">
      <c r="L44" s="24"/>
    </row>
    <row r="46" spans="2:12" x14ac:dyDescent="0.25">
      <c r="L46" s="24"/>
    </row>
    <row r="48" spans="2:12" x14ac:dyDescent="0.25">
      <c r="L48" s="2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O30" sqref="O30"/>
    </sheetView>
  </sheetViews>
  <sheetFormatPr defaultRowHeight="15" x14ac:dyDescent="0.25"/>
  <cols>
    <col min="1" max="1" width="6.140625" customWidth="1"/>
  </cols>
  <sheetData>
    <row r="1" spans="1:11" x14ac:dyDescent="0.25">
      <c r="A1" s="1"/>
      <c r="D1" s="1" t="s">
        <v>28</v>
      </c>
      <c r="E1" s="1"/>
      <c r="F1" s="1"/>
      <c r="G1" s="1"/>
      <c r="H1" s="1"/>
    </row>
    <row r="2" spans="1:11" x14ac:dyDescent="0.25">
      <c r="A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145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'JANUARY 21'!H5:H20</f>
        <v>0</v>
      </c>
      <c r="E5" s="3">
        <v>5000</v>
      </c>
      <c r="F5" s="3">
        <f>D5+E5+C5</f>
        <v>5000</v>
      </c>
      <c r="G5" s="30">
        <f>5000</f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'JANUARY 21'!H6:H21</f>
        <v>5000</v>
      </c>
      <c r="E6" s="3">
        <v>5000</v>
      </c>
      <c r="F6" s="3">
        <f t="shared" ref="F6:F19" si="0">D6+E6+C6</f>
        <v>10000</v>
      </c>
      <c r="G6" s="30"/>
      <c r="H6" s="3">
        <f t="shared" ref="H6:H19" si="1">F6-G6</f>
        <v>10000</v>
      </c>
    </row>
    <row r="7" spans="1:11" x14ac:dyDescent="0.25">
      <c r="A7" s="3">
        <v>3</v>
      </c>
      <c r="B7" s="3" t="s">
        <v>32</v>
      </c>
      <c r="C7" s="3"/>
      <c r="D7" s="3">
        <f>'JANUARY 21'!H7:H22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'JANUARY 21'!H8:H23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11" x14ac:dyDescent="0.25">
      <c r="A9" s="34" t="s">
        <v>79</v>
      </c>
      <c r="B9" s="3" t="s">
        <v>150</v>
      </c>
      <c r="C9" s="3"/>
      <c r="D9" s="3">
        <f>'JANUARY 21'!H9:H24</f>
        <v>0</v>
      </c>
      <c r="E9" s="3">
        <v>5500</v>
      </c>
      <c r="F9" s="3">
        <f>D9+E9+C9</f>
        <v>5500</v>
      </c>
      <c r="G9" s="30">
        <v>5500</v>
      </c>
      <c r="H9" s="3">
        <f>F9-G9</f>
        <v>0</v>
      </c>
    </row>
    <row r="10" spans="1:11" x14ac:dyDescent="0.25">
      <c r="A10" s="3" t="s">
        <v>80</v>
      </c>
      <c r="B10" s="30" t="s">
        <v>37</v>
      </c>
      <c r="C10" s="3"/>
      <c r="D10" s="3">
        <f>'JANUARY 21'!H10:H25</f>
        <v>4000</v>
      </c>
      <c r="E10" s="3">
        <v>3000</v>
      </c>
      <c r="F10" s="3">
        <f t="shared" si="0"/>
        <v>7000</v>
      </c>
      <c r="G10" s="30">
        <f>3500+750</f>
        <v>4250</v>
      </c>
      <c r="H10" s="3">
        <f t="shared" si="1"/>
        <v>2750</v>
      </c>
    </row>
    <row r="11" spans="1:11" x14ac:dyDescent="0.25">
      <c r="A11" s="3">
        <v>6</v>
      </c>
      <c r="B11" s="4" t="s">
        <v>43</v>
      </c>
      <c r="C11" s="4"/>
      <c r="D11" s="3">
        <f>'JANUARY 21'!H11:H26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'JANUARY 21'!H12:H27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93</v>
      </c>
      <c r="C13" s="3"/>
      <c r="D13" s="3">
        <f>'JANUARY 21'!H13:H28</f>
        <v>0</v>
      </c>
      <c r="E13" s="3">
        <v>2500</v>
      </c>
      <c r="F13" s="3">
        <f t="shared" si="0"/>
        <v>2500</v>
      </c>
      <c r="G13" s="30">
        <f>1000+1000</f>
        <v>2000</v>
      </c>
      <c r="H13" s="3">
        <f t="shared" si="1"/>
        <v>500</v>
      </c>
    </row>
    <row r="14" spans="1:11" x14ac:dyDescent="0.25">
      <c r="A14" s="3">
        <v>9</v>
      </c>
      <c r="B14" s="3" t="s">
        <v>35</v>
      </c>
      <c r="C14" s="3"/>
      <c r="D14" s="3">
        <f>'JANUARY 21'!H14:H29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1" x14ac:dyDescent="0.25">
      <c r="A15" s="3">
        <v>10</v>
      </c>
      <c r="B15" s="3" t="s">
        <v>37</v>
      </c>
      <c r="C15" s="3"/>
      <c r="D15" s="3">
        <f>'JANUARY 21'!H15:H30</f>
        <v>0</v>
      </c>
      <c r="E15" s="3">
        <v>1750</v>
      </c>
      <c r="F15" s="3">
        <f t="shared" si="0"/>
        <v>1750</v>
      </c>
      <c r="G15" s="30">
        <v>1750</v>
      </c>
      <c r="H15" s="3">
        <f t="shared" si="1"/>
        <v>0</v>
      </c>
      <c r="K15">
        <f>E10+E15</f>
        <v>4750</v>
      </c>
    </row>
    <row r="16" spans="1:11" x14ac:dyDescent="0.25">
      <c r="A16" s="3">
        <v>11</v>
      </c>
      <c r="B16" s="3" t="s">
        <v>155</v>
      </c>
      <c r="C16" s="3"/>
      <c r="D16" s="3">
        <f>'JANUARY 21'!H16:H31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 t="s">
        <v>154</v>
      </c>
    </row>
    <row r="17" spans="1:12" x14ac:dyDescent="0.25">
      <c r="A17" s="3">
        <v>12</v>
      </c>
      <c r="B17" s="3" t="s">
        <v>131</v>
      </c>
      <c r="C17" s="3"/>
      <c r="D17" s="3">
        <f>'JANUARY 21'!H17:H32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2" x14ac:dyDescent="0.25">
      <c r="A18" s="3">
        <v>13</v>
      </c>
      <c r="B18" s="3" t="s">
        <v>113</v>
      </c>
      <c r="C18" s="3"/>
      <c r="D18" s="3">
        <f>'JANUARY 21'!H18:H33</f>
        <v>0</v>
      </c>
      <c r="E18" s="3">
        <v>2500</v>
      </c>
      <c r="F18" s="3">
        <f t="shared" si="0"/>
        <v>2500</v>
      </c>
      <c r="G18" s="30">
        <v>2500</v>
      </c>
      <c r="H18" s="3">
        <f t="shared" si="1"/>
        <v>0</v>
      </c>
      <c r="I18" s="5"/>
    </row>
    <row r="19" spans="1:12" x14ac:dyDescent="0.25">
      <c r="A19" s="3">
        <v>14</v>
      </c>
      <c r="B19" s="3" t="s">
        <v>38</v>
      </c>
      <c r="C19" s="3"/>
      <c r="D19" s="3">
        <f>'JANUARY 21'!H19:H34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2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9500</v>
      </c>
      <c r="E20" s="2">
        <f t="shared" si="2"/>
        <v>49250</v>
      </c>
      <c r="F20" s="2">
        <f t="shared" si="2"/>
        <v>58750</v>
      </c>
      <c r="G20" s="31">
        <f t="shared" si="2"/>
        <v>45000</v>
      </c>
      <c r="H20" s="2">
        <f t="shared" si="2"/>
        <v>13750</v>
      </c>
      <c r="J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146</v>
      </c>
      <c r="C25" s="16"/>
      <c r="D25" s="17">
        <f>E20</f>
        <v>49250</v>
      </c>
      <c r="E25" s="16"/>
      <c r="F25" s="16"/>
      <c r="G25" s="16" t="s">
        <v>146</v>
      </c>
      <c r="H25" s="17">
        <f>G20</f>
        <v>45000</v>
      </c>
      <c r="I25" s="16"/>
      <c r="J25" s="16"/>
    </row>
    <row r="26" spans="1:12" x14ac:dyDescent="0.25">
      <c r="B26" s="16" t="s">
        <v>4</v>
      </c>
      <c r="C26" s="16"/>
      <c r="D26" s="17">
        <f>'JANUARY 21'!F39</f>
        <v>1750</v>
      </c>
      <c r="E26" s="16"/>
      <c r="F26" s="16"/>
      <c r="G26" s="16"/>
      <c r="H26" s="17"/>
      <c r="I26" s="16"/>
      <c r="J26" s="16"/>
    </row>
    <row r="27" spans="1:12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2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'JANUARY 21'!J39</f>
        <v>-7750</v>
      </c>
      <c r="I28" s="16"/>
      <c r="J28" s="16"/>
    </row>
    <row r="29" spans="1:12" x14ac:dyDescent="0.25">
      <c r="B29" s="16" t="s">
        <v>20</v>
      </c>
      <c r="C29" s="16"/>
      <c r="D29" s="18">
        <v>0.1</v>
      </c>
      <c r="E29" s="17">
        <f>D29*D25</f>
        <v>4925</v>
      </c>
      <c r="F29" s="16"/>
      <c r="G29" s="16" t="s">
        <v>20</v>
      </c>
      <c r="H29" s="18">
        <v>0.1</v>
      </c>
      <c r="I29" s="17">
        <f>H29*D25</f>
        <v>4925</v>
      </c>
      <c r="J29" s="16"/>
    </row>
    <row r="30" spans="1:12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2" x14ac:dyDescent="0.25">
      <c r="B31" s="16"/>
      <c r="C31" s="15"/>
      <c r="D31" s="19"/>
      <c r="E31" s="16"/>
      <c r="F31" s="15"/>
      <c r="G31" s="16"/>
      <c r="H31" s="15"/>
      <c r="I31" s="19"/>
      <c r="J31" s="16"/>
      <c r="L31" s="24"/>
    </row>
    <row r="32" spans="1:12" x14ac:dyDescent="0.25">
      <c r="B32" s="16" t="s">
        <v>138</v>
      </c>
      <c r="C32" s="16"/>
      <c r="D32" s="17"/>
      <c r="E32" s="16"/>
      <c r="F32" s="16"/>
      <c r="G32" s="16" t="s">
        <v>138</v>
      </c>
      <c r="H32" s="16"/>
      <c r="I32" s="17"/>
      <c r="J32" s="16"/>
      <c r="L32" s="24"/>
    </row>
    <row r="33" spans="2:17" x14ac:dyDescent="0.25">
      <c r="B33" s="22" t="s">
        <v>147</v>
      </c>
      <c r="C33" s="22"/>
      <c r="D33" s="16"/>
      <c r="E33" s="16">
        <v>20102</v>
      </c>
      <c r="F33" s="16"/>
      <c r="G33" s="22" t="s">
        <v>147</v>
      </c>
      <c r="H33" s="22"/>
      <c r="I33" s="16">
        <v>20102</v>
      </c>
      <c r="J33" s="16"/>
      <c r="L33" s="24"/>
    </row>
    <row r="34" spans="2:17" x14ac:dyDescent="0.25">
      <c r="B34" s="22" t="s">
        <v>148</v>
      </c>
      <c r="C34" s="22"/>
      <c r="D34" s="16"/>
      <c r="E34" s="16">
        <v>14112</v>
      </c>
      <c r="F34" s="16"/>
      <c r="G34" s="22" t="s">
        <v>148</v>
      </c>
      <c r="H34" s="22"/>
      <c r="I34" s="16">
        <v>14112</v>
      </c>
      <c r="J34" s="16"/>
      <c r="L34" s="24"/>
    </row>
    <row r="35" spans="2:17" x14ac:dyDescent="0.25">
      <c r="B35" s="22" t="s">
        <v>149</v>
      </c>
      <c r="C35" s="22"/>
      <c r="D35" s="16"/>
      <c r="E35" s="16">
        <v>2500</v>
      </c>
      <c r="F35" s="16"/>
      <c r="G35" s="22" t="s">
        <v>149</v>
      </c>
      <c r="H35" s="22"/>
      <c r="I35" s="16">
        <v>2500</v>
      </c>
      <c r="J35" s="16"/>
      <c r="L35" s="24"/>
    </row>
    <row r="36" spans="2:17" x14ac:dyDescent="0.25">
      <c r="B36" s="21" t="s">
        <v>151</v>
      </c>
      <c r="C36" s="21"/>
      <c r="D36" s="16"/>
      <c r="E36" s="23">
        <v>9360</v>
      </c>
      <c r="F36" s="16"/>
      <c r="G36" s="21" t="s">
        <v>151</v>
      </c>
      <c r="H36" s="21"/>
      <c r="I36" s="16">
        <v>9360</v>
      </c>
      <c r="J36" s="23"/>
    </row>
    <row r="37" spans="2:17" x14ac:dyDescent="0.25">
      <c r="B37" s="21" t="s">
        <v>152</v>
      </c>
      <c r="C37" s="21"/>
      <c r="D37" s="16"/>
      <c r="E37" s="23">
        <v>2000</v>
      </c>
      <c r="F37" s="16"/>
      <c r="G37" s="21" t="s">
        <v>152</v>
      </c>
      <c r="H37" s="21"/>
      <c r="I37" s="16">
        <v>2000</v>
      </c>
      <c r="J37" s="23"/>
      <c r="K37" s="16"/>
      <c r="Q37" s="21">
        <v>2032</v>
      </c>
    </row>
    <row r="38" spans="2:17" x14ac:dyDescent="0.25">
      <c r="B38" s="21" t="s">
        <v>85</v>
      </c>
      <c r="C38" s="21"/>
      <c r="D38" s="16"/>
      <c r="E38" s="23">
        <v>3000</v>
      </c>
      <c r="F38" s="16"/>
      <c r="G38" s="21" t="s">
        <v>85</v>
      </c>
      <c r="H38" s="35"/>
      <c r="I38" s="16">
        <v>3000</v>
      </c>
      <c r="J38" s="23"/>
      <c r="K38" s="36"/>
    </row>
    <row r="39" spans="2:17" x14ac:dyDescent="0.25">
      <c r="B39" s="21" t="s">
        <v>153</v>
      </c>
      <c r="D39" s="21"/>
      <c r="E39" s="23">
        <v>2032</v>
      </c>
      <c r="F39" s="16"/>
      <c r="G39" s="21" t="s">
        <v>153</v>
      </c>
      <c r="I39" s="20">
        <v>2032</v>
      </c>
      <c r="J39" s="23"/>
    </row>
    <row r="40" spans="2:17" x14ac:dyDescent="0.25">
      <c r="B40" s="15" t="s">
        <v>9</v>
      </c>
      <c r="C40" s="15"/>
      <c r="D40" s="19">
        <f>D25+D26+D28+D27</f>
        <v>51000</v>
      </c>
      <c r="E40" s="19">
        <f>SUM(E29:E39)</f>
        <v>58031</v>
      </c>
      <c r="F40" s="19">
        <f>D40-E40</f>
        <v>-7031</v>
      </c>
      <c r="G40" s="15" t="s">
        <v>9</v>
      </c>
      <c r="H40" s="19">
        <f>H25+H28+H26+H27-I29</f>
        <v>32325</v>
      </c>
      <c r="I40" s="19">
        <f>SUM(I31:I39)</f>
        <v>53106</v>
      </c>
      <c r="J40" s="19">
        <f>H40-I40</f>
        <v>-20781</v>
      </c>
    </row>
    <row r="41" spans="2:17" x14ac:dyDescent="0.25">
      <c r="E41" t="s">
        <v>23</v>
      </c>
      <c r="H41" t="s">
        <v>24</v>
      </c>
    </row>
    <row r="42" spans="2:17" x14ac:dyDescent="0.25">
      <c r="B42" t="s">
        <v>22</v>
      </c>
      <c r="E42" t="s">
        <v>26</v>
      </c>
      <c r="H42" t="s">
        <v>27</v>
      </c>
    </row>
    <row r="43" spans="2:17" x14ac:dyDescent="0.25">
      <c r="B43" t="s">
        <v>25</v>
      </c>
      <c r="G43">
        <f>E37+E38+E39</f>
        <v>7032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7" workbookViewId="0">
      <selection activeCell="R41" sqref="R41"/>
    </sheetView>
  </sheetViews>
  <sheetFormatPr defaultRowHeight="15" x14ac:dyDescent="0.25"/>
  <cols>
    <col min="9" max="9" width="7.85546875" customWidth="1"/>
    <col min="10" max="10" width="12.285156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156</v>
      </c>
      <c r="E3" s="1"/>
      <c r="F3" s="1"/>
      <c r="G3" s="1"/>
      <c r="H3" s="1"/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7" t="s">
        <v>160</v>
      </c>
      <c r="J4">
        <v>799957664</v>
      </c>
    </row>
    <row r="5" spans="1:10" x14ac:dyDescent="0.25">
      <c r="A5" s="3" t="s">
        <v>29</v>
      </c>
      <c r="B5" s="3" t="s">
        <v>31</v>
      </c>
      <c r="C5" s="3"/>
      <c r="D5" s="3">
        <f>FEBRUARY21!H5:H19</f>
        <v>0</v>
      </c>
      <c r="E5" s="3">
        <v>5000</v>
      </c>
      <c r="F5" s="3">
        <f>D5+E5+C5</f>
        <v>5000</v>
      </c>
      <c r="G5" s="30"/>
      <c r="H5" s="3"/>
    </row>
    <row r="6" spans="1:10" x14ac:dyDescent="0.25">
      <c r="A6" s="3" t="s">
        <v>30</v>
      </c>
      <c r="B6" s="3" t="s">
        <v>41</v>
      </c>
      <c r="C6" s="3"/>
      <c r="D6" s="3">
        <f>FEBRUARY21!H6:H20</f>
        <v>10000</v>
      </c>
      <c r="E6" s="3"/>
      <c r="F6" s="3">
        <f t="shared" ref="F6:F19" si="0">D6+E6+C6</f>
        <v>10000</v>
      </c>
      <c r="G6" s="30"/>
      <c r="H6" s="3"/>
    </row>
    <row r="7" spans="1:10" x14ac:dyDescent="0.25">
      <c r="A7" s="3">
        <v>3</v>
      </c>
      <c r="B7" s="3" t="s">
        <v>32</v>
      </c>
      <c r="C7" s="3"/>
      <c r="D7" s="3">
        <f>FEBRUARY21!H7:H21</f>
        <v>0</v>
      </c>
      <c r="E7" s="3">
        <v>3000</v>
      </c>
      <c r="F7" s="3">
        <f t="shared" si="0"/>
        <v>3000</v>
      </c>
      <c r="G7" s="30">
        <v>3000</v>
      </c>
      <c r="H7" s="3">
        <f t="shared" ref="H7:H19" si="1">F7-G7</f>
        <v>0</v>
      </c>
    </row>
    <row r="8" spans="1:10" x14ac:dyDescent="0.25">
      <c r="A8" s="3">
        <v>4</v>
      </c>
      <c r="B8" s="3" t="s">
        <v>33</v>
      </c>
      <c r="C8" s="3"/>
      <c r="D8" s="3">
        <f>FEBRUARY21!H8:H22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 t="s">
        <v>150</v>
      </c>
      <c r="C9" s="3"/>
      <c r="D9" s="3">
        <f>FEBRUARY21!H9:H23</f>
        <v>0</v>
      </c>
      <c r="E9" s="3">
        <v>5500</v>
      </c>
      <c r="F9" s="3">
        <f>D9+E9+C9</f>
        <v>5500</v>
      </c>
      <c r="G9" s="30">
        <f>5500</f>
        <v>5500</v>
      </c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FEBRUARY21!H10:H24</f>
        <v>2750</v>
      </c>
      <c r="E10" s="3"/>
      <c r="F10" s="3">
        <f t="shared" si="0"/>
        <v>2750</v>
      </c>
      <c r="G10" s="30">
        <f>2500</f>
        <v>2500</v>
      </c>
      <c r="H10" s="3">
        <f t="shared" si="1"/>
        <v>250</v>
      </c>
    </row>
    <row r="11" spans="1:10" x14ac:dyDescent="0.25">
      <c r="A11" s="3">
        <v>6</v>
      </c>
      <c r="B11" s="4" t="s">
        <v>43</v>
      </c>
      <c r="C11" s="4"/>
      <c r="D11" s="3">
        <f>FEBRUARY21!H11:H25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FEBRUARY21!H12:H26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FEBRUARY21!H13:H27</f>
        <v>500</v>
      </c>
      <c r="E13" s="3">
        <v>2500</v>
      </c>
      <c r="F13" s="3">
        <f t="shared" si="0"/>
        <v>3000</v>
      </c>
      <c r="G13" s="30">
        <f>1500+1000</f>
        <v>2500</v>
      </c>
      <c r="H13" s="3">
        <f t="shared" si="1"/>
        <v>500</v>
      </c>
    </row>
    <row r="14" spans="1:10" x14ac:dyDescent="0.25">
      <c r="A14" s="3">
        <v>9</v>
      </c>
      <c r="B14" s="3" t="s">
        <v>35</v>
      </c>
      <c r="C14" s="3"/>
      <c r="D14" s="3">
        <f>FEBRUARY21!H14:H28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37</v>
      </c>
      <c r="C15" s="3"/>
      <c r="D15" s="3">
        <f>FEBRUARY21!H15:H29</f>
        <v>0</v>
      </c>
      <c r="E15" s="3">
        <v>2500</v>
      </c>
      <c r="F15" s="3">
        <f t="shared" si="0"/>
        <v>2500</v>
      </c>
      <c r="G15" s="30"/>
      <c r="H15" s="3">
        <f t="shared" si="1"/>
        <v>2500</v>
      </c>
    </row>
    <row r="16" spans="1:10" x14ac:dyDescent="0.25">
      <c r="A16" s="3">
        <v>11</v>
      </c>
      <c r="B16" s="3" t="s">
        <v>158</v>
      </c>
      <c r="C16" s="3"/>
      <c r="D16" s="3">
        <f>FEBRUARY21!H16:H30</f>
        <v>0</v>
      </c>
      <c r="E16" s="3">
        <v>2500</v>
      </c>
      <c r="F16" s="3">
        <f t="shared" si="0"/>
        <v>2500</v>
      </c>
      <c r="G16" s="30">
        <f>2500</f>
        <v>2500</v>
      </c>
      <c r="H16" s="3">
        <f t="shared" si="1"/>
        <v>0</v>
      </c>
      <c r="I16" s="5"/>
    </row>
    <row r="17" spans="1:16" x14ac:dyDescent="0.25">
      <c r="A17" s="3">
        <v>12</v>
      </c>
      <c r="B17" s="3" t="s">
        <v>131</v>
      </c>
      <c r="C17" s="3"/>
      <c r="D17" s="3">
        <f>FEBRUARY21!H17:H31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6" x14ac:dyDescent="0.25">
      <c r="A18" s="3">
        <v>13</v>
      </c>
      <c r="B18" s="3" t="s">
        <v>113</v>
      </c>
      <c r="C18" s="3"/>
      <c r="D18" s="3">
        <f>FEBRUARY21!H18:H32</f>
        <v>0</v>
      </c>
      <c r="E18" s="3">
        <v>2500</v>
      </c>
      <c r="F18" s="3">
        <f>D18+E18+C18</f>
        <v>2500</v>
      </c>
      <c r="G18" s="30">
        <f>2500</f>
        <v>2500</v>
      </c>
      <c r="H18" s="3">
        <f t="shared" si="1"/>
        <v>0</v>
      </c>
      <c r="I18" s="5"/>
    </row>
    <row r="19" spans="1:16" x14ac:dyDescent="0.25">
      <c r="A19" s="3">
        <v>14</v>
      </c>
      <c r="B19" s="3" t="s">
        <v>38</v>
      </c>
      <c r="C19" s="3"/>
      <c r="D19" s="3">
        <f>FEBRUARY21!H19:H33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6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13750</v>
      </c>
      <c r="E20" s="2">
        <f t="shared" si="2"/>
        <v>42000</v>
      </c>
      <c r="F20" s="2">
        <f t="shared" si="2"/>
        <v>55750</v>
      </c>
      <c r="G20" s="31">
        <f t="shared" si="2"/>
        <v>37000</v>
      </c>
      <c r="H20" s="2">
        <f t="shared" si="2"/>
        <v>3750</v>
      </c>
      <c r="J20" t="s">
        <v>10</v>
      </c>
    </row>
    <row r="21" spans="1:16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6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6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6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6" x14ac:dyDescent="0.25">
      <c r="B25" s="16" t="s">
        <v>19</v>
      </c>
      <c r="C25" s="16"/>
      <c r="D25" s="17">
        <f>E20</f>
        <v>42000</v>
      </c>
      <c r="E25" s="16"/>
      <c r="F25" s="16"/>
      <c r="G25" s="16" t="s">
        <v>19</v>
      </c>
      <c r="H25" s="17">
        <f>G20</f>
        <v>37000</v>
      </c>
      <c r="I25" s="16"/>
      <c r="J25" s="16"/>
    </row>
    <row r="26" spans="1:16" x14ac:dyDescent="0.25">
      <c r="B26" s="16" t="s">
        <v>4</v>
      </c>
      <c r="C26" s="16"/>
      <c r="D26" s="17">
        <f>FEBRUARY21!F40</f>
        <v>-7031</v>
      </c>
      <c r="E26" s="16"/>
      <c r="F26" s="16"/>
      <c r="G26" s="16"/>
      <c r="H26" s="17"/>
      <c r="I26" s="16"/>
      <c r="J26" s="16"/>
    </row>
    <row r="27" spans="1:16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6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FEBRUARY21!J40</f>
        <v>-20781</v>
      </c>
      <c r="I28" s="16"/>
      <c r="J28" s="16"/>
      <c r="P28" s="24">
        <f>D25</f>
        <v>42000</v>
      </c>
    </row>
    <row r="29" spans="1:16" x14ac:dyDescent="0.25">
      <c r="B29" s="16" t="s">
        <v>20</v>
      </c>
      <c r="C29" s="16"/>
      <c r="D29" s="18">
        <v>0.1</v>
      </c>
      <c r="E29" s="17">
        <f>D29*D25</f>
        <v>4200</v>
      </c>
      <c r="F29" s="16"/>
      <c r="G29" s="16" t="s">
        <v>20</v>
      </c>
      <c r="H29" s="18">
        <v>0.1</v>
      </c>
      <c r="I29" s="17">
        <f>H29*D25</f>
        <v>4200</v>
      </c>
      <c r="J29" s="16"/>
      <c r="P29">
        <v>7031</v>
      </c>
    </row>
    <row r="30" spans="1:16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  <c r="P30" s="24">
        <f>P28-P29</f>
        <v>34969</v>
      </c>
    </row>
    <row r="31" spans="1:16" x14ac:dyDescent="0.25">
      <c r="B31" s="16"/>
      <c r="C31" s="15"/>
      <c r="D31" s="19"/>
      <c r="E31" s="16"/>
      <c r="F31" s="15"/>
      <c r="G31" s="16"/>
      <c r="H31" s="15"/>
      <c r="I31" s="19"/>
      <c r="J31" s="16"/>
      <c r="L31" s="24"/>
      <c r="P31" s="24">
        <f>E29</f>
        <v>4200</v>
      </c>
    </row>
    <row r="32" spans="1:16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  <c r="L32" s="24"/>
      <c r="M32" s="24">
        <f>D25-E29</f>
        <v>37800</v>
      </c>
      <c r="P32" s="24">
        <f>P30-P31</f>
        <v>30769</v>
      </c>
    </row>
    <row r="33" spans="2:18" x14ac:dyDescent="0.25">
      <c r="B33" s="22" t="s">
        <v>163</v>
      </c>
      <c r="C33" s="22"/>
      <c r="D33" s="16"/>
      <c r="E33" s="16">
        <v>10000</v>
      </c>
      <c r="F33" s="16"/>
      <c r="G33" s="22"/>
      <c r="H33" s="22"/>
      <c r="I33" s="16"/>
      <c r="J33" s="16"/>
      <c r="L33" s="24"/>
      <c r="P33">
        <v>5000</v>
      </c>
    </row>
    <row r="34" spans="2:18" x14ac:dyDescent="0.25">
      <c r="B34" s="22" t="s">
        <v>157</v>
      </c>
      <c r="C34" s="22"/>
      <c r="D34" s="16"/>
      <c r="E34" s="16">
        <v>1000</v>
      </c>
      <c r="F34" s="16"/>
      <c r="G34" s="22" t="s">
        <v>157</v>
      </c>
      <c r="H34" s="22"/>
      <c r="I34" s="16">
        <v>1000</v>
      </c>
      <c r="J34" s="16"/>
      <c r="L34" s="24"/>
      <c r="P34" s="24">
        <f>P32-P33</f>
        <v>25769</v>
      </c>
    </row>
    <row r="35" spans="2:18" x14ac:dyDescent="0.25">
      <c r="B35" s="22" t="s">
        <v>159</v>
      </c>
      <c r="C35" s="22"/>
      <c r="D35" s="16"/>
      <c r="E35" s="16">
        <v>15219</v>
      </c>
      <c r="F35" s="16"/>
      <c r="G35" s="22" t="s">
        <v>159</v>
      </c>
      <c r="H35" s="22"/>
      <c r="I35" s="16">
        <v>15219</v>
      </c>
      <c r="J35" s="16"/>
      <c r="L35" s="24"/>
      <c r="P35">
        <v>1000</v>
      </c>
    </row>
    <row r="36" spans="2:18" x14ac:dyDescent="0.25">
      <c r="B36" s="21" t="s">
        <v>162</v>
      </c>
      <c r="C36" s="21"/>
      <c r="D36" s="16"/>
      <c r="E36" s="23">
        <v>5000</v>
      </c>
      <c r="F36" s="16"/>
      <c r="G36" s="21"/>
      <c r="H36" s="21"/>
      <c r="I36" s="16"/>
      <c r="J36" s="23"/>
      <c r="P36" s="24">
        <f>P34-P35</f>
        <v>24769</v>
      </c>
    </row>
    <row r="37" spans="2:18" x14ac:dyDescent="0.25">
      <c r="B37" s="21" t="s">
        <v>164</v>
      </c>
      <c r="C37" s="21"/>
      <c r="D37" s="16"/>
      <c r="E37" s="23">
        <v>3000</v>
      </c>
      <c r="F37" s="16"/>
      <c r="G37" s="21" t="s">
        <v>164</v>
      </c>
      <c r="H37" s="21"/>
      <c r="I37" s="16">
        <v>3000</v>
      </c>
      <c r="J37" s="23"/>
      <c r="K37" s="16"/>
    </row>
    <row r="38" spans="2:18" x14ac:dyDescent="0.25">
      <c r="B38" s="21" t="s">
        <v>165</v>
      </c>
      <c r="C38" s="21"/>
      <c r="D38" s="16"/>
      <c r="E38" s="23">
        <v>100</v>
      </c>
      <c r="F38" s="16"/>
      <c r="G38" s="21" t="s">
        <v>165</v>
      </c>
      <c r="H38" s="21"/>
      <c r="I38" s="16">
        <v>100</v>
      </c>
      <c r="J38" s="23"/>
      <c r="K38" s="36"/>
      <c r="L38" s="24"/>
      <c r="P38" s="24">
        <f>P36-P37</f>
        <v>24769</v>
      </c>
    </row>
    <row r="39" spans="2:18" x14ac:dyDescent="0.25">
      <c r="B39" s="21"/>
      <c r="D39" s="21"/>
      <c r="E39" s="23"/>
      <c r="F39" s="16"/>
      <c r="G39" s="21"/>
      <c r="I39" s="21"/>
      <c r="J39" s="23"/>
    </row>
    <row r="40" spans="2:18" x14ac:dyDescent="0.25">
      <c r="B40" s="15" t="s">
        <v>9</v>
      </c>
      <c r="C40" s="15"/>
      <c r="D40" s="19">
        <f>D25+D26+D28+D27</f>
        <v>34969</v>
      </c>
      <c r="E40" s="19">
        <f>SUM(E29:E39)</f>
        <v>43519</v>
      </c>
      <c r="F40" s="19">
        <f>D40-E40</f>
        <v>-8550</v>
      </c>
      <c r="G40" s="15" t="s">
        <v>9</v>
      </c>
      <c r="H40" s="19">
        <f>H25+H28+H26+H27-I29</f>
        <v>12019</v>
      </c>
      <c r="I40" s="19">
        <f>SUM(I31:I39)</f>
        <v>24319</v>
      </c>
      <c r="J40" s="19">
        <f>H40-I40</f>
        <v>-12300</v>
      </c>
      <c r="R40" s="24">
        <f>653503+P38</f>
        <v>678272</v>
      </c>
    </row>
    <row r="41" spans="2:18" x14ac:dyDescent="0.25">
      <c r="E41" t="s">
        <v>23</v>
      </c>
      <c r="H41" t="s">
        <v>24</v>
      </c>
      <c r="R41" s="24">
        <f>R40-16773</f>
        <v>661499</v>
      </c>
    </row>
    <row r="42" spans="2:18" x14ac:dyDescent="0.25">
      <c r="B42" t="s">
        <v>22</v>
      </c>
      <c r="E42" t="s">
        <v>26</v>
      </c>
      <c r="H42" t="s">
        <v>27</v>
      </c>
    </row>
    <row r="43" spans="2:18" x14ac:dyDescent="0.25">
      <c r="B43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L25" sqref="L25"/>
    </sheetView>
  </sheetViews>
  <sheetFormatPr defaultRowHeight="15" x14ac:dyDescent="0.25"/>
  <cols>
    <col min="3" max="3" width="10.140625" customWidth="1"/>
    <col min="10" max="10" width="12.57031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161</v>
      </c>
      <c r="E3" s="1"/>
      <c r="F3" s="1"/>
      <c r="G3" s="1"/>
      <c r="H3" s="1"/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7" t="s">
        <v>160</v>
      </c>
      <c r="J4">
        <v>799957664</v>
      </c>
    </row>
    <row r="5" spans="1:10" x14ac:dyDescent="0.25">
      <c r="A5" s="3" t="s">
        <v>29</v>
      </c>
      <c r="B5" s="3" t="s">
        <v>31</v>
      </c>
      <c r="C5" s="3"/>
      <c r="D5" s="3">
        <f>'MARCH 21'!H5:H19</f>
        <v>0</v>
      </c>
      <c r="E5" s="3">
        <v>5000</v>
      </c>
      <c r="F5" s="3">
        <f>D5+E5+C5</f>
        <v>5000</v>
      </c>
      <c r="G5" s="30">
        <v>4000</v>
      </c>
      <c r="H5" s="3">
        <f>F5-G5</f>
        <v>1000</v>
      </c>
    </row>
    <row r="6" spans="1:10" x14ac:dyDescent="0.25">
      <c r="A6" s="3" t="s">
        <v>30</v>
      </c>
      <c r="B6" s="3"/>
      <c r="C6" s="3"/>
      <c r="D6" s="3">
        <f>'MARCH 21'!H6:H20</f>
        <v>0</v>
      </c>
      <c r="E6" s="3"/>
      <c r="F6" s="3">
        <f t="shared" ref="F6:F19" si="0">D6+E6+C6</f>
        <v>0</v>
      </c>
      <c r="G6" s="30"/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'MARCH 21'!H7:H21</f>
        <v>0</v>
      </c>
      <c r="E7" s="3">
        <v>3000</v>
      </c>
      <c r="F7" s="3">
        <f t="shared" si="0"/>
        <v>3000</v>
      </c>
      <c r="G7" s="30"/>
      <c r="H7" s="3">
        <f>F7-G7</f>
        <v>3000</v>
      </c>
    </row>
    <row r="8" spans="1:10" x14ac:dyDescent="0.25">
      <c r="A8" s="3">
        <v>4</v>
      </c>
      <c r="B8" s="3" t="s">
        <v>33</v>
      </c>
      <c r="C8" s="3"/>
      <c r="D8" s="3">
        <f>'MARCH 21'!H8:H22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 t="s">
        <v>150</v>
      </c>
      <c r="C9" s="3"/>
      <c r="D9" s="3">
        <f>'MARCH 21'!H9:H23</f>
        <v>0</v>
      </c>
      <c r="E9" s="3">
        <v>5500</v>
      </c>
      <c r="F9" s="3">
        <f>D9+E9+C9</f>
        <v>5500</v>
      </c>
      <c r="G9" s="30">
        <v>5500</v>
      </c>
      <c r="H9" s="3">
        <f>F9-G9</f>
        <v>0</v>
      </c>
    </row>
    <row r="10" spans="1:10" x14ac:dyDescent="0.25">
      <c r="A10" s="3"/>
      <c r="B10" s="30" t="s">
        <v>37</v>
      </c>
      <c r="C10" s="3"/>
      <c r="D10" s="3">
        <f>'MARCH 21'!H10:H24</f>
        <v>250</v>
      </c>
      <c r="E10" s="3"/>
      <c r="F10" s="3">
        <f t="shared" si="0"/>
        <v>250</v>
      </c>
      <c r="G10" s="30">
        <v>250</v>
      </c>
      <c r="H10" s="3">
        <f t="shared" si="1"/>
        <v>0</v>
      </c>
    </row>
    <row r="11" spans="1:10" x14ac:dyDescent="0.25">
      <c r="A11" s="3">
        <v>6</v>
      </c>
      <c r="B11" s="4" t="s">
        <v>43</v>
      </c>
      <c r="C11" s="4"/>
      <c r="D11" s="3">
        <f>'MARCH 21'!H11:H25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'MARCH 21'!H12:H26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'MARCH 21'!H13:H27</f>
        <v>500</v>
      </c>
      <c r="E13" s="3">
        <v>2500</v>
      </c>
      <c r="F13" s="3">
        <f t="shared" si="0"/>
        <v>3000</v>
      </c>
      <c r="G13" s="30">
        <f>2500</f>
        <v>2500</v>
      </c>
      <c r="H13" s="3">
        <f t="shared" si="1"/>
        <v>500</v>
      </c>
    </row>
    <row r="14" spans="1:10" x14ac:dyDescent="0.25">
      <c r="A14" s="3">
        <v>9</v>
      </c>
      <c r="B14" s="3" t="s">
        <v>35</v>
      </c>
      <c r="C14" s="3"/>
      <c r="D14" s="3">
        <f>'MARCH 21'!H14:H28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10" x14ac:dyDescent="0.25">
      <c r="A15" s="3">
        <v>10</v>
      </c>
      <c r="B15" s="3" t="s">
        <v>37</v>
      </c>
      <c r="C15" s="3"/>
      <c r="D15" s="3">
        <f>'MARCH 21'!H15:H29</f>
        <v>2500</v>
      </c>
      <c r="E15" s="3">
        <v>2500</v>
      </c>
      <c r="F15" s="3">
        <f t="shared" si="0"/>
        <v>5000</v>
      </c>
      <c r="G15" s="30">
        <f>2000+750</f>
        <v>2750</v>
      </c>
      <c r="H15" s="3">
        <f t="shared" si="1"/>
        <v>2250</v>
      </c>
    </row>
    <row r="16" spans="1:10" x14ac:dyDescent="0.25">
      <c r="A16" s="3">
        <v>11</v>
      </c>
      <c r="B16" s="3" t="s">
        <v>158</v>
      </c>
      <c r="C16" s="3"/>
      <c r="D16" s="3">
        <f>'MARCH 21'!H16:H30</f>
        <v>0</v>
      </c>
      <c r="E16" s="3">
        <v>2500</v>
      </c>
      <c r="F16" s="3">
        <f t="shared" si="0"/>
        <v>2500</v>
      </c>
      <c r="G16" s="30"/>
      <c r="H16" s="3">
        <f t="shared" si="1"/>
        <v>2500</v>
      </c>
      <c r="I16" s="5" t="s">
        <v>114</v>
      </c>
    </row>
    <row r="17" spans="1:12" x14ac:dyDescent="0.25">
      <c r="A17" s="3">
        <v>12</v>
      </c>
      <c r="B17" s="3" t="s">
        <v>131</v>
      </c>
      <c r="C17" s="3"/>
      <c r="D17" s="3">
        <f>'MARCH 21'!H17:H31</f>
        <v>0</v>
      </c>
      <c r="E17" s="3">
        <v>2500</v>
      </c>
      <c r="F17" s="3">
        <f>D17+E17+C17</f>
        <v>2500</v>
      </c>
      <c r="G17" s="30">
        <f>2500</f>
        <v>2500</v>
      </c>
      <c r="H17" s="3">
        <f t="shared" si="1"/>
        <v>0</v>
      </c>
      <c r="I17" s="5"/>
    </row>
    <row r="18" spans="1:12" x14ac:dyDescent="0.25">
      <c r="A18" s="3">
        <v>13</v>
      </c>
      <c r="B18" s="3" t="s">
        <v>113</v>
      </c>
      <c r="C18" s="3"/>
      <c r="D18" s="3">
        <f>'MARCH 21'!H18:H32</f>
        <v>0</v>
      </c>
      <c r="E18" s="3">
        <v>2500</v>
      </c>
      <c r="F18" s="3">
        <f>D18+E18+C18</f>
        <v>2500</v>
      </c>
      <c r="G18" s="30">
        <v>2500</v>
      </c>
      <c r="H18" s="3">
        <f t="shared" si="1"/>
        <v>0</v>
      </c>
      <c r="I18" s="5"/>
    </row>
    <row r="19" spans="1:12" x14ac:dyDescent="0.25">
      <c r="A19" s="3">
        <v>14</v>
      </c>
      <c r="B19" s="3" t="s">
        <v>38</v>
      </c>
      <c r="C19" s="3"/>
      <c r="D19" s="3">
        <f>'MARCH 21'!H19:H33</f>
        <v>0</v>
      </c>
      <c r="E19" s="3">
        <v>4500</v>
      </c>
      <c r="F19" s="3">
        <f t="shared" si="0"/>
        <v>4500</v>
      </c>
      <c r="G19" s="30">
        <v>4500</v>
      </c>
      <c r="H19" s="3">
        <f t="shared" si="1"/>
        <v>0</v>
      </c>
      <c r="I19" s="5"/>
      <c r="J19" s="29"/>
    </row>
    <row r="20" spans="1:12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3750</v>
      </c>
      <c r="E20" s="2">
        <f t="shared" si="2"/>
        <v>42000</v>
      </c>
      <c r="F20" s="2">
        <f t="shared" si="2"/>
        <v>45750</v>
      </c>
      <c r="G20" s="31">
        <f t="shared" si="2"/>
        <v>36000</v>
      </c>
      <c r="H20" s="2">
        <f t="shared" si="2"/>
        <v>9750</v>
      </c>
      <c r="J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49</v>
      </c>
      <c r="C25" s="16"/>
      <c r="D25" s="17">
        <f>E20</f>
        <v>42000</v>
      </c>
      <c r="E25" s="16"/>
      <c r="F25" s="16"/>
      <c r="G25" s="16" t="s">
        <v>49</v>
      </c>
      <c r="H25" s="17">
        <f>G20</f>
        <v>36000</v>
      </c>
      <c r="I25" s="16"/>
      <c r="J25" s="16"/>
    </row>
    <row r="26" spans="1:12" x14ac:dyDescent="0.25">
      <c r="B26" s="16" t="s">
        <v>4</v>
      </c>
      <c r="C26" s="16"/>
      <c r="D26" s="17">
        <f>'MARCH 21'!F40</f>
        <v>-8550</v>
      </c>
      <c r="E26" s="16"/>
      <c r="F26" s="16"/>
      <c r="G26" s="16"/>
      <c r="H26" s="17"/>
      <c r="I26" s="16"/>
      <c r="J26" s="16"/>
    </row>
    <row r="27" spans="1:12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2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'MARCH 21'!J40</f>
        <v>-12300</v>
      </c>
      <c r="I28" s="16"/>
      <c r="J28" s="16"/>
    </row>
    <row r="29" spans="1:12" x14ac:dyDescent="0.25">
      <c r="B29" s="16" t="s">
        <v>20</v>
      </c>
      <c r="C29" s="16"/>
      <c r="D29" s="18">
        <v>0.1</v>
      </c>
      <c r="E29" s="17">
        <f>D29*D25</f>
        <v>4200</v>
      </c>
      <c r="F29" s="16"/>
      <c r="G29" s="16" t="s">
        <v>20</v>
      </c>
      <c r="H29" s="18">
        <v>0.1</v>
      </c>
      <c r="I29" s="17">
        <f>H29*D25</f>
        <v>4200</v>
      </c>
      <c r="J29" s="16"/>
    </row>
    <row r="30" spans="1:12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2" x14ac:dyDescent="0.25">
      <c r="B31" s="16"/>
      <c r="C31" s="15"/>
      <c r="D31" s="19"/>
      <c r="E31" s="16"/>
      <c r="F31" s="15"/>
      <c r="G31" s="16"/>
      <c r="H31" s="15"/>
      <c r="I31" s="19"/>
      <c r="J31" s="16"/>
      <c r="L31" s="24"/>
    </row>
    <row r="32" spans="1:12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  <c r="L32" s="24"/>
    </row>
    <row r="33" spans="2:12" x14ac:dyDescent="0.25">
      <c r="B33" s="22" t="s">
        <v>166</v>
      </c>
      <c r="C33" s="22"/>
      <c r="D33" s="16"/>
      <c r="E33" s="16">
        <v>4000</v>
      </c>
      <c r="F33" s="16"/>
      <c r="G33" s="22" t="s">
        <v>166</v>
      </c>
      <c r="H33" s="22"/>
      <c r="I33" s="16">
        <v>4000</v>
      </c>
      <c r="J33" s="16"/>
      <c r="L33" s="24"/>
    </row>
    <row r="34" spans="2:12" x14ac:dyDescent="0.25">
      <c r="B34" s="22" t="s">
        <v>167</v>
      </c>
      <c r="C34" s="16"/>
      <c r="D34" s="22"/>
      <c r="E34" s="16">
        <v>20250</v>
      </c>
      <c r="F34" s="16"/>
      <c r="G34" s="22" t="s">
        <v>167</v>
      </c>
      <c r="H34" s="22"/>
      <c r="I34" s="16">
        <v>20250</v>
      </c>
      <c r="J34" s="16"/>
      <c r="L34" s="24"/>
    </row>
    <row r="35" spans="2:12" x14ac:dyDescent="0.25">
      <c r="B35" s="22" t="s">
        <v>168</v>
      </c>
      <c r="C35" s="22"/>
      <c r="D35" s="16"/>
      <c r="E35" s="16">
        <v>2500</v>
      </c>
      <c r="F35" s="16"/>
      <c r="G35" s="22"/>
      <c r="H35" s="22"/>
      <c r="I35" s="16"/>
      <c r="J35" s="16"/>
      <c r="L35" s="24"/>
    </row>
    <row r="36" spans="2:12" x14ac:dyDescent="0.25">
      <c r="B36" s="21" t="s">
        <v>170</v>
      </c>
      <c r="C36" s="21"/>
      <c r="D36" s="16"/>
      <c r="E36" s="23">
        <v>1000</v>
      </c>
      <c r="F36" s="16"/>
      <c r="G36" s="21" t="s">
        <v>170</v>
      </c>
      <c r="H36" s="21"/>
      <c r="I36" s="16">
        <v>1000</v>
      </c>
      <c r="J36" s="23"/>
    </row>
    <row r="37" spans="2:12" x14ac:dyDescent="0.25">
      <c r="B37" s="21"/>
      <c r="C37" s="21"/>
      <c r="D37" s="16"/>
      <c r="E37" s="23"/>
      <c r="F37" s="16"/>
      <c r="G37" s="21"/>
      <c r="H37" s="21"/>
      <c r="I37" s="16"/>
      <c r="J37" s="23"/>
      <c r="K37" s="16"/>
    </row>
    <row r="38" spans="2:12" x14ac:dyDescent="0.25">
      <c r="B38" s="21"/>
      <c r="C38" s="21"/>
      <c r="D38" s="16"/>
      <c r="E38" s="23"/>
      <c r="F38" s="16"/>
      <c r="G38" s="21"/>
      <c r="H38" s="35"/>
      <c r="I38" s="16"/>
      <c r="J38" s="23"/>
      <c r="K38" s="36"/>
      <c r="L38" s="24"/>
    </row>
    <row r="39" spans="2:12" x14ac:dyDescent="0.25">
      <c r="B39" s="21"/>
      <c r="D39" s="21"/>
      <c r="E39" s="23"/>
      <c r="F39" s="16"/>
      <c r="G39" s="21"/>
      <c r="I39" s="21"/>
      <c r="J39" s="23"/>
    </row>
    <row r="40" spans="2:12" x14ac:dyDescent="0.25">
      <c r="B40" s="15" t="s">
        <v>9</v>
      </c>
      <c r="C40" s="15"/>
      <c r="D40" s="19">
        <f>D25+D26+D28+D27</f>
        <v>33450</v>
      </c>
      <c r="E40" s="19">
        <f>SUM(E29:E39)</f>
        <v>36950</v>
      </c>
      <c r="F40" s="19">
        <f>D40-E40</f>
        <v>-3500</v>
      </c>
      <c r="G40" s="15" t="s">
        <v>9</v>
      </c>
      <c r="H40" s="19">
        <f>H25+H28+H26+H27-I29</f>
        <v>19500</v>
      </c>
      <c r="I40" s="19">
        <f>SUM(I31:I39)</f>
        <v>30250</v>
      </c>
      <c r="J40" s="19">
        <f>H40-I40</f>
        <v>-10750</v>
      </c>
    </row>
    <row r="41" spans="2:12" x14ac:dyDescent="0.25">
      <c r="E41" t="s">
        <v>23</v>
      </c>
      <c r="H41" t="s">
        <v>24</v>
      </c>
    </row>
    <row r="42" spans="2:12" x14ac:dyDescent="0.25">
      <c r="B42" t="s">
        <v>22</v>
      </c>
      <c r="E42" t="s">
        <v>26</v>
      </c>
      <c r="H42" t="s">
        <v>27</v>
      </c>
    </row>
    <row r="43" spans="2:12" x14ac:dyDescent="0.25">
      <c r="B43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L43" sqref="L43"/>
    </sheetView>
  </sheetViews>
  <sheetFormatPr defaultRowHeight="15" x14ac:dyDescent="0.25"/>
  <cols>
    <col min="10" max="10" width="12.710937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169</v>
      </c>
      <c r="E3" s="1"/>
      <c r="F3" s="1"/>
      <c r="G3" s="1"/>
      <c r="H3" s="1"/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7" t="s">
        <v>160</v>
      </c>
      <c r="J4">
        <v>799957664</v>
      </c>
    </row>
    <row r="5" spans="1:10" x14ac:dyDescent="0.25">
      <c r="A5" s="3" t="s">
        <v>29</v>
      </c>
      <c r="B5" s="3" t="s">
        <v>31</v>
      </c>
      <c r="C5" s="3"/>
      <c r="D5" s="3">
        <f>'APRIL 21'!H5:H20</f>
        <v>1000</v>
      </c>
      <c r="E5" s="3">
        <v>5000</v>
      </c>
      <c r="F5" s="3">
        <f>D5+E5+C5</f>
        <v>6000</v>
      </c>
      <c r="G5" s="30">
        <f>5000</f>
        <v>5000</v>
      </c>
      <c r="H5" s="3">
        <f>F5-G5</f>
        <v>1000</v>
      </c>
    </row>
    <row r="6" spans="1:10" x14ac:dyDescent="0.25">
      <c r="A6" s="3" t="s">
        <v>30</v>
      </c>
      <c r="B6" s="3"/>
      <c r="C6" s="3"/>
      <c r="D6" s="3">
        <f>'APRIL 21'!H6:H21</f>
        <v>0</v>
      </c>
      <c r="E6" s="3"/>
      <c r="F6" s="3">
        <f t="shared" ref="F6:F19" si="0">D6+E6+C6</f>
        <v>0</v>
      </c>
      <c r="G6" s="30"/>
      <c r="H6" s="3">
        <f t="shared" ref="H6:H19" si="1">F6-G6</f>
        <v>0</v>
      </c>
    </row>
    <row r="7" spans="1:10" x14ac:dyDescent="0.25">
      <c r="A7" s="3">
        <v>3</v>
      </c>
      <c r="B7" s="30" t="s">
        <v>32</v>
      </c>
      <c r="C7" s="30"/>
      <c r="D7" s="30">
        <f>'APRIL 21'!H7:H22</f>
        <v>3000</v>
      </c>
      <c r="E7" s="3"/>
      <c r="F7" s="3">
        <f t="shared" si="0"/>
        <v>3000</v>
      </c>
      <c r="G7" s="30"/>
      <c r="H7" s="3">
        <f t="shared" si="1"/>
        <v>3000</v>
      </c>
    </row>
    <row r="8" spans="1:10" x14ac:dyDescent="0.25">
      <c r="A8" s="3">
        <v>4</v>
      </c>
      <c r="B8" s="3" t="s">
        <v>33</v>
      </c>
      <c r="C8" s="3"/>
      <c r="D8" s="3">
        <f>'APRIL 21'!H8:H23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>F8-G8</f>
        <v>500</v>
      </c>
    </row>
    <row r="9" spans="1:10" x14ac:dyDescent="0.25">
      <c r="A9" s="34" t="s">
        <v>79</v>
      </c>
      <c r="B9" s="3" t="s">
        <v>150</v>
      </c>
      <c r="C9" s="3"/>
      <c r="D9" s="3">
        <f>'APRIL 21'!H9:H24</f>
        <v>0</v>
      </c>
      <c r="E9" s="3">
        <v>5500</v>
      </c>
      <c r="F9" s="3">
        <f>D9+E9+C9</f>
        <v>5500</v>
      </c>
      <c r="G9" s="30">
        <v>5500</v>
      </c>
      <c r="H9" s="3">
        <f>F9-G9</f>
        <v>0</v>
      </c>
    </row>
    <row r="10" spans="1:10" x14ac:dyDescent="0.25">
      <c r="A10" s="3"/>
      <c r="B10" s="30"/>
      <c r="C10" s="3"/>
      <c r="D10" s="3">
        <f>'APRIL 21'!H10:H25</f>
        <v>0</v>
      </c>
      <c r="E10" s="3"/>
      <c r="F10" s="3">
        <f t="shared" si="0"/>
        <v>0</v>
      </c>
      <c r="G10" s="30"/>
      <c r="H10" s="3">
        <f t="shared" si="1"/>
        <v>0</v>
      </c>
    </row>
    <row r="11" spans="1:10" x14ac:dyDescent="0.25">
      <c r="A11" s="3">
        <v>6</v>
      </c>
      <c r="B11" s="4" t="s">
        <v>43</v>
      </c>
      <c r="C11" s="4"/>
      <c r="D11" s="3">
        <f>'APRIL 21'!H11:H26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'APRIL 21'!H12:H27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'APRIL 21'!H13:H28</f>
        <v>500</v>
      </c>
      <c r="E13" s="3">
        <v>2500</v>
      </c>
      <c r="F13" s="3">
        <f t="shared" si="0"/>
        <v>3000</v>
      </c>
      <c r="G13" s="30">
        <f>2500</f>
        <v>2500</v>
      </c>
      <c r="H13" s="3">
        <f t="shared" si="1"/>
        <v>500</v>
      </c>
    </row>
    <row r="14" spans="1:10" x14ac:dyDescent="0.25">
      <c r="A14" s="3">
        <v>9</v>
      </c>
      <c r="B14" s="3" t="s">
        <v>35</v>
      </c>
      <c r="C14" s="3"/>
      <c r="D14" s="3">
        <f>'APRIL 21'!H14:H29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37</v>
      </c>
      <c r="C15" s="3"/>
      <c r="D15" s="3">
        <f>'APRIL 21'!H15:H30</f>
        <v>2250</v>
      </c>
      <c r="E15" s="3">
        <v>2500</v>
      </c>
      <c r="F15" s="3">
        <f t="shared" si="0"/>
        <v>4750</v>
      </c>
      <c r="G15" s="30">
        <f>2500</f>
        <v>2500</v>
      </c>
      <c r="H15" s="3">
        <f t="shared" si="1"/>
        <v>2250</v>
      </c>
    </row>
    <row r="16" spans="1:10" x14ac:dyDescent="0.25">
      <c r="A16" s="3">
        <v>11</v>
      </c>
      <c r="B16" s="16" t="s">
        <v>171</v>
      </c>
      <c r="C16" s="3"/>
      <c r="D16" s="3">
        <v>0</v>
      </c>
      <c r="E16" s="3">
        <v>2500</v>
      </c>
      <c r="F16" s="3">
        <f>D16+E16+C16</f>
        <v>2500</v>
      </c>
      <c r="G16" s="30">
        <f>2000</f>
        <v>2000</v>
      </c>
      <c r="H16" s="3">
        <f>F16-G16</f>
        <v>500</v>
      </c>
      <c r="I16" s="5"/>
    </row>
    <row r="17" spans="1:13" x14ac:dyDescent="0.25">
      <c r="A17" s="3">
        <v>12</v>
      </c>
      <c r="B17" s="3" t="s">
        <v>131</v>
      </c>
      <c r="C17" s="3"/>
      <c r="D17" s="3">
        <f>'APRIL 21'!H17:H32</f>
        <v>0</v>
      </c>
      <c r="E17" s="3">
        <v>2500</v>
      </c>
      <c r="F17" s="3">
        <f>D17+E17+C17</f>
        <v>2500</v>
      </c>
      <c r="G17" s="30">
        <f>2500</f>
        <v>2500</v>
      </c>
      <c r="H17" s="3">
        <f t="shared" si="1"/>
        <v>0</v>
      </c>
      <c r="I17" s="5"/>
    </row>
    <row r="18" spans="1:13" x14ac:dyDescent="0.25">
      <c r="A18" s="3">
        <v>13</v>
      </c>
      <c r="B18" s="3" t="s">
        <v>113</v>
      </c>
      <c r="C18" s="3"/>
      <c r="D18" s="3">
        <f>'APRIL 21'!H18:H33</f>
        <v>0</v>
      </c>
      <c r="E18" s="3">
        <v>2500</v>
      </c>
      <c r="F18" s="3">
        <f>D18+E18+C18</f>
        <v>2500</v>
      </c>
      <c r="G18" s="30">
        <v>2500</v>
      </c>
      <c r="H18" s="3">
        <f>F18-G18</f>
        <v>0</v>
      </c>
      <c r="I18" s="5"/>
    </row>
    <row r="19" spans="1:13" x14ac:dyDescent="0.25">
      <c r="A19" s="3">
        <v>14</v>
      </c>
      <c r="B19" s="3" t="s">
        <v>38</v>
      </c>
      <c r="C19" s="3"/>
      <c r="D19" s="3">
        <f>'APRIL 21'!H19:H34</f>
        <v>0</v>
      </c>
      <c r="E19" s="3">
        <v>4500</v>
      </c>
      <c r="F19" s="3">
        <f t="shared" si="0"/>
        <v>4500</v>
      </c>
      <c r="G19" s="30">
        <f>2000+2500</f>
        <v>4500</v>
      </c>
      <c r="H19" s="3">
        <f t="shared" si="1"/>
        <v>0</v>
      </c>
      <c r="I19" s="5"/>
      <c r="J19" s="29"/>
    </row>
    <row r="20" spans="1:13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7250</v>
      </c>
      <c r="E20" s="2">
        <f t="shared" si="2"/>
        <v>39000</v>
      </c>
      <c r="F20" s="2">
        <f t="shared" si="2"/>
        <v>46250</v>
      </c>
      <c r="G20" s="31">
        <f t="shared" si="2"/>
        <v>38500</v>
      </c>
      <c r="H20" s="2">
        <f t="shared" si="2"/>
        <v>7750</v>
      </c>
      <c r="J20" t="s">
        <v>10</v>
      </c>
    </row>
    <row r="21" spans="1:13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3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3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3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3" x14ac:dyDescent="0.25">
      <c r="B25" s="16" t="s">
        <v>55</v>
      </c>
      <c r="C25" s="16"/>
      <c r="D25" s="17">
        <f>E20</f>
        <v>39000</v>
      </c>
      <c r="E25" s="16"/>
      <c r="F25" s="16"/>
      <c r="G25" s="16" t="s">
        <v>55</v>
      </c>
      <c r="H25" s="17">
        <f>G20</f>
        <v>38500</v>
      </c>
      <c r="I25" s="16"/>
      <c r="J25" s="16"/>
    </row>
    <row r="26" spans="1:13" x14ac:dyDescent="0.25">
      <c r="B26" s="16" t="s">
        <v>4</v>
      </c>
      <c r="C26" s="16"/>
      <c r="D26" s="17">
        <f>'APRIL 21'!F40</f>
        <v>-3500</v>
      </c>
      <c r="E26" s="16"/>
      <c r="F26" s="16"/>
      <c r="G26" s="16"/>
      <c r="H26" s="17"/>
      <c r="I26" s="16"/>
      <c r="J26" s="16"/>
    </row>
    <row r="27" spans="1:13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3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'APRIL 21'!J40</f>
        <v>-10750</v>
      </c>
      <c r="I28" s="16"/>
      <c r="J28" s="16"/>
    </row>
    <row r="29" spans="1:13" x14ac:dyDescent="0.25">
      <c r="B29" s="16" t="s">
        <v>20</v>
      </c>
      <c r="C29" s="16"/>
      <c r="D29" s="18">
        <v>0.1</v>
      </c>
      <c r="E29" s="17">
        <f>D29*D25</f>
        <v>3900</v>
      </c>
      <c r="F29" s="16"/>
      <c r="G29" s="16" t="s">
        <v>20</v>
      </c>
      <c r="H29" s="18">
        <v>0.1</v>
      </c>
      <c r="I29" s="17">
        <f>H29*D25</f>
        <v>3900</v>
      </c>
      <c r="J29" s="16"/>
    </row>
    <row r="30" spans="1:13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3" x14ac:dyDescent="0.25">
      <c r="B31" s="16"/>
      <c r="C31" s="15"/>
      <c r="D31" s="19"/>
      <c r="E31" s="16"/>
      <c r="F31" s="15"/>
      <c r="G31" s="16"/>
      <c r="H31" s="15"/>
      <c r="I31" s="19"/>
      <c r="J31" s="16"/>
      <c r="M31" s="24"/>
    </row>
    <row r="32" spans="1:13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</row>
    <row r="33" spans="2:13" x14ac:dyDescent="0.25">
      <c r="B33" s="22" t="s">
        <v>172</v>
      </c>
      <c r="C33" s="22"/>
      <c r="D33" s="16"/>
      <c r="E33" s="16">
        <f>26600</f>
        <v>26600</v>
      </c>
      <c r="F33" s="16"/>
      <c r="G33" s="22" t="s">
        <v>172</v>
      </c>
      <c r="H33" s="22"/>
      <c r="I33" s="16">
        <f>26600</f>
        <v>26600</v>
      </c>
      <c r="J33" s="16"/>
      <c r="M33" s="24"/>
    </row>
    <row r="34" spans="2:13" x14ac:dyDescent="0.25">
      <c r="B34" s="22"/>
      <c r="C34" s="16"/>
      <c r="D34" s="22"/>
      <c r="E34" s="16"/>
      <c r="F34" s="16"/>
      <c r="G34" s="22"/>
      <c r="H34" s="22"/>
      <c r="I34" s="16"/>
      <c r="J34" s="16"/>
      <c r="M34" s="24"/>
    </row>
    <row r="35" spans="2:13" x14ac:dyDescent="0.25">
      <c r="B35" s="22"/>
      <c r="C35" s="22"/>
      <c r="D35" s="16"/>
      <c r="E35" s="16"/>
      <c r="F35" s="16"/>
      <c r="G35" s="22"/>
      <c r="H35" s="22"/>
      <c r="I35" s="16"/>
      <c r="J35" s="16"/>
    </row>
    <row r="36" spans="2:13" x14ac:dyDescent="0.25">
      <c r="B36" s="21"/>
      <c r="C36" s="21"/>
      <c r="D36" s="16"/>
      <c r="E36" s="23"/>
      <c r="F36" s="16"/>
      <c r="G36" s="21"/>
      <c r="H36" s="21"/>
      <c r="I36" s="16"/>
      <c r="J36" s="23"/>
      <c r="M36" s="24"/>
    </row>
    <row r="37" spans="2:13" x14ac:dyDescent="0.25">
      <c r="B37" s="21"/>
      <c r="C37" s="21"/>
      <c r="D37" s="16"/>
      <c r="E37" s="23"/>
      <c r="F37" s="16"/>
      <c r="G37" s="21"/>
      <c r="H37" s="21"/>
      <c r="I37" s="16"/>
      <c r="J37" s="23"/>
      <c r="K37" s="16"/>
    </row>
    <row r="38" spans="2:13" x14ac:dyDescent="0.25">
      <c r="B38" s="21"/>
      <c r="C38" s="21"/>
      <c r="D38" s="16"/>
      <c r="E38" s="23"/>
      <c r="F38" s="16"/>
      <c r="G38" s="21"/>
      <c r="H38" s="35"/>
      <c r="I38" s="16"/>
      <c r="J38" s="23"/>
      <c r="K38" s="36"/>
    </row>
    <row r="39" spans="2:13" x14ac:dyDescent="0.25">
      <c r="B39" s="21"/>
      <c r="D39" s="21"/>
      <c r="E39" s="23"/>
      <c r="F39" s="16"/>
      <c r="G39" s="21"/>
      <c r="I39" s="21"/>
      <c r="J39" s="23"/>
    </row>
    <row r="40" spans="2:13" x14ac:dyDescent="0.25">
      <c r="B40" s="15" t="s">
        <v>9</v>
      </c>
      <c r="C40" s="15"/>
      <c r="D40" s="19">
        <f>D25+D26+D28+D27</f>
        <v>35500</v>
      </c>
      <c r="E40" s="19">
        <f>SUM(E29:E39)</f>
        <v>35500</v>
      </c>
      <c r="F40" s="19">
        <f>D40-E40</f>
        <v>0</v>
      </c>
      <c r="G40" s="15" t="s">
        <v>9</v>
      </c>
      <c r="H40" s="19">
        <f>H25+H28+H26+H27-I29</f>
        <v>23850</v>
      </c>
      <c r="I40" s="19">
        <f>SUM(I31:I39)</f>
        <v>31600</v>
      </c>
      <c r="J40" s="19">
        <f>H40-I40</f>
        <v>-7750</v>
      </c>
    </row>
    <row r="41" spans="2:13" x14ac:dyDescent="0.25">
      <c r="E41" t="s">
        <v>23</v>
      </c>
      <c r="H41" t="s">
        <v>24</v>
      </c>
    </row>
    <row r="42" spans="2:13" x14ac:dyDescent="0.25">
      <c r="B42" t="s">
        <v>22</v>
      </c>
      <c r="E42" t="s">
        <v>26</v>
      </c>
      <c r="H42" t="s">
        <v>27</v>
      </c>
    </row>
    <row r="43" spans="2:13" x14ac:dyDescent="0.25">
      <c r="B43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K35" sqref="K35"/>
    </sheetView>
  </sheetViews>
  <sheetFormatPr defaultRowHeight="15" x14ac:dyDescent="0.25"/>
  <cols>
    <col min="3" max="3" width="12.28515625" customWidth="1"/>
  </cols>
  <sheetData>
    <row r="1" spans="1:14" x14ac:dyDescent="0.25">
      <c r="A1" s="1"/>
      <c r="D1" s="1" t="s">
        <v>28</v>
      </c>
      <c r="E1" s="1"/>
      <c r="F1" s="1"/>
      <c r="G1" s="1"/>
      <c r="H1" s="1"/>
      <c r="I1" s="1"/>
      <c r="J1" s="1"/>
    </row>
    <row r="2" spans="1:14" x14ac:dyDescent="0.25">
      <c r="A2" s="1"/>
      <c r="D2" s="1" t="s">
        <v>0</v>
      </c>
      <c r="E2" s="1"/>
      <c r="F2" s="1"/>
      <c r="G2" s="1"/>
      <c r="K2" s="38" t="s">
        <v>177</v>
      </c>
      <c r="L2" s="39"/>
      <c r="M2" s="39"/>
      <c r="N2" s="39"/>
    </row>
    <row r="3" spans="1:14" x14ac:dyDescent="0.25">
      <c r="A3" s="1"/>
      <c r="B3" s="1"/>
      <c r="C3" s="1"/>
      <c r="D3" s="1" t="s">
        <v>174</v>
      </c>
      <c r="E3" s="1"/>
      <c r="F3" s="1"/>
      <c r="G3" s="1"/>
      <c r="H3" s="1"/>
      <c r="I3" s="1"/>
      <c r="J3" s="1"/>
      <c r="K3" s="39" t="s">
        <v>178</v>
      </c>
      <c r="L3" s="39"/>
      <c r="M3" s="39"/>
      <c r="N3" s="39"/>
    </row>
    <row r="4" spans="1:14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180</v>
      </c>
      <c r="J4" s="2" t="s">
        <v>181</v>
      </c>
      <c r="K4" s="40"/>
      <c r="L4" s="39"/>
      <c r="M4" s="39"/>
      <c r="N4" s="39"/>
    </row>
    <row r="5" spans="1:14" x14ac:dyDescent="0.25">
      <c r="A5" s="3" t="s">
        <v>29</v>
      </c>
      <c r="B5" s="3" t="s">
        <v>31</v>
      </c>
      <c r="C5" s="3"/>
      <c r="D5" s="3">
        <f>'APRIL 21'!H5:H20</f>
        <v>1000</v>
      </c>
      <c r="E5" s="3">
        <v>5000</v>
      </c>
      <c r="F5" s="3">
        <f>D5+E5+C5</f>
        <v>6000</v>
      </c>
      <c r="G5" s="30">
        <f>5500</f>
        <v>5500</v>
      </c>
      <c r="H5" s="3">
        <f>F5-G5</f>
        <v>500</v>
      </c>
      <c r="I5" s="3"/>
      <c r="J5" s="3"/>
    </row>
    <row r="6" spans="1:14" x14ac:dyDescent="0.25">
      <c r="A6" s="3" t="s">
        <v>30</v>
      </c>
      <c r="B6" s="30" t="s">
        <v>175</v>
      </c>
      <c r="C6" s="3"/>
      <c r="D6" s="3"/>
      <c r="E6" s="3">
        <v>7000</v>
      </c>
      <c r="F6" s="3">
        <f>D6+E6+C6</f>
        <v>7000</v>
      </c>
      <c r="G6" s="30">
        <f>5000+2000</f>
        <v>7000</v>
      </c>
      <c r="H6" s="3">
        <f>F6-G6</f>
        <v>0</v>
      </c>
      <c r="I6" s="3"/>
      <c r="J6" s="3"/>
    </row>
    <row r="7" spans="1:14" x14ac:dyDescent="0.25">
      <c r="A7" s="3" t="s">
        <v>173</v>
      </c>
      <c r="B7" s="3" t="s">
        <v>176</v>
      </c>
      <c r="C7" s="3"/>
      <c r="D7" s="3"/>
      <c r="E7" s="3">
        <v>5000</v>
      </c>
      <c r="F7" s="3">
        <f t="shared" ref="F7:F19" si="0">D7+E7+C7</f>
        <v>5000</v>
      </c>
      <c r="G7" s="30">
        <f>5000</f>
        <v>5000</v>
      </c>
      <c r="H7" s="3">
        <f t="shared" ref="H7:H19" si="1">F7-G7</f>
        <v>0</v>
      </c>
      <c r="I7" s="3"/>
      <c r="J7" s="3"/>
    </row>
    <row r="8" spans="1:14" x14ac:dyDescent="0.25">
      <c r="A8" s="3">
        <v>4</v>
      </c>
      <c r="B8" s="30" t="s">
        <v>185</v>
      </c>
      <c r="C8" s="30"/>
      <c r="D8" s="30">
        <f>'MAY 21'!H7</f>
        <v>3000</v>
      </c>
      <c r="E8" s="3">
        <v>1500</v>
      </c>
      <c r="F8" s="3">
        <f t="shared" si="0"/>
        <v>4500</v>
      </c>
      <c r="G8" s="30">
        <f>3000+1500</f>
        <v>4500</v>
      </c>
      <c r="H8" s="3">
        <f t="shared" si="1"/>
        <v>0</v>
      </c>
      <c r="I8" s="3"/>
      <c r="J8" s="3"/>
      <c r="K8" t="s">
        <v>184</v>
      </c>
    </row>
    <row r="9" spans="1:14" x14ac:dyDescent="0.25">
      <c r="A9" s="3">
        <v>5</v>
      </c>
      <c r="B9" s="3" t="s">
        <v>33</v>
      </c>
      <c r="C9" s="3"/>
      <c r="D9" s="3">
        <f>'MAY 21'!H8</f>
        <v>500</v>
      </c>
      <c r="E9" s="3">
        <v>3000</v>
      </c>
      <c r="F9" s="3">
        <f t="shared" si="0"/>
        <v>3500</v>
      </c>
      <c r="G9" s="30">
        <f>3000</f>
        <v>3000</v>
      </c>
      <c r="H9" s="3">
        <f>F9-G9</f>
        <v>500</v>
      </c>
      <c r="I9" s="3"/>
      <c r="J9" s="3"/>
    </row>
    <row r="10" spans="1:14" x14ac:dyDescent="0.25">
      <c r="A10" s="3">
        <v>6</v>
      </c>
      <c r="B10" s="3" t="s">
        <v>150</v>
      </c>
      <c r="C10" s="3"/>
      <c r="D10" s="3">
        <f>'MAY 21'!H9</f>
        <v>0</v>
      </c>
      <c r="E10" s="3">
        <v>5500</v>
      </c>
      <c r="F10" s="3">
        <f>D10+E10+C10</f>
        <v>5500</v>
      </c>
      <c r="G10" s="30">
        <v>5500</v>
      </c>
      <c r="H10" s="3">
        <f>F10-G10</f>
        <v>0</v>
      </c>
      <c r="I10" s="3">
        <v>150</v>
      </c>
      <c r="J10" s="3">
        <v>270</v>
      </c>
    </row>
    <row r="11" spans="1:14" x14ac:dyDescent="0.25">
      <c r="A11" s="3">
        <v>7</v>
      </c>
      <c r="B11" s="4" t="s">
        <v>43</v>
      </c>
      <c r="C11" s="4"/>
      <c r="D11" s="3">
        <f>'MAY 21'!H11:H19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  <c r="I11" s="3"/>
      <c r="J11" s="3"/>
      <c r="L11" t="s">
        <v>10</v>
      </c>
    </row>
    <row r="12" spans="1:14" x14ac:dyDescent="0.25">
      <c r="A12" s="3">
        <v>8</v>
      </c>
      <c r="B12" s="3" t="s">
        <v>45</v>
      </c>
      <c r="C12" s="3"/>
      <c r="D12" s="3">
        <f>'MAY 21'!H12:H20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  <c r="I12" s="3"/>
      <c r="J12" s="3"/>
    </row>
    <row r="13" spans="1:14" x14ac:dyDescent="0.25">
      <c r="A13" s="3">
        <v>9</v>
      </c>
      <c r="B13" s="3" t="s">
        <v>93</v>
      </c>
      <c r="C13" s="3"/>
      <c r="D13" s="3">
        <f>'MAY 21'!H13:H21</f>
        <v>500</v>
      </c>
      <c r="E13" s="3">
        <v>2500</v>
      </c>
      <c r="F13" s="3">
        <f t="shared" si="0"/>
        <v>3000</v>
      </c>
      <c r="G13" s="30">
        <f>3000</f>
        <v>3000</v>
      </c>
      <c r="H13" s="3">
        <f t="shared" si="1"/>
        <v>0</v>
      </c>
      <c r="I13" s="3"/>
      <c r="J13" s="3"/>
    </row>
    <row r="14" spans="1:14" x14ac:dyDescent="0.25">
      <c r="A14" s="3">
        <v>10</v>
      </c>
      <c r="B14" s="3" t="s">
        <v>35</v>
      </c>
      <c r="C14" s="3"/>
      <c r="D14" s="3">
        <f>'MAY 21'!H14:H22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  <c r="I14" s="3">
        <v>150</v>
      </c>
      <c r="J14" s="3"/>
    </row>
    <row r="15" spans="1:14" x14ac:dyDescent="0.25">
      <c r="A15" s="3">
        <v>11</v>
      </c>
      <c r="B15" s="3" t="s">
        <v>37</v>
      </c>
      <c r="C15" s="3"/>
      <c r="D15" s="3">
        <f>'MAY 21'!H15:H23</f>
        <v>2250</v>
      </c>
      <c r="E15" s="3">
        <v>2500</v>
      </c>
      <c r="F15" s="3">
        <f t="shared" si="0"/>
        <v>4750</v>
      </c>
      <c r="G15" s="30">
        <f>2500</f>
        <v>2500</v>
      </c>
      <c r="H15" s="3">
        <f t="shared" si="1"/>
        <v>2250</v>
      </c>
      <c r="I15" s="3">
        <v>150</v>
      </c>
      <c r="J15" s="3">
        <v>250</v>
      </c>
    </row>
    <row r="16" spans="1:14" x14ac:dyDescent="0.25">
      <c r="A16" s="3">
        <v>12</v>
      </c>
      <c r="B16" s="16" t="s">
        <v>171</v>
      </c>
      <c r="C16" s="3"/>
      <c r="D16" s="3">
        <f>'MAY 21'!H16:H24</f>
        <v>500</v>
      </c>
      <c r="E16" s="3">
        <v>2500</v>
      </c>
      <c r="F16" s="3">
        <f>D16+E16+C16</f>
        <v>3000</v>
      </c>
      <c r="G16" s="30">
        <f>500+2500</f>
        <v>3000</v>
      </c>
      <c r="H16" s="3">
        <f>F16-G16</f>
        <v>0</v>
      </c>
      <c r="I16" s="3"/>
      <c r="J16" s="3">
        <v>270</v>
      </c>
      <c r="K16" s="5"/>
    </row>
    <row r="17" spans="1:12" x14ac:dyDescent="0.25">
      <c r="A17" s="3">
        <v>13</v>
      </c>
      <c r="B17" s="3" t="s">
        <v>131</v>
      </c>
      <c r="C17" s="3"/>
      <c r="D17" s="3">
        <f>'MAY 21'!H17:H25</f>
        <v>0</v>
      </c>
      <c r="E17" s="3">
        <v>2500</v>
      </c>
      <c r="F17" s="3">
        <f>D17+E17+C17</f>
        <v>2500</v>
      </c>
      <c r="G17" s="30">
        <f>2500</f>
        <v>2500</v>
      </c>
      <c r="H17" s="3">
        <f>F17-G17</f>
        <v>0</v>
      </c>
      <c r="I17" s="3">
        <v>150</v>
      </c>
      <c r="J17" s="3">
        <v>270</v>
      </c>
      <c r="K17" s="5"/>
    </row>
    <row r="18" spans="1:12" x14ac:dyDescent="0.25">
      <c r="A18" s="3">
        <v>14</v>
      </c>
      <c r="B18" s="3" t="s">
        <v>113</v>
      </c>
      <c r="C18" s="3"/>
      <c r="D18" s="3">
        <f>'MAY 21'!H18:H26</f>
        <v>0</v>
      </c>
      <c r="E18" s="3">
        <v>2500</v>
      </c>
      <c r="F18" s="3">
        <f>D18+E18+C18</f>
        <v>2500</v>
      </c>
      <c r="G18" s="30">
        <f>2500</f>
        <v>2500</v>
      </c>
      <c r="H18" s="3">
        <f>F18-G18</f>
        <v>0</v>
      </c>
      <c r="I18" s="3"/>
      <c r="J18" s="3"/>
      <c r="K18" s="5"/>
    </row>
    <row r="19" spans="1:12" x14ac:dyDescent="0.25">
      <c r="A19" s="3">
        <v>15</v>
      </c>
      <c r="B19" s="3" t="s">
        <v>38</v>
      </c>
      <c r="C19" s="3"/>
      <c r="D19" s="3">
        <f>'MAY 21'!H19:H27</f>
        <v>0</v>
      </c>
      <c r="E19" s="3">
        <v>4500</v>
      </c>
      <c r="F19" s="3">
        <f t="shared" si="0"/>
        <v>4500</v>
      </c>
      <c r="G19" s="30">
        <f>2000+1500+1000</f>
        <v>4500</v>
      </c>
      <c r="H19" s="3">
        <f t="shared" si="1"/>
        <v>0</v>
      </c>
      <c r="I19" s="3"/>
      <c r="J19" s="3"/>
      <c r="K19" s="5"/>
      <c r="L19" s="29"/>
    </row>
    <row r="20" spans="1:12" x14ac:dyDescent="0.25">
      <c r="A20" s="3"/>
      <c r="B20" s="2" t="s">
        <v>9</v>
      </c>
      <c r="C20" s="2">
        <f t="shared" ref="C20:J20" si="2">SUM(C5:C19)</f>
        <v>0</v>
      </c>
      <c r="D20" s="3">
        <f t="shared" si="2"/>
        <v>7750</v>
      </c>
      <c r="E20" s="2">
        <f t="shared" si="2"/>
        <v>52500</v>
      </c>
      <c r="F20" s="2">
        <f t="shared" si="2"/>
        <v>60250</v>
      </c>
      <c r="G20" s="31">
        <f t="shared" si="2"/>
        <v>57000</v>
      </c>
      <c r="H20" s="2">
        <f t="shared" si="2"/>
        <v>3250</v>
      </c>
      <c r="I20" s="2">
        <f t="shared" si="2"/>
        <v>600</v>
      </c>
      <c r="J20" s="2">
        <f t="shared" si="2"/>
        <v>1060</v>
      </c>
      <c r="L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I21" s="5"/>
      <c r="J21" s="5"/>
      <c r="L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2"/>
      <c r="J22" s="12"/>
      <c r="K22" s="11"/>
      <c r="L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76</v>
      </c>
      <c r="C25" s="16"/>
      <c r="D25" s="17">
        <f>E20</f>
        <v>52500</v>
      </c>
      <c r="E25" s="16"/>
      <c r="F25" s="16"/>
      <c r="G25" s="16" t="s">
        <v>76</v>
      </c>
      <c r="H25" s="17">
        <f>G20</f>
        <v>57000</v>
      </c>
      <c r="I25" s="16"/>
      <c r="J25" s="16"/>
    </row>
    <row r="26" spans="1:12" x14ac:dyDescent="0.25">
      <c r="B26" s="16" t="s">
        <v>4</v>
      </c>
      <c r="C26" s="16"/>
      <c r="D26" s="17">
        <f>'MAY 21'!F40</f>
        <v>0</v>
      </c>
      <c r="E26" s="16"/>
      <c r="F26" s="16"/>
      <c r="G26" s="16"/>
      <c r="H26" s="17"/>
      <c r="I26" s="16"/>
      <c r="J26" s="16"/>
    </row>
    <row r="27" spans="1:12" x14ac:dyDescent="0.25">
      <c r="B27" s="16"/>
      <c r="C27" s="16"/>
      <c r="D27" s="17"/>
      <c r="E27" s="16"/>
      <c r="F27" s="16"/>
      <c r="G27" s="16"/>
      <c r="H27" s="16"/>
      <c r="I27" s="17"/>
      <c r="J27" s="16"/>
    </row>
    <row r="28" spans="1:12" x14ac:dyDescent="0.25">
      <c r="B28" s="16" t="s">
        <v>39</v>
      </c>
      <c r="C28" s="16"/>
      <c r="D28" s="17"/>
      <c r="E28" s="16"/>
      <c r="F28" s="16"/>
      <c r="G28" s="16" t="s">
        <v>4</v>
      </c>
      <c r="H28" s="17">
        <f>'MAY 21'!J40</f>
        <v>-7750</v>
      </c>
      <c r="I28" s="16"/>
      <c r="J28" s="16"/>
    </row>
    <row r="29" spans="1:12" x14ac:dyDescent="0.25">
      <c r="B29" s="16" t="s">
        <v>20</v>
      </c>
      <c r="C29" s="16"/>
      <c r="D29" s="18">
        <v>0.1</v>
      </c>
      <c r="E29" s="17">
        <f>D29*D25</f>
        <v>5250</v>
      </c>
      <c r="F29" s="16"/>
      <c r="G29" s="16" t="s">
        <v>20</v>
      </c>
      <c r="H29" s="18">
        <v>0.1</v>
      </c>
      <c r="I29" s="17">
        <f>H29*D25</f>
        <v>5250</v>
      </c>
      <c r="J29" s="16"/>
    </row>
    <row r="30" spans="1:12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2" x14ac:dyDescent="0.25">
      <c r="B31" s="16"/>
      <c r="C31" s="15"/>
      <c r="D31" s="19"/>
      <c r="E31" s="16"/>
      <c r="F31" s="15"/>
      <c r="G31" s="16"/>
      <c r="H31" s="15"/>
      <c r="I31" s="19"/>
      <c r="J31" s="16"/>
    </row>
    <row r="32" spans="1:12" x14ac:dyDescent="0.25">
      <c r="B32" s="16" t="s">
        <v>138</v>
      </c>
      <c r="C32" s="16"/>
      <c r="D32" s="17"/>
      <c r="E32" s="16">
        <v>10000</v>
      </c>
      <c r="F32" s="16"/>
      <c r="G32" s="16" t="s">
        <v>138</v>
      </c>
      <c r="H32" s="16"/>
      <c r="I32" s="17">
        <v>10000</v>
      </c>
      <c r="J32" s="16"/>
    </row>
    <row r="33" spans="2:16" x14ac:dyDescent="0.25">
      <c r="B33" s="22" t="s">
        <v>179</v>
      </c>
      <c r="C33" s="22"/>
      <c r="D33" s="16"/>
      <c r="E33" s="16">
        <v>30000</v>
      </c>
      <c r="F33" s="16"/>
      <c r="G33" s="22" t="s">
        <v>82</v>
      </c>
      <c r="H33" s="22"/>
      <c r="I33" s="16">
        <v>30000</v>
      </c>
      <c r="J33" s="16"/>
    </row>
    <row r="34" spans="2:16" x14ac:dyDescent="0.25">
      <c r="B34" s="22"/>
      <c r="C34" s="22"/>
      <c r="D34" s="16"/>
      <c r="E34" s="16"/>
      <c r="F34" s="16"/>
      <c r="G34" s="22" t="s">
        <v>210</v>
      </c>
      <c r="H34" s="22"/>
      <c r="I34" s="16">
        <v>600</v>
      </c>
      <c r="J34" s="16"/>
    </row>
    <row r="35" spans="2:16" x14ac:dyDescent="0.25">
      <c r="B35" s="22" t="s">
        <v>182</v>
      </c>
      <c r="C35" s="16"/>
      <c r="D35" s="22"/>
      <c r="E35" s="16">
        <v>7275</v>
      </c>
      <c r="F35" s="16"/>
      <c r="G35" s="22" t="s">
        <v>182</v>
      </c>
      <c r="H35" s="16"/>
      <c r="I35" s="16">
        <v>7275</v>
      </c>
      <c r="J35" s="16"/>
    </row>
    <row r="36" spans="2:16" x14ac:dyDescent="0.25">
      <c r="B36" s="15" t="s">
        <v>9</v>
      </c>
      <c r="C36" s="15"/>
      <c r="D36" s="19">
        <f>D25+D26+D28+D27</f>
        <v>52500</v>
      </c>
      <c r="E36" s="19">
        <f>SUM(E29:E35)</f>
        <v>52525</v>
      </c>
      <c r="F36" s="19">
        <f>D36-E36</f>
        <v>-25</v>
      </c>
      <c r="G36" s="15" t="s">
        <v>9</v>
      </c>
      <c r="H36" s="19">
        <f>H25+H28+H26+H27-I29</f>
        <v>44000</v>
      </c>
      <c r="I36" s="19">
        <f>SUM(I31:I35)</f>
        <v>47875</v>
      </c>
      <c r="J36" s="19">
        <f>H36-I36</f>
        <v>-3875</v>
      </c>
    </row>
    <row r="37" spans="2:16" x14ac:dyDescent="0.25">
      <c r="E37" t="s">
        <v>23</v>
      </c>
      <c r="H37" t="s">
        <v>24</v>
      </c>
      <c r="K37" s="24"/>
      <c r="N37">
        <f>3420</f>
        <v>3420</v>
      </c>
    </row>
    <row r="38" spans="2:16" x14ac:dyDescent="0.25">
      <c r="B38" t="s">
        <v>22</v>
      </c>
      <c r="E38" t="s">
        <v>26</v>
      </c>
      <c r="H38" t="s">
        <v>27</v>
      </c>
      <c r="O38">
        <f>N37+420</f>
        <v>3840</v>
      </c>
      <c r="P38">
        <f>5600+420</f>
        <v>6020</v>
      </c>
    </row>
    <row r="39" spans="2:16" x14ac:dyDescent="0.25">
      <c r="B39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F13" sqref="F13"/>
    </sheetView>
  </sheetViews>
  <sheetFormatPr defaultRowHeight="15" x14ac:dyDescent="0.25"/>
  <cols>
    <col min="2" max="2" width="17.7109375" customWidth="1"/>
    <col min="6" max="6" width="11.5703125" customWidth="1"/>
    <col min="7" max="7" width="11.42578125" customWidth="1"/>
  </cols>
  <sheetData>
    <row r="1" spans="1:16" x14ac:dyDescent="0.25">
      <c r="A1" s="1"/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6" x14ac:dyDescent="0.25">
      <c r="A2" s="1"/>
      <c r="D2" s="1" t="s">
        <v>0</v>
      </c>
      <c r="E2" s="1"/>
      <c r="F2" s="1"/>
      <c r="G2" s="1"/>
      <c r="H2" s="1"/>
      <c r="I2" s="1"/>
      <c r="M2" s="38" t="s">
        <v>177</v>
      </c>
      <c r="N2" s="39"/>
      <c r="O2" s="39"/>
      <c r="P2" s="39"/>
    </row>
    <row r="3" spans="1:16" x14ac:dyDescent="0.25">
      <c r="A3" s="1"/>
      <c r="B3" s="1"/>
      <c r="C3" s="1"/>
      <c r="D3" s="1" t="s">
        <v>183</v>
      </c>
      <c r="E3" s="1"/>
      <c r="F3" s="1"/>
      <c r="G3" s="1"/>
      <c r="H3" s="1"/>
      <c r="I3" s="1"/>
      <c r="J3" s="1"/>
      <c r="K3" s="1"/>
      <c r="L3" s="1"/>
      <c r="M3" s="39" t="s">
        <v>178</v>
      </c>
      <c r="N3" s="39"/>
      <c r="O3" s="39"/>
      <c r="P3" s="39"/>
    </row>
    <row r="4" spans="1:16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  <c r="N4" s="39"/>
      <c r="O4" s="39"/>
      <c r="P4" s="39"/>
    </row>
    <row r="5" spans="1:16" x14ac:dyDescent="0.25">
      <c r="A5" s="3" t="s">
        <v>29</v>
      </c>
      <c r="B5" s="3" t="s">
        <v>31</v>
      </c>
      <c r="C5" s="3"/>
      <c r="D5" s="3">
        <f>'JUNE 21'!H5:H19</f>
        <v>500</v>
      </c>
      <c r="E5" s="3"/>
      <c r="F5" s="3"/>
      <c r="G5" s="3">
        <v>5000</v>
      </c>
      <c r="H5" s="3">
        <f>C5+D5+E5+F5+G5</f>
        <v>5500</v>
      </c>
      <c r="I5" s="30">
        <f>5000</f>
        <v>5000</v>
      </c>
      <c r="J5" s="3">
        <f>H5-I5</f>
        <v>500</v>
      </c>
      <c r="K5" s="3"/>
      <c r="L5" s="3"/>
    </row>
    <row r="6" spans="1:16" x14ac:dyDescent="0.25">
      <c r="A6" s="3" t="s">
        <v>30</v>
      </c>
      <c r="B6" s="30"/>
      <c r="C6" s="3"/>
      <c r="D6" s="3">
        <f>'JUNE 21'!H6:H20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6" x14ac:dyDescent="0.25">
      <c r="A7" s="3" t="s">
        <v>173</v>
      </c>
      <c r="B7" s="3" t="s">
        <v>176</v>
      </c>
      <c r="C7" s="3"/>
      <c r="D7" s="3">
        <f>'JUNE 21'!H7:H21</f>
        <v>0</v>
      </c>
      <c r="E7" s="3"/>
      <c r="F7" s="3"/>
      <c r="G7" s="3">
        <v>5000</v>
      </c>
      <c r="H7" s="3">
        <f t="shared" si="0"/>
        <v>5000</v>
      </c>
      <c r="I7" s="30">
        <f>5000</f>
        <v>5000</v>
      </c>
      <c r="J7" s="3">
        <f t="shared" ref="J7:J19" si="1">H7-I7</f>
        <v>0</v>
      </c>
      <c r="K7" s="3"/>
      <c r="L7" s="3"/>
    </row>
    <row r="8" spans="1:16" x14ac:dyDescent="0.25">
      <c r="A8" s="3">
        <v>4</v>
      </c>
      <c r="B8" s="16" t="s">
        <v>188</v>
      </c>
      <c r="C8" s="30"/>
      <c r="D8" s="3">
        <f>'JUNE 21'!H8:H22</f>
        <v>0</v>
      </c>
      <c r="E8" s="3">
        <v>150</v>
      </c>
      <c r="F8" s="3"/>
      <c r="G8" s="3">
        <v>3000</v>
      </c>
      <c r="H8" s="3">
        <f t="shared" si="0"/>
        <v>3150</v>
      </c>
      <c r="I8" s="30">
        <v>3000</v>
      </c>
      <c r="J8" s="3">
        <f t="shared" si="1"/>
        <v>150</v>
      </c>
      <c r="K8" s="3"/>
      <c r="L8" s="3"/>
    </row>
    <row r="9" spans="1:16" x14ac:dyDescent="0.25">
      <c r="A9" s="3">
        <v>5</v>
      </c>
      <c r="B9" s="3" t="s">
        <v>33</v>
      </c>
      <c r="C9" s="3"/>
      <c r="D9" s="3">
        <f>'JUNE 21'!H9:H23</f>
        <v>500</v>
      </c>
      <c r="E9" s="3">
        <v>300</v>
      </c>
      <c r="F9" s="3"/>
      <c r="G9" s="3">
        <v>3000</v>
      </c>
      <c r="H9" s="3">
        <f t="shared" si="0"/>
        <v>3800</v>
      </c>
      <c r="I9" s="30">
        <v>3000</v>
      </c>
      <c r="J9" s="3">
        <f>H9-I9</f>
        <v>800</v>
      </c>
      <c r="K9" s="3"/>
      <c r="L9" s="3"/>
    </row>
    <row r="10" spans="1:16" x14ac:dyDescent="0.25">
      <c r="A10" s="3">
        <v>6</v>
      </c>
      <c r="B10" s="3" t="s">
        <v>150</v>
      </c>
      <c r="C10" s="3"/>
      <c r="D10" s="3">
        <f>'JUNE 21'!H10:H24</f>
        <v>0</v>
      </c>
      <c r="E10" s="3">
        <v>150</v>
      </c>
      <c r="F10" s="3">
        <v>270</v>
      </c>
      <c r="G10" s="3">
        <v>5500</v>
      </c>
      <c r="H10" s="3">
        <f t="shared" si="0"/>
        <v>5920</v>
      </c>
      <c r="I10" s="30">
        <v>5770</v>
      </c>
      <c r="J10" s="3">
        <f>H10-I10</f>
        <v>150</v>
      </c>
      <c r="K10" s="3"/>
      <c r="L10" s="3">
        <v>270</v>
      </c>
    </row>
    <row r="11" spans="1:16" x14ac:dyDescent="0.25">
      <c r="A11" s="3">
        <v>7</v>
      </c>
      <c r="B11" s="4" t="s">
        <v>43</v>
      </c>
      <c r="C11" s="4"/>
      <c r="D11" s="3">
        <f>'JUNE 21'!H11:H25</f>
        <v>0</v>
      </c>
      <c r="E11" s="3">
        <v>300</v>
      </c>
      <c r="F11" s="3"/>
      <c r="G11" s="3">
        <v>3000</v>
      </c>
      <c r="H11" s="3">
        <f t="shared" si="0"/>
        <v>3300</v>
      </c>
      <c r="I11" s="30">
        <v>3000</v>
      </c>
      <c r="J11" s="3">
        <f t="shared" si="1"/>
        <v>300</v>
      </c>
      <c r="K11" s="3"/>
      <c r="L11" s="3"/>
      <c r="N11" t="s">
        <v>10</v>
      </c>
    </row>
    <row r="12" spans="1:16" x14ac:dyDescent="0.25">
      <c r="A12" s="3">
        <v>8</v>
      </c>
      <c r="B12" s="3" t="s">
        <v>45</v>
      </c>
      <c r="C12" s="3"/>
      <c r="D12" s="3">
        <f>'JUNE 21'!H12:H26</f>
        <v>0</v>
      </c>
      <c r="E12" s="3">
        <v>150</v>
      </c>
      <c r="F12" s="3">
        <v>270</v>
      </c>
      <c r="G12" s="3">
        <v>3000</v>
      </c>
      <c r="H12" s="3">
        <f t="shared" si="0"/>
        <v>3420</v>
      </c>
      <c r="I12" s="30">
        <v>2000</v>
      </c>
      <c r="J12" s="3">
        <f t="shared" si="1"/>
        <v>1420</v>
      </c>
      <c r="K12" s="3"/>
      <c r="L12" s="3"/>
    </row>
    <row r="13" spans="1:16" x14ac:dyDescent="0.25">
      <c r="A13" s="3">
        <v>9</v>
      </c>
      <c r="B13" s="3" t="s">
        <v>93</v>
      </c>
      <c r="C13" s="3"/>
      <c r="D13" s="3">
        <f>'JUNE 21'!H13:H27</f>
        <v>0</v>
      </c>
      <c r="E13" s="3"/>
      <c r="F13" s="3"/>
      <c r="G13" s="3">
        <v>2500</v>
      </c>
      <c r="H13" s="3">
        <f t="shared" si="0"/>
        <v>2500</v>
      </c>
      <c r="I13" s="30"/>
      <c r="J13" s="3">
        <f t="shared" si="1"/>
        <v>2500</v>
      </c>
      <c r="K13" s="3"/>
      <c r="L13" s="3"/>
    </row>
    <row r="14" spans="1:16" x14ac:dyDescent="0.25">
      <c r="A14" s="3">
        <v>10</v>
      </c>
      <c r="B14" s="3" t="s">
        <v>35</v>
      </c>
      <c r="C14" s="3"/>
      <c r="D14" s="3">
        <f>'JUNE 21'!H14:H28</f>
        <v>0</v>
      </c>
      <c r="E14" s="3">
        <v>150</v>
      </c>
      <c r="F14" s="3"/>
      <c r="G14" s="3">
        <v>2500</v>
      </c>
      <c r="H14" s="3">
        <f t="shared" si="0"/>
        <v>2650</v>
      </c>
      <c r="I14" s="30">
        <v>2500</v>
      </c>
      <c r="J14" s="3">
        <f t="shared" si="1"/>
        <v>150</v>
      </c>
      <c r="K14" s="3"/>
      <c r="L14" s="3"/>
    </row>
    <row r="15" spans="1:16" x14ac:dyDescent="0.25">
      <c r="A15" s="3">
        <v>11</v>
      </c>
      <c r="B15" s="3" t="s">
        <v>37</v>
      </c>
      <c r="C15" s="3"/>
      <c r="D15" s="3">
        <f>'JUNE 21'!H15:H29</f>
        <v>2250</v>
      </c>
      <c r="E15" s="3">
        <v>320</v>
      </c>
      <c r="F15" s="3">
        <v>270</v>
      </c>
      <c r="G15" s="3">
        <v>2500</v>
      </c>
      <c r="H15" s="3">
        <f>C15+D15+E15+F15+G15</f>
        <v>5340</v>
      </c>
      <c r="I15" s="30">
        <f>2500+1000</f>
        <v>3500</v>
      </c>
      <c r="J15" s="3">
        <f t="shared" si="1"/>
        <v>1840</v>
      </c>
      <c r="K15" s="3"/>
      <c r="L15" s="3">
        <v>270</v>
      </c>
    </row>
    <row r="16" spans="1:16" x14ac:dyDescent="0.25">
      <c r="A16" s="3">
        <v>12</v>
      </c>
      <c r="B16" s="16" t="s">
        <v>171</v>
      </c>
      <c r="C16" s="3"/>
      <c r="D16" s="3">
        <f>'JUNE 21'!H16:H30</f>
        <v>0</v>
      </c>
      <c r="E16" s="3">
        <v>300</v>
      </c>
      <c r="F16" s="3">
        <v>270</v>
      </c>
      <c r="G16" s="3">
        <v>2500</v>
      </c>
      <c r="H16" s="3">
        <f t="shared" si="0"/>
        <v>3070</v>
      </c>
      <c r="I16" s="30">
        <f>2500+300</f>
        <v>2800</v>
      </c>
      <c r="J16" s="3">
        <f>H16-I16</f>
        <v>270</v>
      </c>
      <c r="K16" s="3">
        <v>30</v>
      </c>
      <c r="L16" s="3">
        <v>270</v>
      </c>
      <c r="M16" s="5"/>
    </row>
    <row r="17" spans="1:16" x14ac:dyDescent="0.25">
      <c r="A17" s="3">
        <v>13</v>
      </c>
      <c r="B17" s="3" t="s">
        <v>131</v>
      </c>
      <c r="C17" s="3"/>
      <c r="D17" s="3">
        <f>'JUNE 21'!H17:H31</f>
        <v>0</v>
      </c>
      <c r="E17" s="3">
        <v>150</v>
      </c>
      <c r="F17" s="3">
        <v>270</v>
      </c>
      <c r="G17" s="3">
        <v>2500</v>
      </c>
      <c r="H17" s="3">
        <f t="shared" si="0"/>
        <v>2920</v>
      </c>
      <c r="I17" s="30">
        <f>2720+50</f>
        <v>2770</v>
      </c>
      <c r="J17" s="3">
        <f>H17-I17</f>
        <v>150</v>
      </c>
      <c r="K17" s="3"/>
      <c r="L17" s="3">
        <v>270</v>
      </c>
      <c r="M17" s="5"/>
    </row>
    <row r="18" spans="1:16" x14ac:dyDescent="0.25">
      <c r="A18" s="3">
        <v>14</v>
      </c>
      <c r="B18" s="3" t="s">
        <v>113</v>
      </c>
      <c r="C18" s="3"/>
      <c r="D18" s="3">
        <f>'JUNE 21'!H18:H32</f>
        <v>0</v>
      </c>
      <c r="E18" s="3">
        <v>300</v>
      </c>
      <c r="F18" s="3">
        <v>540</v>
      </c>
      <c r="G18" s="3">
        <v>2500</v>
      </c>
      <c r="H18" s="3">
        <f t="shared" si="0"/>
        <v>3340</v>
      </c>
      <c r="I18" s="30">
        <v>2500</v>
      </c>
      <c r="J18" s="3">
        <f>H18-I18</f>
        <v>840</v>
      </c>
      <c r="K18" s="3"/>
      <c r="L18" s="3"/>
      <c r="M18" s="5"/>
    </row>
    <row r="19" spans="1:16" x14ac:dyDescent="0.25">
      <c r="A19" s="3">
        <v>15</v>
      </c>
      <c r="B19" s="3" t="s">
        <v>38</v>
      </c>
      <c r="C19" s="3"/>
      <c r="D19" s="3">
        <f>'JUNE 21'!H19:H33</f>
        <v>0</v>
      </c>
      <c r="E19" s="3">
        <v>300</v>
      </c>
      <c r="F19" s="3"/>
      <c r="G19" s="3">
        <v>4500</v>
      </c>
      <c r="H19" s="3">
        <f t="shared" si="0"/>
        <v>4800</v>
      </c>
      <c r="I19" s="30">
        <f>2000+2500</f>
        <v>4500</v>
      </c>
      <c r="J19" s="3">
        <f t="shared" si="1"/>
        <v>300</v>
      </c>
      <c r="K19" s="3"/>
      <c r="L19" s="3"/>
      <c r="M19" s="5"/>
      <c r="N19" s="29"/>
    </row>
    <row r="20" spans="1:16" x14ac:dyDescent="0.25">
      <c r="A20" s="3"/>
      <c r="B20" s="2" t="s">
        <v>9</v>
      </c>
      <c r="C20" s="2">
        <f t="shared" ref="C20:L20" si="2">SUM(C5:C19)</f>
        <v>0</v>
      </c>
      <c r="D20" s="3">
        <f t="shared" si="2"/>
        <v>3250</v>
      </c>
      <c r="E20" s="3">
        <f t="shared" si="2"/>
        <v>2570</v>
      </c>
      <c r="F20" s="3">
        <f t="shared" si="2"/>
        <v>1890</v>
      </c>
      <c r="G20" s="2">
        <f t="shared" si="2"/>
        <v>47000</v>
      </c>
      <c r="H20" s="2">
        <f t="shared" si="2"/>
        <v>54710</v>
      </c>
      <c r="I20" s="31">
        <f t="shared" si="2"/>
        <v>45340</v>
      </c>
      <c r="J20" s="2">
        <f t="shared" si="2"/>
        <v>9370</v>
      </c>
      <c r="K20" s="2">
        <f t="shared" si="2"/>
        <v>30</v>
      </c>
      <c r="L20" s="2">
        <f t="shared" si="2"/>
        <v>1080</v>
      </c>
      <c r="N20" t="s">
        <v>10</v>
      </c>
    </row>
    <row r="21" spans="1:16" x14ac:dyDescent="0.25">
      <c r="A21" s="5"/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  <c r="N21" s="29"/>
    </row>
    <row r="22" spans="1:16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>
        <f>12*150</f>
        <v>1800</v>
      </c>
      <c r="N22" s="7"/>
    </row>
    <row r="23" spans="1:16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  <c r="M23">
        <f>M22*3-150</f>
        <v>5250</v>
      </c>
    </row>
    <row r="24" spans="1:16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M24">
        <v>600</v>
      </c>
    </row>
    <row r="25" spans="1:16" x14ac:dyDescent="0.25">
      <c r="B25" s="16" t="s">
        <v>91</v>
      </c>
      <c r="C25" s="16"/>
      <c r="D25" s="17">
        <f>G20</f>
        <v>47000</v>
      </c>
      <c r="E25" s="16"/>
      <c r="F25" s="16"/>
      <c r="G25" s="16" t="s">
        <v>91</v>
      </c>
      <c r="H25" s="17">
        <f>I20</f>
        <v>45340</v>
      </c>
      <c r="I25" s="16"/>
      <c r="J25" s="16"/>
      <c r="N25">
        <f>7*270</f>
        <v>1890</v>
      </c>
      <c r="O25">
        <f>N25*3</f>
        <v>5670</v>
      </c>
    </row>
    <row r="26" spans="1:16" x14ac:dyDescent="0.25">
      <c r="B26" s="16" t="s">
        <v>4</v>
      </c>
      <c r="C26" s="16"/>
      <c r="D26" s="17">
        <f>'JUNE 21'!F36</f>
        <v>-25</v>
      </c>
      <c r="E26" s="16"/>
      <c r="F26" s="16"/>
      <c r="G26" s="16" t="s">
        <v>181</v>
      </c>
      <c r="H26" s="17"/>
      <c r="I26" s="16"/>
      <c r="J26" s="16"/>
      <c r="M26">
        <f>M23-M24-M25</f>
        <v>4650</v>
      </c>
      <c r="O26">
        <f>L20</f>
        <v>1080</v>
      </c>
    </row>
    <row r="27" spans="1:16" x14ac:dyDescent="0.25">
      <c r="B27" s="16" t="s">
        <v>181</v>
      </c>
      <c r="C27" s="16"/>
      <c r="D27" s="17"/>
      <c r="E27" s="16"/>
      <c r="F27" s="16"/>
      <c r="G27" s="16" t="s">
        <v>180</v>
      </c>
      <c r="H27" s="16"/>
      <c r="I27" s="17"/>
      <c r="J27" s="16"/>
      <c r="O27">
        <v>1060</v>
      </c>
      <c r="P27">
        <f>O26+O27</f>
        <v>2140</v>
      </c>
    </row>
    <row r="28" spans="1:16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'JUNE 21'!J36</f>
        <v>-3875</v>
      </c>
      <c r="I28" s="16"/>
      <c r="J28" s="16"/>
      <c r="O28">
        <f>O25-O26-O27</f>
        <v>3530</v>
      </c>
    </row>
    <row r="29" spans="1:16" x14ac:dyDescent="0.25">
      <c r="B29" s="16" t="s">
        <v>20</v>
      </c>
      <c r="C29" s="16"/>
      <c r="D29" s="18">
        <v>0.1</v>
      </c>
      <c r="E29" s="17">
        <f>D29*D25</f>
        <v>4700</v>
      </c>
      <c r="F29" s="16"/>
      <c r="G29" s="16" t="s">
        <v>20</v>
      </c>
      <c r="H29" s="18">
        <v>0.1</v>
      </c>
      <c r="I29" s="17">
        <f>H29*D25</f>
        <v>4700</v>
      </c>
      <c r="J29" s="16"/>
      <c r="L29" s="24"/>
    </row>
    <row r="30" spans="1:16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6" x14ac:dyDescent="0.25">
      <c r="B31" s="16"/>
      <c r="C31" s="15"/>
      <c r="D31" s="19"/>
      <c r="E31" s="16"/>
      <c r="F31" s="15"/>
      <c r="G31" s="16"/>
      <c r="H31" s="15"/>
      <c r="I31" s="19"/>
      <c r="J31" s="16"/>
    </row>
    <row r="32" spans="1:16" x14ac:dyDescent="0.25">
      <c r="B32" s="16" t="s">
        <v>138</v>
      </c>
      <c r="C32" s="16"/>
      <c r="D32" s="17"/>
      <c r="E32" s="16">
        <v>5000</v>
      </c>
      <c r="F32" s="16"/>
      <c r="G32" s="16" t="s">
        <v>138</v>
      </c>
      <c r="H32" s="16"/>
      <c r="I32" s="17">
        <v>5000</v>
      </c>
      <c r="J32" s="16"/>
    </row>
    <row r="33" spans="2:13" x14ac:dyDescent="0.25">
      <c r="B33" s="22" t="s">
        <v>186</v>
      </c>
      <c r="C33" s="22"/>
      <c r="D33" s="16"/>
      <c r="E33" s="16">
        <v>30000</v>
      </c>
      <c r="F33" s="16"/>
      <c r="G33" s="22" t="s">
        <v>96</v>
      </c>
      <c r="H33" s="22"/>
      <c r="I33" s="16">
        <v>30000</v>
      </c>
      <c r="J33" s="16"/>
    </row>
    <row r="34" spans="2:13" x14ac:dyDescent="0.25">
      <c r="B34" s="22" t="s">
        <v>187</v>
      </c>
      <c r="C34" s="22"/>
      <c r="D34" s="16"/>
      <c r="E34" s="16">
        <v>7275</v>
      </c>
      <c r="F34" s="16"/>
      <c r="G34" s="22" t="s">
        <v>187</v>
      </c>
      <c r="H34" s="22"/>
      <c r="I34" s="16">
        <v>7275</v>
      </c>
      <c r="J34" s="16"/>
    </row>
    <row r="35" spans="2:13" x14ac:dyDescent="0.25">
      <c r="B35" s="22"/>
      <c r="C35" s="16"/>
      <c r="D35" s="22"/>
      <c r="E35" s="16"/>
      <c r="F35" s="16"/>
      <c r="G35" s="22"/>
      <c r="H35" s="16"/>
      <c r="I35" s="16"/>
      <c r="J35" s="16"/>
    </row>
    <row r="36" spans="2:13" x14ac:dyDescent="0.25">
      <c r="B36" s="15" t="s">
        <v>9</v>
      </c>
      <c r="C36" s="15"/>
      <c r="D36" s="19">
        <f>D25+D26+D28+D27</f>
        <v>46975</v>
      </c>
      <c r="E36" s="19">
        <f>SUM(E29:E35)</f>
        <v>46975</v>
      </c>
      <c r="F36" s="19">
        <f>D36-E36</f>
        <v>0</v>
      </c>
      <c r="G36" s="15" t="s">
        <v>9</v>
      </c>
      <c r="H36" s="19">
        <f>H25+H28+H26+H27-I29</f>
        <v>36765</v>
      </c>
      <c r="I36" s="19">
        <f>SUM(I31:I35)</f>
        <v>42275</v>
      </c>
      <c r="J36" s="19">
        <f>H36-I36</f>
        <v>-5510</v>
      </c>
    </row>
    <row r="37" spans="2:13" x14ac:dyDescent="0.25">
      <c r="E37" t="s">
        <v>23</v>
      </c>
      <c r="H37" t="s">
        <v>24</v>
      </c>
      <c r="L37">
        <f>3420*5</f>
        <v>17100</v>
      </c>
      <c r="M37" s="24">
        <f>L37-11500</f>
        <v>5600</v>
      </c>
    </row>
    <row r="38" spans="2:13" x14ac:dyDescent="0.25">
      <c r="B38" t="s">
        <v>22</v>
      </c>
      <c r="E38" t="s">
        <v>26</v>
      </c>
      <c r="H38" t="s">
        <v>27</v>
      </c>
    </row>
    <row r="39" spans="2:13" x14ac:dyDescent="0.25">
      <c r="B39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3" workbookViewId="0">
      <selection activeCell="P18" sqref="P18"/>
    </sheetView>
  </sheetViews>
  <sheetFormatPr defaultRowHeight="15" x14ac:dyDescent="0.25"/>
  <cols>
    <col min="2" max="2" width="18" customWidth="1"/>
    <col min="5" max="5" width="10" customWidth="1"/>
    <col min="6" max="6" width="11.42578125" customWidth="1"/>
    <col min="8" max="8" width="10.28515625" customWidth="1"/>
    <col min="11" max="11" width="11.5703125" customWidth="1"/>
    <col min="12" max="12" width="10" bestFit="1" customWidth="1"/>
    <col min="13" max="13" width="11.42578125" customWidth="1"/>
  </cols>
  <sheetData>
    <row r="1" spans="1:13" x14ac:dyDescent="0.25">
      <c r="A1" s="1"/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A3" s="1"/>
      <c r="B3" s="1"/>
      <c r="C3" s="1"/>
      <c r="D3" s="1" t="s">
        <v>189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</row>
    <row r="5" spans="1:13" x14ac:dyDescent="0.25">
      <c r="A5" s="3" t="s">
        <v>29</v>
      </c>
      <c r="B5" s="3" t="s">
        <v>31</v>
      </c>
      <c r="C5" s="3"/>
      <c r="D5" s="3">
        <f>'JULY 21'!J5</f>
        <v>500</v>
      </c>
      <c r="E5" s="3"/>
      <c r="F5" s="3"/>
      <c r="G5" s="3">
        <v>5000</v>
      </c>
      <c r="H5" s="3">
        <f>C5+D5+E5+F5+G5</f>
        <v>5500</v>
      </c>
      <c r="I5" s="30"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30"/>
      <c r="C6" s="3"/>
      <c r="D6" s="3">
        <f>'JULY 21'!J6:J21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176</v>
      </c>
      <c r="C7" s="3"/>
      <c r="D7" s="3">
        <f>'JULY 21'!J7:J22</f>
        <v>0</v>
      </c>
      <c r="E7" s="3"/>
      <c r="F7" s="3"/>
      <c r="G7" s="3">
        <v>5000</v>
      </c>
      <c r="H7" s="3">
        <f t="shared" si="0"/>
        <v>5000</v>
      </c>
      <c r="I7" s="30">
        <v>5000</v>
      </c>
      <c r="J7" s="3">
        <f t="shared" ref="J7:J19" si="1">H7-I7</f>
        <v>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'JULY 21'!J8:J23</f>
        <v>150</v>
      </c>
      <c r="E8" s="3">
        <v>150</v>
      </c>
      <c r="F8" s="3"/>
      <c r="G8" s="3">
        <v>3000</v>
      </c>
      <c r="H8" s="3">
        <f t="shared" si="0"/>
        <v>3300</v>
      </c>
      <c r="I8" s="30">
        <v>3000</v>
      </c>
      <c r="J8" s="3">
        <f t="shared" si="1"/>
        <v>300</v>
      </c>
      <c r="K8" s="3"/>
      <c r="L8" s="3"/>
    </row>
    <row r="9" spans="1:13" x14ac:dyDescent="0.25">
      <c r="A9" s="3">
        <v>5</v>
      </c>
      <c r="B9" s="3" t="s">
        <v>33</v>
      </c>
      <c r="C9" s="3"/>
      <c r="D9" s="3">
        <f>'JULY 21'!J9:J24</f>
        <v>800</v>
      </c>
      <c r="E9" s="3">
        <v>150</v>
      </c>
      <c r="F9" s="3"/>
      <c r="G9" s="3">
        <v>3000</v>
      </c>
      <c r="H9" s="3">
        <f t="shared" si="0"/>
        <v>3950</v>
      </c>
      <c r="I9" s="30">
        <f>3000</f>
        <v>3000</v>
      </c>
      <c r="J9" s="3">
        <f>H9-I9</f>
        <v>950</v>
      </c>
      <c r="K9" s="3"/>
      <c r="L9" s="3"/>
    </row>
    <row r="10" spans="1:13" x14ac:dyDescent="0.25">
      <c r="A10" s="3">
        <v>6</v>
      </c>
      <c r="B10" s="3" t="s">
        <v>150</v>
      </c>
      <c r="C10" s="3"/>
      <c r="D10" s="3">
        <f>'JULY 21'!J10:J25</f>
        <v>150</v>
      </c>
      <c r="E10" s="3">
        <v>150</v>
      </c>
      <c r="F10" s="3">
        <v>270</v>
      </c>
      <c r="G10" s="3">
        <v>5500</v>
      </c>
      <c r="H10" s="3">
        <f t="shared" si="0"/>
        <v>6070</v>
      </c>
      <c r="I10" s="30">
        <f>4000+1920</f>
        <v>5920</v>
      </c>
      <c r="J10" s="3">
        <f>H10-I10</f>
        <v>150</v>
      </c>
      <c r="K10" s="3">
        <v>150</v>
      </c>
      <c r="L10" s="3">
        <v>270</v>
      </c>
    </row>
    <row r="11" spans="1:13" x14ac:dyDescent="0.25">
      <c r="A11" s="3">
        <v>7</v>
      </c>
      <c r="B11" s="4" t="s">
        <v>43</v>
      </c>
      <c r="C11" s="4"/>
      <c r="D11" s="3">
        <f>'JULY 21'!J11:J26</f>
        <v>300</v>
      </c>
      <c r="E11" s="3">
        <v>150</v>
      </c>
      <c r="F11" s="3"/>
      <c r="G11" s="3">
        <v>3000</v>
      </c>
      <c r="H11" s="3">
        <f t="shared" si="0"/>
        <v>3450</v>
      </c>
      <c r="I11" s="30">
        <f>3000+450</f>
        <v>3450</v>
      </c>
      <c r="J11" s="3">
        <f t="shared" si="1"/>
        <v>0</v>
      </c>
      <c r="K11" s="3">
        <v>450</v>
      </c>
      <c r="L11" s="3"/>
    </row>
    <row r="12" spans="1:13" x14ac:dyDescent="0.25">
      <c r="A12" s="3">
        <v>8</v>
      </c>
      <c r="B12" s="3" t="s">
        <v>45</v>
      </c>
      <c r="C12" s="3"/>
      <c r="D12" s="3">
        <f>'JULY 21'!J12:J27</f>
        <v>1420</v>
      </c>
      <c r="E12" s="3">
        <v>150</v>
      </c>
      <c r="F12" s="3">
        <v>270</v>
      </c>
      <c r="G12" s="3">
        <v>3000</v>
      </c>
      <c r="H12" s="3">
        <f t="shared" si="0"/>
        <v>4840</v>
      </c>
      <c r="I12" s="30"/>
      <c r="J12" s="3">
        <f t="shared" si="1"/>
        <v>4840</v>
      </c>
      <c r="K12" s="3"/>
      <c r="L12" s="3"/>
    </row>
    <row r="13" spans="1:13" x14ac:dyDescent="0.25">
      <c r="A13" s="3">
        <v>9</v>
      </c>
      <c r="B13" s="30" t="s">
        <v>93</v>
      </c>
      <c r="C13" s="30"/>
      <c r="D13" s="30">
        <f>'JULY 21'!J13:J28</f>
        <v>2500</v>
      </c>
      <c r="E13" s="3"/>
      <c r="F13" s="3"/>
      <c r="G13" s="3">
        <v>2500</v>
      </c>
      <c r="H13" s="3">
        <f t="shared" si="0"/>
        <v>5000</v>
      </c>
      <c r="I13" s="30"/>
      <c r="J13" s="3">
        <f t="shared" si="1"/>
        <v>5000</v>
      </c>
      <c r="K13" s="3"/>
      <c r="L13" s="3"/>
      <c r="M13" t="s">
        <v>194</v>
      </c>
    </row>
    <row r="14" spans="1:13" x14ac:dyDescent="0.25">
      <c r="A14" s="3">
        <v>10</v>
      </c>
      <c r="B14" s="30" t="s">
        <v>35</v>
      </c>
      <c r="C14" s="3"/>
      <c r="D14" s="3">
        <f>'JULY 21'!J14:J29</f>
        <v>150</v>
      </c>
      <c r="E14" s="3"/>
      <c r="F14" s="3"/>
      <c r="G14" s="3">
        <v>2500</v>
      </c>
      <c r="H14" s="3">
        <f t="shared" si="0"/>
        <v>2650</v>
      </c>
      <c r="I14" s="30"/>
      <c r="J14" s="3">
        <f t="shared" si="1"/>
        <v>2650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'JULY 21'!J15:J30</f>
        <v>1840</v>
      </c>
      <c r="E15" s="3">
        <v>150</v>
      </c>
      <c r="F15" s="3">
        <v>270</v>
      </c>
      <c r="G15" s="3">
        <v>2500</v>
      </c>
      <c r="H15" s="3">
        <f>C15+D15+E15+F15+G15</f>
        <v>4760</v>
      </c>
      <c r="I15" s="30">
        <f>2900</f>
        <v>2900</v>
      </c>
      <c r="J15" s="3">
        <f t="shared" si="1"/>
        <v>1860</v>
      </c>
      <c r="K15" s="3">
        <v>130</v>
      </c>
      <c r="L15" s="3">
        <v>270</v>
      </c>
    </row>
    <row r="16" spans="1:13" x14ac:dyDescent="0.25">
      <c r="A16" s="3">
        <v>12</v>
      </c>
      <c r="B16" s="16" t="s">
        <v>171</v>
      </c>
      <c r="C16" s="3"/>
      <c r="D16" s="3">
        <f>'JULY 21'!J16:J31</f>
        <v>270</v>
      </c>
      <c r="E16" s="3">
        <v>150</v>
      </c>
      <c r="F16" s="3">
        <v>270</v>
      </c>
      <c r="G16" s="3">
        <v>2500</v>
      </c>
      <c r="H16" s="3">
        <f t="shared" si="0"/>
        <v>3190</v>
      </c>
      <c r="I16" s="30">
        <f>2500+200</f>
        <v>2700</v>
      </c>
      <c r="J16" s="3">
        <f>H16-I16</f>
        <v>490</v>
      </c>
      <c r="K16" s="3"/>
      <c r="L16" s="3">
        <v>200</v>
      </c>
      <c r="M16" s="5"/>
    </row>
    <row r="17" spans="1:17" x14ac:dyDescent="0.25">
      <c r="A17" s="3">
        <v>13</v>
      </c>
      <c r="B17" s="3" t="s">
        <v>131</v>
      </c>
      <c r="C17" s="3"/>
      <c r="D17" s="3">
        <f>'JULY 21'!J17:J32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>
        <f>2920</f>
        <v>2920</v>
      </c>
      <c r="J17" s="3">
        <f>H17-I17</f>
        <v>150</v>
      </c>
      <c r="K17" s="3">
        <v>150</v>
      </c>
      <c r="L17" s="3">
        <v>270</v>
      </c>
      <c r="M17" s="5"/>
    </row>
    <row r="18" spans="1:17" x14ac:dyDescent="0.25">
      <c r="A18" s="3">
        <v>14</v>
      </c>
      <c r="B18" s="3" t="s">
        <v>113</v>
      </c>
      <c r="C18" s="3"/>
      <c r="D18" s="3">
        <f>'JULY 21'!J18:J33</f>
        <v>840</v>
      </c>
      <c r="E18" s="3">
        <v>150</v>
      </c>
      <c r="F18" s="3">
        <v>270</v>
      </c>
      <c r="G18" s="3">
        <v>2500</v>
      </c>
      <c r="H18" s="3">
        <f t="shared" si="0"/>
        <v>3760</v>
      </c>
      <c r="I18" s="30">
        <v>2920</v>
      </c>
      <c r="J18" s="3">
        <f>H18-I18</f>
        <v>840</v>
      </c>
      <c r="K18" s="3">
        <v>150</v>
      </c>
      <c r="L18" s="3">
        <v>270</v>
      </c>
      <c r="M18" s="5"/>
    </row>
    <row r="19" spans="1:17" x14ac:dyDescent="0.25">
      <c r="A19" s="3">
        <v>15</v>
      </c>
      <c r="B19" s="3" t="s">
        <v>38</v>
      </c>
      <c r="C19" s="3"/>
      <c r="D19" s="3">
        <f>'JULY 21'!J19:J34</f>
        <v>300</v>
      </c>
      <c r="E19" s="3">
        <v>150</v>
      </c>
      <c r="F19" s="3"/>
      <c r="G19" s="3">
        <v>4500</v>
      </c>
      <c r="H19" s="3">
        <f t="shared" si="0"/>
        <v>4950</v>
      </c>
      <c r="I19" s="30">
        <v>3000</v>
      </c>
      <c r="J19" s="3">
        <f t="shared" si="1"/>
        <v>1950</v>
      </c>
      <c r="K19" s="3"/>
      <c r="L19" s="3"/>
      <c r="M19" s="5"/>
      <c r="Q19" s="22"/>
    </row>
    <row r="20" spans="1:17" x14ac:dyDescent="0.25">
      <c r="A20" s="3"/>
      <c r="B20" s="2" t="s">
        <v>9</v>
      </c>
      <c r="C20" s="2">
        <f>SUM(C5:C19)</f>
        <v>0</v>
      </c>
      <c r="D20" s="3">
        <f>SUM(D6:D19)</f>
        <v>8870</v>
      </c>
      <c r="E20" s="3">
        <f t="shared" ref="E20:L20" si="2">SUM(E5:E19)</f>
        <v>1500</v>
      </c>
      <c r="F20" s="3">
        <f t="shared" si="2"/>
        <v>1620</v>
      </c>
      <c r="G20" s="2">
        <f t="shared" si="2"/>
        <v>47000</v>
      </c>
      <c r="H20" s="2">
        <f t="shared" si="2"/>
        <v>59490</v>
      </c>
      <c r="I20" s="31">
        <f t="shared" si="2"/>
        <v>39810</v>
      </c>
      <c r="J20" s="2">
        <f t="shared" si="2"/>
        <v>19680</v>
      </c>
      <c r="K20" s="2">
        <f>SUM(K5:K19)</f>
        <v>1030</v>
      </c>
      <c r="L20" s="2">
        <f t="shared" si="2"/>
        <v>1280</v>
      </c>
    </row>
    <row r="21" spans="1:17" x14ac:dyDescent="0.25">
      <c r="A21" s="5"/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7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7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7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>
        <f>11*150</f>
        <v>1650</v>
      </c>
      <c r="O24" s="7"/>
    </row>
    <row r="25" spans="1:17" x14ac:dyDescent="0.25">
      <c r="B25" s="16" t="s">
        <v>100</v>
      </c>
      <c r="C25" s="16"/>
      <c r="D25" s="17">
        <f>G20</f>
        <v>47000</v>
      </c>
      <c r="E25" s="16"/>
      <c r="F25" s="16"/>
      <c r="G25" s="16" t="s">
        <v>100</v>
      </c>
      <c r="H25" s="17">
        <f>I20</f>
        <v>39810</v>
      </c>
      <c r="I25" s="16"/>
      <c r="J25" s="16"/>
      <c r="N25">
        <f>N24*3-450-150-300</f>
        <v>4050</v>
      </c>
    </row>
    <row r="26" spans="1:17" x14ac:dyDescent="0.25">
      <c r="B26" s="16" t="s">
        <v>4</v>
      </c>
      <c r="C26" s="16"/>
      <c r="D26" s="17">
        <f>'JULY 21'!F36</f>
        <v>0</v>
      </c>
      <c r="E26" s="16"/>
      <c r="F26" s="16"/>
      <c r="G26" s="16" t="s">
        <v>181</v>
      </c>
      <c r="H26" s="17"/>
      <c r="I26" s="16"/>
      <c r="J26" s="16"/>
      <c r="M26" t="s">
        <v>190</v>
      </c>
      <c r="N26">
        <v>600</v>
      </c>
    </row>
    <row r="27" spans="1:17" x14ac:dyDescent="0.25">
      <c r="B27" s="16" t="s">
        <v>181</v>
      </c>
      <c r="C27" s="16"/>
      <c r="D27" s="17"/>
      <c r="E27" s="16"/>
      <c r="F27" s="16"/>
      <c r="G27" s="16" t="s">
        <v>180</v>
      </c>
      <c r="H27" s="16"/>
      <c r="I27" s="17"/>
      <c r="J27" s="16"/>
      <c r="O27">
        <f>6*270</f>
        <v>1620</v>
      </c>
      <c r="P27">
        <f>O27*3</f>
        <v>4860</v>
      </c>
    </row>
    <row r="28" spans="1:17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'JULY 21'!J36</f>
        <v>-5510</v>
      </c>
      <c r="I28" s="16"/>
      <c r="J28" s="16"/>
      <c r="N28">
        <f>N25-N26-N27</f>
        <v>3450</v>
      </c>
      <c r="P28">
        <v>1080</v>
      </c>
    </row>
    <row r="29" spans="1:17" x14ac:dyDescent="0.25">
      <c r="B29" s="16" t="s">
        <v>20</v>
      </c>
      <c r="C29" s="16"/>
      <c r="D29" s="18">
        <v>0.1</v>
      </c>
      <c r="E29" s="17">
        <f>D29*D25</f>
        <v>4700</v>
      </c>
      <c r="F29" s="16"/>
      <c r="G29" s="16" t="s">
        <v>20</v>
      </c>
      <c r="H29" s="18">
        <v>0.1</v>
      </c>
      <c r="I29" s="17">
        <f>H29*D25</f>
        <v>4700</v>
      </c>
      <c r="J29" s="16"/>
      <c r="L29" s="24" t="s">
        <v>191</v>
      </c>
      <c r="N29">
        <v>2000</v>
      </c>
      <c r="P29">
        <v>1060</v>
      </c>
      <c r="Q29">
        <f>P28+P29</f>
        <v>2140</v>
      </c>
    </row>
    <row r="30" spans="1:17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  <c r="N30">
        <f>N28-N29</f>
        <v>1450</v>
      </c>
      <c r="P30">
        <f>P27-P28-P29-L20</f>
        <v>1440</v>
      </c>
    </row>
    <row r="31" spans="1:17" x14ac:dyDescent="0.25">
      <c r="B31" s="16" t="s">
        <v>138</v>
      </c>
      <c r="C31" s="16"/>
      <c r="D31" s="17"/>
      <c r="E31" s="16">
        <v>4000</v>
      </c>
      <c r="F31" s="16"/>
      <c r="G31" s="16" t="s">
        <v>138</v>
      </c>
      <c r="H31" s="16"/>
      <c r="I31" s="17">
        <v>4000</v>
      </c>
      <c r="J31" s="16"/>
    </row>
    <row r="32" spans="1:17" x14ac:dyDescent="0.25">
      <c r="B32" s="22" t="s">
        <v>104</v>
      </c>
      <c r="C32" s="22"/>
      <c r="D32" s="16"/>
      <c r="E32" s="16">
        <v>30000</v>
      </c>
      <c r="F32" s="16"/>
      <c r="G32" s="22" t="s">
        <v>104</v>
      </c>
      <c r="H32" s="22"/>
      <c r="I32" s="16">
        <v>30000</v>
      </c>
      <c r="J32" s="16"/>
      <c r="P32">
        <f>P27+N25</f>
        <v>8910</v>
      </c>
      <c r="Q32" t="s">
        <v>192</v>
      </c>
    </row>
    <row r="33" spans="2:18" x14ac:dyDescent="0.25">
      <c r="B33" s="22" t="s">
        <v>104</v>
      </c>
      <c r="C33" s="22"/>
      <c r="D33" s="16"/>
      <c r="E33" s="16">
        <v>6050</v>
      </c>
      <c r="F33" s="16"/>
      <c r="G33" s="22" t="s">
        <v>104</v>
      </c>
      <c r="H33" s="22"/>
      <c r="I33" s="16">
        <v>6050</v>
      </c>
      <c r="J33" s="16"/>
      <c r="L33" s="24"/>
      <c r="P33">
        <f>P32-N26-N29</f>
        <v>6310</v>
      </c>
      <c r="Q33">
        <f>P28+P29+L20</f>
        <v>3420</v>
      </c>
    </row>
    <row r="34" spans="2:18" x14ac:dyDescent="0.25">
      <c r="B34" s="22" t="s">
        <v>193</v>
      </c>
      <c r="C34" s="16"/>
      <c r="D34" s="22"/>
      <c r="E34" s="16">
        <v>2250</v>
      </c>
      <c r="F34" s="16"/>
      <c r="G34" s="22" t="s">
        <v>193</v>
      </c>
      <c r="H34" s="16"/>
      <c r="I34">
        <v>2250</v>
      </c>
      <c r="J34" s="16"/>
      <c r="L34" s="24">
        <f>D25 -E29</f>
        <v>42300</v>
      </c>
      <c r="Q34">
        <f>600+30+K20</f>
        <v>1660</v>
      </c>
    </row>
    <row r="35" spans="2:18" x14ac:dyDescent="0.25">
      <c r="B35" s="22" t="s">
        <v>196</v>
      </c>
      <c r="C35" s="16"/>
      <c r="D35" s="22"/>
      <c r="E35" s="16">
        <v>5000</v>
      </c>
      <c r="F35" s="16"/>
      <c r="G35" s="22" t="s">
        <v>211</v>
      </c>
      <c r="H35" s="16"/>
      <c r="I35">
        <v>2000</v>
      </c>
      <c r="J35" s="16"/>
      <c r="L35" s="24"/>
    </row>
    <row r="36" spans="2:18" x14ac:dyDescent="0.25">
      <c r="B36" s="22" t="s">
        <v>197</v>
      </c>
      <c r="C36" s="16"/>
      <c r="D36" s="22"/>
      <c r="E36" s="16">
        <v>2500</v>
      </c>
      <c r="F36" s="16"/>
      <c r="G36" s="22"/>
      <c r="H36" s="16"/>
      <c r="J36" s="16"/>
      <c r="L36" s="24"/>
    </row>
    <row r="37" spans="2:18" x14ac:dyDescent="0.25">
      <c r="B37" s="22" t="s">
        <v>200</v>
      </c>
      <c r="C37" s="16"/>
      <c r="D37" s="22"/>
      <c r="E37" s="16">
        <v>7000</v>
      </c>
      <c r="F37" s="16"/>
      <c r="G37" s="22" t="s">
        <v>200</v>
      </c>
      <c r="H37" s="16"/>
      <c r="I37">
        <v>7000</v>
      </c>
      <c r="J37" s="16"/>
      <c r="L37" s="24">
        <f>L34-E32</f>
        <v>12300</v>
      </c>
      <c r="Q37">
        <f>Q33+Q34</f>
        <v>5080</v>
      </c>
    </row>
    <row r="38" spans="2:18" x14ac:dyDescent="0.25">
      <c r="B38" s="15" t="s">
        <v>9</v>
      </c>
      <c r="C38" s="15"/>
      <c r="D38" s="19">
        <f>D25+D26+D28+D27</f>
        <v>47000</v>
      </c>
      <c r="E38" s="19">
        <f>SUM(E29:E37)</f>
        <v>61500</v>
      </c>
      <c r="F38" s="19">
        <f>D38-E38</f>
        <v>-14500</v>
      </c>
      <c r="G38" s="15" t="s">
        <v>9</v>
      </c>
      <c r="H38" s="19">
        <f>H25+H28+H26+H27-I29</f>
        <v>29600</v>
      </c>
      <c r="I38" s="19">
        <f>SUM(I31:I37)</f>
        <v>51300</v>
      </c>
      <c r="J38" s="19">
        <f>H38-I38</f>
        <v>-21700</v>
      </c>
      <c r="Q38">
        <v>2600</v>
      </c>
      <c r="R38" t="s">
        <v>195</v>
      </c>
    </row>
    <row r="39" spans="2:18" x14ac:dyDescent="0.25">
      <c r="E39" t="s">
        <v>23</v>
      </c>
      <c r="H39" t="s">
        <v>24</v>
      </c>
      <c r="L39" s="24"/>
      <c r="M39" s="24"/>
      <c r="Q39">
        <f>Q37-Q38</f>
        <v>2480</v>
      </c>
    </row>
    <row r="40" spans="2:18" x14ac:dyDescent="0.25">
      <c r="B40" t="s">
        <v>22</v>
      </c>
      <c r="E40" t="s">
        <v>26</v>
      </c>
      <c r="H40" t="s">
        <v>27</v>
      </c>
      <c r="O40">
        <f>P27-R43</f>
        <v>1440</v>
      </c>
    </row>
    <row r="41" spans="2:18" x14ac:dyDescent="0.25">
      <c r="B41" t="s">
        <v>25</v>
      </c>
    </row>
    <row r="42" spans="2:18" x14ac:dyDescent="0.25">
      <c r="L42" s="22"/>
      <c r="P42" s="22"/>
    </row>
    <row r="43" spans="2:18" x14ac:dyDescent="0.25">
      <c r="R43">
        <f>L20+'JULY 21'!L20+'JUNE 21'!J20</f>
        <v>3420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H13" sqref="H13"/>
    </sheetView>
  </sheetViews>
  <sheetFormatPr defaultRowHeight="15" x14ac:dyDescent="0.25"/>
  <cols>
    <col min="1" max="1" width="19.42578125" customWidth="1"/>
  </cols>
  <sheetData>
    <row r="1" spans="1:12" x14ac:dyDescent="0.25">
      <c r="C1" s="1" t="s">
        <v>28</v>
      </c>
      <c r="D1" s="1"/>
      <c r="E1" s="1"/>
      <c r="F1" s="1"/>
      <c r="G1" s="1"/>
      <c r="H1" s="1"/>
      <c r="I1" s="1"/>
      <c r="J1" s="1"/>
      <c r="K1" s="1"/>
    </row>
    <row r="2" spans="1:12" x14ac:dyDescent="0.25">
      <c r="C2" s="1" t="s">
        <v>0</v>
      </c>
      <c r="D2" s="1"/>
      <c r="E2" s="1"/>
      <c r="F2" s="1"/>
      <c r="G2" s="1"/>
      <c r="H2" s="1"/>
      <c r="L2" s="38" t="s">
        <v>177</v>
      </c>
    </row>
    <row r="3" spans="1:12" x14ac:dyDescent="0.25">
      <c r="A3" s="1"/>
      <c r="B3" s="1"/>
      <c r="C3" s="1" t="s">
        <v>199</v>
      </c>
      <c r="D3" s="1"/>
      <c r="E3" s="1"/>
      <c r="F3" s="1"/>
      <c r="G3" s="1"/>
      <c r="H3" s="1"/>
      <c r="I3" s="1"/>
      <c r="J3" s="1"/>
      <c r="K3" s="1"/>
      <c r="L3" s="39" t="s">
        <v>178</v>
      </c>
    </row>
    <row r="4" spans="1:12" x14ac:dyDescent="0.25">
      <c r="A4" s="2" t="s">
        <v>3</v>
      </c>
      <c r="B4" s="2" t="s">
        <v>39</v>
      </c>
      <c r="C4" s="2" t="s">
        <v>4</v>
      </c>
      <c r="D4" s="2" t="s">
        <v>180</v>
      </c>
      <c r="E4" s="2" t="s">
        <v>181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180</v>
      </c>
      <c r="K4" s="2" t="s">
        <v>181</v>
      </c>
      <c r="L4" s="40"/>
    </row>
    <row r="5" spans="1:12" x14ac:dyDescent="0.25">
      <c r="A5" s="3" t="s">
        <v>31</v>
      </c>
      <c r="B5" s="3"/>
      <c r="C5" s="3">
        <f>'AUGUST 21'!J5:J20</f>
        <v>500</v>
      </c>
      <c r="D5" s="3"/>
      <c r="E5" s="3"/>
      <c r="F5" s="3">
        <v>5000</v>
      </c>
      <c r="G5" s="3">
        <f>B5+C5+D5+E5+F5</f>
        <v>5500</v>
      </c>
      <c r="H5" s="30">
        <f>5000</f>
        <v>5000</v>
      </c>
      <c r="I5" s="3">
        <f>G5-H5</f>
        <v>500</v>
      </c>
      <c r="J5" s="3"/>
      <c r="K5" s="3"/>
    </row>
    <row r="6" spans="1:12" x14ac:dyDescent="0.25">
      <c r="A6" s="30"/>
      <c r="B6" s="3"/>
      <c r="C6" s="3">
        <f>'AUGUST 21'!J6:J21</f>
        <v>0</v>
      </c>
      <c r="D6" s="3"/>
      <c r="E6" s="3"/>
      <c r="F6" s="3"/>
      <c r="G6" s="3">
        <f t="shared" ref="G6:G19" si="0">B6+C6+D6+E6+F6</f>
        <v>0</v>
      </c>
      <c r="H6" s="30"/>
      <c r="I6" s="3">
        <f>G6-H6</f>
        <v>0</v>
      </c>
      <c r="J6" s="3"/>
      <c r="K6" s="3"/>
    </row>
    <row r="7" spans="1:12" x14ac:dyDescent="0.25">
      <c r="A7" s="3" t="s">
        <v>95</v>
      </c>
      <c r="B7" s="3"/>
      <c r="C7" s="3">
        <f>'AUGUST 21'!J7:J22</f>
        <v>0</v>
      </c>
      <c r="D7" s="3"/>
      <c r="E7" s="3"/>
      <c r="F7" s="3"/>
      <c r="G7" s="3">
        <f t="shared" si="0"/>
        <v>0</v>
      </c>
      <c r="H7" s="30"/>
      <c r="I7" s="3">
        <f t="shared" ref="I7:I19" si="1">G7-H7</f>
        <v>0</v>
      </c>
      <c r="J7" s="3"/>
      <c r="K7" s="3"/>
    </row>
    <row r="8" spans="1:12" x14ac:dyDescent="0.25">
      <c r="A8" s="16" t="s">
        <v>188</v>
      </c>
      <c r="B8" s="30"/>
      <c r="C8" s="3">
        <f>'AUGUST 21'!J8:J23</f>
        <v>300</v>
      </c>
      <c r="D8" s="3">
        <v>150</v>
      </c>
      <c r="E8" s="3"/>
      <c r="F8" s="3">
        <v>3000</v>
      </c>
      <c r="G8" s="3">
        <f t="shared" si="0"/>
        <v>3450</v>
      </c>
      <c r="H8" s="30">
        <f>3200</f>
        <v>3200</v>
      </c>
      <c r="I8" s="3">
        <f t="shared" si="1"/>
        <v>250</v>
      </c>
      <c r="J8" s="3">
        <v>200</v>
      </c>
      <c r="K8" s="3"/>
    </row>
    <row r="9" spans="1:12" x14ac:dyDescent="0.25">
      <c r="A9" s="3" t="s">
        <v>33</v>
      </c>
      <c r="B9" s="3"/>
      <c r="C9" s="3">
        <f>'AUGUST 21'!J9:J24</f>
        <v>950</v>
      </c>
      <c r="D9" s="3">
        <v>150</v>
      </c>
      <c r="E9" s="3"/>
      <c r="F9" s="3">
        <v>3000</v>
      </c>
      <c r="G9" s="3">
        <f t="shared" si="0"/>
        <v>4100</v>
      </c>
      <c r="H9" s="30">
        <f>3000</f>
        <v>3000</v>
      </c>
      <c r="I9" s="3">
        <f>G9-H9</f>
        <v>1100</v>
      </c>
      <c r="J9" s="3"/>
      <c r="K9" s="3"/>
    </row>
    <row r="10" spans="1:12" x14ac:dyDescent="0.25">
      <c r="A10" s="3" t="s">
        <v>150</v>
      </c>
      <c r="B10" s="3"/>
      <c r="C10" s="3">
        <f>'AUGUST 21'!J10:J25</f>
        <v>150</v>
      </c>
      <c r="D10" s="3">
        <v>150</v>
      </c>
      <c r="E10" s="3">
        <v>270</v>
      </c>
      <c r="F10" s="3">
        <v>5500</v>
      </c>
      <c r="G10" s="3">
        <f t="shared" si="0"/>
        <v>6070</v>
      </c>
      <c r="H10" s="30">
        <f>3500+2420</f>
        <v>5920</v>
      </c>
      <c r="I10" s="3">
        <f>G10-H10</f>
        <v>150</v>
      </c>
      <c r="J10" s="3">
        <f>150</f>
        <v>150</v>
      </c>
      <c r="K10" s="3">
        <v>270</v>
      </c>
    </row>
    <row r="11" spans="1:12" x14ac:dyDescent="0.25">
      <c r="A11" s="4" t="s">
        <v>43</v>
      </c>
      <c r="B11" s="4"/>
      <c r="C11" s="3">
        <f>'AUGUST 21'!J11:J26</f>
        <v>0</v>
      </c>
      <c r="D11" s="3">
        <v>150</v>
      </c>
      <c r="E11" s="3"/>
      <c r="F11" s="3">
        <v>3000</v>
      </c>
      <c r="G11" s="3">
        <f t="shared" si="0"/>
        <v>3150</v>
      </c>
      <c r="H11" s="30">
        <v>3150</v>
      </c>
      <c r="I11" s="3">
        <f t="shared" si="1"/>
        <v>0</v>
      </c>
      <c r="J11" s="3">
        <v>150</v>
      </c>
      <c r="K11" s="3"/>
    </row>
    <row r="12" spans="1:12" x14ac:dyDescent="0.25">
      <c r="A12" s="3" t="s">
        <v>45</v>
      </c>
      <c r="B12" s="3"/>
      <c r="C12" s="3">
        <f>'AUGUST 21'!J12:J27</f>
        <v>4840</v>
      </c>
      <c r="D12" s="3">
        <v>150</v>
      </c>
      <c r="E12" s="3">
        <v>270</v>
      </c>
      <c r="F12" s="3">
        <v>3000</v>
      </c>
      <c r="G12" s="3">
        <f t="shared" si="0"/>
        <v>8260</v>
      </c>
      <c r="H12" s="30">
        <f>4000+1500</f>
        <v>5500</v>
      </c>
      <c r="I12" s="3">
        <f t="shared" si="1"/>
        <v>2760</v>
      </c>
      <c r="J12" s="3"/>
      <c r="K12" s="3"/>
    </row>
    <row r="13" spans="1:12" x14ac:dyDescent="0.25">
      <c r="A13" s="30" t="s">
        <v>171</v>
      </c>
      <c r="B13" s="30"/>
      <c r="C13" s="3">
        <v>490</v>
      </c>
      <c r="D13" s="3">
        <v>150</v>
      </c>
      <c r="E13" s="3"/>
      <c r="F13" s="3">
        <v>2500</v>
      </c>
      <c r="G13" s="3">
        <f t="shared" si="0"/>
        <v>3140</v>
      </c>
      <c r="H13" s="30">
        <v>2500</v>
      </c>
      <c r="I13" s="3">
        <f t="shared" si="1"/>
        <v>640</v>
      </c>
      <c r="J13" s="3">
        <v>150</v>
      </c>
      <c r="K13" s="3"/>
    </row>
    <row r="14" spans="1:12" x14ac:dyDescent="0.25">
      <c r="A14" s="30" t="s">
        <v>95</v>
      </c>
      <c r="B14" s="3"/>
      <c r="C14" s="3"/>
      <c r="D14" s="3"/>
      <c r="E14" s="3"/>
      <c r="F14" s="3"/>
      <c r="G14" s="3">
        <f t="shared" si="0"/>
        <v>0</v>
      </c>
      <c r="H14" s="30"/>
      <c r="I14" s="3">
        <f t="shared" si="1"/>
        <v>0</v>
      </c>
      <c r="J14" s="3"/>
      <c r="K14" s="3"/>
    </row>
    <row r="15" spans="1:12" x14ac:dyDescent="0.25">
      <c r="A15" s="3" t="s">
        <v>37</v>
      </c>
      <c r="B15" s="3"/>
      <c r="C15" s="3">
        <f>'AUGUST 21'!J15:J30</f>
        <v>1860</v>
      </c>
      <c r="D15" s="3">
        <v>150</v>
      </c>
      <c r="E15" s="3">
        <v>270</v>
      </c>
      <c r="F15" s="3">
        <v>2500</v>
      </c>
      <c r="G15" s="3">
        <f>B15+C15+D15+E15+F15</f>
        <v>4780</v>
      </c>
      <c r="H15" s="30">
        <f>2900</f>
        <v>2900</v>
      </c>
      <c r="I15" s="3">
        <f t="shared" si="1"/>
        <v>1880</v>
      </c>
      <c r="J15" s="3">
        <v>130</v>
      </c>
      <c r="K15" s="3">
        <v>270</v>
      </c>
    </row>
    <row r="16" spans="1:12" x14ac:dyDescent="0.25">
      <c r="A16" s="30" t="s">
        <v>95</v>
      </c>
      <c r="B16" s="3"/>
      <c r="C16" s="3"/>
      <c r="D16" s="3"/>
      <c r="E16" s="3"/>
      <c r="F16" s="3"/>
      <c r="G16" s="3">
        <f t="shared" si="0"/>
        <v>0</v>
      </c>
      <c r="H16" s="30"/>
      <c r="I16" s="3">
        <f>G16-H16</f>
        <v>0</v>
      </c>
      <c r="J16" s="3"/>
      <c r="K16" s="3"/>
      <c r="L16" s="5"/>
    </row>
    <row r="17" spans="1:14" x14ac:dyDescent="0.25">
      <c r="A17" s="3" t="s">
        <v>131</v>
      </c>
      <c r="B17" s="3"/>
      <c r="C17" s="3">
        <f>'AUGUST 21'!J17:J32</f>
        <v>150</v>
      </c>
      <c r="D17" s="3">
        <v>150</v>
      </c>
      <c r="E17" s="3">
        <v>270</v>
      </c>
      <c r="F17" s="3">
        <v>2500</v>
      </c>
      <c r="G17" s="3">
        <f t="shared" si="0"/>
        <v>3070</v>
      </c>
      <c r="H17" s="30">
        <v>2920</v>
      </c>
      <c r="I17" s="3">
        <f>G17-H17</f>
        <v>150</v>
      </c>
      <c r="J17" s="3">
        <v>150</v>
      </c>
      <c r="K17" s="3">
        <v>270</v>
      </c>
      <c r="L17" s="5"/>
    </row>
    <row r="18" spans="1:14" x14ac:dyDescent="0.25">
      <c r="A18" s="3" t="s">
        <v>113</v>
      </c>
      <c r="B18" s="3"/>
      <c r="C18" s="3">
        <f>'AUGUST 21'!J18:J33</f>
        <v>840</v>
      </c>
      <c r="D18" s="3">
        <v>150</v>
      </c>
      <c r="E18" s="3">
        <v>270</v>
      </c>
      <c r="F18" s="3">
        <v>2500</v>
      </c>
      <c r="G18" s="3">
        <f t="shared" si="0"/>
        <v>3760</v>
      </c>
      <c r="H18" s="30">
        <v>3340</v>
      </c>
      <c r="I18" s="3">
        <f>G18-H18</f>
        <v>420</v>
      </c>
      <c r="J18" s="3">
        <v>300</v>
      </c>
      <c r="K18" s="3">
        <v>540</v>
      </c>
      <c r="L18" s="5"/>
    </row>
    <row r="19" spans="1:14" x14ac:dyDescent="0.25">
      <c r="A19" s="3" t="s">
        <v>38</v>
      </c>
      <c r="B19" s="3"/>
      <c r="C19" s="3">
        <f>'AUGUST 21'!J19:J34</f>
        <v>1950</v>
      </c>
      <c r="D19" s="3">
        <v>150</v>
      </c>
      <c r="E19" s="3"/>
      <c r="F19" s="3">
        <v>4500</v>
      </c>
      <c r="G19" s="3">
        <f t="shared" si="0"/>
        <v>6600</v>
      </c>
      <c r="H19" s="30">
        <f>4000+2000</f>
        <v>6000</v>
      </c>
      <c r="I19" s="3">
        <f t="shared" si="1"/>
        <v>600</v>
      </c>
      <c r="J19" s="3"/>
      <c r="K19" s="3"/>
      <c r="L19" s="5"/>
    </row>
    <row r="20" spans="1:14" x14ac:dyDescent="0.25">
      <c r="A20" s="2" t="s">
        <v>9</v>
      </c>
      <c r="B20" s="2">
        <f>SUM(B5:B19)</f>
        <v>0</v>
      </c>
      <c r="C20" s="3">
        <f>SUM(C5:C19)</f>
        <v>12030</v>
      </c>
      <c r="D20" s="3">
        <f t="shared" ref="D20:K20" si="2">SUM(D5:D19)</f>
        <v>1500</v>
      </c>
      <c r="E20" s="3">
        <f t="shared" si="2"/>
        <v>1350</v>
      </c>
      <c r="F20" s="2">
        <f t="shared" si="2"/>
        <v>37000</v>
      </c>
      <c r="G20" s="2">
        <f t="shared" si="2"/>
        <v>51880</v>
      </c>
      <c r="H20" s="31">
        <f t="shared" si="2"/>
        <v>43430</v>
      </c>
      <c r="I20" s="2">
        <f t="shared" si="2"/>
        <v>8450</v>
      </c>
      <c r="J20" s="2">
        <f t="shared" si="2"/>
        <v>1230</v>
      </c>
      <c r="K20" s="2">
        <f t="shared" si="2"/>
        <v>1350</v>
      </c>
      <c r="M20" s="41"/>
    </row>
    <row r="21" spans="1:14" x14ac:dyDescent="0.25">
      <c r="A21" s="6"/>
      <c r="B21" s="6"/>
      <c r="C21" s="6"/>
      <c r="D21" s="6"/>
      <c r="E21" s="6"/>
      <c r="F21" s="6" t="s">
        <v>11</v>
      </c>
      <c r="G21" s="6"/>
      <c r="H21" s="6"/>
      <c r="I21" s="5"/>
      <c r="J21" s="5"/>
      <c r="K21" s="5"/>
    </row>
    <row r="22" spans="1:14" x14ac:dyDescent="0.25">
      <c r="A22" s="7" t="s">
        <v>12</v>
      </c>
      <c r="B22" s="7"/>
      <c r="C22" s="8"/>
      <c r="D22" s="8"/>
      <c r="E22" s="8"/>
      <c r="F22" s="9"/>
      <c r="G22" s="10"/>
      <c r="H22" s="11"/>
      <c r="I22" s="12"/>
      <c r="J22" s="12"/>
      <c r="K22" s="12"/>
      <c r="L22" s="11"/>
    </row>
    <row r="23" spans="1:14" x14ac:dyDescent="0.25">
      <c r="A23" s="13" t="s">
        <v>13</v>
      </c>
      <c r="B23" s="13"/>
      <c r="C23" s="13"/>
      <c r="D23" s="13"/>
      <c r="E23" s="14"/>
      <c r="F23" s="13" t="s">
        <v>14</v>
      </c>
      <c r="G23" s="7"/>
      <c r="H23" s="7"/>
      <c r="I23" s="7"/>
      <c r="N23">
        <f>5*270</f>
        <v>1350</v>
      </c>
    </row>
    <row r="24" spans="1:14" x14ac:dyDescent="0.25">
      <c r="A24" s="15" t="s">
        <v>15</v>
      </c>
      <c r="B24" s="15"/>
      <c r="C24" s="15" t="s">
        <v>16</v>
      </c>
      <c r="D24" s="15" t="s">
        <v>17</v>
      </c>
      <c r="E24" s="15" t="s">
        <v>18</v>
      </c>
      <c r="F24" s="15" t="s">
        <v>15</v>
      </c>
      <c r="G24" s="15" t="s">
        <v>16</v>
      </c>
      <c r="H24" s="15" t="s">
        <v>17</v>
      </c>
      <c r="I24" s="15" t="s">
        <v>18</v>
      </c>
      <c r="L24">
        <f>270+150+2500</f>
        <v>2920</v>
      </c>
      <c r="M24" s="11"/>
      <c r="N24" s="7"/>
    </row>
    <row r="25" spans="1:14" x14ac:dyDescent="0.25">
      <c r="A25" s="16" t="s">
        <v>198</v>
      </c>
      <c r="B25" s="16"/>
      <c r="C25" s="17">
        <f>F20</f>
        <v>37000</v>
      </c>
      <c r="D25" s="16"/>
      <c r="E25" s="16"/>
      <c r="F25" s="16" t="s">
        <v>198</v>
      </c>
      <c r="G25" s="17">
        <f>H20</f>
        <v>43430</v>
      </c>
      <c r="H25" s="16"/>
      <c r="I25" s="16"/>
    </row>
    <row r="26" spans="1:14" x14ac:dyDescent="0.25">
      <c r="A26" s="16" t="s">
        <v>4</v>
      </c>
      <c r="B26" s="16"/>
      <c r="C26" s="17">
        <f>'AUGUST 21'!F38</f>
        <v>-14500</v>
      </c>
      <c r="D26" s="16"/>
      <c r="E26" s="16"/>
      <c r="F26" s="16" t="s">
        <v>181</v>
      </c>
      <c r="G26" s="17"/>
      <c r="H26" s="16"/>
      <c r="I26" s="16"/>
    </row>
    <row r="27" spans="1:14" x14ac:dyDescent="0.25">
      <c r="A27" s="16" t="s">
        <v>181</v>
      </c>
      <c r="B27" s="16"/>
      <c r="C27" s="17"/>
      <c r="D27" s="16"/>
      <c r="E27" s="16"/>
      <c r="F27" s="16"/>
      <c r="G27" s="16"/>
      <c r="H27" s="17"/>
      <c r="I27" s="16"/>
    </row>
    <row r="28" spans="1:14" x14ac:dyDescent="0.25">
      <c r="A28" s="16" t="s">
        <v>180</v>
      </c>
      <c r="B28" s="16"/>
      <c r="C28" s="17"/>
      <c r="D28" s="16"/>
      <c r="E28" s="16"/>
      <c r="F28" s="16" t="s">
        <v>4</v>
      </c>
      <c r="G28" s="17">
        <f>'AUGUST 21'!J38</f>
        <v>-21700</v>
      </c>
      <c r="H28" s="16"/>
      <c r="I28" s="16"/>
    </row>
    <row r="29" spans="1:14" x14ac:dyDescent="0.25">
      <c r="A29" s="16" t="s">
        <v>20</v>
      </c>
      <c r="B29" s="16"/>
      <c r="C29" s="18">
        <v>0.1</v>
      </c>
      <c r="D29" s="17">
        <f>C29*C25</f>
        <v>3700</v>
      </c>
      <c r="E29" s="16"/>
      <c r="F29" s="16" t="s">
        <v>20</v>
      </c>
      <c r="G29" s="18">
        <v>0.1</v>
      </c>
      <c r="H29" s="17">
        <f>G29*C25</f>
        <v>3700</v>
      </c>
      <c r="I29" s="16"/>
    </row>
    <row r="30" spans="1:14" x14ac:dyDescent="0.25">
      <c r="A30" s="15" t="s">
        <v>21</v>
      </c>
      <c r="B30" s="15"/>
      <c r="C30" s="19"/>
      <c r="D30" s="15"/>
      <c r="E30" s="15"/>
      <c r="F30" s="15" t="s">
        <v>21</v>
      </c>
      <c r="G30" s="19"/>
      <c r="H30" s="15"/>
      <c r="I30" s="15"/>
    </row>
    <row r="31" spans="1:14" x14ac:dyDescent="0.25">
      <c r="A31" s="16" t="s">
        <v>138</v>
      </c>
      <c r="B31" s="16"/>
      <c r="C31" s="17"/>
      <c r="D31" s="16"/>
      <c r="E31" s="16"/>
      <c r="F31" s="16" t="s">
        <v>138</v>
      </c>
      <c r="G31" s="16"/>
      <c r="H31" s="17"/>
      <c r="I31" s="16"/>
    </row>
    <row r="32" spans="1:14" x14ac:dyDescent="0.25">
      <c r="A32" s="22" t="s">
        <v>201</v>
      </c>
      <c r="B32" s="22"/>
      <c r="C32" s="16"/>
      <c r="D32" s="16">
        <v>30000</v>
      </c>
      <c r="E32" s="16"/>
      <c r="F32" s="22" t="s">
        <v>201</v>
      </c>
      <c r="G32" s="22"/>
      <c r="H32" s="16">
        <v>30000</v>
      </c>
      <c r="I32" s="16"/>
    </row>
    <row r="33" spans="1:15" x14ac:dyDescent="0.25">
      <c r="A33" s="22" t="s">
        <v>205</v>
      </c>
      <c r="B33" s="22"/>
      <c r="C33" s="16"/>
      <c r="D33" s="16">
        <v>5055</v>
      </c>
      <c r="E33" s="16"/>
      <c r="F33" s="22" t="s">
        <v>205</v>
      </c>
      <c r="G33" s="22"/>
      <c r="H33" s="16">
        <v>5055</v>
      </c>
      <c r="I33" s="16"/>
      <c r="K33" s="24"/>
    </row>
    <row r="34" spans="1:15" x14ac:dyDescent="0.25">
      <c r="A34" s="22"/>
      <c r="B34" s="16"/>
      <c r="C34" s="22"/>
      <c r="D34" s="16"/>
      <c r="E34" s="16"/>
      <c r="F34" s="22" t="s">
        <v>207</v>
      </c>
      <c r="G34" s="16"/>
      <c r="H34">
        <v>1000</v>
      </c>
      <c r="I34" s="16"/>
      <c r="K34" s="24"/>
    </row>
    <row r="35" spans="1:15" x14ac:dyDescent="0.25">
      <c r="A35" s="22"/>
      <c r="B35" s="16"/>
      <c r="C35" s="22"/>
      <c r="D35" s="16"/>
      <c r="E35" s="16"/>
      <c r="F35" s="22"/>
      <c r="G35" s="16"/>
      <c r="I35" s="16"/>
      <c r="K35" s="24"/>
      <c r="L35" s="24"/>
    </row>
    <row r="36" spans="1:15" x14ac:dyDescent="0.25">
      <c r="A36" s="22"/>
      <c r="B36" s="16"/>
      <c r="C36" s="22"/>
      <c r="D36" s="16"/>
      <c r="E36" s="16"/>
      <c r="F36" s="22"/>
      <c r="G36" s="16"/>
      <c r="I36" s="16"/>
      <c r="K36" s="24"/>
      <c r="L36" s="24">
        <f>C25-D29</f>
        <v>33300</v>
      </c>
    </row>
    <row r="37" spans="1:15" x14ac:dyDescent="0.25">
      <c r="A37" s="22"/>
      <c r="B37" s="16"/>
      <c r="C37" s="22"/>
      <c r="D37" s="16"/>
      <c r="E37" s="16"/>
      <c r="F37" s="22"/>
      <c r="G37" s="16"/>
      <c r="I37" s="16"/>
      <c r="K37" s="24"/>
      <c r="L37">
        <f>14500</f>
        <v>14500</v>
      </c>
    </row>
    <row r="38" spans="1:15" x14ac:dyDescent="0.25">
      <c r="A38" s="15" t="s">
        <v>9</v>
      </c>
      <c r="B38" s="15"/>
      <c r="C38" s="19">
        <f>C25+C26+C28+C27</f>
        <v>22500</v>
      </c>
      <c r="D38" s="19">
        <f>SUM(D29:D37)</f>
        <v>38755</v>
      </c>
      <c r="E38" s="19">
        <f>C38-D38</f>
        <v>-16255</v>
      </c>
      <c r="F38" s="15" t="s">
        <v>9</v>
      </c>
      <c r="G38" s="19">
        <f>G25+G28+G26+G27-H29</f>
        <v>18030</v>
      </c>
      <c r="H38" s="19">
        <f>SUM(H31:H37)</f>
        <v>36055</v>
      </c>
      <c r="I38" s="19">
        <f>G38-H38</f>
        <v>-18025</v>
      </c>
      <c r="L38" s="24">
        <f>L36-L37</f>
        <v>18800</v>
      </c>
    </row>
    <row r="39" spans="1:15" x14ac:dyDescent="0.25">
      <c r="D39" t="s">
        <v>23</v>
      </c>
      <c r="G39" t="s">
        <v>24</v>
      </c>
      <c r="K39" s="24"/>
      <c r="L39" s="24">
        <v>30000</v>
      </c>
    </row>
    <row r="40" spans="1:15" x14ac:dyDescent="0.25">
      <c r="A40" t="s">
        <v>22</v>
      </c>
      <c r="D40" t="s">
        <v>26</v>
      </c>
      <c r="G40" t="s">
        <v>27</v>
      </c>
      <c r="L40" s="24">
        <f>L38-L39</f>
        <v>-11200</v>
      </c>
    </row>
    <row r="41" spans="1:15" x14ac:dyDescent="0.25">
      <c r="A41" t="s">
        <v>25</v>
      </c>
    </row>
    <row r="42" spans="1:15" x14ac:dyDescent="0.25">
      <c r="O42" s="2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M22" sqref="M22"/>
    </sheetView>
  </sheetViews>
  <sheetFormatPr defaultRowHeight="15" x14ac:dyDescent="0.25"/>
  <cols>
    <col min="1" max="1" width="4" customWidth="1"/>
    <col min="2" max="2" width="19" customWidth="1"/>
    <col min="3" max="3" width="7.7109375" customWidth="1"/>
    <col min="4" max="4" width="7" customWidth="1"/>
    <col min="5" max="5" width="8.42578125" customWidth="1"/>
    <col min="6" max="6" width="8.5703125" customWidth="1"/>
    <col min="7" max="7" width="7.140625" customWidth="1"/>
    <col min="8" max="8" width="8.4257812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50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3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/>
      <c r="E5" s="3">
        <v>5000</v>
      </c>
      <c r="F5" s="3">
        <f>D5+E5+C5</f>
        <v>5000</v>
      </c>
      <c r="G5" s="33">
        <v>4000</v>
      </c>
      <c r="H5" s="3">
        <f>F5-G5</f>
        <v>1000</v>
      </c>
      <c r="I5" t="s">
        <v>63</v>
      </c>
    </row>
    <row r="6" spans="1:11" x14ac:dyDescent="0.25">
      <c r="A6" s="3" t="s">
        <v>30</v>
      </c>
      <c r="B6" s="3" t="s">
        <v>41</v>
      </c>
      <c r="C6" s="3"/>
      <c r="D6" s="3"/>
      <c r="E6" s="3">
        <v>5000</v>
      </c>
      <c r="F6" s="3">
        <f t="shared" ref="F6:F18" si="0">D6+E6+C6</f>
        <v>5000</v>
      </c>
      <c r="G6" s="33">
        <v>5000</v>
      </c>
      <c r="H6" s="3">
        <f t="shared" ref="H6:H18" si="1">F6-G6</f>
        <v>0</v>
      </c>
    </row>
    <row r="7" spans="1:11" x14ac:dyDescent="0.25">
      <c r="A7" s="3">
        <v>3</v>
      </c>
      <c r="B7" s="3" t="s">
        <v>32</v>
      </c>
      <c r="C7" s="3"/>
      <c r="D7" s="3"/>
      <c r="E7" s="3">
        <v>3000</v>
      </c>
      <c r="F7" s="3">
        <f t="shared" si="0"/>
        <v>3000</v>
      </c>
      <c r="G7" s="33">
        <f>1500+1500</f>
        <v>3000</v>
      </c>
      <c r="H7" s="3">
        <f t="shared" si="1"/>
        <v>0</v>
      </c>
      <c r="I7" t="s">
        <v>57</v>
      </c>
    </row>
    <row r="8" spans="1:11" x14ac:dyDescent="0.25">
      <c r="A8" s="3">
        <v>4</v>
      </c>
      <c r="B8" s="3" t="s">
        <v>33</v>
      </c>
      <c r="C8" s="3"/>
      <c r="D8" s="3"/>
      <c r="E8" s="3">
        <v>3000</v>
      </c>
      <c r="F8" s="3">
        <f t="shared" si="0"/>
        <v>3000</v>
      </c>
      <c r="G8" s="33">
        <v>1500</v>
      </c>
      <c r="H8" s="3">
        <f t="shared" si="1"/>
        <v>1500</v>
      </c>
      <c r="I8" t="s">
        <v>64</v>
      </c>
    </row>
    <row r="9" spans="1:11" x14ac:dyDescent="0.25">
      <c r="A9" s="3">
        <v>5</v>
      </c>
      <c r="B9" s="3" t="s">
        <v>34</v>
      </c>
      <c r="C9" s="3"/>
      <c r="D9" s="3"/>
      <c r="E9" s="3">
        <v>7000</v>
      </c>
      <c r="F9" s="3">
        <f t="shared" si="0"/>
        <v>7000</v>
      </c>
      <c r="G9" s="33">
        <v>7000</v>
      </c>
      <c r="H9" s="3">
        <f t="shared" si="1"/>
        <v>0</v>
      </c>
    </row>
    <row r="10" spans="1:11" x14ac:dyDescent="0.25">
      <c r="A10" s="3">
        <v>6</v>
      </c>
      <c r="B10" s="4" t="s">
        <v>43</v>
      </c>
      <c r="C10" s="4"/>
      <c r="D10" s="3"/>
      <c r="E10" s="3">
        <v>3000</v>
      </c>
      <c r="F10" s="3">
        <f t="shared" si="0"/>
        <v>3000</v>
      </c>
      <c r="G10" s="33">
        <v>1500</v>
      </c>
      <c r="H10" s="3">
        <f t="shared" si="1"/>
        <v>1500</v>
      </c>
      <c r="I10" t="s">
        <v>62</v>
      </c>
    </row>
    <row r="11" spans="1:11" x14ac:dyDescent="0.25">
      <c r="A11" s="3">
        <v>7</v>
      </c>
      <c r="B11" s="3" t="s">
        <v>45</v>
      </c>
      <c r="C11" s="3"/>
      <c r="D11" s="3"/>
      <c r="E11" s="3">
        <v>3000</v>
      </c>
      <c r="F11" s="3">
        <f t="shared" si="0"/>
        <v>3000</v>
      </c>
      <c r="G11" s="33">
        <v>3000</v>
      </c>
      <c r="H11" s="3">
        <f t="shared" si="1"/>
        <v>0</v>
      </c>
    </row>
    <row r="12" spans="1:11" x14ac:dyDescent="0.25">
      <c r="A12" s="3">
        <v>8</v>
      </c>
      <c r="B12" s="3" t="s">
        <v>44</v>
      </c>
      <c r="C12" s="3"/>
      <c r="D12" s="3"/>
      <c r="E12" s="3">
        <v>2500</v>
      </c>
      <c r="F12" s="3">
        <f t="shared" si="0"/>
        <v>2500</v>
      </c>
      <c r="G12" s="33">
        <v>2500</v>
      </c>
      <c r="H12" s="3">
        <f t="shared" si="1"/>
        <v>0</v>
      </c>
    </row>
    <row r="13" spans="1:11" x14ac:dyDescent="0.25">
      <c r="A13" s="3">
        <v>9</v>
      </c>
      <c r="B13" s="3" t="s">
        <v>35</v>
      </c>
      <c r="C13" s="3"/>
      <c r="D13" s="3"/>
      <c r="E13" s="3">
        <v>2500</v>
      </c>
      <c r="F13" s="3">
        <f t="shared" si="0"/>
        <v>2500</v>
      </c>
      <c r="G13" s="33">
        <v>2500</v>
      </c>
      <c r="H13" s="3">
        <f t="shared" si="1"/>
        <v>0</v>
      </c>
      <c r="K13" s="5"/>
    </row>
    <row r="14" spans="1:11" x14ac:dyDescent="0.25">
      <c r="A14" s="3">
        <v>10</v>
      </c>
      <c r="B14" s="3" t="s">
        <v>42</v>
      </c>
      <c r="C14" s="3"/>
      <c r="D14" s="3"/>
      <c r="E14" s="3">
        <v>2500</v>
      </c>
      <c r="F14" s="3">
        <f t="shared" si="0"/>
        <v>2500</v>
      </c>
      <c r="G14" s="33">
        <v>2500</v>
      </c>
      <c r="H14" s="3">
        <f t="shared" si="1"/>
        <v>0</v>
      </c>
      <c r="K14" s="5"/>
    </row>
    <row r="15" spans="1:11" x14ac:dyDescent="0.25">
      <c r="A15" s="3">
        <v>11</v>
      </c>
      <c r="B15" s="3" t="s">
        <v>36</v>
      </c>
      <c r="C15" s="3"/>
      <c r="D15" s="3"/>
      <c r="E15" s="3">
        <v>2500</v>
      </c>
      <c r="F15" s="3">
        <f t="shared" si="0"/>
        <v>2500</v>
      </c>
      <c r="G15" s="33">
        <v>2500</v>
      </c>
      <c r="H15" s="3">
        <f t="shared" si="1"/>
        <v>0</v>
      </c>
      <c r="I15" s="5"/>
      <c r="K15" s="5"/>
    </row>
    <row r="16" spans="1:11" x14ac:dyDescent="0.25">
      <c r="A16" s="3">
        <v>12</v>
      </c>
      <c r="B16" s="3" t="s">
        <v>37</v>
      </c>
      <c r="C16" s="3"/>
      <c r="D16" s="3"/>
      <c r="E16" s="3">
        <v>4500</v>
      </c>
      <c r="F16" s="3">
        <f t="shared" si="0"/>
        <v>4500</v>
      </c>
      <c r="G16" s="33">
        <v>4000</v>
      </c>
      <c r="H16" s="3">
        <f t="shared" si="1"/>
        <v>500</v>
      </c>
      <c r="I16" s="5"/>
      <c r="K16" s="5"/>
    </row>
    <row r="17" spans="1:16" x14ac:dyDescent="0.25">
      <c r="A17" s="3">
        <v>13</v>
      </c>
      <c r="B17" s="3" t="s">
        <v>38</v>
      </c>
      <c r="C17" s="3"/>
      <c r="D17" s="3"/>
      <c r="E17" s="3">
        <v>4500</v>
      </c>
      <c r="F17" s="3">
        <f t="shared" si="0"/>
        <v>4500</v>
      </c>
      <c r="G17" s="33">
        <v>4500</v>
      </c>
      <c r="H17" s="3">
        <f t="shared" si="1"/>
        <v>0</v>
      </c>
      <c r="I17" s="5"/>
      <c r="K17" s="5"/>
    </row>
    <row r="18" spans="1:16" x14ac:dyDescent="0.25">
      <c r="A18" s="3">
        <v>14</v>
      </c>
      <c r="B18" s="3"/>
      <c r="C18" s="3"/>
      <c r="D18" s="3"/>
      <c r="E18" s="3"/>
      <c r="F18" s="3">
        <f t="shared" si="0"/>
        <v>0</v>
      </c>
      <c r="G18" s="33"/>
      <c r="H18" s="3">
        <f t="shared" si="1"/>
        <v>0</v>
      </c>
      <c r="I18" s="5"/>
      <c r="J18" s="29"/>
      <c r="K18" s="5"/>
    </row>
    <row r="19" spans="1:16" x14ac:dyDescent="0.25">
      <c r="A19" s="3"/>
      <c r="B19" s="2" t="s">
        <v>9</v>
      </c>
      <c r="C19" s="2">
        <f t="shared" ref="C19:H19" si="2">SUM(C5:C18)</f>
        <v>0</v>
      </c>
      <c r="D19" s="3">
        <f t="shared" si="2"/>
        <v>0</v>
      </c>
      <c r="E19" s="2">
        <f>SUM(E5:E18)</f>
        <v>48000</v>
      </c>
      <c r="F19" s="2">
        <f>SUM(F5:F18)</f>
        <v>48000</v>
      </c>
      <c r="G19" s="32">
        <f t="shared" si="2"/>
        <v>43500</v>
      </c>
      <c r="H19" s="2">
        <f t="shared" si="2"/>
        <v>4500</v>
      </c>
      <c r="J19" t="s">
        <v>10</v>
      </c>
    </row>
    <row r="20" spans="1:16" x14ac:dyDescent="0.25">
      <c r="A20" s="5"/>
      <c r="B20" s="6"/>
      <c r="C20" s="6"/>
      <c r="D20" s="6"/>
      <c r="E20" s="6" t="s">
        <v>11</v>
      </c>
      <c r="F20" s="6"/>
      <c r="G20" s="6"/>
      <c r="H20" s="5"/>
      <c r="J20" s="29"/>
      <c r="N20" s="28"/>
    </row>
    <row r="21" spans="1:16" x14ac:dyDescent="0.25">
      <c r="B21" s="7" t="s">
        <v>12</v>
      </c>
      <c r="C21" s="7"/>
      <c r="D21" s="8"/>
      <c r="E21" s="9"/>
      <c r="F21" s="10"/>
      <c r="G21" s="11"/>
      <c r="H21" s="12"/>
      <c r="I21" s="11"/>
      <c r="J21" s="7"/>
    </row>
    <row r="22" spans="1:16" x14ac:dyDescent="0.25">
      <c r="B22" s="13" t="s">
        <v>13</v>
      </c>
      <c r="C22" s="13"/>
      <c r="D22" s="13"/>
      <c r="E22" s="13"/>
      <c r="F22" s="14"/>
      <c r="G22" s="13" t="s">
        <v>14</v>
      </c>
      <c r="H22" s="7"/>
      <c r="I22" s="7"/>
      <c r="J22" s="7"/>
    </row>
    <row r="23" spans="1:16" x14ac:dyDescent="0.25">
      <c r="B23" s="15" t="s">
        <v>15</v>
      </c>
      <c r="C23" s="15"/>
      <c r="D23" s="15" t="s">
        <v>16</v>
      </c>
      <c r="E23" s="15" t="s">
        <v>17</v>
      </c>
      <c r="F23" s="15" t="s">
        <v>18</v>
      </c>
      <c r="G23" s="15" t="s">
        <v>15</v>
      </c>
      <c r="H23" s="15" t="s">
        <v>16</v>
      </c>
      <c r="I23" s="15" t="s">
        <v>17</v>
      </c>
      <c r="J23" s="15" t="s">
        <v>18</v>
      </c>
    </row>
    <row r="24" spans="1:16" x14ac:dyDescent="0.25">
      <c r="B24" s="16" t="s">
        <v>49</v>
      </c>
      <c r="C24" s="16"/>
      <c r="D24" s="17">
        <f>E19</f>
        <v>48000</v>
      </c>
      <c r="E24" s="16"/>
      <c r="F24" s="16"/>
      <c r="G24" s="16" t="s">
        <v>49</v>
      </c>
      <c r="H24" s="17">
        <f>G19</f>
        <v>43500</v>
      </c>
      <c r="I24" s="16"/>
      <c r="J24" s="16"/>
    </row>
    <row r="25" spans="1:16" x14ac:dyDescent="0.25">
      <c r="B25" s="16" t="s">
        <v>4</v>
      </c>
      <c r="C25" s="16"/>
      <c r="D25" s="17">
        <f>'MARCH 20'!F35</f>
        <v>78</v>
      </c>
      <c r="E25" s="16"/>
      <c r="F25" s="16"/>
      <c r="G25" s="16"/>
      <c r="H25" s="17"/>
      <c r="I25" s="16"/>
      <c r="J25" s="16"/>
    </row>
    <row r="26" spans="1:16" x14ac:dyDescent="0.25">
      <c r="B26" s="16" t="s">
        <v>39</v>
      </c>
      <c r="C26" s="16"/>
      <c r="D26" s="17">
        <f>C19</f>
        <v>0</v>
      </c>
      <c r="E26" s="16"/>
      <c r="F26" s="16"/>
      <c r="G26" s="16" t="s">
        <v>4</v>
      </c>
      <c r="H26" s="17">
        <f>'MARCH 20'!J35</f>
        <v>78</v>
      </c>
      <c r="I26" s="16"/>
      <c r="J26" s="16"/>
    </row>
    <row r="27" spans="1:16" x14ac:dyDescent="0.25">
      <c r="B27" s="16" t="s">
        <v>20</v>
      </c>
      <c r="C27" s="16"/>
      <c r="D27" s="18">
        <v>0.1</v>
      </c>
      <c r="E27" s="17">
        <f>D27*D24</f>
        <v>4800</v>
      </c>
      <c r="F27" s="16"/>
      <c r="G27" s="16" t="s">
        <v>20</v>
      </c>
      <c r="H27" s="18">
        <v>0.1</v>
      </c>
      <c r="I27" s="17">
        <f>H27*D24</f>
        <v>4800</v>
      </c>
      <c r="J27" s="16"/>
    </row>
    <row r="28" spans="1:16" x14ac:dyDescent="0.25">
      <c r="B28" s="15" t="s">
        <v>21</v>
      </c>
      <c r="C28" s="15"/>
      <c r="D28" s="19"/>
      <c r="E28" s="15"/>
      <c r="F28" s="15"/>
      <c r="G28" s="15" t="s">
        <v>21</v>
      </c>
      <c r="H28" s="19"/>
      <c r="I28" s="15"/>
      <c r="J28" s="15"/>
    </row>
    <row r="29" spans="1:16" x14ac:dyDescent="0.25">
      <c r="B29" s="20"/>
      <c r="C29" s="25"/>
      <c r="D29" s="26"/>
      <c r="G29" s="20"/>
      <c r="H29" s="25"/>
      <c r="I29" s="26"/>
    </row>
    <row r="30" spans="1:16" x14ac:dyDescent="0.25">
      <c r="B30" s="20" t="s">
        <v>51</v>
      </c>
      <c r="C30" s="25"/>
      <c r="D30" s="26"/>
      <c r="E30">
        <v>5107</v>
      </c>
      <c r="G30" s="20" t="s">
        <v>51</v>
      </c>
      <c r="H30" s="25"/>
      <c r="I30">
        <v>5107</v>
      </c>
      <c r="N30" s="29"/>
    </row>
    <row r="31" spans="1:16" x14ac:dyDescent="0.25">
      <c r="B31" s="21" t="s">
        <v>52</v>
      </c>
      <c r="C31" s="21"/>
      <c r="D31" s="16"/>
      <c r="E31">
        <v>15097</v>
      </c>
      <c r="F31" s="16"/>
      <c r="G31" s="21" t="s">
        <v>52</v>
      </c>
      <c r="H31" s="21"/>
      <c r="I31" s="16">
        <v>15097</v>
      </c>
      <c r="O31" s="29"/>
    </row>
    <row r="32" spans="1:16" x14ac:dyDescent="0.25">
      <c r="B32" s="22" t="s">
        <v>53</v>
      </c>
      <c r="C32" s="22"/>
      <c r="D32" s="16"/>
      <c r="E32" s="16">
        <v>6377</v>
      </c>
      <c r="F32" s="16"/>
      <c r="G32" s="22" t="s">
        <v>53</v>
      </c>
      <c r="H32" s="22"/>
      <c r="I32" s="16">
        <v>6377</v>
      </c>
      <c r="J32" s="16"/>
      <c r="P32" s="29"/>
    </row>
    <row r="33" spans="2:10" x14ac:dyDescent="0.25">
      <c r="B33" s="21" t="s">
        <v>54</v>
      </c>
      <c r="C33" s="21"/>
      <c r="D33" s="16"/>
      <c r="E33" s="23">
        <v>4000</v>
      </c>
      <c r="F33" s="16"/>
      <c r="G33" s="21" t="s">
        <v>54</v>
      </c>
      <c r="H33" s="21"/>
      <c r="I33" s="16">
        <v>4000</v>
      </c>
      <c r="J33" s="23"/>
    </row>
    <row r="34" spans="2:10" x14ac:dyDescent="0.25">
      <c r="B34" s="21" t="s">
        <v>85</v>
      </c>
      <c r="C34" s="21"/>
      <c r="D34" s="16"/>
      <c r="E34" s="23">
        <f>1500</f>
        <v>1500</v>
      </c>
      <c r="F34" s="16"/>
      <c r="G34" s="21" t="s">
        <v>58</v>
      </c>
      <c r="H34" s="21" t="s">
        <v>86</v>
      </c>
      <c r="I34" s="16">
        <v>1500</v>
      </c>
      <c r="J34" s="23"/>
    </row>
    <row r="35" spans="2:10" x14ac:dyDescent="0.25">
      <c r="B35" s="21" t="s">
        <v>59</v>
      </c>
      <c r="C35" s="21"/>
      <c r="D35" s="16"/>
      <c r="E35" s="23">
        <f>1056+400</f>
        <v>1456</v>
      </c>
      <c r="F35" s="16"/>
      <c r="G35" s="21" t="s">
        <v>59</v>
      </c>
      <c r="H35" s="21"/>
      <c r="I35" s="16">
        <f>1056+400</f>
        <v>1456</v>
      </c>
      <c r="J35" s="23"/>
    </row>
    <row r="36" spans="2:10" x14ac:dyDescent="0.25">
      <c r="B36" s="21" t="s">
        <v>60</v>
      </c>
      <c r="C36" s="21"/>
      <c r="D36" s="16"/>
      <c r="E36" s="23">
        <v>5085</v>
      </c>
      <c r="F36" s="16"/>
      <c r="G36" s="21" t="s">
        <v>60</v>
      </c>
      <c r="H36" s="21"/>
      <c r="I36" s="16">
        <v>5085</v>
      </c>
      <c r="J36" s="23"/>
    </row>
    <row r="37" spans="2:10" x14ac:dyDescent="0.25">
      <c r="B37" s="21" t="s">
        <v>61</v>
      </c>
      <c r="C37" s="21"/>
      <c r="D37" s="16"/>
      <c r="E37" s="23">
        <v>10000</v>
      </c>
      <c r="F37" s="16"/>
      <c r="G37" s="21" t="s">
        <v>61</v>
      </c>
      <c r="H37" s="21"/>
      <c r="I37" s="16">
        <v>10000</v>
      </c>
      <c r="J37" s="23"/>
    </row>
    <row r="38" spans="2:10" x14ac:dyDescent="0.25">
      <c r="B38" s="15" t="s">
        <v>9</v>
      </c>
      <c r="C38" s="15"/>
      <c r="D38" s="19">
        <f>D24+D25+D26</f>
        <v>48078</v>
      </c>
      <c r="E38" s="19">
        <f>SUM(E27:E37)</f>
        <v>53422</v>
      </c>
      <c r="F38" s="19">
        <f>D38-E38</f>
        <v>-5344</v>
      </c>
      <c r="G38" s="15" t="s">
        <v>9</v>
      </c>
      <c r="H38" s="19">
        <f>H24+H26+H25</f>
        <v>43578</v>
      </c>
      <c r="I38" s="19">
        <f>SUM(I27:I37)</f>
        <v>53422</v>
      </c>
      <c r="J38" s="19">
        <f>H38-I38</f>
        <v>-9844</v>
      </c>
    </row>
    <row r="39" spans="2:10" x14ac:dyDescent="0.25">
      <c r="I39" s="24">
        <f>I38-I27</f>
        <v>48622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  <row r="42" spans="2:10" x14ac:dyDescent="0.25">
      <c r="J42" s="2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I9" sqref="I9"/>
    </sheetView>
  </sheetViews>
  <sheetFormatPr defaultRowHeight="15" x14ac:dyDescent="0.25"/>
  <cols>
    <col min="2" max="2" width="18.140625" customWidth="1"/>
    <col min="8" max="8" width="10.42578125" customWidth="1"/>
    <col min="11" max="11" width="9.42578125" customWidth="1"/>
  </cols>
  <sheetData>
    <row r="1" spans="1:13" x14ac:dyDescent="0.25"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B3" s="1"/>
      <c r="C3" s="1"/>
      <c r="D3" s="1" t="s">
        <v>202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</row>
    <row r="5" spans="1:13" x14ac:dyDescent="0.25">
      <c r="A5" s="3" t="s">
        <v>29</v>
      </c>
      <c r="B5" s="3" t="s">
        <v>31</v>
      </c>
      <c r="C5" s="3"/>
      <c r="D5" s="3">
        <f>'SEPT 21'!I5:I19</f>
        <v>500</v>
      </c>
      <c r="E5" s="3"/>
      <c r="F5" s="3"/>
      <c r="G5" s="3">
        <v>5000</v>
      </c>
      <c r="H5" s="3">
        <f>C5+D5+E5+F5+G5</f>
        <v>5500</v>
      </c>
      <c r="I5" s="30">
        <f>5000</f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30"/>
      <c r="C6" s="3"/>
      <c r="D6" s="3">
        <f>'SEPT 21'!I6:I20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204</v>
      </c>
      <c r="C7" s="3">
        <v>5000</v>
      </c>
      <c r="D7" s="3">
        <f>'SEPT 21'!I7:I21</f>
        <v>0</v>
      </c>
      <c r="E7" s="3"/>
      <c r="F7" s="3"/>
      <c r="G7" s="3">
        <v>5000</v>
      </c>
      <c r="H7" s="3">
        <f t="shared" si="0"/>
        <v>10000</v>
      </c>
      <c r="I7" s="30">
        <f>3500+1500</f>
        <v>5000</v>
      </c>
      <c r="J7" s="3">
        <f t="shared" ref="J7:J19" si="1">H7-I7</f>
        <v>5000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'SEPT 21'!I8:I22</f>
        <v>250</v>
      </c>
      <c r="E8" s="3">
        <v>150</v>
      </c>
      <c r="F8" s="3"/>
      <c r="G8" s="3">
        <v>3000</v>
      </c>
      <c r="H8" s="3">
        <f t="shared" si="0"/>
        <v>3400</v>
      </c>
      <c r="I8" s="30">
        <f>3000</f>
        <v>3000</v>
      </c>
      <c r="J8" s="3">
        <f>H8-I8</f>
        <v>400</v>
      </c>
      <c r="K8" s="3"/>
      <c r="L8" s="3"/>
    </row>
    <row r="9" spans="1:13" x14ac:dyDescent="0.25">
      <c r="A9" s="3">
        <v>5</v>
      </c>
      <c r="B9" s="3" t="s">
        <v>33</v>
      </c>
      <c r="C9" s="3"/>
      <c r="D9" s="3">
        <f>'SEPT 21'!I9:I23</f>
        <v>1100</v>
      </c>
      <c r="E9" s="3">
        <v>150</v>
      </c>
      <c r="F9" s="3"/>
      <c r="G9" s="3">
        <v>3000</v>
      </c>
      <c r="H9" s="3">
        <f t="shared" si="0"/>
        <v>4250</v>
      </c>
      <c r="I9" s="30">
        <v>3150</v>
      </c>
      <c r="J9" s="3">
        <f>H9-I9</f>
        <v>1100</v>
      </c>
      <c r="K9" s="3">
        <v>150</v>
      </c>
      <c r="L9" s="3"/>
    </row>
    <row r="10" spans="1:13" x14ac:dyDescent="0.25">
      <c r="A10" s="3">
        <v>6</v>
      </c>
      <c r="B10" s="3" t="s">
        <v>150</v>
      </c>
      <c r="C10" s="3"/>
      <c r="D10" s="3">
        <f>'SEPT 21'!I10:I24</f>
        <v>150</v>
      </c>
      <c r="E10" s="3">
        <v>150</v>
      </c>
      <c r="F10" s="3">
        <v>270</v>
      </c>
      <c r="G10" s="3">
        <v>5500</v>
      </c>
      <c r="H10" s="3">
        <f t="shared" si="0"/>
        <v>6070</v>
      </c>
      <c r="I10" s="30">
        <f>3000+2920</f>
        <v>5920</v>
      </c>
      <c r="J10" s="3">
        <f>H10-I10</f>
        <v>150</v>
      </c>
      <c r="K10" s="3">
        <v>150</v>
      </c>
      <c r="L10" s="3">
        <v>270</v>
      </c>
    </row>
    <row r="11" spans="1:13" x14ac:dyDescent="0.25">
      <c r="A11" s="3">
        <v>7</v>
      </c>
      <c r="B11" s="4" t="s">
        <v>43</v>
      </c>
      <c r="C11" s="4"/>
      <c r="D11" s="3">
        <f>'SEPT 21'!I11:I25</f>
        <v>0</v>
      </c>
      <c r="E11" s="3">
        <v>150</v>
      </c>
      <c r="F11" s="3"/>
      <c r="G11" s="3">
        <v>3000</v>
      </c>
      <c r="H11" s="3">
        <f t="shared" si="0"/>
        <v>3150</v>
      </c>
      <c r="I11" s="30">
        <v>3150</v>
      </c>
      <c r="J11" s="3">
        <f t="shared" si="1"/>
        <v>0</v>
      </c>
      <c r="K11" s="3">
        <v>150</v>
      </c>
      <c r="L11" s="3"/>
    </row>
    <row r="12" spans="1:13" x14ac:dyDescent="0.25">
      <c r="A12" s="3">
        <v>8</v>
      </c>
      <c r="B12" s="3" t="s">
        <v>45</v>
      </c>
      <c r="C12" s="3"/>
      <c r="D12" s="3">
        <f>'SEPT 21'!I12:I26</f>
        <v>2760</v>
      </c>
      <c r="E12" s="3">
        <v>150</v>
      </c>
      <c r="F12" s="3">
        <v>270</v>
      </c>
      <c r="G12" s="3">
        <v>3000</v>
      </c>
      <c r="H12" s="3">
        <f t="shared" si="0"/>
        <v>6180</v>
      </c>
      <c r="I12" s="30">
        <f>1000+3000</f>
        <v>4000</v>
      </c>
      <c r="J12" s="3">
        <f t="shared" si="1"/>
        <v>2180</v>
      </c>
      <c r="K12" s="3"/>
      <c r="L12" s="3"/>
    </row>
    <row r="13" spans="1:13" x14ac:dyDescent="0.25">
      <c r="A13" s="3">
        <v>9</v>
      </c>
      <c r="B13" s="16" t="s">
        <v>171</v>
      </c>
      <c r="C13" s="16"/>
      <c r="D13" s="3">
        <f>'SEPT 21'!I16</f>
        <v>0</v>
      </c>
      <c r="E13" s="3">
        <v>150</v>
      </c>
      <c r="F13" s="3"/>
      <c r="G13" s="3">
        <v>2500</v>
      </c>
      <c r="H13" s="3">
        <f t="shared" si="0"/>
        <v>2650</v>
      </c>
      <c r="I13" s="30">
        <f>1500</f>
        <v>1500</v>
      </c>
      <c r="J13" s="3">
        <f t="shared" si="1"/>
        <v>1150</v>
      </c>
      <c r="K13" s="3"/>
      <c r="L13" s="3"/>
    </row>
    <row r="14" spans="1:13" x14ac:dyDescent="0.25">
      <c r="A14" s="3">
        <v>10</v>
      </c>
      <c r="B14" s="30" t="s">
        <v>95</v>
      </c>
      <c r="C14" s="3"/>
      <c r="D14" s="3">
        <f>'SEPT 21'!I14:I28</f>
        <v>0</v>
      </c>
      <c r="E14" s="3"/>
      <c r="F14" s="3"/>
      <c r="G14" s="3"/>
      <c r="H14" s="3">
        <f t="shared" si="0"/>
        <v>0</v>
      </c>
      <c r="I14" s="30"/>
      <c r="J14" s="3">
        <f t="shared" si="1"/>
        <v>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'SEPT 21'!I15:I29</f>
        <v>1880</v>
      </c>
      <c r="E15" s="3">
        <v>150</v>
      </c>
      <c r="F15" s="3">
        <v>270</v>
      </c>
      <c r="G15" s="3">
        <v>2500</v>
      </c>
      <c r="H15" s="3">
        <f>C15+D15+E15+F15+G15</f>
        <v>4800</v>
      </c>
      <c r="I15" s="30">
        <f>3000</f>
        <v>3000</v>
      </c>
      <c r="J15" s="3">
        <f t="shared" si="1"/>
        <v>1800</v>
      </c>
      <c r="K15" s="3">
        <v>150</v>
      </c>
      <c r="L15" s="3">
        <v>270</v>
      </c>
    </row>
    <row r="16" spans="1:13" x14ac:dyDescent="0.25">
      <c r="A16" s="3">
        <v>12</v>
      </c>
      <c r="B16" s="16" t="s">
        <v>203</v>
      </c>
      <c r="C16" s="3">
        <v>2500</v>
      </c>
      <c r="D16" s="3"/>
      <c r="E16" s="3">
        <v>150</v>
      </c>
      <c r="F16" s="3">
        <v>270</v>
      </c>
      <c r="G16" s="3">
        <v>2500</v>
      </c>
      <c r="H16" s="3">
        <f t="shared" si="0"/>
        <v>5420</v>
      </c>
      <c r="I16" s="30">
        <f>2500+700</f>
        <v>3200</v>
      </c>
      <c r="J16" s="3">
        <f>H16-I16</f>
        <v>2220</v>
      </c>
      <c r="K16" s="3"/>
      <c r="L16" s="3"/>
      <c r="M16" s="5"/>
    </row>
    <row r="17" spans="1:15" x14ac:dyDescent="0.25">
      <c r="A17" s="3">
        <v>13</v>
      </c>
      <c r="B17" s="3" t="s">
        <v>131</v>
      </c>
      <c r="C17" s="3"/>
      <c r="D17" s="3">
        <f>'SEPT 21'!I17:I31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>
        <v>2920</v>
      </c>
      <c r="J17" s="3">
        <f>H17-I17</f>
        <v>150</v>
      </c>
      <c r="K17" s="3">
        <v>150</v>
      </c>
      <c r="L17" s="3">
        <v>270</v>
      </c>
      <c r="M17" s="5"/>
    </row>
    <row r="18" spans="1:15" x14ac:dyDescent="0.25">
      <c r="A18" s="3">
        <v>14</v>
      </c>
      <c r="B18" s="3" t="s">
        <v>113</v>
      </c>
      <c r="C18" s="3"/>
      <c r="D18" s="3">
        <f>'SEPT 21'!I18:I32</f>
        <v>420</v>
      </c>
      <c r="E18" s="3">
        <v>150</v>
      </c>
      <c r="F18" s="3">
        <v>270</v>
      </c>
      <c r="G18" s="3">
        <v>2500</v>
      </c>
      <c r="H18" s="3">
        <f t="shared" si="0"/>
        <v>3340</v>
      </c>
      <c r="I18" s="30">
        <v>2920</v>
      </c>
      <c r="J18" s="3">
        <f>H18-I18</f>
        <v>420</v>
      </c>
      <c r="K18" s="3">
        <v>150</v>
      </c>
      <c r="L18" s="3">
        <v>270</v>
      </c>
      <c r="M18" s="5"/>
    </row>
    <row r="19" spans="1:15" x14ac:dyDescent="0.25">
      <c r="A19" s="3">
        <v>15</v>
      </c>
      <c r="B19" s="3" t="s">
        <v>38</v>
      </c>
      <c r="C19" s="3"/>
      <c r="D19" s="3">
        <f>'SEPT 21'!I19:I33</f>
        <v>600</v>
      </c>
      <c r="E19" s="3">
        <v>150</v>
      </c>
      <c r="F19" s="3"/>
      <c r="G19" s="3">
        <v>4500</v>
      </c>
      <c r="H19" s="3">
        <f t="shared" si="0"/>
        <v>5250</v>
      </c>
      <c r="I19" s="30">
        <f>1000+3000</f>
        <v>4000</v>
      </c>
      <c r="J19" s="3">
        <f t="shared" si="1"/>
        <v>1250</v>
      </c>
      <c r="K19" s="3"/>
      <c r="L19" s="3"/>
      <c r="M19" s="5"/>
    </row>
    <row r="20" spans="1:15" x14ac:dyDescent="0.25">
      <c r="B20" s="2" t="s">
        <v>9</v>
      </c>
      <c r="C20" s="2">
        <f>SUM(C5:C19)</f>
        <v>7500</v>
      </c>
      <c r="D20" s="3">
        <f>SUM(D5:D19)</f>
        <v>7810</v>
      </c>
      <c r="E20" s="3">
        <f t="shared" ref="E20:L20" si="2">SUM(E5:E19)</f>
        <v>1650</v>
      </c>
      <c r="F20" s="3">
        <f t="shared" si="2"/>
        <v>1620</v>
      </c>
      <c r="G20" s="2">
        <f t="shared" si="2"/>
        <v>44500</v>
      </c>
      <c r="H20" s="2">
        <f t="shared" si="2"/>
        <v>63080</v>
      </c>
      <c r="I20" s="31">
        <f t="shared" si="2"/>
        <v>46760</v>
      </c>
      <c r="J20" s="2">
        <f t="shared" si="2"/>
        <v>16320</v>
      </c>
      <c r="K20" s="2">
        <f t="shared" si="2"/>
        <v>900</v>
      </c>
      <c r="L20" s="2">
        <f t="shared" si="2"/>
        <v>1080</v>
      </c>
      <c r="N20" s="41"/>
      <c r="O20" s="16"/>
    </row>
    <row r="21" spans="1:15" x14ac:dyDescent="0.25"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5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5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5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/>
      <c r="O24" s="7"/>
    </row>
    <row r="25" spans="1:15" x14ac:dyDescent="0.25">
      <c r="B25" s="16" t="s">
        <v>109</v>
      </c>
      <c r="C25" s="16"/>
      <c r="D25" s="17">
        <f>G20</f>
        <v>44500</v>
      </c>
      <c r="E25" s="16"/>
      <c r="F25" s="16"/>
      <c r="G25" s="16" t="s">
        <v>109</v>
      </c>
      <c r="H25" s="17">
        <f>I20</f>
        <v>46760</v>
      </c>
      <c r="I25" s="16"/>
      <c r="J25" s="16"/>
    </row>
    <row r="26" spans="1:15" x14ac:dyDescent="0.25">
      <c r="B26" s="16" t="s">
        <v>4</v>
      </c>
      <c r="C26" s="16"/>
      <c r="D26" s="17">
        <f>'SEPT 21'!E38</f>
        <v>-16255</v>
      </c>
      <c r="E26" s="16"/>
      <c r="F26" s="16"/>
      <c r="G26" s="16" t="s">
        <v>181</v>
      </c>
      <c r="H26" s="17"/>
      <c r="I26" s="16"/>
      <c r="J26" s="16"/>
    </row>
    <row r="27" spans="1:15" x14ac:dyDescent="0.25">
      <c r="B27" s="16" t="s">
        <v>39</v>
      </c>
      <c r="C27" s="16"/>
      <c r="D27" s="17">
        <f>5000+2500</f>
        <v>7500</v>
      </c>
      <c r="E27" s="16"/>
      <c r="F27" s="16"/>
      <c r="G27" s="16" t="s">
        <v>180</v>
      </c>
      <c r="H27" s="16"/>
      <c r="I27" s="17"/>
      <c r="J27" s="16"/>
    </row>
    <row r="28" spans="1:15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'SEPT 21'!I38</f>
        <v>-18025</v>
      </c>
      <c r="I28" s="16"/>
      <c r="J28" s="16"/>
    </row>
    <row r="29" spans="1:15" x14ac:dyDescent="0.25">
      <c r="B29" s="16" t="s">
        <v>20</v>
      </c>
      <c r="C29" s="16"/>
      <c r="D29" s="18">
        <v>0.1</v>
      </c>
      <c r="E29" s="17">
        <f>D29*D25</f>
        <v>4450</v>
      </c>
      <c r="F29" s="16"/>
      <c r="G29" s="16" t="s">
        <v>20</v>
      </c>
      <c r="H29" s="18">
        <v>0.1</v>
      </c>
      <c r="I29" s="17">
        <f>H29*D25</f>
        <v>4450</v>
      </c>
      <c r="J29" s="16"/>
    </row>
    <row r="30" spans="1:15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5" x14ac:dyDescent="0.25">
      <c r="B31" s="16" t="s">
        <v>138</v>
      </c>
      <c r="C31" s="16"/>
      <c r="D31" s="17"/>
      <c r="E31" s="16">
        <v>30000</v>
      </c>
      <c r="F31" s="16"/>
      <c r="G31" s="16" t="s">
        <v>138</v>
      </c>
      <c r="H31" s="16"/>
      <c r="I31" s="17">
        <v>30000</v>
      </c>
      <c r="J31" s="16"/>
    </row>
    <row r="32" spans="1:15" x14ac:dyDescent="0.25">
      <c r="B32" s="22" t="s">
        <v>206</v>
      </c>
      <c r="C32" s="22"/>
      <c r="D32" s="16"/>
      <c r="E32" s="16">
        <v>1222</v>
      </c>
      <c r="F32" s="16"/>
      <c r="G32" s="22" t="s">
        <v>206</v>
      </c>
      <c r="H32" s="22"/>
      <c r="I32" s="16">
        <v>1222</v>
      </c>
      <c r="J32" s="16"/>
    </row>
    <row r="33" spans="2:16" x14ac:dyDescent="0.25">
      <c r="B33" s="22"/>
      <c r="C33" s="22"/>
      <c r="D33" s="16"/>
      <c r="E33" s="16"/>
      <c r="F33" s="16"/>
      <c r="G33" s="22" t="s">
        <v>208</v>
      </c>
      <c r="H33" s="22"/>
      <c r="I33" s="16">
        <v>4800</v>
      </c>
      <c r="J33" s="16"/>
      <c r="L33" s="24"/>
    </row>
    <row r="34" spans="2:16" x14ac:dyDescent="0.25">
      <c r="B34" s="22"/>
      <c r="C34" s="16"/>
      <c r="D34" s="22"/>
      <c r="E34" s="16"/>
      <c r="F34" s="16"/>
      <c r="G34" s="22" t="s">
        <v>180</v>
      </c>
      <c r="H34" s="16"/>
      <c r="I34">
        <f>K20</f>
        <v>900</v>
      </c>
      <c r="J34" s="16"/>
      <c r="L34" s="24"/>
    </row>
    <row r="35" spans="2:16" x14ac:dyDescent="0.25">
      <c r="B35" s="22"/>
      <c r="C35" s="16"/>
      <c r="D35" s="22"/>
      <c r="E35" s="16"/>
      <c r="F35" s="16"/>
      <c r="G35" s="22"/>
      <c r="H35" s="16"/>
      <c r="J35" s="16"/>
      <c r="L35" s="24"/>
      <c r="M35" s="24"/>
    </row>
    <row r="36" spans="2:16" x14ac:dyDescent="0.25">
      <c r="B36" s="22"/>
      <c r="C36" s="16"/>
      <c r="D36" s="22"/>
      <c r="E36" s="16"/>
      <c r="F36" s="16"/>
      <c r="G36" s="22"/>
      <c r="H36" s="16"/>
      <c r="J36" s="16"/>
      <c r="L36" s="24"/>
      <c r="M36" s="24"/>
    </row>
    <row r="37" spans="2:16" x14ac:dyDescent="0.25">
      <c r="B37" s="22"/>
      <c r="C37" s="16"/>
      <c r="D37" s="22"/>
      <c r="E37" s="16"/>
      <c r="F37" s="16"/>
      <c r="G37" s="22"/>
      <c r="H37" s="16"/>
      <c r="J37" s="16"/>
      <c r="L37" s="24"/>
      <c r="M37" s="24"/>
    </row>
    <row r="38" spans="2:16" x14ac:dyDescent="0.25">
      <c r="B38" s="15" t="s">
        <v>9</v>
      </c>
      <c r="C38" s="15"/>
      <c r="D38" s="19">
        <f>D25+D26+D28+D27</f>
        <v>35745</v>
      </c>
      <c r="E38" s="19">
        <f>SUM(E29:E37)</f>
        <v>35672</v>
      </c>
      <c r="F38" s="19">
        <f>D38-E38</f>
        <v>73</v>
      </c>
      <c r="G38" s="15" t="s">
        <v>9</v>
      </c>
      <c r="H38" s="19">
        <f>H25+H28+H26+H27-I29</f>
        <v>24285</v>
      </c>
      <c r="I38" s="19">
        <f>SUM(I31:I37)</f>
        <v>36922</v>
      </c>
      <c r="J38" s="19">
        <f>H38-I38</f>
        <v>-12637</v>
      </c>
      <c r="M38" s="24"/>
    </row>
    <row r="39" spans="2:16" x14ac:dyDescent="0.25">
      <c r="E39" t="s">
        <v>23</v>
      </c>
      <c r="H39" t="s">
        <v>24</v>
      </c>
      <c r="L39" s="24"/>
      <c r="M39" s="24"/>
    </row>
    <row r="40" spans="2:16" x14ac:dyDescent="0.25">
      <c r="B40" t="s">
        <v>22</v>
      </c>
      <c r="E40" t="s">
        <v>26</v>
      </c>
      <c r="H40" t="s">
        <v>27</v>
      </c>
    </row>
    <row r="41" spans="2:16" x14ac:dyDescent="0.25">
      <c r="B41" t="s">
        <v>25</v>
      </c>
    </row>
    <row r="42" spans="2:16" x14ac:dyDescent="0.25">
      <c r="P42" s="2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4" workbookViewId="0">
      <selection activeCell="F16" sqref="F16"/>
    </sheetView>
  </sheetViews>
  <sheetFormatPr defaultRowHeight="15" x14ac:dyDescent="0.25"/>
  <cols>
    <col min="2" max="2" width="20.28515625" customWidth="1"/>
    <col min="8" max="8" width="10.42578125" customWidth="1"/>
    <col min="11" max="11" width="9.42578125" customWidth="1"/>
  </cols>
  <sheetData>
    <row r="1" spans="1:13" x14ac:dyDescent="0.25"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B3" s="1"/>
      <c r="C3" s="1"/>
      <c r="D3" s="1" t="s">
        <v>209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180</v>
      </c>
      <c r="F4" s="2" t="s">
        <v>181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180</v>
      </c>
      <c r="L4" s="2" t="s">
        <v>181</v>
      </c>
      <c r="M4" s="40"/>
    </row>
    <row r="5" spans="1:13" x14ac:dyDescent="0.25">
      <c r="A5" s="3" t="s">
        <v>29</v>
      </c>
      <c r="B5" s="3" t="s">
        <v>31</v>
      </c>
      <c r="C5" s="3"/>
      <c r="D5" s="3">
        <f>'OCTOBER 21'!J5</f>
        <v>500</v>
      </c>
      <c r="E5" s="3"/>
      <c r="F5" s="3"/>
      <c r="G5" s="3">
        <v>5000</v>
      </c>
      <c r="H5" s="3">
        <f>C5+D5+E5+F5+G5</f>
        <v>5500</v>
      </c>
      <c r="I5" s="30"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30"/>
      <c r="C6" s="3"/>
      <c r="D6" s="3">
        <f>'OCTOBER 21'!J6</f>
        <v>0</v>
      </c>
      <c r="E6" s="3"/>
      <c r="F6" s="3"/>
      <c r="G6" s="3"/>
      <c r="H6" s="3">
        <f t="shared" ref="H6:H19" si="0">C6+D6+E6+F6+G6</f>
        <v>0</v>
      </c>
      <c r="I6" s="30"/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204</v>
      </c>
      <c r="C7" s="3"/>
      <c r="D7" s="3">
        <f>'OCTOBER 21'!J7</f>
        <v>5000</v>
      </c>
      <c r="E7" s="3"/>
      <c r="F7" s="3"/>
      <c r="G7" s="3">
        <v>5000</v>
      </c>
      <c r="H7" s="3">
        <f t="shared" si="0"/>
        <v>10000</v>
      </c>
      <c r="I7" s="30">
        <v>6000</v>
      </c>
      <c r="J7" s="3">
        <f t="shared" ref="J7:J19" si="1">H7-I7</f>
        <v>4000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'OCTOBER 21'!J8</f>
        <v>400</v>
      </c>
      <c r="E8" s="3">
        <v>150</v>
      </c>
      <c r="F8" s="3"/>
      <c r="G8" s="3">
        <v>3000</v>
      </c>
      <c r="H8" s="3">
        <f t="shared" si="0"/>
        <v>3550</v>
      </c>
      <c r="I8" s="30">
        <v>3150</v>
      </c>
      <c r="J8" s="3">
        <f>H8-I8</f>
        <v>400</v>
      </c>
      <c r="K8" s="3">
        <v>150</v>
      </c>
      <c r="L8" s="3"/>
    </row>
    <row r="9" spans="1:13" x14ac:dyDescent="0.25">
      <c r="A9" s="3">
        <v>5</v>
      </c>
      <c r="B9" s="3" t="s">
        <v>33</v>
      </c>
      <c r="C9" s="3"/>
      <c r="D9" s="3">
        <f>'OCTOBER 21'!J9</f>
        <v>1100</v>
      </c>
      <c r="E9" s="3">
        <v>150</v>
      </c>
      <c r="F9" s="3"/>
      <c r="G9" s="3">
        <v>3000</v>
      </c>
      <c r="H9" s="3">
        <f t="shared" si="0"/>
        <v>4250</v>
      </c>
      <c r="I9" s="30">
        <v>3000</v>
      </c>
      <c r="J9" s="3">
        <f>H9-I9</f>
        <v>1250</v>
      </c>
      <c r="K9" s="3"/>
      <c r="L9" s="3"/>
    </row>
    <row r="10" spans="1:13" x14ac:dyDescent="0.25">
      <c r="A10" s="3">
        <v>6</v>
      </c>
      <c r="B10" s="3" t="s">
        <v>150</v>
      </c>
      <c r="C10" s="3"/>
      <c r="D10" s="3">
        <f>'OCTOBER 21'!J10</f>
        <v>150</v>
      </c>
      <c r="E10" s="3">
        <v>150</v>
      </c>
      <c r="F10" s="3">
        <v>270</v>
      </c>
      <c r="G10" s="3">
        <v>5500</v>
      </c>
      <c r="H10" s="3">
        <f t="shared" si="0"/>
        <v>6070</v>
      </c>
      <c r="I10" s="30"/>
      <c r="J10" s="3">
        <f>H10-I10</f>
        <v>6070</v>
      </c>
      <c r="K10" s="3"/>
      <c r="L10" s="3"/>
    </row>
    <row r="11" spans="1:13" x14ac:dyDescent="0.25">
      <c r="A11" s="3">
        <v>7</v>
      </c>
      <c r="B11" s="4" t="s">
        <v>43</v>
      </c>
      <c r="C11" s="4"/>
      <c r="D11" s="3">
        <f>'OCTOBER 21'!J11</f>
        <v>0</v>
      </c>
      <c r="E11" s="3">
        <v>150</v>
      </c>
      <c r="F11" s="3"/>
      <c r="G11" s="3">
        <v>3000</v>
      </c>
      <c r="H11" s="3">
        <f t="shared" si="0"/>
        <v>3150</v>
      </c>
      <c r="I11" s="30">
        <v>3150</v>
      </c>
      <c r="J11" s="3">
        <f t="shared" si="1"/>
        <v>0</v>
      </c>
      <c r="K11" s="3">
        <v>150</v>
      </c>
      <c r="L11" s="3"/>
    </row>
    <row r="12" spans="1:13" x14ac:dyDescent="0.25">
      <c r="A12" s="3">
        <v>8</v>
      </c>
      <c r="B12" s="3" t="s">
        <v>45</v>
      </c>
      <c r="C12" s="3"/>
      <c r="D12" s="3">
        <f>'OCTOBER 21'!J12</f>
        <v>2180</v>
      </c>
      <c r="E12" s="3">
        <v>150</v>
      </c>
      <c r="F12" s="3">
        <v>270</v>
      </c>
      <c r="G12" s="3">
        <v>3000</v>
      </c>
      <c r="H12" s="3">
        <f t="shared" si="0"/>
        <v>5600</v>
      </c>
      <c r="I12" s="30"/>
      <c r="J12" s="3">
        <f t="shared" si="1"/>
        <v>5600</v>
      </c>
      <c r="K12" s="3"/>
      <c r="L12" s="3"/>
    </row>
    <row r="13" spans="1:13" x14ac:dyDescent="0.25">
      <c r="A13" s="3">
        <v>9</v>
      </c>
      <c r="B13" s="16" t="s">
        <v>171</v>
      </c>
      <c r="C13" s="16"/>
      <c r="D13" s="3">
        <f>'OCTOBER 21'!J13</f>
        <v>1150</v>
      </c>
      <c r="E13" s="3">
        <v>150</v>
      </c>
      <c r="F13" s="3"/>
      <c r="G13" s="3">
        <v>2500</v>
      </c>
      <c r="H13" s="3">
        <f t="shared" si="0"/>
        <v>3800</v>
      </c>
      <c r="I13" s="30">
        <v>3000</v>
      </c>
      <c r="J13" s="3">
        <f t="shared" si="1"/>
        <v>800</v>
      </c>
      <c r="K13" s="3"/>
      <c r="L13" s="3"/>
    </row>
    <row r="14" spans="1:13" x14ac:dyDescent="0.25">
      <c r="A14" s="3">
        <v>10</v>
      </c>
      <c r="B14" s="30" t="s">
        <v>95</v>
      </c>
      <c r="C14" s="3"/>
      <c r="D14" s="3">
        <f>'OCTOBER 21'!J14</f>
        <v>0</v>
      </c>
      <c r="E14" s="3"/>
      <c r="F14" s="3"/>
      <c r="G14" s="3"/>
      <c r="H14" s="3">
        <f t="shared" si="0"/>
        <v>0</v>
      </c>
      <c r="I14" s="30"/>
      <c r="J14" s="3">
        <f t="shared" si="1"/>
        <v>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'OCTOBER 21'!J15</f>
        <v>1800</v>
      </c>
      <c r="E15" s="3">
        <v>150</v>
      </c>
      <c r="F15" s="3">
        <v>270</v>
      </c>
      <c r="G15" s="3">
        <v>2500</v>
      </c>
      <c r="H15" s="3">
        <f>C15+D15+E15+F15+G15</f>
        <v>4720</v>
      </c>
      <c r="I15" s="30">
        <v>3000</v>
      </c>
      <c r="J15" s="3">
        <f t="shared" si="1"/>
        <v>1720</v>
      </c>
      <c r="K15" s="3"/>
      <c r="L15" s="3">
        <v>270</v>
      </c>
    </row>
    <row r="16" spans="1:13" x14ac:dyDescent="0.25">
      <c r="A16" s="3">
        <v>12</v>
      </c>
      <c r="B16" s="16" t="s">
        <v>203</v>
      </c>
      <c r="C16" s="3"/>
      <c r="D16" s="3">
        <f>'OCTOBER 21'!J16</f>
        <v>2220</v>
      </c>
      <c r="E16" s="3">
        <v>150</v>
      </c>
      <c r="F16" s="3">
        <v>270</v>
      </c>
      <c r="G16" s="3">
        <v>2500</v>
      </c>
      <c r="H16" s="3">
        <f t="shared" si="0"/>
        <v>5140</v>
      </c>
      <c r="I16" s="30">
        <v>2500</v>
      </c>
      <c r="J16" s="3">
        <f>H16-I16</f>
        <v>2640</v>
      </c>
      <c r="K16" s="3"/>
      <c r="L16" s="3"/>
      <c r="M16" s="5"/>
    </row>
    <row r="17" spans="1:15" x14ac:dyDescent="0.25">
      <c r="A17" s="3">
        <v>13</v>
      </c>
      <c r="B17" s="3" t="s">
        <v>131</v>
      </c>
      <c r="C17" s="3"/>
      <c r="D17" s="3">
        <f>'OCTOBER 21'!J17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>
        <v>2920</v>
      </c>
      <c r="J17" s="3">
        <f>H17-I17</f>
        <v>150</v>
      </c>
      <c r="K17" s="3">
        <v>150</v>
      </c>
      <c r="L17" s="3">
        <v>270</v>
      </c>
      <c r="M17" s="5"/>
    </row>
    <row r="18" spans="1:15" x14ac:dyDescent="0.25">
      <c r="A18" s="3">
        <v>14</v>
      </c>
      <c r="B18" s="3" t="s">
        <v>113</v>
      </c>
      <c r="C18" s="3"/>
      <c r="D18" s="3">
        <f>'OCTOBER 21'!J18</f>
        <v>420</v>
      </c>
      <c r="E18" s="3">
        <v>150</v>
      </c>
      <c r="F18" s="3">
        <v>270</v>
      </c>
      <c r="G18" s="3">
        <v>2500</v>
      </c>
      <c r="H18" s="3">
        <f t="shared" si="0"/>
        <v>3340</v>
      </c>
      <c r="I18" s="30">
        <v>2890</v>
      </c>
      <c r="J18" s="3">
        <f>H18-I18</f>
        <v>450</v>
      </c>
      <c r="K18" s="3">
        <v>120</v>
      </c>
      <c r="L18" s="3">
        <v>270</v>
      </c>
      <c r="M18" s="5"/>
    </row>
    <row r="19" spans="1:15" x14ac:dyDescent="0.25">
      <c r="A19" s="3">
        <v>15</v>
      </c>
      <c r="B19" s="3" t="s">
        <v>38</v>
      </c>
      <c r="C19" s="3"/>
      <c r="D19" s="3">
        <f>'OCTOBER 21'!J19</f>
        <v>1250</v>
      </c>
      <c r="E19" s="3">
        <v>150</v>
      </c>
      <c r="F19" s="3"/>
      <c r="G19" s="3">
        <v>4500</v>
      </c>
      <c r="H19" s="3">
        <f t="shared" si="0"/>
        <v>5900</v>
      </c>
      <c r="I19" s="30">
        <f>1000+3000</f>
        <v>4000</v>
      </c>
      <c r="J19" s="3">
        <f t="shared" si="1"/>
        <v>1900</v>
      </c>
      <c r="K19" s="3"/>
      <c r="L19" s="3"/>
      <c r="M19" s="5"/>
    </row>
    <row r="20" spans="1:15" x14ac:dyDescent="0.25">
      <c r="B20" s="2" t="s">
        <v>9</v>
      </c>
      <c r="C20" s="2">
        <f>SUM(C5:C19)</f>
        <v>0</v>
      </c>
      <c r="D20" s="3">
        <f>SUM(D5:D19)</f>
        <v>16320</v>
      </c>
      <c r="E20" s="3">
        <f t="shared" ref="E20:K20" si="2">SUM(E5:E19)</f>
        <v>1650</v>
      </c>
      <c r="F20" s="3">
        <f t="shared" si="2"/>
        <v>1620</v>
      </c>
      <c r="G20" s="2">
        <f t="shared" si="2"/>
        <v>44500</v>
      </c>
      <c r="H20" s="2">
        <f t="shared" si="2"/>
        <v>64090</v>
      </c>
      <c r="I20" s="31">
        <f t="shared" si="2"/>
        <v>38610</v>
      </c>
      <c r="J20" s="2">
        <f t="shared" si="2"/>
        <v>25480</v>
      </c>
      <c r="K20" s="2">
        <f t="shared" si="2"/>
        <v>570</v>
      </c>
      <c r="L20" s="2">
        <f>SUM(L5:L19)</f>
        <v>810</v>
      </c>
      <c r="N20" s="41"/>
      <c r="O20" s="16"/>
    </row>
    <row r="21" spans="1:15" x14ac:dyDescent="0.25"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5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5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5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/>
      <c r="O24" s="7"/>
    </row>
    <row r="25" spans="1:15" x14ac:dyDescent="0.25">
      <c r="B25" s="16" t="s">
        <v>116</v>
      </c>
      <c r="C25" s="16"/>
      <c r="D25" s="17">
        <f>G20</f>
        <v>44500</v>
      </c>
      <c r="E25" s="16"/>
      <c r="F25" s="16"/>
      <c r="G25" s="16" t="s">
        <v>116</v>
      </c>
      <c r="H25" s="17">
        <f>I20</f>
        <v>38610</v>
      </c>
      <c r="I25" s="16"/>
      <c r="J25" s="16"/>
    </row>
    <row r="26" spans="1:15" x14ac:dyDescent="0.25">
      <c r="B26" s="16" t="s">
        <v>4</v>
      </c>
      <c r="C26" s="16"/>
      <c r="D26" s="17">
        <f>'OCTOBER 21'!F38</f>
        <v>73</v>
      </c>
      <c r="E26" s="16"/>
      <c r="F26" s="16"/>
      <c r="G26" s="16" t="s">
        <v>181</v>
      </c>
      <c r="H26" s="17"/>
      <c r="I26" s="16"/>
      <c r="J26" s="16"/>
    </row>
    <row r="27" spans="1:15" x14ac:dyDescent="0.25">
      <c r="B27" s="16" t="s">
        <v>39</v>
      </c>
      <c r="C27" s="16"/>
      <c r="D27" s="17"/>
      <c r="E27" s="16"/>
      <c r="F27" s="16"/>
      <c r="G27" s="16" t="s">
        <v>180</v>
      </c>
      <c r="H27" s="16"/>
      <c r="I27" s="17"/>
      <c r="J27" s="16"/>
    </row>
    <row r="28" spans="1:15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'OCTOBER 21'!J38</f>
        <v>-12637</v>
      </c>
      <c r="I28" s="16"/>
      <c r="J28" s="16"/>
    </row>
    <row r="29" spans="1:15" x14ac:dyDescent="0.25">
      <c r="B29" s="16" t="s">
        <v>20</v>
      </c>
      <c r="C29" s="16"/>
      <c r="D29" s="18">
        <v>0.1</v>
      </c>
      <c r="E29" s="17">
        <f>D29*D25</f>
        <v>4450</v>
      </c>
      <c r="F29" s="16"/>
      <c r="G29" s="16" t="s">
        <v>20</v>
      </c>
      <c r="H29" s="18">
        <v>0.1</v>
      </c>
      <c r="I29" s="17">
        <f>H29*D25</f>
        <v>4450</v>
      </c>
      <c r="J29" s="16"/>
      <c r="M29">
        <v>0</v>
      </c>
    </row>
    <row r="30" spans="1:15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5" x14ac:dyDescent="0.25">
      <c r="B31" s="16" t="s">
        <v>138</v>
      </c>
      <c r="C31" s="16"/>
      <c r="D31" s="17"/>
      <c r="E31" s="16">
        <v>30000</v>
      </c>
      <c r="F31" s="16"/>
      <c r="G31" s="16" t="s">
        <v>138</v>
      </c>
      <c r="H31" s="16"/>
      <c r="I31" s="17">
        <v>30000</v>
      </c>
      <c r="J31" s="16"/>
    </row>
    <row r="32" spans="1:15" x14ac:dyDescent="0.25">
      <c r="B32" s="22" t="s">
        <v>212</v>
      </c>
      <c r="C32" s="22"/>
      <c r="D32" s="16"/>
      <c r="E32" s="16">
        <v>10123</v>
      </c>
      <c r="F32" s="16"/>
      <c r="G32" s="22" t="s">
        <v>212</v>
      </c>
      <c r="H32" s="22"/>
      <c r="I32" s="16">
        <v>10123</v>
      </c>
      <c r="J32" s="16"/>
    </row>
    <row r="33" spans="2:16" x14ac:dyDescent="0.25">
      <c r="B33" s="22" t="s">
        <v>216</v>
      </c>
      <c r="C33" s="22"/>
      <c r="D33" s="16"/>
      <c r="E33" s="16">
        <v>5500</v>
      </c>
      <c r="F33" s="16"/>
      <c r="G33" s="22" t="s">
        <v>219</v>
      </c>
      <c r="H33" s="22"/>
      <c r="I33" s="16">
        <v>1860</v>
      </c>
      <c r="J33" s="16"/>
      <c r="L33" s="24"/>
    </row>
    <row r="34" spans="2:16" x14ac:dyDescent="0.25">
      <c r="B34" s="22"/>
      <c r="C34" s="16"/>
      <c r="D34" s="22"/>
      <c r="E34" s="16"/>
      <c r="F34" s="16"/>
      <c r="G34" s="22" t="s">
        <v>180</v>
      </c>
      <c r="H34" s="16"/>
      <c r="J34" s="16"/>
      <c r="L34" s="24"/>
    </row>
    <row r="35" spans="2:16" x14ac:dyDescent="0.25">
      <c r="B35" s="22"/>
      <c r="C35" s="16"/>
      <c r="D35" s="22"/>
      <c r="E35" s="16"/>
      <c r="F35" s="16"/>
      <c r="G35" s="22"/>
      <c r="H35" s="16"/>
      <c r="J35" s="16"/>
      <c r="L35" s="24"/>
      <c r="M35" s="24"/>
    </row>
    <row r="36" spans="2:16" x14ac:dyDescent="0.25">
      <c r="B36" s="22"/>
      <c r="C36" s="16"/>
      <c r="D36" s="22"/>
      <c r="E36" s="16"/>
      <c r="F36" s="16"/>
      <c r="G36" s="22"/>
      <c r="H36" s="16"/>
      <c r="J36" s="16"/>
      <c r="L36" s="24"/>
      <c r="M36" s="24"/>
    </row>
    <row r="37" spans="2:16" x14ac:dyDescent="0.25">
      <c r="B37" s="22"/>
      <c r="C37" s="16"/>
      <c r="D37" s="22"/>
      <c r="E37" s="16"/>
      <c r="F37" s="16"/>
      <c r="G37" s="22"/>
      <c r="H37" s="16"/>
      <c r="J37" s="16"/>
      <c r="L37" s="24"/>
      <c r="M37" s="24"/>
    </row>
    <row r="38" spans="2:16" x14ac:dyDescent="0.25">
      <c r="B38" s="15" t="s">
        <v>9</v>
      </c>
      <c r="C38" s="15"/>
      <c r="D38" s="19">
        <f>D25+D26+D28+D27</f>
        <v>44573</v>
      </c>
      <c r="E38" s="19">
        <f>SUM(E29:E37)</f>
        <v>50073</v>
      </c>
      <c r="F38" s="19">
        <f>D38-E38</f>
        <v>-5500</v>
      </c>
      <c r="G38" s="15" t="s">
        <v>9</v>
      </c>
      <c r="H38" s="19">
        <f>H25+H28+H26+H27-I29</f>
        <v>21523</v>
      </c>
      <c r="I38" s="19">
        <f>SUM(I31:I37)</f>
        <v>41983</v>
      </c>
      <c r="J38" s="19">
        <f>H38-I38</f>
        <v>-20460</v>
      </c>
      <c r="M38" s="24"/>
    </row>
    <row r="39" spans="2:16" x14ac:dyDescent="0.25">
      <c r="E39" t="s">
        <v>23</v>
      </c>
      <c r="H39" t="s">
        <v>24</v>
      </c>
      <c r="L39" s="24"/>
      <c r="M39" s="24"/>
    </row>
    <row r="40" spans="2:16" x14ac:dyDescent="0.25">
      <c r="B40" t="s">
        <v>22</v>
      </c>
      <c r="E40" t="s">
        <v>26</v>
      </c>
      <c r="H40" t="s">
        <v>27</v>
      </c>
    </row>
    <row r="41" spans="2:16" x14ac:dyDescent="0.25">
      <c r="B41" t="s">
        <v>25</v>
      </c>
    </row>
    <row r="42" spans="2:16" x14ac:dyDescent="0.25">
      <c r="P42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I13" sqref="I13"/>
    </sheetView>
  </sheetViews>
  <sheetFormatPr defaultRowHeight="15" x14ac:dyDescent="0.25"/>
  <cols>
    <col min="2" max="2" width="18.140625" customWidth="1"/>
    <col min="7" max="7" width="13.5703125" customWidth="1"/>
    <col min="8" max="8" width="13" customWidth="1"/>
    <col min="12" max="12" width="11.28515625" customWidth="1"/>
  </cols>
  <sheetData>
    <row r="1" spans="1:13" x14ac:dyDescent="0.25">
      <c r="D1" s="1" t="s">
        <v>28</v>
      </c>
      <c r="E1" s="1"/>
      <c r="F1" s="1"/>
      <c r="G1" s="1"/>
      <c r="H1" s="1"/>
      <c r="I1" s="1"/>
      <c r="J1" s="1"/>
      <c r="K1" s="1"/>
      <c r="L1" s="1"/>
    </row>
    <row r="2" spans="1:13" x14ac:dyDescent="0.25">
      <c r="D2" s="1" t="s">
        <v>0</v>
      </c>
      <c r="E2" s="1"/>
      <c r="F2" s="1"/>
      <c r="G2" s="1"/>
      <c r="H2" s="1"/>
      <c r="I2" s="1"/>
      <c r="M2" s="38" t="s">
        <v>177</v>
      </c>
    </row>
    <row r="3" spans="1:13" x14ac:dyDescent="0.25">
      <c r="B3" s="1"/>
      <c r="C3" s="1"/>
      <c r="D3" s="1" t="s">
        <v>213</v>
      </c>
      <c r="E3" s="1"/>
      <c r="F3" s="1"/>
      <c r="G3" s="1"/>
      <c r="H3" s="1"/>
      <c r="I3" s="1"/>
      <c r="J3" s="1"/>
      <c r="K3" s="1"/>
      <c r="L3" s="1"/>
      <c r="M3" s="39" t="s">
        <v>178</v>
      </c>
    </row>
    <row r="4" spans="1:13" s="44" customFormat="1" ht="30" x14ac:dyDescent="0.25">
      <c r="A4" s="42" t="s">
        <v>2</v>
      </c>
      <c r="B4" s="42" t="s">
        <v>3</v>
      </c>
      <c r="C4" s="42" t="s">
        <v>39</v>
      </c>
      <c r="D4" s="42" t="s">
        <v>4</v>
      </c>
      <c r="E4" s="42" t="s">
        <v>180</v>
      </c>
      <c r="F4" s="42" t="s">
        <v>181</v>
      </c>
      <c r="G4" s="42" t="s">
        <v>5</v>
      </c>
      <c r="H4" s="42" t="s">
        <v>6</v>
      </c>
      <c r="I4" s="42" t="s">
        <v>7</v>
      </c>
      <c r="J4" s="42" t="s">
        <v>8</v>
      </c>
      <c r="K4" s="42" t="s">
        <v>180</v>
      </c>
      <c r="L4" s="42" t="s">
        <v>181</v>
      </c>
      <c r="M4" s="43"/>
    </row>
    <row r="5" spans="1:13" x14ac:dyDescent="0.25">
      <c r="A5" s="3" t="s">
        <v>29</v>
      </c>
      <c r="B5" s="3" t="s">
        <v>31</v>
      </c>
      <c r="C5" s="3"/>
      <c r="D5" s="3">
        <f>'NOVEMBER 21'!J5</f>
        <v>500</v>
      </c>
      <c r="E5" s="3"/>
      <c r="F5" s="3"/>
      <c r="G5" s="3">
        <v>5000</v>
      </c>
      <c r="H5" s="3">
        <f>C5+D5+E5+F5+G5</f>
        <v>5500</v>
      </c>
      <c r="I5" s="30">
        <v>5000</v>
      </c>
      <c r="J5" s="3">
        <f>H5-I5</f>
        <v>500</v>
      </c>
      <c r="K5" s="3"/>
      <c r="L5" s="3"/>
    </row>
    <row r="6" spans="1:13" x14ac:dyDescent="0.25">
      <c r="A6" s="3" t="s">
        <v>30</v>
      </c>
      <c r="B6" s="16" t="s">
        <v>214</v>
      </c>
      <c r="C6" s="3">
        <v>8000</v>
      </c>
      <c r="D6" s="3">
        <f>'NOVEMBER 21'!J6</f>
        <v>0</v>
      </c>
      <c r="E6" s="3"/>
      <c r="F6" s="3"/>
      <c r="G6" s="3">
        <v>8000</v>
      </c>
      <c r="H6" s="3">
        <f t="shared" ref="H6:H19" si="0">C6+D6+E6+F6+G6</f>
        <v>16000</v>
      </c>
      <c r="I6" s="30">
        <v>16000</v>
      </c>
      <c r="J6" s="3">
        <f>H6-I6</f>
        <v>0</v>
      </c>
      <c r="K6" s="3"/>
      <c r="L6" s="3"/>
    </row>
    <row r="7" spans="1:13" x14ac:dyDescent="0.25">
      <c r="A7" s="3" t="s">
        <v>173</v>
      </c>
      <c r="B7" s="3" t="s">
        <v>204</v>
      </c>
      <c r="C7" s="3"/>
      <c r="D7" s="3">
        <f>'NOVEMBER 21'!J7</f>
        <v>4000</v>
      </c>
      <c r="E7" s="3"/>
      <c r="F7" s="3"/>
      <c r="G7" s="3">
        <v>5000</v>
      </c>
      <c r="H7" s="3">
        <f t="shared" si="0"/>
        <v>9000</v>
      </c>
      <c r="I7" s="30"/>
      <c r="J7" s="3">
        <f t="shared" ref="J7:J19" si="1">H7-I7</f>
        <v>9000</v>
      </c>
      <c r="K7" s="3"/>
      <c r="L7" s="3"/>
    </row>
    <row r="8" spans="1:13" x14ac:dyDescent="0.25">
      <c r="A8" s="3">
        <v>4</v>
      </c>
      <c r="B8" s="16" t="s">
        <v>188</v>
      </c>
      <c r="C8" s="30"/>
      <c r="D8" s="3">
        <f>'NOVEMBER 21'!J8</f>
        <v>400</v>
      </c>
      <c r="E8" s="3">
        <v>150</v>
      </c>
      <c r="F8" s="3"/>
      <c r="G8" s="3">
        <v>3000</v>
      </c>
      <c r="H8" s="3">
        <f t="shared" si="0"/>
        <v>3550</v>
      </c>
      <c r="I8" s="30">
        <v>3150</v>
      </c>
      <c r="J8" s="3">
        <f>H8-I8</f>
        <v>400</v>
      </c>
      <c r="K8" s="3">
        <v>150</v>
      </c>
      <c r="L8" s="3"/>
    </row>
    <row r="9" spans="1:13" x14ac:dyDescent="0.25">
      <c r="A9" s="3">
        <v>5</v>
      </c>
      <c r="B9" s="3" t="s">
        <v>33</v>
      </c>
      <c r="C9" s="3"/>
      <c r="D9" s="3">
        <f>'NOVEMBER 21'!J9</f>
        <v>1250</v>
      </c>
      <c r="E9" s="3">
        <v>150</v>
      </c>
      <c r="F9" s="3"/>
      <c r="G9" s="3">
        <v>3000</v>
      </c>
      <c r="H9" s="3">
        <f t="shared" si="0"/>
        <v>4400</v>
      </c>
      <c r="I9" s="30">
        <v>3000</v>
      </c>
      <c r="J9" s="3">
        <f>H9-I9</f>
        <v>1400</v>
      </c>
      <c r="K9" s="3"/>
      <c r="L9" s="3"/>
    </row>
    <row r="10" spans="1:13" x14ac:dyDescent="0.25">
      <c r="A10" s="3">
        <v>6</v>
      </c>
      <c r="B10" s="30" t="s">
        <v>95</v>
      </c>
      <c r="C10" s="3"/>
      <c r="D10" s="3"/>
      <c r="E10" s="3"/>
      <c r="F10" s="3"/>
      <c r="G10" s="3"/>
      <c r="H10" s="3">
        <f t="shared" si="0"/>
        <v>0</v>
      </c>
      <c r="I10" s="30"/>
      <c r="J10" s="3">
        <f>H10-I10</f>
        <v>0</v>
      </c>
      <c r="K10" s="3"/>
      <c r="L10" s="3"/>
    </row>
    <row r="11" spans="1:13" x14ac:dyDescent="0.25">
      <c r="A11" s="3">
        <v>7</v>
      </c>
      <c r="B11" s="4" t="s">
        <v>43</v>
      </c>
      <c r="C11" s="4"/>
      <c r="D11" s="3">
        <f>'NOVEMBER 21'!J11</f>
        <v>0</v>
      </c>
      <c r="E11" s="3">
        <v>150</v>
      </c>
      <c r="F11" s="3"/>
      <c r="G11" s="3">
        <v>3000</v>
      </c>
      <c r="H11" s="3">
        <f t="shared" si="0"/>
        <v>3150</v>
      </c>
      <c r="I11" s="30">
        <v>3000</v>
      </c>
      <c r="J11" s="3">
        <f t="shared" si="1"/>
        <v>150</v>
      </c>
      <c r="K11" s="3"/>
      <c r="L11" s="3"/>
    </row>
    <row r="12" spans="1:13" x14ac:dyDescent="0.25">
      <c r="A12" s="3">
        <v>8</v>
      </c>
      <c r="B12" s="30" t="s">
        <v>95</v>
      </c>
      <c r="C12" s="3"/>
      <c r="D12" s="3"/>
      <c r="E12" s="3"/>
      <c r="F12" s="3"/>
      <c r="G12" s="3"/>
      <c r="H12" s="3">
        <f t="shared" si="0"/>
        <v>0</v>
      </c>
      <c r="I12" s="30"/>
      <c r="J12" s="3">
        <f t="shared" si="1"/>
        <v>0</v>
      </c>
      <c r="K12" s="3"/>
      <c r="L12" s="3"/>
    </row>
    <row r="13" spans="1:13" x14ac:dyDescent="0.25">
      <c r="A13" s="3">
        <v>9</v>
      </c>
      <c r="B13" s="16" t="s">
        <v>171</v>
      </c>
      <c r="C13" s="16"/>
      <c r="D13" s="3">
        <f>'NOVEMBER 21'!J13</f>
        <v>800</v>
      </c>
      <c r="E13" s="3">
        <v>150</v>
      </c>
      <c r="F13" s="3"/>
      <c r="G13" s="3">
        <v>2500</v>
      </c>
      <c r="H13" s="3">
        <f t="shared" si="0"/>
        <v>3450</v>
      </c>
      <c r="I13" s="30"/>
      <c r="J13" s="3">
        <f t="shared" si="1"/>
        <v>3450</v>
      </c>
      <c r="K13" s="3"/>
      <c r="L13" s="3"/>
    </row>
    <row r="14" spans="1:13" x14ac:dyDescent="0.25">
      <c r="A14" s="3">
        <v>10</v>
      </c>
      <c r="B14" s="16" t="s">
        <v>150</v>
      </c>
      <c r="C14" s="3"/>
      <c r="D14" s="3">
        <f>'NOVEMBER 21'!J14</f>
        <v>0</v>
      </c>
      <c r="E14" s="3">
        <v>150</v>
      </c>
      <c r="F14" s="3">
        <v>270</v>
      </c>
      <c r="G14" s="3">
        <v>2500</v>
      </c>
      <c r="H14" s="3">
        <f t="shared" si="0"/>
        <v>2920</v>
      </c>
      <c r="I14" s="30">
        <v>2500</v>
      </c>
      <c r="J14" s="3">
        <f t="shared" si="1"/>
        <v>420</v>
      </c>
      <c r="K14" s="3"/>
      <c r="L14" s="3"/>
    </row>
    <row r="15" spans="1:13" x14ac:dyDescent="0.25">
      <c r="A15" s="3">
        <v>11</v>
      </c>
      <c r="B15" s="3" t="s">
        <v>37</v>
      </c>
      <c r="C15" s="3"/>
      <c r="D15" s="3">
        <f>'NOVEMBER 21'!J15</f>
        <v>1720</v>
      </c>
      <c r="E15" s="3">
        <v>150</v>
      </c>
      <c r="F15" s="3">
        <v>270</v>
      </c>
      <c r="G15" s="3">
        <v>2500</v>
      </c>
      <c r="H15" s="3">
        <f>C15+D15+E15+F15+G15</f>
        <v>4640</v>
      </c>
      <c r="I15" s="30"/>
      <c r="J15" s="3">
        <f t="shared" si="1"/>
        <v>4640</v>
      </c>
      <c r="K15" s="3"/>
      <c r="L15" s="3"/>
    </row>
    <row r="16" spans="1:13" x14ac:dyDescent="0.25">
      <c r="A16" s="3">
        <v>12</v>
      </c>
      <c r="B16" s="16" t="s">
        <v>203</v>
      </c>
      <c r="C16" s="3"/>
      <c r="D16" s="3">
        <f>'NOVEMBER 21'!J16</f>
        <v>2640</v>
      </c>
      <c r="E16" s="3">
        <v>150</v>
      </c>
      <c r="F16" s="3">
        <v>270</v>
      </c>
      <c r="G16" s="3">
        <v>2500</v>
      </c>
      <c r="H16" s="3">
        <f t="shared" si="0"/>
        <v>5560</v>
      </c>
      <c r="I16" s="30">
        <v>2500</v>
      </c>
      <c r="J16" s="3">
        <f>H16-I16</f>
        <v>3060</v>
      </c>
      <c r="K16" s="3"/>
      <c r="L16" s="3"/>
      <c r="M16" s="5"/>
    </row>
    <row r="17" spans="1:15" x14ac:dyDescent="0.25">
      <c r="A17" s="3">
        <v>13</v>
      </c>
      <c r="B17" s="3" t="s">
        <v>131</v>
      </c>
      <c r="C17" s="3"/>
      <c r="D17" s="3">
        <f>'NOVEMBER 21'!J17</f>
        <v>150</v>
      </c>
      <c r="E17" s="3">
        <v>150</v>
      </c>
      <c r="F17" s="3">
        <v>270</v>
      </c>
      <c r="G17" s="3">
        <v>2500</v>
      </c>
      <c r="H17" s="3">
        <f t="shared" si="0"/>
        <v>3070</v>
      </c>
      <c r="I17" s="30"/>
      <c r="J17" s="3">
        <f>H17-I17</f>
        <v>3070</v>
      </c>
      <c r="K17" s="3"/>
      <c r="L17" s="3"/>
      <c r="M17" s="5"/>
    </row>
    <row r="18" spans="1:15" x14ac:dyDescent="0.25">
      <c r="A18" s="3">
        <v>14</v>
      </c>
      <c r="B18" s="3" t="s">
        <v>113</v>
      </c>
      <c r="C18" s="3"/>
      <c r="D18" s="3">
        <f>'NOVEMBER 21'!J18</f>
        <v>450</v>
      </c>
      <c r="E18" s="3">
        <v>150</v>
      </c>
      <c r="F18" s="3">
        <v>270</v>
      </c>
      <c r="G18" s="3">
        <v>2500</v>
      </c>
      <c r="H18" s="3">
        <f t="shared" si="0"/>
        <v>3370</v>
      </c>
      <c r="I18" s="30">
        <v>2920</v>
      </c>
      <c r="J18" s="3">
        <f>H18-I18</f>
        <v>450</v>
      </c>
      <c r="K18" s="3">
        <v>150</v>
      </c>
      <c r="L18" s="3">
        <v>270</v>
      </c>
      <c r="M18" s="5"/>
    </row>
    <row r="19" spans="1:15" x14ac:dyDescent="0.25">
      <c r="A19" s="3">
        <v>15</v>
      </c>
      <c r="B19" s="3" t="s">
        <v>38</v>
      </c>
      <c r="C19" s="3"/>
      <c r="D19" s="3">
        <f>'NOVEMBER 21'!J19</f>
        <v>1900</v>
      </c>
      <c r="E19" s="3">
        <v>150</v>
      </c>
      <c r="F19" s="3"/>
      <c r="G19" s="3">
        <v>4500</v>
      </c>
      <c r="H19" s="3">
        <f t="shared" si="0"/>
        <v>6550</v>
      </c>
      <c r="I19" s="30">
        <f>4000+1600</f>
        <v>5600</v>
      </c>
      <c r="J19" s="3">
        <f t="shared" si="1"/>
        <v>950</v>
      </c>
      <c r="K19" s="3"/>
      <c r="L19" s="3"/>
      <c r="M19" s="5"/>
    </row>
    <row r="20" spans="1:15" x14ac:dyDescent="0.25">
      <c r="B20" s="2" t="s">
        <v>9</v>
      </c>
      <c r="C20" s="2">
        <f>SUM(C5:C19)</f>
        <v>8000</v>
      </c>
      <c r="D20" s="3">
        <f>SUM(D5:D19)</f>
        <v>13810</v>
      </c>
      <c r="E20" s="3">
        <f t="shared" ref="E20:L20" si="2">SUM(E5:E19)</f>
        <v>1500</v>
      </c>
      <c r="F20" s="3">
        <f t="shared" si="2"/>
        <v>1350</v>
      </c>
      <c r="G20" s="2">
        <f t="shared" si="2"/>
        <v>46500</v>
      </c>
      <c r="H20" s="2">
        <f t="shared" si="2"/>
        <v>71160</v>
      </c>
      <c r="I20" s="31">
        <f t="shared" si="2"/>
        <v>43670</v>
      </c>
      <c r="J20" s="2">
        <f t="shared" si="2"/>
        <v>27490</v>
      </c>
      <c r="K20" s="2">
        <f t="shared" si="2"/>
        <v>300</v>
      </c>
      <c r="L20" s="2">
        <f t="shared" si="2"/>
        <v>270</v>
      </c>
      <c r="N20" s="41"/>
      <c r="O20" s="16"/>
    </row>
    <row r="21" spans="1:15" x14ac:dyDescent="0.25">
      <c r="B21" s="6"/>
      <c r="C21" s="6"/>
      <c r="D21" s="6"/>
      <c r="E21" s="6"/>
      <c r="F21" s="6"/>
      <c r="G21" s="6" t="s">
        <v>11</v>
      </c>
      <c r="H21" s="6"/>
      <c r="I21" s="6"/>
      <c r="J21" s="5"/>
      <c r="K21" s="5"/>
      <c r="L21" s="5"/>
    </row>
    <row r="22" spans="1:15" x14ac:dyDescent="0.25">
      <c r="B22" s="7" t="s">
        <v>12</v>
      </c>
      <c r="C22" s="7"/>
      <c r="D22" s="8"/>
      <c r="E22" s="8"/>
      <c r="F22" s="8"/>
      <c r="G22" s="9"/>
      <c r="H22" s="10"/>
      <c r="I22" s="11"/>
      <c r="J22" s="12"/>
      <c r="K22" s="12"/>
      <c r="L22" s="12"/>
      <c r="M22" s="11"/>
    </row>
    <row r="23" spans="1:15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5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  <c r="N24" s="11"/>
      <c r="O24" s="7"/>
    </row>
    <row r="25" spans="1:15" x14ac:dyDescent="0.25">
      <c r="B25" s="16" t="s">
        <v>124</v>
      </c>
      <c r="C25" s="16"/>
      <c r="D25" s="17">
        <f>G20</f>
        <v>46500</v>
      </c>
      <c r="E25" s="16"/>
      <c r="F25" s="16"/>
      <c r="G25" s="16" t="s">
        <v>124</v>
      </c>
      <c r="H25" s="17">
        <f>I20</f>
        <v>43670</v>
      </c>
      <c r="I25" s="16"/>
      <c r="J25" s="16"/>
    </row>
    <row r="26" spans="1:15" x14ac:dyDescent="0.25">
      <c r="B26" s="16" t="s">
        <v>4</v>
      </c>
      <c r="C26" s="16"/>
      <c r="D26" s="17">
        <f>'NOVEMBER 21'!F38</f>
        <v>-5500</v>
      </c>
      <c r="E26" s="16"/>
      <c r="F26" s="16"/>
      <c r="G26" s="16" t="s">
        <v>181</v>
      </c>
      <c r="H26" s="17"/>
      <c r="I26" s="16"/>
      <c r="J26" s="16"/>
    </row>
    <row r="27" spans="1:15" x14ac:dyDescent="0.25">
      <c r="B27" s="16" t="s">
        <v>39</v>
      </c>
      <c r="C27" s="16"/>
      <c r="D27" s="17">
        <f>C20</f>
        <v>8000</v>
      </c>
      <c r="E27" s="16"/>
      <c r="F27" s="16"/>
      <c r="G27" s="16" t="s">
        <v>180</v>
      </c>
      <c r="H27" s="16"/>
      <c r="I27" s="17"/>
      <c r="J27" s="16"/>
    </row>
    <row r="28" spans="1:15" x14ac:dyDescent="0.25">
      <c r="B28" s="16" t="s">
        <v>180</v>
      </c>
      <c r="C28" s="16"/>
      <c r="D28" s="17"/>
      <c r="E28" s="16"/>
      <c r="F28" s="16"/>
      <c r="G28" s="16" t="s">
        <v>4</v>
      </c>
      <c r="H28" s="17">
        <f>'NOVEMBER 21'!J38</f>
        <v>-20460</v>
      </c>
      <c r="I28" s="16"/>
      <c r="J28" s="16"/>
    </row>
    <row r="29" spans="1:15" x14ac:dyDescent="0.25">
      <c r="B29" s="16" t="s">
        <v>20</v>
      </c>
      <c r="C29" s="16"/>
      <c r="D29" s="18">
        <v>0.1</v>
      </c>
      <c r="E29" s="17">
        <f>D29*D25</f>
        <v>4650</v>
      </c>
      <c r="F29" s="16"/>
      <c r="G29" s="16" t="s">
        <v>20</v>
      </c>
      <c r="H29" s="18">
        <v>0.1</v>
      </c>
      <c r="I29" s="17">
        <f>H29*D25</f>
        <v>4650</v>
      </c>
      <c r="J29" s="16"/>
    </row>
    <row r="30" spans="1:15" x14ac:dyDescent="0.25">
      <c r="B30" s="15" t="s">
        <v>21</v>
      </c>
      <c r="C30" s="15"/>
      <c r="D30" s="19"/>
      <c r="E30" s="15"/>
      <c r="F30" s="15"/>
      <c r="G30" s="15" t="s">
        <v>21</v>
      </c>
      <c r="H30" s="19"/>
      <c r="I30" s="15"/>
      <c r="J30" s="15"/>
    </row>
    <row r="31" spans="1:15" x14ac:dyDescent="0.25">
      <c r="B31" s="16" t="s">
        <v>138</v>
      </c>
      <c r="C31" s="16"/>
      <c r="D31" s="17"/>
      <c r="E31" s="16">
        <v>30000</v>
      </c>
      <c r="F31" s="16"/>
      <c r="G31" s="16" t="s">
        <v>138</v>
      </c>
      <c r="H31" s="16"/>
      <c r="I31" s="17">
        <v>30000</v>
      </c>
      <c r="J31" s="16"/>
      <c r="L31" s="24">
        <f>D25</f>
        <v>46500</v>
      </c>
      <c r="M31" s="24">
        <f>L33</f>
        <v>41850</v>
      </c>
    </row>
    <row r="32" spans="1:15" x14ac:dyDescent="0.25">
      <c r="B32" s="22" t="s">
        <v>215</v>
      </c>
      <c r="C32" s="22"/>
      <c r="D32" s="16"/>
      <c r="E32" s="16">
        <v>5000</v>
      </c>
      <c r="F32" s="16"/>
      <c r="G32" s="22" t="s">
        <v>215</v>
      </c>
      <c r="H32" s="22"/>
      <c r="I32" s="16">
        <v>5000</v>
      </c>
      <c r="J32" s="16"/>
      <c r="L32" s="24">
        <f>E29</f>
        <v>4650</v>
      </c>
      <c r="M32">
        <v>8000</v>
      </c>
    </row>
    <row r="33" spans="2:14" x14ac:dyDescent="0.25">
      <c r="B33" s="22" t="s">
        <v>218</v>
      </c>
      <c r="C33" s="22"/>
      <c r="D33" s="16"/>
      <c r="E33" s="16">
        <v>3500</v>
      </c>
      <c r="F33" s="16"/>
      <c r="G33" s="22" t="s">
        <v>208</v>
      </c>
      <c r="H33" s="22"/>
      <c r="I33" s="16">
        <v>1860</v>
      </c>
      <c r="J33" s="16"/>
      <c r="L33" s="24">
        <f>L31-L32</f>
        <v>41850</v>
      </c>
      <c r="M33" s="24">
        <f>M31+M32</f>
        <v>49850</v>
      </c>
    </row>
    <row r="34" spans="2:14" x14ac:dyDescent="0.25">
      <c r="B34" s="22"/>
      <c r="C34" s="16"/>
      <c r="D34" s="22"/>
      <c r="E34" s="16"/>
      <c r="F34" s="16"/>
      <c r="G34" s="22" t="s">
        <v>180</v>
      </c>
      <c r="H34" s="16"/>
      <c r="J34" s="16"/>
      <c r="L34" s="24">
        <v>30000</v>
      </c>
      <c r="M34">
        <f>E31</f>
        <v>30000</v>
      </c>
      <c r="N34">
        <v>5500</v>
      </c>
    </row>
    <row r="35" spans="2:14" x14ac:dyDescent="0.25">
      <c r="B35" s="22" t="s">
        <v>217</v>
      </c>
      <c r="C35" s="22"/>
      <c r="D35" s="16"/>
      <c r="E35" s="16">
        <v>8000</v>
      </c>
      <c r="F35" s="16"/>
      <c r="G35" s="22" t="s">
        <v>217</v>
      </c>
      <c r="H35" s="22"/>
      <c r="I35" s="16">
        <v>8000</v>
      </c>
      <c r="J35" s="16"/>
      <c r="L35" s="24">
        <f>L33-L34</f>
        <v>11850</v>
      </c>
      <c r="M35" s="24">
        <f>M33-M34</f>
        <v>19850</v>
      </c>
      <c r="N35">
        <v>2500</v>
      </c>
    </row>
    <row r="36" spans="2:14" x14ac:dyDescent="0.25">
      <c r="B36" s="22"/>
      <c r="C36" s="16"/>
      <c r="D36" s="22"/>
      <c r="E36" s="16"/>
      <c r="F36" s="16"/>
      <c r="G36" s="22"/>
      <c r="H36" s="16"/>
      <c r="J36" s="16"/>
      <c r="L36" s="24">
        <v>5000</v>
      </c>
      <c r="M36" s="24">
        <v>5500</v>
      </c>
      <c r="N36">
        <f>N34-N35</f>
        <v>3000</v>
      </c>
    </row>
    <row r="37" spans="2:14" x14ac:dyDescent="0.25">
      <c r="B37" s="22"/>
      <c r="C37" s="16"/>
      <c r="D37" s="22"/>
      <c r="E37" s="16"/>
      <c r="F37" s="16"/>
      <c r="G37" s="22"/>
      <c r="H37" s="16"/>
      <c r="J37" s="16"/>
      <c r="L37" s="24">
        <f>L35-L36</f>
        <v>6850</v>
      </c>
      <c r="M37" s="24">
        <f>M35-M36</f>
        <v>14350</v>
      </c>
    </row>
    <row r="38" spans="2:14" x14ac:dyDescent="0.25">
      <c r="B38" s="15" t="s">
        <v>9</v>
      </c>
      <c r="C38" s="15"/>
      <c r="D38" s="19">
        <f>D25+D26+D28+D27</f>
        <v>49000</v>
      </c>
      <c r="E38" s="19">
        <f>SUM(E29:E37)</f>
        <v>51150</v>
      </c>
      <c r="F38" s="19">
        <f>D38-E38</f>
        <v>-2150</v>
      </c>
      <c r="G38" s="15" t="s">
        <v>9</v>
      </c>
      <c r="H38" s="19">
        <f>H25+H28+H26+H27-I29</f>
        <v>18560</v>
      </c>
      <c r="I38" s="19">
        <f>SUM(I31:I37)</f>
        <v>44860</v>
      </c>
      <c r="J38" s="19">
        <f>H38-I38</f>
        <v>-26300</v>
      </c>
      <c r="L38">
        <v>2500</v>
      </c>
      <c r="M38" s="24">
        <f>5000</f>
        <v>5000</v>
      </c>
    </row>
    <row r="39" spans="2:14" x14ac:dyDescent="0.25">
      <c r="E39" t="s">
        <v>23</v>
      </c>
      <c r="H39" t="s">
        <v>24</v>
      </c>
      <c r="L39" s="24">
        <f>L37-L38</f>
        <v>4350</v>
      </c>
      <c r="M39" s="24">
        <f>M37-M38</f>
        <v>9350</v>
      </c>
    </row>
    <row r="40" spans="2:14" x14ac:dyDescent="0.25">
      <c r="B40" t="s">
        <v>22</v>
      </c>
      <c r="E40" t="s">
        <v>26</v>
      </c>
      <c r="H40" t="s">
        <v>27</v>
      </c>
      <c r="M40">
        <v>3500</v>
      </c>
    </row>
    <row r="41" spans="2:14" x14ac:dyDescent="0.25">
      <c r="B41" t="s">
        <v>25</v>
      </c>
      <c r="M41" s="24">
        <f>M39-M40</f>
        <v>5850</v>
      </c>
    </row>
    <row r="42" spans="2:14" x14ac:dyDescent="0.25">
      <c r="M42">
        <v>8000</v>
      </c>
    </row>
    <row r="43" spans="2:14" x14ac:dyDescent="0.25">
      <c r="M43" s="24">
        <f>M41-M42</f>
        <v>-2150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N13" sqref="N13"/>
    </sheetView>
  </sheetViews>
  <sheetFormatPr defaultRowHeight="15" x14ac:dyDescent="0.25"/>
  <cols>
    <col min="1" max="1" width="4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56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'APRIL 20'!H5:H18</f>
        <v>1000</v>
      </c>
      <c r="E5" s="3">
        <v>5000</v>
      </c>
      <c r="F5" s="3">
        <f>D5+E5+C5</f>
        <v>6000</v>
      </c>
      <c r="G5" s="30">
        <f>1000+5000</f>
        <v>6000</v>
      </c>
      <c r="H5" s="3">
        <f>F5-G5</f>
        <v>0</v>
      </c>
      <c r="I5" t="s">
        <v>68</v>
      </c>
    </row>
    <row r="6" spans="1:11" x14ac:dyDescent="0.25">
      <c r="A6" s="3" t="s">
        <v>30</v>
      </c>
      <c r="B6" s="3" t="s">
        <v>41</v>
      </c>
      <c r="C6" s="3"/>
      <c r="D6" s="3">
        <f>'APRIL 20'!H6:H19</f>
        <v>0</v>
      </c>
      <c r="E6" s="3">
        <v>5000</v>
      </c>
      <c r="F6" s="3">
        <f t="shared" ref="F6:F18" si="0">D6+E6+C6</f>
        <v>5000</v>
      </c>
      <c r="G6" s="30">
        <v>5000</v>
      </c>
      <c r="H6" s="3">
        <f t="shared" ref="H6:H18" si="1">F6-G6</f>
        <v>0</v>
      </c>
    </row>
    <row r="7" spans="1:11" x14ac:dyDescent="0.25">
      <c r="A7" s="3">
        <v>3</v>
      </c>
      <c r="B7" s="3" t="s">
        <v>32</v>
      </c>
      <c r="C7" s="3"/>
      <c r="D7" s="3">
        <f>'APRIL 20'!H7:H20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'APRIL 20'!H8:H21</f>
        <v>1500</v>
      </c>
      <c r="E8" s="3">
        <v>3000</v>
      </c>
      <c r="F8" s="3">
        <f t="shared" si="0"/>
        <v>4500</v>
      </c>
      <c r="G8" s="30">
        <f>2000+1000</f>
        <v>3000</v>
      </c>
      <c r="H8" s="3">
        <f t="shared" si="1"/>
        <v>1500</v>
      </c>
    </row>
    <row r="9" spans="1:11" x14ac:dyDescent="0.25">
      <c r="A9" s="3">
        <v>5</v>
      </c>
      <c r="B9" s="3" t="s">
        <v>74</v>
      </c>
      <c r="C9" s="3"/>
      <c r="D9" s="3">
        <f>'APRIL 20'!H9:H22</f>
        <v>0</v>
      </c>
      <c r="E9" s="3"/>
      <c r="F9" s="3">
        <f t="shared" si="0"/>
        <v>0</v>
      </c>
      <c r="G9" s="30"/>
      <c r="H9" s="3">
        <f t="shared" si="1"/>
        <v>0</v>
      </c>
    </row>
    <row r="10" spans="1:11" x14ac:dyDescent="0.25">
      <c r="A10" s="3">
        <v>6</v>
      </c>
      <c r="B10" s="4" t="s">
        <v>43</v>
      </c>
      <c r="C10" s="4"/>
      <c r="D10" s="3">
        <f>'APRIL 20'!H10:H23</f>
        <v>1500</v>
      </c>
      <c r="E10" s="3">
        <v>3000</v>
      </c>
      <c r="F10" s="3">
        <f t="shared" si="0"/>
        <v>4500</v>
      </c>
      <c r="G10" s="30">
        <f>1500+1500+1500</f>
        <v>4500</v>
      </c>
      <c r="H10" s="3">
        <f t="shared" si="1"/>
        <v>0</v>
      </c>
      <c r="I10" t="s">
        <v>57</v>
      </c>
    </row>
    <row r="11" spans="1:11" x14ac:dyDescent="0.25">
      <c r="A11" s="3">
        <v>7</v>
      </c>
      <c r="B11" s="3" t="s">
        <v>45</v>
      </c>
      <c r="C11" s="3"/>
      <c r="D11" s="3">
        <f>'APRIL 20'!H11:H24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1" x14ac:dyDescent="0.25">
      <c r="A12" s="3">
        <v>8</v>
      </c>
      <c r="B12" s="3" t="s">
        <v>44</v>
      </c>
      <c r="C12" s="3"/>
      <c r="D12" s="3">
        <f>'APRIL 20'!H12:H25</f>
        <v>0</v>
      </c>
      <c r="E12" s="3">
        <v>2500</v>
      </c>
      <c r="F12" s="3">
        <f t="shared" si="0"/>
        <v>2500</v>
      </c>
      <c r="G12" s="30">
        <v>2500</v>
      </c>
      <c r="H12" s="3">
        <f t="shared" si="1"/>
        <v>0</v>
      </c>
      <c r="I12" t="s">
        <v>73</v>
      </c>
    </row>
    <row r="13" spans="1:11" x14ac:dyDescent="0.25">
      <c r="A13" s="3">
        <v>9</v>
      </c>
      <c r="B13" s="3" t="s">
        <v>35</v>
      </c>
      <c r="C13" s="3"/>
      <c r="D13" s="3">
        <f>'APRIL 20'!H13:H26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  <c r="K13" s="5"/>
    </row>
    <row r="14" spans="1:11" x14ac:dyDescent="0.25">
      <c r="A14" s="3">
        <v>10</v>
      </c>
      <c r="B14" s="3" t="s">
        <v>42</v>
      </c>
      <c r="C14" s="3"/>
      <c r="D14" s="3">
        <f>'APRIL 20'!H14:H27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  <c r="K14" s="5"/>
    </row>
    <row r="15" spans="1:11" x14ac:dyDescent="0.25">
      <c r="A15" s="3">
        <v>11</v>
      </c>
      <c r="B15" s="3" t="s">
        <v>36</v>
      </c>
      <c r="C15" s="3"/>
      <c r="D15" s="3">
        <f>'APRIL 20'!H15:H28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I15" s="5"/>
      <c r="K15" s="5"/>
    </row>
    <row r="16" spans="1:11" x14ac:dyDescent="0.25">
      <c r="A16" s="3">
        <v>12</v>
      </c>
      <c r="B16" s="3" t="s">
        <v>37</v>
      </c>
      <c r="C16" s="3"/>
      <c r="D16" s="3">
        <f>'APRIL 20'!H16:H29</f>
        <v>500</v>
      </c>
      <c r="E16" s="3">
        <v>4500</v>
      </c>
      <c r="F16" s="3">
        <f>D16+E16+C16</f>
        <v>5000</v>
      </c>
      <c r="G16" s="30">
        <f>500+4000</f>
        <v>4500</v>
      </c>
      <c r="H16" s="3">
        <f t="shared" si="1"/>
        <v>500</v>
      </c>
      <c r="I16" s="5" t="s">
        <v>67</v>
      </c>
      <c r="K16" s="5"/>
    </row>
    <row r="17" spans="1:11" x14ac:dyDescent="0.25">
      <c r="A17" s="3">
        <v>13</v>
      </c>
      <c r="B17" s="3" t="s">
        <v>38</v>
      </c>
      <c r="C17" s="3"/>
      <c r="D17" s="3">
        <f>'APRIL 20'!H17:H30</f>
        <v>0</v>
      </c>
      <c r="E17" s="3">
        <v>4500</v>
      </c>
      <c r="F17" s="3">
        <f t="shared" si="0"/>
        <v>4500</v>
      </c>
      <c r="G17" s="30">
        <f>3000+1500</f>
        <v>4500</v>
      </c>
      <c r="H17" s="3">
        <f t="shared" si="1"/>
        <v>0</v>
      </c>
      <c r="I17" s="5"/>
      <c r="K17" s="5"/>
    </row>
    <row r="18" spans="1:11" x14ac:dyDescent="0.25">
      <c r="A18" s="3">
        <v>14</v>
      </c>
      <c r="B18" s="3"/>
      <c r="C18" s="3"/>
      <c r="D18" s="3"/>
      <c r="E18" s="3"/>
      <c r="F18" s="3">
        <f t="shared" si="0"/>
        <v>0</v>
      </c>
      <c r="G18" s="30"/>
      <c r="H18" s="3">
        <f t="shared" si="1"/>
        <v>0</v>
      </c>
      <c r="I18" s="5"/>
      <c r="J18" s="29"/>
      <c r="K18" s="5"/>
    </row>
    <row r="19" spans="1:11" x14ac:dyDescent="0.25">
      <c r="A19" s="3"/>
      <c r="B19" s="2" t="s">
        <v>9</v>
      </c>
      <c r="C19" s="2">
        <f t="shared" ref="C19:H19" si="2">SUM(C5:C18)</f>
        <v>0</v>
      </c>
      <c r="D19" s="3">
        <f>SUM(D5:D18)</f>
        <v>4500</v>
      </c>
      <c r="E19" s="2">
        <f>SUM(E5:E18)</f>
        <v>41000</v>
      </c>
      <c r="F19" s="2">
        <f>SUM(F5:F18)</f>
        <v>45500</v>
      </c>
      <c r="G19" s="31">
        <f t="shared" si="2"/>
        <v>43500</v>
      </c>
      <c r="H19" s="2">
        <f t="shared" si="2"/>
        <v>2000</v>
      </c>
      <c r="J19" t="s">
        <v>10</v>
      </c>
    </row>
    <row r="20" spans="1:11" x14ac:dyDescent="0.25">
      <c r="A20" s="5"/>
      <c r="B20" s="6"/>
      <c r="C20" s="6"/>
      <c r="D20" s="6"/>
      <c r="E20" s="6" t="s">
        <v>11</v>
      </c>
      <c r="F20" s="6"/>
      <c r="G20" s="6"/>
      <c r="H20" s="5"/>
      <c r="J20" s="29"/>
    </row>
    <row r="21" spans="1:11" x14ac:dyDescent="0.25">
      <c r="B21" s="7" t="s">
        <v>12</v>
      </c>
      <c r="C21" s="7"/>
      <c r="D21" s="8"/>
      <c r="E21" s="9"/>
      <c r="F21" s="10"/>
      <c r="G21" s="11"/>
      <c r="H21" s="12"/>
      <c r="I21" s="11"/>
      <c r="J21" s="7"/>
    </row>
    <row r="22" spans="1:11" x14ac:dyDescent="0.25">
      <c r="B22" s="13" t="s">
        <v>13</v>
      </c>
      <c r="C22" s="13"/>
      <c r="D22" s="13"/>
      <c r="E22" s="13"/>
      <c r="F22" s="14"/>
      <c r="G22" s="13" t="s">
        <v>14</v>
      </c>
      <c r="H22" s="7"/>
      <c r="I22" s="7"/>
      <c r="J22" s="7"/>
    </row>
    <row r="23" spans="1:11" x14ac:dyDescent="0.25">
      <c r="B23" s="15" t="s">
        <v>15</v>
      </c>
      <c r="C23" s="15"/>
      <c r="D23" s="15" t="s">
        <v>16</v>
      </c>
      <c r="E23" s="15" t="s">
        <v>17</v>
      </c>
      <c r="F23" s="15" t="s">
        <v>18</v>
      </c>
      <c r="G23" s="15" t="s">
        <v>15</v>
      </c>
      <c r="H23" s="15" t="s">
        <v>16</v>
      </c>
      <c r="I23" s="15" t="s">
        <v>17</v>
      </c>
      <c r="J23" s="15" t="s">
        <v>18</v>
      </c>
    </row>
    <row r="24" spans="1:11" x14ac:dyDescent="0.25">
      <c r="B24" s="16" t="s">
        <v>55</v>
      </c>
      <c r="C24" s="16"/>
      <c r="D24" s="17">
        <f>E19</f>
        <v>41000</v>
      </c>
      <c r="E24" s="16"/>
      <c r="F24" s="16"/>
      <c r="G24" s="16" t="s">
        <v>55</v>
      </c>
      <c r="H24" s="17">
        <f>G19</f>
        <v>43500</v>
      </c>
      <c r="I24" s="16"/>
      <c r="J24" s="16"/>
    </row>
    <row r="25" spans="1:11" x14ac:dyDescent="0.25">
      <c r="B25" s="16" t="s">
        <v>4</v>
      </c>
      <c r="C25" s="16"/>
      <c r="D25" s="17">
        <f>'APRIL 20'!F38</f>
        <v>-5344</v>
      </c>
      <c r="E25" s="16"/>
      <c r="F25" s="16"/>
      <c r="G25" s="16"/>
      <c r="H25" s="17"/>
      <c r="I25" s="16"/>
      <c r="J25" s="16"/>
    </row>
    <row r="26" spans="1:11" x14ac:dyDescent="0.25">
      <c r="B26" s="16" t="s">
        <v>39</v>
      </c>
      <c r="C26" s="16"/>
      <c r="D26" s="17">
        <f>C19</f>
        <v>0</v>
      </c>
      <c r="E26" s="16"/>
      <c r="F26" s="16"/>
      <c r="G26" s="16" t="s">
        <v>4</v>
      </c>
      <c r="H26" s="17">
        <f>'APRIL 20'!J38</f>
        <v>-9844</v>
      </c>
      <c r="I26" s="16"/>
      <c r="J26" s="16"/>
    </row>
    <row r="27" spans="1:11" x14ac:dyDescent="0.25">
      <c r="B27" s="16" t="s">
        <v>20</v>
      </c>
      <c r="C27" s="16"/>
      <c r="D27" s="18">
        <v>0.1</v>
      </c>
      <c r="E27" s="17">
        <f>D27*D24</f>
        <v>4100</v>
      </c>
      <c r="F27" s="16"/>
      <c r="G27" s="16" t="s">
        <v>20</v>
      </c>
      <c r="H27" s="18">
        <v>0.1</v>
      </c>
      <c r="I27" s="17">
        <f>H27*D24</f>
        <v>4100</v>
      </c>
      <c r="J27" s="16"/>
    </row>
    <row r="28" spans="1:11" x14ac:dyDescent="0.25">
      <c r="B28" s="15" t="s">
        <v>21</v>
      </c>
      <c r="C28" s="15"/>
      <c r="D28" s="19"/>
      <c r="E28" s="15"/>
      <c r="F28" s="15"/>
      <c r="G28" s="15" t="s">
        <v>21</v>
      </c>
      <c r="H28" s="19"/>
      <c r="I28" s="15"/>
      <c r="J28" s="15"/>
    </row>
    <row r="29" spans="1:11" x14ac:dyDescent="0.25">
      <c r="B29" s="16" t="s">
        <v>65</v>
      </c>
      <c r="C29" s="15"/>
      <c r="D29" s="19"/>
      <c r="E29" s="15">
        <v>9060</v>
      </c>
      <c r="F29" s="15"/>
      <c r="G29" s="16" t="s">
        <v>65</v>
      </c>
      <c r="H29" s="15"/>
      <c r="I29" s="19">
        <v>9060</v>
      </c>
      <c r="J29" s="15"/>
    </row>
    <row r="30" spans="1:11" x14ac:dyDescent="0.25">
      <c r="B30" s="15" t="s">
        <v>66</v>
      </c>
      <c r="C30" s="15"/>
      <c r="D30" s="19"/>
      <c r="E30" s="15">
        <v>10000</v>
      </c>
      <c r="F30" s="15"/>
      <c r="G30" s="15" t="s">
        <v>66</v>
      </c>
      <c r="H30" s="15"/>
      <c r="I30" s="19">
        <v>10000</v>
      </c>
      <c r="J30" s="15"/>
    </row>
    <row r="31" spans="1:11" x14ac:dyDescent="0.25">
      <c r="B31" s="22" t="s">
        <v>69</v>
      </c>
      <c r="C31" s="22"/>
      <c r="D31" s="16" t="s">
        <v>86</v>
      </c>
      <c r="E31" s="16">
        <f>1500+500+1000</f>
        <v>3000</v>
      </c>
      <c r="F31" s="16"/>
      <c r="G31" s="22" t="s">
        <v>69</v>
      </c>
      <c r="H31" s="22" t="s">
        <v>86</v>
      </c>
      <c r="I31" s="16">
        <f>2000+1000</f>
        <v>3000</v>
      </c>
      <c r="J31" s="16"/>
    </row>
    <row r="32" spans="1:11" x14ac:dyDescent="0.25">
      <c r="B32" s="22" t="s">
        <v>71</v>
      </c>
      <c r="C32" s="22"/>
      <c r="D32" s="16"/>
      <c r="E32" s="16">
        <v>9490</v>
      </c>
      <c r="F32" s="16"/>
      <c r="G32" s="22" t="s">
        <v>71</v>
      </c>
      <c r="H32" s="22"/>
      <c r="I32" s="16">
        <v>9490</v>
      </c>
      <c r="J32" s="16"/>
    </row>
    <row r="33" spans="2:10" x14ac:dyDescent="0.25">
      <c r="B33" s="22" t="s">
        <v>70</v>
      </c>
      <c r="C33" s="22"/>
      <c r="D33" s="16"/>
      <c r="E33" s="16">
        <v>1056</v>
      </c>
      <c r="F33" s="16"/>
      <c r="G33" s="22" t="s">
        <v>70</v>
      </c>
      <c r="H33" s="22"/>
      <c r="I33" s="16">
        <v>1056</v>
      </c>
      <c r="J33" s="16"/>
    </row>
    <row r="34" spans="2:10" x14ac:dyDescent="0.25">
      <c r="B34" s="21" t="s">
        <v>72</v>
      </c>
      <c r="C34" s="21"/>
      <c r="D34" s="16"/>
      <c r="E34" s="23">
        <v>3000</v>
      </c>
      <c r="F34" s="16"/>
      <c r="G34" s="21" t="s">
        <v>72</v>
      </c>
      <c r="H34" s="21"/>
      <c r="I34" s="16">
        <v>3000</v>
      </c>
      <c r="J34" s="23"/>
    </row>
    <row r="35" spans="2:10" x14ac:dyDescent="0.25">
      <c r="B35" s="21" t="s">
        <v>84</v>
      </c>
      <c r="C35" s="21"/>
      <c r="D35" s="16"/>
      <c r="E35" s="23">
        <v>2500</v>
      </c>
      <c r="F35" s="16"/>
      <c r="G35" s="21" t="s">
        <v>84</v>
      </c>
      <c r="H35" s="16"/>
      <c r="I35" s="23">
        <v>2500</v>
      </c>
      <c r="J35" s="23"/>
    </row>
    <row r="36" spans="2:10" x14ac:dyDescent="0.25">
      <c r="B36" s="21" t="s">
        <v>77</v>
      </c>
      <c r="C36" s="21"/>
      <c r="D36" s="16"/>
      <c r="E36" s="23">
        <v>500</v>
      </c>
      <c r="F36" s="16"/>
      <c r="G36" s="21" t="s">
        <v>77</v>
      </c>
      <c r="H36" s="21"/>
      <c r="I36" s="16">
        <v>500</v>
      </c>
      <c r="J36" s="23"/>
    </row>
    <row r="37" spans="2:10" x14ac:dyDescent="0.25">
      <c r="B37" s="15" t="s">
        <v>9</v>
      </c>
      <c r="C37" s="15"/>
      <c r="D37" s="19">
        <f>D24+D25+D26</f>
        <v>35656</v>
      </c>
      <c r="E37" s="19">
        <f>SUM(E27:E36)</f>
        <v>42706</v>
      </c>
      <c r="F37" s="19">
        <f>D37-E37</f>
        <v>-7050</v>
      </c>
      <c r="G37" s="15" t="s">
        <v>9</v>
      </c>
      <c r="H37" s="19">
        <f>H24+H26+H25</f>
        <v>33656</v>
      </c>
      <c r="I37" s="19">
        <f>SUM(I27:I36)</f>
        <v>42706</v>
      </c>
      <c r="J37" s="19">
        <f>H37-I37</f>
        <v>-9050</v>
      </c>
    </row>
    <row r="39" spans="2:10" x14ac:dyDescent="0.25">
      <c r="B39" t="s">
        <v>22</v>
      </c>
      <c r="E39" t="s">
        <v>23</v>
      </c>
      <c r="H39" t="s">
        <v>24</v>
      </c>
      <c r="J39" s="24"/>
    </row>
    <row r="40" spans="2:10" x14ac:dyDescent="0.25">
      <c r="B40" t="s">
        <v>25</v>
      </c>
      <c r="E40" t="s">
        <v>26</v>
      </c>
      <c r="H40" t="s">
        <v>27</v>
      </c>
    </row>
    <row r="41" spans="2:10" x14ac:dyDescent="0.25">
      <c r="J41" s="2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J40" sqref="J40"/>
    </sheetView>
  </sheetViews>
  <sheetFormatPr defaultRowHeight="15" x14ac:dyDescent="0.25"/>
  <cols>
    <col min="1" max="1" width="6.5703125" customWidth="1"/>
    <col min="3" max="3" width="10.14062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75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'MAY 20'!H5:H18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'MAY 20'!H6:H19</f>
        <v>0</v>
      </c>
      <c r="E6" s="3">
        <v>5000</v>
      </c>
      <c r="F6" s="3">
        <f t="shared" ref="F6:F19" si="0">D6+E6+C6</f>
        <v>5000</v>
      </c>
      <c r="G6" s="30">
        <v>5000</v>
      </c>
      <c r="H6" s="3">
        <f t="shared" ref="H6:H19" si="1">F6-G6</f>
        <v>0</v>
      </c>
    </row>
    <row r="7" spans="1:11" x14ac:dyDescent="0.25">
      <c r="A7" s="3">
        <v>3</v>
      </c>
      <c r="B7" s="3" t="s">
        <v>32</v>
      </c>
      <c r="C7" s="3"/>
      <c r="D7" s="3">
        <f>'MAY 20'!H7:H20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'MAY 20'!H8:H21</f>
        <v>1500</v>
      </c>
      <c r="E8" s="3">
        <v>3000</v>
      </c>
      <c r="F8" s="3">
        <f t="shared" si="0"/>
        <v>4500</v>
      </c>
      <c r="G8" s="30">
        <f>3500</f>
        <v>3500</v>
      </c>
      <c r="H8" s="3">
        <f t="shared" si="1"/>
        <v>1000</v>
      </c>
    </row>
    <row r="9" spans="1:11" x14ac:dyDescent="0.25">
      <c r="A9" s="34" t="s">
        <v>79</v>
      </c>
      <c r="B9" s="3" t="s">
        <v>88</v>
      </c>
      <c r="C9" s="3"/>
      <c r="D9" s="3"/>
      <c r="E9" s="3">
        <v>6500</v>
      </c>
      <c r="F9" s="3">
        <f>D9+E9+C9</f>
        <v>6500</v>
      </c>
      <c r="G9" s="30">
        <v>6000</v>
      </c>
      <c r="H9" s="3">
        <f>F9-G9</f>
        <v>500</v>
      </c>
    </row>
    <row r="10" spans="1:11" x14ac:dyDescent="0.25">
      <c r="A10" s="3" t="s">
        <v>80</v>
      </c>
      <c r="B10" s="30" t="s">
        <v>74</v>
      </c>
      <c r="C10" s="3"/>
      <c r="D10" s="3">
        <f>'MAY 20'!H9:H22</f>
        <v>0</v>
      </c>
      <c r="E10" s="3"/>
      <c r="F10" s="3">
        <f t="shared" si="0"/>
        <v>0</v>
      </c>
      <c r="G10" s="30"/>
      <c r="H10" s="3">
        <f t="shared" si="1"/>
        <v>0</v>
      </c>
    </row>
    <row r="11" spans="1:11" x14ac:dyDescent="0.25">
      <c r="A11" s="3">
        <v>6</v>
      </c>
      <c r="B11" s="4" t="s">
        <v>43</v>
      </c>
      <c r="C11" s="4"/>
      <c r="D11" s="3">
        <f>'MAY 20'!H10:H23</f>
        <v>0</v>
      </c>
      <c r="E11" s="3">
        <v>3000</v>
      </c>
      <c r="F11" s="3">
        <f t="shared" si="0"/>
        <v>3000</v>
      </c>
      <c r="G11" s="30">
        <f>2000+1000</f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'MAY 20'!H11:H24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89</v>
      </c>
      <c r="C13" s="3"/>
      <c r="D13" s="3">
        <f>'MAY 20'!H12:H25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  <c r="I13" t="s">
        <v>81</v>
      </c>
    </row>
    <row r="14" spans="1:11" x14ac:dyDescent="0.25">
      <c r="A14" s="3">
        <v>9</v>
      </c>
      <c r="B14" s="3" t="s">
        <v>35</v>
      </c>
      <c r="C14" s="3"/>
      <c r="D14" s="3">
        <f>'MAY 20'!H13:H26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  <c r="K14" s="5"/>
    </row>
    <row r="15" spans="1:11" x14ac:dyDescent="0.25">
      <c r="A15" s="3">
        <v>10</v>
      </c>
      <c r="B15" s="3" t="s">
        <v>42</v>
      </c>
      <c r="C15" s="3"/>
      <c r="D15" s="3">
        <f>'MAY 20'!H14:H27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K15" s="5"/>
    </row>
    <row r="16" spans="1:11" x14ac:dyDescent="0.25">
      <c r="A16" s="3">
        <v>11</v>
      </c>
      <c r="B16" s="3" t="s">
        <v>36</v>
      </c>
      <c r="C16" s="3"/>
      <c r="D16" s="3"/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  <c r="K16" s="5"/>
    </row>
    <row r="17" spans="1:11" x14ac:dyDescent="0.25">
      <c r="A17" s="3">
        <v>12</v>
      </c>
      <c r="B17" s="3" t="s">
        <v>37</v>
      </c>
      <c r="C17" s="3"/>
      <c r="D17" s="3">
        <f>'MAY 20'!H16</f>
        <v>500</v>
      </c>
      <c r="E17" s="3">
        <v>4500</v>
      </c>
      <c r="F17" s="3">
        <f>D17+E17+C17</f>
        <v>5000</v>
      </c>
      <c r="G17" s="30">
        <f>4500+500</f>
        <v>5000</v>
      </c>
      <c r="H17" s="3">
        <f t="shared" si="1"/>
        <v>0</v>
      </c>
      <c r="I17" s="5"/>
      <c r="K17" s="5"/>
    </row>
    <row r="18" spans="1:11" x14ac:dyDescent="0.25">
      <c r="A18" s="3">
        <v>13</v>
      </c>
      <c r="B18" s="3" t="s">
        <v>38</v>
      </c>
      <c r="C18" s="3"/>
      <c r="D18" s="3">
        <f>'MAY 20'!H17:H30</f>
        <v>0</v>
      </c>
      <c r="E18" s="3">
        <v>4500</v>
      </c>
      <c r="F18" s="3">
        <f t="shared" si="0"/>
        <v>4500</v>
      </c>
      <c r="G18" s="30">
        <f>4500</f>
        <v>4500</v>
      </c>
      <c r="H18" s="3">
        <f t="shared" si="1"/>
        <v>0</v>
      </c>
      <c r="I18" s="5"/>
      <c r="K18" s="5"/>
    </row>
    <row r="19" spans="1:11" x14ac:dyDescent="0.25">
      <c r="A19" s="3">
        <v>14</v>
      </c>
      <c r="B19" s="3"/>
      <c r="C19" s="3"/>
      <c r="D19" s="3"/>
      <c r="E19" s="3"/>
      <c r="F19" s="3">
        <f t="shared" si="0"/>
        <v>0</v>
      </c>
      <c r="G19" s="30"/>
      <c r="H19" s="3">
        <f t="shared" si="1"/>
        <v>0</v>
      </c>
      <c r="I19" s="5"/>
      <c r="J19" s="29"/>
      <c r="K19" s="5"/>
    </row>
    <row r="20" spans="1:11" x14ac:dyDescent="0.25">
      <c r="A20" s="3"/>
      <c r="B20" s="2" t="s">
        <v>9</v>
      </c>
      <c r="C20" s="2">
        <f t="shared" ref="C20:H20" si="2">SUM(C5:C19)</f>
        <v>0</v>
      </c>
      <c r="D20" s="3">
        <f>SUM(D5:D19)</f>
        <v>2000</v>
      </c>
      <c r="E20" s="2">
        <f>SUM(E5:E19)</f>
        <v>47500</v>
      </c>
      <c r="F20" s="2">
        <f>SUM(F5:F19)</f>
        <v>49500</v>
      </c>
      <c r="G20" s="31">
        <f t="shared" si="2"/>
        <v>48000</v>
      </c>
      <c r="H20" s="2">
        <f t="shared" si="2"/>
        <v>1500</v>
      </c>
      <c r="J20" t="s">
        <v>10</v>
      </c>
    </row>
    <row r="21" spans="1:11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1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1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1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1" x14ac:dyDescent="0.25">
      <c r="B25" s="16" t="s">
        <v>76</v>
      </c>
      <c r="C25" s="16"/>
      <c r="D25" s="17">
        <f>E20</f>
        <v>47500</v>
      </c>
      <c r="E25" s="16"/>
      <c r="F25" s="16"/>
      <c r="G25" s="16" t="s">
        <v>76</v>
      </c>
      <c r="H25" s="17">
        <f>G20</f>
        <v>48000</v>
      </c>
      <c r="I25" s="16"/>
      <c r="J25" s="16"/>
    </row>
    <row r="26" spans="1:11" x14ac:dyDescent="0.25">
      <c r="B26" s="16" t="s">
        <v>4</v>
      </c>
      <c r="C26" s="16"/>
      <c r="D26" s="17">
        <f>'MAY 20'!F37</f>
        <v>-7050</v>
      </c>
      <c r="E26" s="16"/>
      <c r="F26" s="16"/>
      <c r="G26" s="16"/>
      <c r="H26" s="17"/>
      <c r="I26" s="16"/>
      <c r="J26" s="16"/>
    </row>
    <row r="27" spans="1:11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'MAY 20'!J37</f>
        <v>-9050</v>
      </c>
      <c r="I27" s="16"/>
      <c r="J27" s="16"/>
    </row>
    <row r="28" spans="1:11" x14ac:dyDescent="0.25">
      <c r="B28" s="16" t="s">
        <v>20</v>
      </c>
      <c r="C28" s="16"/>
      <c r="D28" s="18">
        <v>0.1</v>
      </c>
      <c r="E28" s="17">
        <f>D28*D25</f>
        <v>4750</v>
      </c>
      <c r="F28" s="16"/>
      <c r="G28" s="16" t="s">
        <v>20</v>
      </c>
      <c r="H28" s="18">
        <v>0.1</v>
      </c>
      <c r="I28" s="17">
        <f>H28*D25</f>
        <v>4750</v>
      </c>
      <c r="J28" s="16"/>
    </row>
    <row r="29" spans="1:11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1" x14ac:dyDescent="0.25">
      <c r="B30" s="16"/>
      <c r="C30" s="15"/>
      <c r="D30" s="19"/>
      <c r="E30" s="16"/>
      <c r="F30" s="15"/>
      <c r="G30" s="16"/>
      <c r="H30" s="15"/>
      <c r="I30" s="17"/>
      <c r="J30" s="15"/>
    </row>
    <row r="31" spans="1:11" x14ac:dyDescent="0.25">
      <c r="B31" s="16" t="s">
        <v>78</v>
      </c>
      <c r="C31" s="16"/>
      <c r="D31" s="17"/>
      <c r="E31" s="16">
        <f>11350+112</f>
        <v>11462</v>
      </c>
      <c r="F31" s="16"/>
      <c r="G31" s="16" t="s">
        <v>78</v>
      </c>
      <c r="H31" s="16"/>
      <c r="I31" s="17">
        <f>E31</f>
        <v>11462</v>
      </c>
      <c r="J31" s="16"/>
    </row>
    <row r="32" spans="1:11" x14ac:dyDescent="0.25">
      <c r="B32" s="22" t="s">
        <v>90</v>
      </c>
      <c r="C32" s="22"/>
      <c r="D32" s="16"/>
      <c r="E32" s="16">
        <f>2500</f>
        <v>2500</v>
      </c>
      <c r="F32" s="16"/>
      <c r="G32" s="22" t="s">
        <v>90</v>
      </c>
      <c r="H32" s="22"/>
      <c r="I32" s="16">
        <v>2500</v>
      </c>
      <c r="J32" s="16"/>
    </row>
    <row r="33" spans="2:10" x14ac:dyDescent="0.25">
      <c r="B33" s="22" t="s">
        <v>82</v>
      </c>
      <c r="C33" s="22"/>
      <c r="D33" s="16"/>
      <c r="E33" s="16">
        <v>10000</v>
      </c>
      <c r="F33" s="16"/>
      <c r="G33" s="22" t="s">
        <v>82</v>
      </c>
      <c r="H33" s="22"/>
      <c r="I33" s="16">
        <v>10000</v>
      </c>
      <c r="J33" s="16"/>
    </row>
    <row r="34" spans="2:10" x14ac:dyDescent="0.25">
      <c r="B34" s="22" t="s">
        <v>83</v>
      </c>
      <c r="C34" s="22"/>
      <c r="D34" s="16"/>
      <c r="E34" s="16">
        <v>11500</v>
      </c>
      <c r="F34" s="16"/>
      <c r="G34" s="22" t="s">
        <v>83</v>
      </c>
      <c r="H34" s="22"/>
      <c r="I34" s="16">
        <v>11500</v>
      </c>
      <c r="J34" s="16"/>
    </row>
    <row r="35" spans="2:10" x14ac:dyDescent="0.25">
      <c r="B35" s="21" t="s">
        <v>87</v>
      </c>
      <c r="C35" s="21"/>
      <c r="D35" s="16"/>
      <c r="E35" s="23">
        <v>200</v>
      </c>
      <c r="F35" s="16"/>
      <c r="G35" s="21" t="s">
        <v>87</v>
      </c>
      <c r="H35" s="21"/>
      <c r="I35" s="16">
        <v>200</v>
      </c>
      <c r="J35" s="23"/>
    </row>
    <row r="36" spans="2:10" x14ac:dyDescent="0.25">
      <c r="B36" s="21" t="s">
        <v>94</v>
      </c>
      <c r="C36" s="21"/>
      <c r="D36" s="16"/>
      <c r="E36" s="23">
        <v>500</v>
      </c>
      <c r="F36" s="16"/>
      <c r="G36" s="21" t="s">
        <v>94</v>
      </c>
      <c r="H36" s="21"/>
      <c r="I36" s="16">
        <v>500</v>
      </c>
      <c r="J36" s="23"/>
    </row>
    <row r="37" spans="2:10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0" x14ac:dyDescent="0.25">
      <c r="B38" s="15" t="s">
        <v>9</v>
      </c>
      <c r="C38" s="15"/>
      <c r="D38" s="19">
        <f>D25+D26+D27</f>
        <v>40450</v>
      </c>
      <c r="E38" s="19">
        <f>SUM(E28:E37)</f>
        <v>40912</v>
      </c>
      <c r="F38" s="19">
        <f>D38-E38</f>
        <v>-462</v>
      </c>
      <c r="G38" s="15" t="s">
        <v>9</v>
      </c>
      <c r="H38" s="19">
        <f>H25+H27+H26</f>
        <v>38950</v>
      </c>
      <c r="I38" s="19">
        <f>SUM(I28:I37)</f>
        <v>40912</v>
      </c>
      <c r="J38" s="19">
        <f>H38-I38</f>
        <v>-1962</v>
      </c>
    </row>
    <row r="39" spans="2:10" x14ac:dyDescent="0.25">
      <c r="I39" s="24">
        <f>I38-I28</f>
        <v>36162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  <row r="42" spans="2:10" x14ac:dyDescent="0.25">
      <c r="J42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O24" sqref="O24"/>
    </sheetView>
  </sheetViews>
  <sheetFormatPr defaultRowHeight="15" x14ac:dyDescent="0.25"/>
  <cols>
    <col min="1" max="1" width="5.14062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92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'JUNE 20'!H5:H18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'JUNE 20'!H6:H19</f>
        <v>0</v>
      </c>
      <c r="E6" s="3">
        <v>5000</v>
      </c>
      <c r="F6" s="3">
        <f t="shared" ref="F6:F19" si="0">D6+E6+C6</f>
        <v>5000</v>
      </c>
      <c r="G6" s="30">
        <v>5000</v>
      </c>
      <c r="H6" s="3">
        <f t="shared" ref="H6:H19" si="1">F6-G6</f>
        <v>0</v>
      </c>
    </row>
    <row r="7" spans="1:11" x14ac:dyDescent="0.25">
      <c r="A7" s="3">
        <v>3</v>
      </c>
      <c r="B7" s="3" t="s">
        <v>32</v>
      </c>
      <c r="C7" s="3"/>
      <c r="D7" s="3">
        <f>'JUNE 20'!H7:H20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'JUNE 20'!H8:H21</f>
        <v>1000</v>
      </c>
      <c r="E8" s="3">
        <v>3000</v>
      </c>
      <c r="F8" s="3">
        <f t="shared" si="0"/>
        <v>4000</v>
      </c>
      <c r="G8" s="30">
        <v>3500</v>
      </c>
      <c r="H8" s="3">
        <f t="shared" si="1"/>
        <v>500</v>
      </c>
    </row>
    <row r="9" spans="1:11" x14ac:dyDescent="0.25">
      <c r="A9" s="34" t="s">
        <v>79</v>
      </c>
      <c r="B9" s="3" t="s">
        <v>88</v>
      </c>
      <c r="C9" s="3"/>
      <c r="D9" s="3">
        <f>'JUNE 20'!H9:H22</f>
        <v>500</v>
      </c>
      <c r="E9" s="3"/>
      <c r="F9" s="3">
        <f>D9+E9+C9</f>
        <v>500</v>
      </c>
      <c r="G9" s="30">
        <v>500</v>
      </c>
      <c r="H9" s="3">
        <f>F9-G9</f>
        <v>0</v>
      </c>
    </row>
    <row r="10" spans="1:11" x14ac:dyDescent="0.25">
      <c r="A10" s="3" t="s">
        <v>80</v>
      </c>
      <c r="B10" s="30" t="s">
        <v>74</v>
      </c>
      <c r="C10" s="3"/>
      <c r="D10" s="3">
        <f>'JUNE 20'!H10:H23</f>
        <v>0</v>
      </c>
      <c r="E10" s="3"/>
      <c r="F10" s="3">
        <f t="shared" si="0"/>
        <v>0</v>
      </c>
      <c r="G10" s="30"/>
      <c r="H10" s="3">
        <f t="shared" si="1"/>
        <v>0</v>
      </c>
    </row>
    <row r="11" spans="1:11" x14ac:dyDescent="0.25">
      <c r="A11" s="3">
        <v>6</v>
      </c>
      <c r="B11" s="4" t="s">
        <v>43</v>
      </c>
      <c r="C11" s="4"/>
      <c r="D11" s="3">
        <f>'JUNE 20'!H11:H24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'JUNE 20'!H12:H25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93</v>
      </c>
      <c r="C13" s="3"/>
      <c r="D13" s="3">
        <f>'JUNE 20'!H13:H26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11" x14ac:dyDescent="0.25">
      <c r="A14" s="3">
        <v>9</v>
      </c>
      <c r="B14" s="3" t="s">
        <v>35</v>
      </c>
      <c r="C14" s="3"/>
      <c r="D14" s="3">
        <f>'JUNE 20'!H14:H27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  <c r="K14" s="5"/>
    </row>
    <row r="15" spans="1:11" x14ac:dyDescent="0.25">
      <c r="A15" s="3">
        <v>10</v>
      </c>
      <c r="B15" s="3" t="s">
        <v>42</v>
      </c>
      <c r="C15" s="3"/>
      <c r="D15" s="3">
        <f>'JUNE 20'!H15:H28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K15" s="5"/>
    </row>
    <row r="16" spans="1:11" x14ac:dyDescent="0.25">
      <c r="A16" s="3">
        <v>11</v>
      </c>
      <c r="B16" s="3" t="s">
        <v>36</v>
      </c>
      <c r="C16" s="3"/>
      <c r="D16" s="3">
        <f>'JUNE 20'!H16:H29</f>
        <v>0</v>
      </c>
      <c r="E16" s="3">
        <v>2500</v>
      </c>
      <c r="F16" s="3">
        <f t="shared" si="0"/>
        <v>2500</v>
      </c>
      <c r="G16" s="30">
        <f>2500</f>
        <v>2500</v>
      </c>
      <c r="H16" s="3">
        <f t="shared" si="1"/>
        <v>0</v>
      </c>
      <c r="I16" s="5"/>
      <c r="K16" s="5"/>
    </row>
    <row r="17" spans="1:11" x14ac:dyDescent="0.25">
      <c r="A17" s="3">
        <v>12</v>
      </c>
      <c r="B17" s="3" t="s">
        <v>95</v>
      </c>
      <c r="C17" s="3"/>
      <c r="D17" s="3">
        <f>'JUNE 20'!H17:H30</f>
        <v>0</v>
      </c>
      <c r="E17" s="3"/>
      <c r="F17" s="3">
        <f>D17+E17+C17</f>
        <v>0</v>
      </c>
      <c r="G17" s="30"/>
      <c r="H17" s="3">
        <f t="shared" si="1"/>
        <v>0</v>
      </c>
      <c r="I17" s="5"/>
      <c r="K17" s="5"/>
    </row>
    <row r="18" spans="1:11" x14ac:dyDescent="0.25">
      <c r="A18" s="3">
        <v>13</v>
      </c>
      <c r="B18" s="3" t="s">
        <v>38</v>
      </c>
      <c r="C18" s="3"/>
      <c r="D18" s="3">
        <f>'JUNE 20'!H18:H31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  <c r="K18" s="5"/>
    </row>
    <row r="19" spans="1:11" x14ac:dyDescent="0.25">
      <c r="A19" s="3">
        <v>14</v>
      </c>
      <c r="B19" s="3"/>
      <c r="C19" s="3"/>
      <c r="D19" s="3"/>
      <c r="E19" s="3"/>
      <c r="F19" s="3">
        <f t="shared" si="0"/>
        <v>0</v>
      </c>
      <c r="G19" s="30"/>
      <c r="H19" s="3">
        <f t="shared" si="1"/>
        <v>0</v>
      </c>
      <c r="I19" s="5"/>
      <c r="J19" s="29"/>
      <c r="K19" s="5"/>
    </row>
    <row r="20" spans="1:11" x14ac:dyDescent="0.25">
      <c r="A20" s="3"/>
      <c r="B20" s="2" t="s">
        <v>9</v>
      </c>
      <c r="C20" s="2">
        <f t="shared" ref="C20:H20" si="2">SUM(C5:C19)</f>
        <v>0</v>
      </c>
      <c r="D20" s="3">
        <f>SUM(D5:D19)</f>
        <v>1500</v>
      </c>
      <c r="E20" s="2">
        <f>SUM(E5:E19)</f>
        <v>36500</v>
      </c>
      <c r="F20" s="2">
        <f>SUM(F5:F19)</f>
        <v>38000</v>
      </c>
      <c r="G20" s="31">
        <f t="shared" si="2"/>
        <v>37500</v>
      </c>
      <c r="H20" s="2">
        <f t="shared" si="2"/>
        <v>500</v>
      </c>
      <c r="J20" t="s">
        <v>10</v>
      </c>
    </row>
    <row r="21" spans="1:11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1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1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1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1" x14ac:dyDescent="0.25">
      <c r="B25" s="16" t="s">
        <v>91</v>
      </c>
      <c r="C25" s="16"/>
      <c r="D25" s="17">
        <f>E20</f>
        <v>36500</v>
      </c>
      <c r="E25" s="16"/>
      <c r="F25" s="16"/>
      <c r="G25" s="16" t="s">
        <v>91</v>
      </c>
      <c r="H25" s="17">
        <f>G20</f>
        <v>37500</v>
      </c>
      <c r="I25" s="16"/>
      <c r="J25" s="16"/>
    </row>
    <row r="26" spans="1:11" x14ac:dyDescent="0.25">
      <c r="B26" s="16" t="s">
        <v>4</v>
      </c>
      <c r="C26" s="16"/>
      <c r="D26" s="17">
        <f>'JUNE 20'!F38</f>
        <v>-462</v>
      </c>
      <c r="E26" s="16"/>
      <c r="F26" s="16"/>
      <c r="G26" s="16"/>
      <c r="H26" s="17"/>
      <c r="I26" s="16"/>
      <c r="J26" s="16"/>
    </row>
    <row r="27" spans="1:11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'JUNE 20'!J38</f>
        <v>-1962</v>
      </c>
      <c r="I27" s="16"/>
      <c r="J27" s="16"/>
    </row>
    <row r="28" spans="1:11" x14ac:dyDescent="0.25">
      <c r="B28" s="16" t="s">
        <v>20</v>
      </c>
      <c r="C28" s="16"/>
      <c r="D28" s="18">
        <v>0.1</v>
      </c>
      <c r="E28" s="17">
        <f>D28*D25</f>
        <v>3650</v>
      </c>
      <c r="F28" s="16"/>
      <c r="G28" s="16" t="s">
        <v>20</v>
      </c>
      <c r="H28" s="18">
        <v>0.1</v>
      </c>
      <c r="I28" s="17">
        <f>H28*D25</f>
        <v>3650</v>
      </c>
      <c r="J28" s="16"/>
    </row>
    <row r="29" spans="1:11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1" x14ac:dyDescent="0.25">
      <c r="B30" s="16"/>
      <c r="C30" s="15"/>
      <c r="D30" s="19"/>
      <c r="E30" s="16"/>
      <c r="F30" s="15"/>
      <c r="G30" s="16"/>
      <c r="H30" s="15"/>
      <c r="I30" s="17"/>
      <c r="J30" s="15"/>
    </row>
    <row r="31" spans="1:11" x14ac:dyDescent="0.25">
      <c r="B31" s="16" t="s">
        <v>96</v>
      </c>
      <c r="C31" s="16"/>
      <c r="D31" s="17"/>
      <c r="E31" s="16">
        <v>30000</v>
      </c>
      <c r="F31" s="16"/>
      <c r="G31" s="16" t="s">
        <v>96</v>
      </c>
      <c r="H31" s="16"/>
      <c r="I31" s="17">
        <v>30000</v>
      </c>
      <c r="J31" s="16"/>
    </row>
    <row r="32" spans="1:11" x14ac:dyDescent="0.25">
      <c r="B32" s="22" t="s">
        <v>98</v>
      </c>
      <c r="C32" s="22"/>
      <c r="D32" s="16"/>
      <c r="E32" s="16">
        <v>500</v>
      </c>
      <c r="F32" s="16"/>
      <c r="G32" s="22" t="s">
        <v>97</v>
      </c>
      <c r="H32" s="22"/>
      <c r="I32" s="16">
        <v>500</v>
      </c>
      <c r="J32" s="16"/>
    </row>
    <row r="33" spans="2:10" x14ac:dyDescent="0.25">
      <c r="B33" s="22" t="s">
        <v>99</v>
      </c>
      <c r="C33" s="22"/>
      <c r="D33" s="16"/>
      <c r="E33" s="16">
        <v>1850</v>
      </c>
      <c r="F33" s="16"/>
      <c r="G33" s="22" t="s">
        <v>99</v>
      </c>
      <c r="H33" s="22"/>
      <c r="I33" s="16">
        <v>1850</v>
      </c>
      <c r="J33" s="16"/>
    </row>
    <row r="34" spans="2:10" x14ac:dyDescent="0.25">
      <c r="B34" s="22"/>
      <c r="C34" s="22"/>
      <c r="D34" s="16"/>
      <c r="E34" s="16"/>
      <c r="F34" s="16"/>
      <c r="G34" s="22"/>
      <c r="H34" s="22"/>
      <c r="I34" s="16"/>
      <c r="J34" s="16"/>
    </row>
    <row r="35" spans="2:10" x14ac:dyDescent="0.25">
      <c r="B35" s="21"/>
      <c r="C35" s="21"/>
      <c r="D35" s="16"/>
      <c r="E35" s="23"/>
      <c r="F35" s="16"/>
      <c r="G35" s="21"/>
      <c r="H35" s="21"/>
      <c r="I35" s="16"/>
      <c r="J35" s="23"/>
    </row>
    <row r="36" spans="2:10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0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0" x14ac:dyDescent="0.25">
      <c r="B38" s="15" t="s">
        <v>9</v>
      </c>
      <c r="C38" s="15"/>
      <c r="D38" s="19">
        <f>D25+D26+D27</f>
        <v>36038</v>
      </c>
      <c r="E38" s="19">
        <f>SUM(E28:E37)</f>
        <v>36000</v>
      </c>
      <c r="F38" s="19">
        <f>D38-E38</f>
        <v>38</v>
      </c>
      <c r="G38" s="15" t="s">
        <v>9</v>
      </c>
      <c r="H38" s="19">
        <f>H25+H27+H26-I28</f>
        <v>31888</v>
      </c>
      <c r="I38" s="19">
        <f>SUM(I31:I37)</f>
        <v>32350</v>
      </c>
      <c r="J38" s="19">
        <f>H38-I38</f>
        <v>-462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D37" sqref="D37"/>
    </sheetView>
  </sheetViews>
  <sheetFormatPr defaultRowHeight="15" x14ac:dyDescent="0.25"/>
  <cols>
    <col min="1" max="1" width="4.42578125" customWidth="1"/>
    <col min="3" max="3" width="10.85546875" customWidth="1"/>
  </cols>
  <sheetData>
    <row r="1" spans="1:11" x14ac:dyDescent="0.25">
      <c r="D1" s="1" t="s">
        <v>28</v>
      </c>
      <c r="E1" s="1"/>
      <c r="F1" s="1"/>
      <c r="G1" s="1"/>
      <c r="H1" s="1"/>
    </row>
    <row r="2" spans="1:11" x14ac:dyDescent="0.25">
      <c r="A2" s="1"/>
      <c r="B2" s="1"/>
      <c r="D2" s="1" t="s">
        <v>0</v>
      </c>
      <c r="E2" s="1"/>
      <c r="F2" s="1"/>
      <c r="G2" s="1"/>
      <c r="H2" s="1"/>
    </row>
    <row r="3" spans="1:11" x14ac:dyDescent="0.25">
      <c r="A3" s="1"/>
      <c r="B3" s="1"/>
      <c r="C3" s="1"/>
      <c r="D3" s="1" t="s">
        <v>101</v>
      </c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1" x14ac:dyDescent="0.25">
      <c r="A5" s="3" t="s">
        <v>29</v>
      </c>
      <c r="B5" s="3" t="s">
        <v>31</v>
      </c>
      <c r="C5" s="3"/>
      <c r="D5" s="3">
        <f>'JULY 20'!H5:H20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1" x14ac:dyDescent="0.25">
      <c r="A6" s="3" t="s">
        <v>30</v>
      </c>
      <c r="B6" s="3" t="s">
        <v>41</v>
      </c>
      <c r="C6" s="3"/>
      <c r="D6" s="3">
        <f>'JULY 20'!H6:H21</f>
        <v>0</v>
      </c>
      <c r="E6" s="3">
        <v>5000</v>
      </c>
      <c r="F6" s="3">
        <f t="shared" ref="F6:F19" si="0">D6+E6+C6</f>
        <v>5000</v>
      </c>
      <c r="G6" s="30">
        <f>3000+2000</f>
        <v>5000</v>
      </c>
      <c r="H6" s="3">
        <f t="shared" ref="H6:H19" si="1">F6-G6</f>
        <v>0</v>
      </c>
    </row>
    <row r="7" spans="1:11" x14ac:dyDescent="0.25">
      <c r="A7" s="3">
        <v>3</v>
      </c>
      <c r="B7" s="3" t="s">
        <v>32</v>
      </c>
      <c r="C7" s="3"/>
      <c r="D7" s="3">
        <f>'JULY 20'!H7:H22</f>
        <v>0</v>
      </c>
      <c r="E7" s="3">
        <v>3000</v>
      </c>
      <c r="F7" s="3">
        <f t="shared" si="0"/>
        <v>3000</v>
      </c>
      <c r="G7" s="30">
        <f>2000+1000</f>
        <v>3000</v>
      </c>
      <c r="H7" s="3">
        <f t="shared" si="1"/>
        <v>0</v>
      </c>
    </row>
    <row r="8" spans="1:11" x14ac:dyDescent="0.25">
      <c r="A8" s="3">
        <v>4</v>
      </c>
      <c r="B8" s="3" t="s">
        <v>33</v>
      </c>
      <c r="C8" s="3"/>
      <c r="D8" s="3">
        <f>'JULY 20'!H8:H23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11" x14ac:dyDescent="0.25">
      <c r="A9" s="34" t="s">
        <v>79</v>
      </c>
      <c r="B9" s="3"/>
      <c r="C9" s="3"/>
      <c r="D9" s="3">
        <f>'JULY 20'!H9:H24</f>
        <v>0</v>
      </c>
      <c r="E9" s="3"/>
      <c r="F9" s="3">
        <f>D9+E9+C9</f>
        <v>0</v>
      </c>
      <c r="G9" s="30"/>
      <c r="H9" s="3">
        <f>F9-G9</f>
        <v>0</v>
      </c>
    </row>
    <row r="10" spans="1:11" x14ac:dyDescent="0.25">
      <c r="A10" s="3" t="s">
        <v>80</v>
      </c>
      <c r="B10" s="30" t="s">
        <v>37</v>
      </c>
      <c r="C10" s="3"/>
      <c r="D10" s="3">
        <f>'JULY 20'!H10:H25</f>
        <v>0</v>
      </c>
      <c r="E10" s="3">
        <v>6000</v>
      </c>
      <c r="F10" s="3">
        <f t="shared" si="0"/>
        <v>6000</v>
      </c>
      <c r="G10" s="30">
        <f>6000</f>
        <v>6000</v>
      </c>
      <c r="H10" s="3">
        <f t="shared" si="1"/>
        <v>0</v>
      </c>
    </row>
    <row r="11" spans="1:11" x14ac:dyDescent="0.25">
      <c r="A11" s="3">
        <v>6</v>
      </c>
      <c r="B11" s="4" t="s">
        <v>43</v>
      </c>
      <c r="C11" s="4"/>
      <c r="D11" s="3">
        <f>'JULY 20'!H11:H26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11" x14ac:dyDescent="0.25">
      <c r="A12" s="3">
        <v>7</v>
      </c>
      <c r="B12" s="3" t="s">
        <v>45</v>
      </c>
      <c r="C12" s="3"/>
      <c r="D12" s="3">
        <f>'JULY 20'!H12:H27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1" x14ac:dyDescent="0.25">
      <c r="A13" s="3">
        <v>8</v>
      </c>
      <c r="B13" s="3" t="s">
        <v>93</v>
      </c>
      <c r="C13" s="3"/>
      <c r="D13" s="3">
        <f>'JULY 20'!H13:H28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11" x14ac:dyDescent="0.25">
      <c r="A14" s="3">
        <v>9</v>
      </c>
      <c r="B14" s="3" t="s">
        <v>35</v>
      </c>
      <c r="C14" s="3"/>
      <c r="D14" s="3">
        <f>'JULY 20'!H14:H29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  <c r="K14" s="5"/>
    </row>
    <row r="15" spans="1:11" x14ac:dyDescent="0.25">
      <c r="A15" s="3">
        <v>10</v>
      </c>
      <c r="B15" s="3" t="s">
        <v>42</v>
      </c>
      <c r="C15" s="3"/>
      <c r="D15" s="3">
        <f>'JULY 20'!H15:H30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  <c r="K15" s="5"/>
    </row>
    <row r="16" spans="1:11" x14ac:dyDescent="0.25">
      <c r="A16" s="3">
        <v>11</v>
      </c>
      <c r="B16" s="3" t="s">
        <v>36</v>
      </c>
      <c r="C16" s="3"/>
      <c r="D16" s="3">
        <f>'JULY 20'!H16:H31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  <c r="K16" s="5"/>
    </row>
    <row r="17" spans="1:11" x14ac:dyDescent="0.25">
      <c r="A17" s="3">
        <v>12</v>
      </c>
      <c r="B17" s="3" t="s">
        <v>95</v>
      </c>
      <c r="C17" s="3"/>
      <c r="D17" s="3">
        <f>'JULY 20'!H17:H32</f>
        <v>0</v>
      </c>
      <c r="E17" s="3"/>
      <c r="F17" s="3">
        <f>D17+E17+C17</f>
        <v>0</v>
      </c>
      <c r="G17" s="30"/>
      <c r="H17" s="3">
        <f t="shared" si="1"/>
        <v>0</v>
      </c>
      <c r="I17" s="5"/>
      <c r="K17" s="5"/>
    </row>
    <row r="18" spans="1:11" x14ac:dyDescent="0.25">
      <c r="A18" s="3">
        <v>13</v>
      </c>
      <c r="B18" s="3" t="s">
        <v>38</v>
      </c>
      <c r="C18" s="3"/>
      <c r="D18" s="3">
        <f>'JULY 20'!H18:H33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  <c r="K18" s="5"/>
    </row>
    <row r="19" spans="1:11" x14ac:dyDescent="0.25">
      <c r="A19" s="3">
        <v>14</v>
      </c>
      <c r="B19" s="3"/>
      <c r="C19" s="3"/>
      <c r="D19" s="3"/>
      <c r="E19" s="3"/>
      <c r="F19" s="3">
        <f t="shared" si="0"/>
        <v>0</v>
      </c>
      <c r="G19" s="30"/>
      <c r="H19" s="3">
        <f t="shared" si="1"/>
        <v>0</v>
      </c>
      <c r="I19" s="5"/>
      <c r="J19" s="29"/>
      <c r="K19" s="5"/>
    </row>
    <row r="20" spans="1:11" x14ac:dyDescent="0.25">
      <c r="A20" s="3"/>
      <c r="B20" s="2" t="s">
        <v>9</v>
      </c>
      <c r="C20" s="2">
        <f t="shared" ref="C20:H20" si="2">SUM(C5:C19)</f>
        <v>0</v>
      </c>
      <c r="D20" s="3">
        <f t="shared" si="2"/>
        <v>500</v>
      </c>
      <c r="E20" s="2">
        <f t="shared" si="2"/>
        <v>42500</v>
      </c>
      <c r="F20" s="2">
        <f t="shared" si="2"/>
        <v>43000</v>
      </c>
      <c r="G20" s="31">
        <f t="shared" si="2"/>
        <v>42500</v>
      </c>
      <c r="H20" s="2">
        <f t="shared" si="2"/>
        <v>500</v>
      </c>
      <c r="J20" t="s">
        <v>10</v>
      </c>
    </row>
    <row r="21" spans="1:11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1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1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1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1" x14ac:dyDescent="0.25">
      <c r="B25" s="16" t="s">
        <v>100</v>
      </c>
      <c r="C25" s="16"/>
      <c r="D25" s="17">
        <f>E20</f>
        <v>42500</v>
      </c>
      <c r="E25" s="16"/>
      <c r="F25" s="16"/>
      <c r="G25" s="16" t="s">
        <v>100</v>
      </c>
      <c r="H25" s="17">
        <f>G20</f>
        <v>42500</v>
      </c>
      <c r="I25" s="16"/>
      <c r="J25" s="16"/>
    </row>
    <row r="26" spans="1:11" x14ac:dyDescent="0.25">
      <c r="B26" s="16" t="s">
        <v>4</v>
      </c>
      <c r="C26" s="16"/>
      <c r="D26" s="17">
        <f>'JULY 20'!F38</f>
        <v>38</v>
      </c>
      <c r="E26" s="16"/>
      <c r="F26" s="16"/>
      <c r="G26" s="16"/>
      <c r="H26" s="17"/>
      <c r="I26" s="16"/>
      <c r="J26" s="16"/>
    </row>
    <row r="27" spans="1:11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'JULY 20'!J38</f>
        <v>-462</v>
      </c>
      <c r="I27" s="16"/>
      <c r="J27" s="16"/>
    </row>
    <row r="28" spans="1:11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</row>
    <row r="29" spans="1:11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1" x14ac:dyDescent="0.25">
      <c r="B30" s="16"/>
      <c r="C30" s="15"/>
      <c r="D30" s="19"/>
      <c r="E30" s="16"/>
      <c r="F30" s="15"/>
      <c r="G30" s="16"/>
      <c r="H30" s="15"/>
      <c r="I30" s="17"/>
      <c r="J30" s="15"/>
    </row>
    <row r="31" spans="1:11" x14ac:dyDescent="0.25">
      <c r="B31" s="16" t="s">
        <v>102</v>
      </c>
      <c r="C31" s="16"/>
      <c r="D31" s="17"/>
      <c r="E31" s="16">
        <v>8587</v>
      </c>
      <c r="F31" s="16"/>
      <c r="G31" s="16" t="s">
        <v>102</v>
      </c>
      <c r="H31" s="16"/>
      <c r="I31" s="16">
        <v>8587</v>
      </c>
      <c r="J31" s="16"/>
    </row>
    <row r="32" spans="1:11" x14ac:dyDescent="0.25">
      <c r="B32" s="22" t="s">
        <v>103</v>
      </c>
      <c r="C32" s="22"/>
      <c r="D32" s="16"/>
      <c r="E32" s="16">
        <v>29500</v>
      </c>
      <c r="F32" s="16"/>
      <c r="G32" s="22" t="s">
        <v>103</v>
      </c>
      <c r="H32" s="22"/>
      <c r="I32" s="16">
        <f>29500</f>
        <v>29500</v>
      </c>
      <c r="J32" s="16"/>
    </row>
    <row r="33" spans="2:12" x14ac:dyDescent="0.25">
      <c r="B33" s="22" t="s">
        <v>104</v>
      </c>
      <c r="C33" s="22"/>
      <c r="D33" s="16"/>
      <c r="E33" s="16">
        <v>200</v>
      </c>
      <c r="F33" s="16"/>
      <c r="G33" s="22" t="s">
        <v>104</v>
      </c>
      <c r="H33" s="22"/>
      <c r="I33" s="16">
        <v>200</v>
      </c>
      <c r="J33" s="16"/>
    </row>
    <row r="34" spans="2:12" x14ac:dyDescent="0.25">
      <c r="B34" s="22"/>
      <c r="C34" s="22"/>
      <c r="D34" s="16"/>
      <c r="E34" s="16"/>
      <c r="F34" s="16"/>
      <c r="G34" s="22"/>
      <c r="H34" s="22"/>
      <c r="I34" s="16"/>
      <c r="J34" s="16"/>
    </row>
    <row r="35" spans="2:12" x14ac:dyDescent="0.25">
      <c r="B35" s="21"/>
      <c r="C35" s="21"/>
      <c r="D35" s="16"/>
      <c r="E35" s="23"/>
      <c r="F35" s="16"/>
      <c r="G35" s="21"/>
      <c r="H35" s="21"/>
      <c r="I35" s="16"/>
      <c r="J35" s="23"/>
    </row>
    <row r="36" spans="2:12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2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2" x14ac:dyDescent="0.25">
      <c r="B38" s="15" t="s">
        <v>9</v>
      </c>
      <c r="C38" s="15"/>
      <c r="D38" s="19">
        <f>D25+D26+D27</f>
        <v>42538</v>
      </c>
      <c r="E38" s="19">
        <f>SUM(E28:E37)</f>
        <v>42537</v>
      </c>
      <c r="F38" s="19">
        <f>D38-E38</f>
        <v>1</v>
      </c>
      <c r="G38" s="15" t="s">
        <v>9</v>
      </c>
      <c r="H38" s="19">
        <f>H25+H27+H26-I28</f>
        <v>37788</v>
      </c>
      <c r="I38" s="19">
        <f>SUM(I31:I37)</f>
        <v>38287</v>
      </c>
      <c r="J38" s="19">
        <f>H38-I38</f>
        <v>-499</v>
      </c>
    </row>
    <row r="40" spans="2:12" x14ac:dyDescent="0.25">
      <c r="B40" t="s">
        <v>22</v>
      </c>
      <c r="E40" t="s">
        <v>23</v>
      </c>
      <c r="H40" t="s">
        <v>24</v>
      </c>
      <c r="L40" s="24"/>
    </row>
    <row r="41" spans="2:12" x14ac:dyDescent="0.25">
      <c r="B41" t="s">
        <v>25</v>
      </c>
      <c r="E41" t="s">
        <v>26</v>
      </c>
      <c r="H41" t="s">
        <v>27</v>
      </c>
      <c r="L41" s="2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M31" sqref="M31"/>
    </sheetView>
  </sheetViews>
  <sheetFormatPr defaultRowHeight="15" x14ac:dyDescent="0.25"/>
  <cols>
    <col min="3" max="3" width="10.28515625" customWidth="1"/>
  </cols>
  <sheetData>
    <row r="1" spans="1:9" x14ac:dyDescent="0.25">
      <c r="D1" s="1" t="s">
        <v>28</v>
      </c>
      <c r="E1" s="1"/>
      <c r="F1" s="1"/>
      <c r="G1" s="1"/>
      <c r="H1" s="1"/>
    </row>
    <row r="2" spans="1:9" x14ac:dyDescent="0.25">
      <c r="A2" s="1"/>
      <c r="B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106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9" x14ac:dyDescent="0.25">
      <c r="A5" s="3" t="s">
        <v>29</v>
      </c>
      <c r="B5" s="3" t="s">
        <v>31</v>
      </c>
      <c r="C5" s="3"/>
      <c r="D5" s="3">
        <f>'AUG 20'!H5:H19</f>
        <v>0</v>
      </c>
      <c r="E5" s="3">
        <v>5000</v>
      </c>
      <c r="F5" s="3">
        <f>D5+E5+C5</f>
        <v>5000</v>
      </c>
      <c r="G5" s="30">
        <f>5000</f>
        <v>5000</v>
      </c>
      <c r="H5" s="3">
        <f>F5-G5</f>
        <v>0</v>
      </c>
    </row>
    <row r="6" spans="1:9" x14ac:dyDescent="0.25">
      <c r="A6" s="3" t="s">
        <v>30</v>
      </c>
      <c r="B6" s="3" t="s">
        <v>41</v>
      </c>
      <c r="C6" s="3"/>
      <c r="D6" s="3">
        <f>'AUG 20'!H6:H20</f>
        <v>0</v>
      </c>
      <c r="E6" s="3">
        <v>5000</v>
      </c>
      <c r="F6" s="3">
        <f t="shared" ref="F6:F19" si="0">D6+E6+C6</f>
        <v>5000</v>
      </c>
      <c r="G6" s="30">
        <f>5000</f>
        <v>5000</v>
      </c>
      <c r="H6" s="3">
        <f t="shared" ref="H6:H19" si="1">F6-G6</f>
        <v>0</v>
      </c>
    </row>
    <row r="7" spans="1:9" x14ac:dyDescent="0.25">
      <c r="A7" s="3">
        <v>3</v>
      </c>
      <c r="B7" s="3" t="s">
        <v>32</v>
      </c>
      <c r="C7" s="3"/>
      <c r="D7" s="3">
        <f>'AUG 20'!H7:H21</f>
        <v>0</v>
      </c>
      <c r="E7" s="3">
        <v>3000</v>
      </c>
      <c r="F7" s="3">
        <f t="shared" si="0"/>
        <v>3000</v>
      </c>
      <c r="G7" s="30">
        <f>3000</f>
        <v>3000</v>
      </c>
      <c r="H7" s="3">
        <f t="shared" si="1"/>
        <v>0</v>
      </c>
    </row>
    <row r="8" spans="1:9" x14ac:dyDescent="0.25">
      <c r="A8" s="3">
        <v>4</v>
      </c>
      <c r="B8" s="3" t="s">
        <v>33</v>
      </c>
      <c r="C8" s="3"/>
      <c r="D8" s="3">
        <f>'AUG 20'!H8:H22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9" x14ac:dyDescent="0.25">
      <c r="A9" s="34" t="s">
        <v>79</v>
      </c>
      <c r="B9" s="3"/>
      <c r="C9" s="3"/>
      <c r="D9" s="3">
        <f>'AUG 20'!H9:H23</f>
        <v>0</v>
      </c>
      <c r="E9" s="3"/>
      <c r="F9" s="3">
        <f>D9+E9+C9</f>
        <v>0</v>
      </c>
      <c r="G9" s="30"/>
      <c r="H9" s="3">
        <f>F9-G9</f>
        <v>0</v>
      </c>
    </row>
    <row r="10" spans="1:9" x14ac:dyDescent="0.25">
      <c r="A10" s="3" t="s">
        <v>80</v>
      </c>
      <c r="B10" s="30" t="s">
        <v>37</v>
      </c>
      <c r="C10" s="3"/>
      <c r="D10" s="3">
        <f>'AUG 20'!H10:H24</f>
        <v>0</v>
      </c>
      <c r="E10" s="3">
        <v>6000</v>
      </c>
      <c r="F10" s="3">
        <f t="shared" si="0"/>
        <v>6000</v>
      </c>
      <c r="G10" s="30">
        <f>4000</f>
        <v>4000</v>
      </c>
      <c r="H10" s="3">
        <f t="shared" si="1"/>
        <v>2000</v>
      </c>
    </row>
    <row r="11" spans="1:9" x14ac:dyDescent="0.25">
      <c r="A11" s="3">
        <v>6</v>
      </c>
      <c r="B11" s="4" t="s">
        <v>43</v>
      </c>
      <c r="C11" s="4"/>
      <c r="D11" s="3">
        <f>'AUG 20'!H11:H25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9" x14ac:dyDescent="0.25">
      <c r="A12" s="3">
        <v>7</v>
      </c>
      <c r="B12" s="3" t="s">
        <v>45</v>
      </c>
      <c r="C12" s="3"/>
      <c r="D12" s="3">
        <f>'AUG 20'!H12:H26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9" x14ac:dyDescent="0.25">
      <c r="A13" s="3">
        <v>8</v>
      </c>
      <c r="B13" s="3" t="s">
        <v>93</v>
      </c>
      <c r="C13" s="3"/>
      <c r="D13" s="3">
        <f>'AUG 20'!H13:H27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9" x14ac:dyDescent="0.25">
      <c r="A14" s="3">
        <v>9</v>
      </c>
      <c r="B14" s="3" t="s">
        <v>35</v>
      </c>
      <c r="C14" s="3"/>
      <c r="D14" s="3">
        <f>'AUG 20'!H14:H28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9" x14ac:dyDescent="0.25">
      <c r="A15" s="3">
        <v>10</v>
      </c>
      <c r="B15" s="3" t="s">
        <v>42</v>
      </c>
      <c r="C15" s="3"/>
      <c r="D15" s="3">
        <f>'AUG 20'!H15:H29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</row>
    <row r="16" spans="1:9" x14ac:dyDescent="0.25">
      <c r="A16" s="3">
        <v>11</v>
      </c>
      <c r="B16" s="3" t="s">
        <v>36</v>
      </c>
      <c r="C16" s="3"/>
      <c r="D16" s="3">
        <f>'AUG 20'!H16:H30</f>
        <v>0</v>
      </c>
      <c r="E16" s="3">
        <v>2500</v>
      </c>
      <c r="F16" s="3">
        <f t="shared" si="0"/>
        <v>2500</v>
      </c>
      <c r="G16" s="30">
        <v>2500</v>
      </c>
      <c r="H16" s="3">
        <f t="shared" si="1"/>
        <v>0</v>
      </c>
      <c r="I16" s="5"/>
    </row>
    <row r="17" spans="1:10" x14ac:dyDescent="0.25">
      <c r="A17" s="3">
        <v>12</v>
      </c>
      <c r="B17" s="3" t="s">
        <v>95</v>
      </c>
      <c r="C17" s="3"/>
      <c r="D17" s="3">
        <f>'AUG 20'!H17:H31</f>
        <v>0</v>
      </c>
      <c r="E17" s="3"/>
      <c r="F17" s="3">
        <f>D17+E17+C17</f>
        <v>0</v>
      </c>
      <c r="G17" s="30"/>
      <c r="H17" s="3">
        <f t="shared" si="1"/>
        <v>0</v>
      </c>
      <c r="I17" s="5"/>
    </row>
    <row r="18" spans="1:10" x14ac:dyDescent="0.25">
      <c r="A18" s="3">
        <v>13</v>
      </c>
      <c r="B18" s="3" t="s">
        <v>38</v>
      </c>
      <c r="C18" s="3"/>
      <c r="D18" s="3">
        <f>'AUG 20'!H18:H32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</row>
    <row r="19" spans="1:10" x14ac:dyDescent="0.25">
      <c r="A19" s="3">
        <v>14</v>
      </c>
      <c r="B19" s="3"/>
      <c r="C19" s="3"/>
      <c r="D19" s="3">
        <f>'AUG 20'!H19:H33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0" x14ac:dyDescent="0.25">
      <c r="A20" s="3"/>
      <c r="B20" s="2" t="s">
        <v>9</v>
      </c>
      <c r="C20" s="2">
        <f>SUM(C5:C19)</f>
        <v>0</v>
      </c>
      <c r="D20" s="3">
        <f>'AUG 20'!H20:H34</f>
        <v>500</v>
      </c>
      <c r="E20" s="2">
        <f>SUM(E5:E19)</f>
        <v>42500</v>
      </c>
      <c r="F20" s="2">
        <f>SUM(F5:F19)</f>
        <v>43000</v>
      </c>
      <c r="G20" s="31">
        <f>SUM(G5:G19)</f>
        <v>40500</v>
      </c>
      <c r="H20" s="2">
        <f>SUM(H5:H19)</f>
        <v>2500</v>
      </c>
      <c r="J20" t="s">
        <v>10</v>
      </c>
    </row>
    <row r="21" spans="1:10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0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0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0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0" x14ac:dyDescent="0.25">
      <c r="B25" s="16" t="s">
        <v>105</v>
      </c>
      <c r="C25" s="16"/>
      <c r="D25" s="17">
        <f>E20</f>
        <v>42500</v>
      </c>
      <c r="E25" s="16"/>
      <c r="F25" s="16"/>
      <c r="G25" s="16" t="s">
        <v>105</v>
      </c>
      <c r="H25" s="17">
        <f>G20</f>
        <v>40500</v>
      </c>
      <c r="I25" s="16"/>
      <c r="J25" s="16"/>
    </row>
    <row r="26" spans="1:10" x14ac:dyDescent="0.25">
      <c r="B26" s="16" t="s">
        <v>4</v>
      </c>
      <c r="C26" s="16"/>
      <c r="D26" s="17">
        <f>'AUG 20'!F38</f>
        <v>1</v>
      </c>
      <c r="E26" s="16"/>
      <c r="F26" s="16"/>
      <c r="G26" s="16"/>
      <c r="H26" s="17"/>
      <c r="I26" s="16"/>
      <c r="J26" s="16"/>
    </row>
    <row r="27" spans="1:10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'AUG 20'!J38</f>
        <v>-499</v>
      </c>
      <c r="I27" s="16"/>
      <c r="J27" s="16"/>
    </row>
    <row r="28" spans="1:10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</row>
    <row r="29" spans="1:10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0" x14ac:dyDescent="0.25">
      <c r="B30" s="16" t="s">
        <v>107</v>
      </c>
      <c r="C30" s="15"/>
      <c r="D30" s="19"/>
      <c r="E30" s="16">
        <v>11112</v>
      </c>
      <c r="F30" s="15"/>
      <c r="G30" s="16" t="s">
        <v>107</v>
      </c>
      <c r="H30" s="15"/>
      <c r="I30" s="19">
        <v>11112</v>
      </c>
      <c r="J30" s="16"/>
    </row>
    <row r="31" spans="1:10" x14ac:dyDescent="0.25">
      <c r="B31" s="16"/>
      <c r="C31" s="16"/>
      <c r="D31" s="17"/>
      <c r="E31" s="16"/>
      <c r="F31" s="16"/>
      <c r="G31" s="16"/>
      <c r="H31" s="16"/>
      <c r="I31" s="17"/>
      <c r="J31" s="16"/>
    </row>
    <row r="32" spans="1:10" x14ac:dyDescent="0.25">
      <c r="B32" s="22"/>
      <c r="C32" s="22"/>
      <c r="D32" s="16"/>
      <c r="E32" s="16"/>
      <c r="F32" s="16"/>
      <c r="G32" s="22"/>
      <c r="H32" s="22"/>
      <c r="I32" s="16"/>
      <c r="J32" s="16"/>
    </row>
    <row r="33" spans="2:13" x14ac:dyDescent="0.25">
      <c r="B33" s="22"/>
      <c r="C33" s="22"/>
      <c r="D33" s="16"/>
      <c r="E33" s="16"/>
      <c r="F33" s="16"/>
      <c r="G33" s="22"/>
      <c r="H33" s="22"/>
      <c r="I33" s="16"/>
      <c r="J33" s="16"/>
      <c r="M33" s="24"/>
    </row>
    <row r="34" spans="2:13" x14ac:dyDescent="0.25">
      <c r="B34" s="22"/>
      <c r="C34" s="22"/>
      <c r="D34" s="16"/>
      <c r="E34" s="16"/>
      <c r="F34" s="16"/>
      <c r="G34" s="22"/>
      <c r="H34" s="22"/>
      <c r="I34" s="16"/>
      <c r="J34" s="16"/>
      <c r="M34" s="24"/>
    </row>
    <row r="35" spans="2:13" x14ac:dyDescent="0.25">
      <c r="B35" s="21"/>
      <c r="C35" s="21"/>
      <c r="D35" s="16"/>
      <c r="E35" s="23"/>
      <c r="F35" s="16"/>
      <c r="G35" s="21"/>
      <c r="H35" s="21"/>
      <c r="I35" s="16"/>
      <c r="J35" s="23"/>
      <c r="M35" s="24"/>
    </row>
    <row r="36" spans="2:13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3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3" x14ac:dyDescent="0.25">
      <c r="B38" s="15" t="s">
        <v>9</v>
      </c>
      <c r="C38" s="15"/>
      <c r="D38" s="19">
        <f>D25+D26+D27</f>
        <v>42501</v>
      </c>
      <c r="E38" s="19">
        <f>SUM(E28:E37)</f>
        <v>15362</v>
      </c>
      <c r="F38" s="19">
        <f>D38-E38</f>
        <v>27139</v>
      </c>
      <c r="G38" s="15" t="s">
        <v>9</v>
      </c>
      <c r="H38" s="19">
        <f>H25+H27+H26-I28</f>
        <v>35751</v>
      </c>
      <c r="I38" s="19">
        <f>SUM(I30:I37)</f>
        <v>11112</v>
      </c>
      <c r="J38" s="19">
        <f>H38-I38</f>
        <v>24639</v>
      </c>
    </row>
    <row r="40" spans="2:13" x14ac:dyDescent="0.25">
      <c r="B40" t="s">
        <v>22</v>
      </c>
      <c r="E40" t="s">
        <v>23</v>
      </c>
      <c r="H40" t="s">
        <v>24</v>
      </c>
    </row>
    <row r="41" spans="2:13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activeCell="I17" sqref="I17"/>
    </sheetView>
  </sheetViews>
  <sheetFormatPr defaultRowHeight="15" x14ac:dyDescent="0.25"/>
  <cols>
    <col min="2" max="2" width="19.140625" customWidth="1"/>
    <col min="3" max="3" width="10.425781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108</v>
      </c>
      <c r="E3" s="1"/>
      <c r="F3" s="1"/>
      <c r="G3" s="1"/>
      <c r="H3" s="1"/>
      <c r="J3" t="s">
        <v>111</v>
      </c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 t="s">
        <v>29</v>
      </c>
      <c r="B5" s="3" t="s">
        <v>31</v>
      </c>
      <c r="C5" s="3"/>
      <c r="D5" s="3">
        <f>'SEPTEMBER 20'!H5:H20</f>
        <v>0</v>
      </c>
      <c r="E5" s="3">
        <v>5000</v>
      </c>
      <c r="F5" s="3">
        <f>D5+E5+C5</f>
        <v>5000</v>
      </c>
      <c r="G5" s="30">
        <f>5000</f>
        <v>5000</v>
      </c>
      <c r="H5" s="3">
        <f>F5-G5</f>
        <v>0</v>
      </c>
    </row>
    <row r="6" spans="1:10" x14ac:dyDescent="0.25">
      <c r="A6" s="3" t="s">
        <v>30</v>
      </c>
      <c r="B6" s="3" t="s">
        <v>41</v>
      </c>
      <c r="C6" s="3"/>
      <c r="D6" s="3">
        <f>'SEPTEMBER 20'!H6:H21</f>
        <v>0</v>
      </c>
      <c r="E6" s="3">
        <v>5000</v>
      </c>
      <c r="F6" s="3">
        <f t="shared" ref="F6:F19" si="0">D6+E6+C6</f>
        <v>5000</v>
      </c>
      <c r="G6" s="30">
        <f>3000+2000</f>
        <v>5000</v>
      </c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'SEPTEMBER 20'!H7:H22</f>
        <v>0</v>
      </c>
      <c r="E7" s="3">
        <v>3000</v>
      </c>
      <c r="F7" s="3">
        <f t="shared" si="0"/>
        <v>3000</v>
      </c>
      <c r="G7" s="30">
        <f>3000</f>
        <v>3000</v>
      </c>
      <c r="H7" s="3">
        <f t="shared" si="1"/>
        <v>0</v>
      </c>
    </row>
    <row r="8" spans="1:10" x14ac:dyDescent="0.25">
      <c r="A8" s="3">
        <v>4</v>
      </c>
      <c r="B8" s="3" t="s">
        <v>33</v>
      </c>
      <c r="C8" s="3"/>
      <c r="D8" s="3">
        <f>'SEPTEMBER 20'!H8:H23</f>
        <v>500</v>
      </c>
      <c r="E8" s="3">
        <v>3000</v>
      </c>
      <c r="F8" s="3">
        <f t="shared" si="0"/>
        <v>3500</v>
      </c>
      <c r="G8" s="30">
        <f>3000</f>
        <v>3000</v>
      </c>
      <c r="H8" s="3">
        <f t="shared" si="1"/>
        <v>500</v>
      </c>
    </row>
    <row r="9" spans="1:10" x14ac:dyDescent="0.25">
      <c r="A9" s="34" t="s">
        <v>79</v>
      </c>
      <c r="B9" s="3"/>
      <c r="C9" s="3"/>
      <c r="D9" s="3">
        <f>'SEPTEMBER 20'!H9:H24</f>
        <v>0</v>
      </c>
      <c r="E9" s="3"/>
      <c r="F9" s="3">
        <f>D9+E9+C9</f>
        <v>0</v>
      </c>
      <c r="G9" s="30"/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'SEPTEMBER 20'!H10:H25</f>
        <v>2000</v>
      </c>
      <c r="E10" s="3">
        <v>6000</v>
      </c>
      <c r="F10" s="3">
        <f t="shared" si="0"/>
        <v>8000</v>
      </c>
      <c r="G10" s="30">
        <f>6000</f>
        <v>6000</v>
      </c>
      <c r="H10" s="3">
        <f t="shared" si="1"/>
        <v>2000</v>
      </c>
    </row>
    <row r="11" spans="1:10" x14ac:dyDescent="0.25">
      <c r="A11" s="3">
        <v>6</v>
      </c>
      <c r="B11" s="4" t="s">
        <v>43</v>
      </c>
      <c r="C11" s="4"/>
      <c r="D11" s="3">
        <f>'SEPTEMBER 20'!H11:H26</f>
        <v>0</v>
      </c>
      <c r="E11" s="3">
        <v>3000</v>
      </c>
      <c r="F11" s="3">
        <f t="shared" si="0"/>
        <v>3000</v>
      </c>
      <c r="G11" s="30">
        <f>3000</f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'SEPTEMBER 20'!H12:H27</f>
        <v>0</v>
      </c>
      <c r="E12" s="3">
        <v>3000</v>
      </c>
      <c r="F12" s="3">
        <f t="shared" si="0"/>
        <v>3000</v>
      </c>
      <c r="G12" s="30">
        <f>3000</f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'SEPTEMBER 20'!H13:H28</f>
        <v>0</v>
      </c>
      <c r="E13" s="3">
        <v>2500</v>
      </c>
      <c r="F13" s="3">
        <f t="shared" si="0"/>
        <v>2500</v>
      </c>
      <c r="G13" s="30">
        <f>2500</f>
        <v>2500</v>
      </c>
      <c r="H13" s="3">
        <f t="shared" si="1"/>
        <v>0</v>
      </c>
    </row>
    <row r="14" spans="1:10" x14ac:dyDescent="0.25">
      <c r="A14" s="3">
        <v>9</v>
      </c>
      <c r="B14" s="3" t="s">
        <v>35</v>
      </c>
      <c r="C14" s="3"/>
      <c r="D14" s="3">
        <f>'SEPTEMBER 20'!H14:H29</f>
        <v>0</v>
      </c>
      <c r="E14" s="3">
        <v>2500</v>
      </c>
      <c r="F14" s="3">
        <f t="shared" si="0"/>
        <v>2500</v>
      </c>
      <c r="G14" s="30">
        <f>2500</f>
        <v>2500</v>
      </c>
      <c r="H14" s="3">
        <f t="shared" si="1"/>
        <v>0</v>
      </c>
    </row>
    <row r="15" spans="1:10" x14ac:dyDescent="0.25">
      <c r="A15" s="3">
        <v>10</v>
      </c>
      <c r="B15" s="3" t="s">
        <v>112</v>
      </c>
      <c r="C15" s="3"/>
      <c r="D15" s="3">
        <f>'SEPTEMBER 20'!H15:H30</f>
        <v>0</v>
      </c>
      <c r="E15" s="3">
        <v>2500</v>
      </c>
      <c r="F15" s="3">
        <f t="shared" si="0"/>
        <v>2500</v>
      </c>
      <c r="G15" s="30">
        <f>2500</f>
        <v>2500</v>
      </c>
      <c r="H15" s="3">
        <f t="shared" si="1"/>
        <v>0</v>
      </c>
    </row>
    <row r="16" spans="1:10" x14ac:dyDescent="0.25">
      <c r="A16" s="3">
        <v>11</v>
      </c>
      <c r="B16" s="3" t="s">
        <v>95</v>
      </c>
      <c r="C16" s="3"/>
      <c r="D16" s="3">
        <f>'SEPTEMBER 20'!H16:H31</f>
        <v>0</v>
      </c>
      <c r="E16" s="3"/>
      <c r="F16" s="3">
        <f t="shared" si="0"/>
        <v>0</v>
      </c>
      <c r="G16" s="30"/>
      <c r="H16" s="3">
        <f t="shared" si="1"/>
        <v>0</v>
      </c>
      <c r="I16" s="5" t="s">
        <v>114</v>
      </c>
    </row>
    <row r="17" spans="1:10" x14ac:dyDescent="0.25">
      <c r="A17" s="3">
        <v>12</v>
      </c>
      <c r="B17" s="3" t="s">
        <v>113</v>
      </c>
      <c r="C17" s="3"/>
      <c r="D17" s="3">
        <f>'SEPTEMBER 20'!H17:H32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0" x14ac:dyDescent="0.25">
      <c r="A18" s="3">
        <v>13</v>
      </c>
      <c r="B18" s="3" t="s">
        <v>38</v>
      </c>
      <c r="C18" s="3"/>
      <c r="D18" s="3">
        <f>'SEPTEMBER 20'!H18:H33</f>
        <v>0</v>
      </c>
      <c r="E18" s="3">
        <v>4500</v>
      </c>
      <c r="F18" s="3">
        <f t="shared" si="0"/>
        <v>4500</v>
      </c>
      <c r="G18" s="30">
        <f>3500+1000</f>
        <v>4500</v>
      </c>
      <c r="H18" s="3">
        <f t="shared" si="1"/>
        <v>0</v>
      </c>
      <c r="I18" s="5"/>
    </row>
    <row r="19" spans="1:10" x14ac:dyDescent="0.25">
      <c r="A19" s="3">
        <v>14</v>
      </c>
      <c r="B19" s="3"/>
      <c r="C19" s="3"/>
      <c r="D19" s="3">
        <f>'SEPTEMBER 20'!H19:H34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0" x14ac:dyDescent="0.25">
      <c r="A20" s="3"/>
      <c r="B20" s="2" t="s">
        <v>9</v>
      </c>
      <c r="C20" s="2">
        <f>SUM(C5:C19)</f>
        <v>0</v>
      </c>
      <c r="D20" s="3">
        <f>'SEPTEMBER 20'!H20:H35</f>
        <v>2500</v>
      </c>
      <c r="E20" s="2">
        <f>SUM(E5:E19)</f>
        <v>42500</v>
      </c>
      <c r="F20" s="2">
        <f>SUM(F5:F19)</f>
        <v>45000</v>
      </c>
      <c r="G20" s="31">
        <f>SUM(G5:G19)</f>
        <v>42500</v>
      </c>
      <c r="H20" s="2">
        <f>SUM(H5:H19)</f>
        <v>2500</v>
      </c>
      <c r="J20" t="s">
        <v>10</v>
      </c>
    </row>
    <row r="21" spans="1:10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0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0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0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0" x14ac:dyDescent="0.25">
      <c r="B25" s="16" t="s">
        <v>109</v>
      </c>
      <c r="C25" s="16"/>
      <c r="D25" s="17">
        <f>E20</f>
        <v>42500</v>
      </c>
      <c r="E25" s="16"/>
      <c r="F25" s="16"/>
      <c r="G25" s="16" t="s">
        <v>109</v>
      </c>
      <c r="H25" s="17">
        <f>G20</f>
        <v>42500</v>
      </c>
      <c r="I25" s="16"/>
      <c r="J25" s="16"/>
    </row>
    <row r="26" spans="1:10" x14ac:dyDescent="0.25">
      <c r="B26" s="16" t="s">
        <v>4</v>
      </c>
      <c r="C26" s="16"/>
      <c r="D26" s="17">
        <f>'SEPTEMBER 20'!F38</f>
        <v>27139</v>
      </c>
      <c r="E26" s="16"/>
      <c r="F26" s="16"/>
      <c r="G26" s="16"/>
      <c r="H26" s="17"/>
      <c r="I26" s="16"/>
      <c r="J26" s="16"/>
    </row>
    <row r="27" spans="1:10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'SEPTEMBER 20'!J38</f>
        <v>24639</v>
      </c>
      <c r="I27" s="16"/>
      <c r="J27" s="16"/>
    </row>
    <row r="28" spans="1:10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</row>
    <row r="29" spans="1:10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</row>
    <row r="30" spans="1:10" x14ac:dyDescent="0.25">
      <c r="B30" s="16" t="s">
        <v>110</v>
      </c>
      <c r="C30" s="15"/>
      <c r="D30" s="19"/>
      <c r="E30" s="16">
        <v>30000</v>
      </c>
      <c r="F30" s="15"/>
      <c r="G30" s="16" t="s">
        <v>110</v>
      </c>
      <c r="H30" s="15"/>
      <c r="I30" s="19">
        <v>30000</v>
      </c>
      <c r="J30" s="16"/>
    </row>
    <row r="31" spans="1:10" x14ac:dyDescent="0.25">
      <c r="B31" s="16" t="s">
        <v>110</v>
      </c>
      <c r="C31" s="15"/>
      <c r="D31" s="19"/>
      <c r="E31" s="16">
        <v>11462</v>
      </c>
      <c r="F31" s="15"/>
      <c r="G31" s="16" t="s">
        <v>110</v>
      </c>
      <c r="H31" s="15"/>
      <c r="I31" s="19">
        <v>11462</v>
      </c>
      <c r="J31" s="16"/>
    </row>
    <row r="32" spans="1:10" x14ac:dyDescent="0.25">
      <c r="B32" s="16" t="s">
        <v>115</v>
      </c>
      <c r="C32" s="16"/>
      <c r="D32" s="17"/>
      <c r="E32" s="16">
        <v>927</v>
      </c>
      <c r="F32" s="16"/>
      <c r="G32" s="16" t="s">
        <v>115</v>
      </c>
      <c r="H32" s="16"/>
      <c r="I32" s="17">
        <v>927</v>
      </c>
      <c r="J32" s="16"/>
    </row>
    <row r="33" spans="2:10" x14ac:dyDescent="0.25">
      <c r="B33" s="22" t="s">
        <v>117</v>
      </c>
      <c r="C33" s="22"/>
      <c r="D33" s="16"/>
      <c r="E33" s="16">
        <v>23000</v>
      </c>
      <c r="F33" s="16"/>
      <c r="G33" s="22" t="s">
        <v>117</v>
      </c>
      <c r="H33" s="22"/>
      <c r="I33" s="16">
        <v>23000</v>
      </c>
      <c r="J33" s="16"/>
    </row>
    <row r="34" spans="2:10" x14ac:dyDescent="0.25">
      <c r="B34" s="22" t="s">
        <v>119</v>
      </c>
      <c r="C34" s="22"/>
      <c r="D34" s="16"/>
      <c r="E34" s="16">
        <v>3000</v>
      </c>
      <c r="F34" s="16"/>
      <c r="G34" s="22" t="s">
        <v>119</v>
      </c>
      <c r="H34" s="22"/>
      <c r="I34" s="16">
        <v>3000</v>
      </c>
      <c r="J34" s="16"/>
    </row>
    <row r="35" spans="2:10" x14ac:dyDescent="0.25">
      <c r="B35" s="22" t="s">
        <v>120</v>
      </c>
      <c r="C35" s="22"/>
      <c r="D35" s="16"/>
      <c r="E35" s="16">
        <v>100</v>
      </c>
      <c r="F35" s="16"/>
      <c r="G35" s="22" t="s">
        <v>120</v>
      </c>
      <c r="H35" s="22"/>
      <c r="I35" s="16">
        <v>100</v>
      </c>
      <c r="J35" s="23"/>
    </row>
    <row r="36" spans="2:10" x14ac:dyDescent="0.25">
      <c r="B36" s="21"/>
      <c r="C36" s="21"/>
      <c r="D36" s="16"/>
      <c r="E36" s="23"/>
      <c r="F36" s="16"/>
      <c r="G36" s="21"/>
      <c r="H36" s="21"/>
      <c r="I36" s="16"/>
      <c r="J36" s="23"/>
    </row>
    <row r="37" spans="2:10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0" x14ac:dyDescent="0.25">
      <c r="B38" s="15" t="s">
        <v>9</v>
      </c>
      <c r="C38" s="15"/>
      <c r="D38" s="19">
        <f>D25+D26+D27</f>
        <v>69639</v>
      </c>
      <c r="E38" s="19">
        <f>SUM(E28:E37)</f>
        <v>72739</v>
      </c>
      <c r="F38" s="19">
        <f>D38-E38</f>
        <v>-3100</v>
      </c>
      <c r="G38" s="15" t="s">
        <v>9</v>
      </c>
      <c r="H38" s="19">
        <f>H25+H27+H26-I28</f>
        <v>62889</v>
      </c>
      <c r="I38" s="19">
        <f>SUM(I30:I37)</f>
        <v>68489</v>
      </c>
      <c r="J38" s="19">
        <f>H38-I38</f>
        <v>-5600</v>
      </c>
    </row>
    <row r="40" spans="2:10" x14ac:dyDescent="0.25">
      <c r="B40" t="s">
        <v>22</v>
      </c>
      <c r="E40" t="s">
        <v>23</v>
      </c>
      <c r="H40" t="s">
        <v>24</v>
      </c>
    </row>
    <row r="41" spans="2:10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7" workbookViewId="0">
      <selection activeCell="M38" sqref="M38"/>
    </sheetView>
  </sheetViews>
  <sheetFormatPr defaultRowHeight="15" x14ac:dyDescent="0.25"/>
  <cols>
    <col min="7" max="7" width="10.140625" customWidth="1"/>
  </cols>
  <sheetData>
    <row r="1" spans="1:10" x14ac:dyDescent="0.25">
      <c r="A1" s="1"/>
      <c r="D1" s="1" t="s">
        <v>28</v>
      </c>
      <c r="E1" s="1"/>
      <c r="F1" s="1"/>
      <c r="G1" s="1"/>
      <c r="H1" s="1"/>
    </row>
    <row r="2" spans="1:10" x14ac:dyDescent="0.25">
      <c r="A2" s="1"/>
      <c r="D2" s="1" t="s">
        <v>0</v>
      </c>
      <c r="E2" s="1"/>
      <c r="F2" s="1"/>
      <c r="G2" s="1"/>
      <c r="H2" s="1"/>
    </row>
    <row r="3" spans="1:10" x14ac:dyDescent="0.25">
      <c r="A3" s="1"/>
      <c r="B3" s="1"/>
      <c r="C3" s="1"/>
      <c r="D3" s="1" t="s">
        <v>118</v>
      </c>
      <c r="E3" s="1"/>
      <c r="F3" s="1"/>
      <c r="G3" s="1"/>
      <c r="H3" s="1"/>
      <c r="J3" t="s">
        <v>111</v>
      </c>
    </row>
    <row r="4" spans="1:10" x14ac:dyDescent="0.25">
      <c r="A4" s="2" t="s">
        <v>2</v>
      </c>
      <c r="B4" s="2" t="s">
        <v>3</v>
      </c>
      <c r="C4" s="2" t="s">
        <v>39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0" x14ac:dyDescent="0.25">
      <c r="A5" s="3" t="s">
        <v>29</v>
      </c>
      <c r="B5" s="3" t="s">
        <v>31</v>
      </c>
      <c r="C5" s="3"/>
      <c r="D5" s="3">
        <f>'OCTOBER 20'!H5:H20</f>
        <v>0</v>
      </c>
      <c r="E5" s="3">
        <v>5000</v>
      </c>
      <c r="F5" s="3">
        <f>D5+E5+C5</f>
        <v>5000</v>
      </c>
      <c r="G5" s="30">
        <v>5000</v>
      </c>
      <c r="H5" s="3">
        <f>F5-G5</f>
        <v>0</v>
      </c>
    </row>
    <row r="6" spans="1:10" x14ac:dyDescent="0.25">
      <c r="A6" s="3" t="s">
        <v>30</v>
      </c>
      <c r="B6" s="3" t="s">
        <v>41</v>
      </c>
      <c r="C6" s="3"/>
      <c r="D6" s="3">
        <f>'OCTOBER 20'!H6:H21</f>
        <v>0</v>
      </c>
      <c r="E6" s="3">
        <v>5000</v>
      </c>
      <c r="F6" s="3">
        <f t="shared" ref="F6:F19" si="0">D6+E6+C6</f>
        <v>5000</v>
      </c>
      <c r="G6" s="30">
        <f>4000+1000</f>
        <v>5000</v>
      </c>
      <c r="H6" s="3">
        <f t="shared" ref="H6:H19" si="1">F6-G6</f>
        <v>0</v>
      </c>
    </row>
    <row r="7" spans="1:10" x14ac:dyDescent="0.25">
      <c r="A7" s="3">
        <v>3</v>
      </c>
      <c r="B7" s="3" t="s">
        <v>32</v>
      </c>
      <c r="C7" s="3"/>
      <c r="D7" s="3">
        <f>'OCTOBER 20'!H7:H22</f>
        <v>0</v>
      </c>
      <c r="E7" s="3">
        <v>3000</v>
      </c>
      <c r="F7" s="3">
        <f t="shared" si="0"/>
        <v>3000</v>
      </c>
      <c r="G7" s="30">
        <v>3000</v>
      </c>
      <c r="H7" s="3">
        <f t="shared" si="1"/>
        <v>0</v>
      </c>
    </row>
    <row r="8" spans="1:10" x14ac:dyDescent="0.25">
      <c r="A8" s="3">
        <v>4</v>
      </c>
      <c r="B8" s="3" t="s">
        <v>33</v>
      </c>
      <c r="C8" s="3"/>
      <c r="D8" s="3">
        <f>'OCTOBER 20'!H8:H23</f>
        <v>500</v>
      </c>
      <c r="E8" s="3">
        <v>3000</v>
      </c>
      <c r="F8" s="3">
        <f t="shared" si="0"/>
        <v>3500</v>
      </c>
      <c r="G8" s="30">
        <v>3000</v>
      </c>
      <c r="H8" s="3">
        <f t="shared" si="1"/>
        <v>500</v>
      </c>
    </row>
    <row r="9" spans="1:10" x14ac:dyDescent="0.25">
      <c r="A9" s="34" t="s">
        <v>79</v>
      </c>
      <c r="B9" s="3"/>
      <c r="C9" s="3"/>
      <c r="D9" s="3">
        <f>'OCTOBER 20'!H9:H24</f>
        <v>0</v>
      </c>
      <c r="E9" s="3"/>
      <c r="F9" s="3">
        <f>D9+E9+C9</f>
        <v>0</v>
      </c>
      <c r="G9" s="30"/>
      <c r="H9" s="3">
        <f>F9-G9</f>
        <v>0</v>
      </c>
    </row>
    <row r="10" spans="1:10" x14ac:dyDescent="0.25">
      <c r="A10" s="3" t="s">
        <v>80</v>
      </c>
      <c r="B10" s="30" t="s">
        <v>37</v>
      </c>
      <c r="C10" s="3"/>
      <c r="D10" s="3">
        <f>'OCTOBER 20'!H10:H25</f>
        <v>2000</v>
      </c>
      <c r="E10" s="3">
        <v>6000</v>
      </c>
      <c r="F10" s="3">
        <f t="shared" si="0"/>
        <v>8000</v>
      </c>
      <c r="G10" s="30">
        <f>2000+5000</f>
        <v>7000</v>
      </c>
      <c r="H10" s="3">
        <f t="shared" si="1"/>
        <v>1000</v>
      </c>
    </row>
    <row r="11" spans="1:10" x14ac:dyDescent="0.25">
      <c r="A11" s="3">
        <v>6</v>
      </c>
      <c r="B11" s="4" t="s">
        <v>43</v>
      </c>
      <c r="C11" s="4"/>
      <c r="D11" s="3">
        <f>'OCTOBER 20'!H11:H26</f>
        <v>0</v>
      </c>
      <c r="E11" s="3">
        <v>3000</v>
      </c>
      <c r="F11" s="3">
        <f t="shared" si="0"/>
        <v>3000</v>
      </c>
      <c r="G11" s="30">
        <v>3000</v>
      </c>
      <c r="H11" s="3">
        <f t="shared" si="1"/>
        <v>0</v>
      </c>
    </row>
    <row r="12" spans="1:10" x14ac:dyDescent="0.25">
      <c r="A12" s="3">
        <v>7</v>
      </c>
      <c r="B12" s="3" t="s">
        <v>45</v>
      </c>
      <c r="C12" s="3"/>
      <c r="D12" s="3">
        <f>'OCTOBER 20'!H12:H27</f>
        <v>0</v>
      </c>
      <c r="E12" s="3">
        <v>3000</v>
      </c>
      <c r="F12" s="3">
        <f t="shared" si="0"/>
        <v>3000</v>
      </c>
      <c r="G12" s="30">
        <v>3000</v>
      </c>
      <c r="H12" s="3">
        <f t="shared" si="1"/>
        <v>0</v>
      </c>
    </row>
    <row r="13" spans="1:10" x14ac:dyDescent="0.25">
      <c r="A13" s="3">
        <v>8</v>
      </c>
      <c r="B13" s="3" t="s">
        <v>93</v>
      </c>
      <c r="C13" s="3"/>
      <c r="D13" s="3">
        <f>'OCTOBER 20'!H13:H28</f>
        <v>0</v>
      </c>
      <c r="E13" s="3">
        <v>2500</v>
      </c>
      <c r="F13" s="3">
        <f t="shared" si="0"/>
        <v>2500</v>
      </c>
      <c r="G13" s="30">
        <v>2500</v>
      </c>
      <c r="H13" s="3">
        <f t="shared" si="1"/>
        <v>0</v>
      </c>
    </row>
    <row r="14" spans="1:10" x14ac:dyDescent="0.25">
      <c r="A14" s="3">
        <v>9</v>
      </c>
      <c r="B14" s="3" t="s">
        <v>35</v>
      </c>
      <c r="C14" s="3"/>
      <c r="D14" s="3">
        <f>'OCTOBER 20'!H14:H29</f>
        <v>0</v>
      </c>
      <c r="E14" s="3">
        <v>2500</v>
      </c>
      <c r="F14" s="3">
        <f t="shared" si="0"/>
        <v>2500</v>
      </c>
      <c r="G14" s="30">
        <v>2500</v>
      </c>
      <c r="H14" s="3">
        <f t="shared" si="1"/>
        <v>0</v>
      </c>
    </row>
    <row r="15" spans="1:10" x14ac:dyDescent="0.25">
      <c r="A15" s="3">
        <v>10</v>
      </c>
      <c r="B15" s="3" t="s">
        <v>112</v>
      </c>
      <c r="C15" s="3"/>
      <c r="D15" s="3">
        <f>'OCTOBER 20'!H15:H30</f>
        <v>0</v>
      </c>
      <c r="E15" s="3">
        <v>2500</v>
      </c>
      <c r="F15" s="3">
        <f t="shared" si="0"/>
        <v>2500</v>
      </c>
      <c r="G15" s="30">
        <v>2500</v>
      </c>
      <c r="H15" s="3">
        <f t="shared" si="1"/>
        <v>0</v>
      </c>
    </row>
    <row r="16" spans="1:10" x14ac:dyDescent="0.25">
      <c r="A16" s="3">
        <v>11</v>
      </c>
      <c r="B16" s="3" t="s">
        <v>95</v>
      </c>
      <c r="C16" s="3"/>
      <c r="D16" s="3">
        <f>'OCTOBER 20'!H16:H31</f>
        <v>0</v>
      </c>
      <c r="E16" s="3"/>
      <c r="F16" s="3">
        <f t="shared" si="0"/>
        <v>0</v>
      </c>
      <c r="G16" s="30"/>
      <c r="H16" s="3">
        <f t="shared" si="1"/>
        <v>0</v>
      </c>
      <c r="I16" s="5"/>
    </row>
    <row r="17" spans="1:12" x14ac:dyDescent="0.25">
      <c r="A17" s="3">
        <v>12</v>
      </c>
      <c r="B17" s="3" t="s">
        <v>113</v>
      </c>
      <c r="C17" s="3"/>
      <c r="D17" s="3">
        <f>'OCTOBER 20'!H17:H32</f>
        <v>0</v>
      </c>
      <c r="E17" s="3">
        <v>2500</v>
      </c>
      <c r="F17" s="3">
        <f>D17+E17+C17</f>
        <v>2500</v>
      </c>
      <c r="G17" s="30">
        <v>2500</v>
      </c>
      <c r="H17" s="3">
        <f t="shared" si="1"/>
        <v>0</v>
      </c>
      <c r="I17" s="5"/>
    </row>
    <row r="18" spans="1:12" x14ac:dyDescent="0.25">
      <c r="A18" s="3">
        <v>13</v>
      </c>
      <c r="B18" s="3" t="s">
        <v>38</v>
      </c>
      <c r="C18" s="3"/>
      <c r="D18" s="3">
        <f>'OCTOBER 20'!H18:H33</f>
        <v>0</v>
      </c>
      <c r="E18" s="3">
        <v>4500</v>
      </c>
      <c r="F18" s="3">
        <f t="shared" si="0"/>
        <v>4500</v>
      </c>
      <c r="G18" s="30">
        <v>4500</v>
      </c>
      <c r="H18" s="3">
        <f t="shared" si="1"/>
        <v>0</v>
      </c>
      <c r="I18" s="5"/>
    </row>
    <row r="19" spans="1:12" x14ac:dyDescent="0.25">
      <c r="A19" s="3">
        <v>14</v>
      </c>
      <c r="B19" s="3"/>
      <c r="C19" s="3"/>
      <c r="D19" s="3">
        <f>'OCTOBER 20'!H19:H34</f>
        <v>0</v>
      </c>
      <c r="E19" s="3"/>
      <c r="F19" s="3">
        <f t="shared" si="0"/>
        <v>0</v>
      </c>
      <c r="G19" s="30"/>
      <c r="H19" s="3">
        <f t="shared" si="1"/>
        <v>0</v>
      </c>
      <c r="I19" s="5"/>
      <c r="J19" s="29"/>
    </row>
    <row r="20" spans="1:12" x14ac:dyDescent="0.25">
      <c r="A20" s="3"/>
      <c r="B20" s="2" t="s">
        <v>9</v>
      </c>
      <c r="C20" s="2">
        <f>SUM(C5:C19)</f>
        <v>0</v>
      </c>
      <c r="D20" s="3">
        <f>'OCTOBER 20'!H20:H35</f>
        <v>2500</v>
      </c>
      <c r="E20" s="2">
        <f>SUM(E5:E19)</f>
        <v>42500</v>
      </c>
      <c r="F20" s="2">
        <f>SUM(F5:F19)</f>
        <v>45000</v>
      </c>
      <c r="G20" s="31">
        <f>SUM(G5:G19)</f>
        <v>43500</v>
      </c>
      <c r="H20" s="2">
        <f>SUM(H5:H19)</f>
        <v>1500</v>
      </c>
      <c r="J20" t="s">
        <v>10</v>
      </c>
    </row>
    <row r="21" spans="1:12" x14ac:dyDescent="0.25">
      <c r="A21" s="5"/>
      <c r="B21" s="6"/>
      <c r="C21" s="6"/>
      <c r="D21" s="6"/>
      <c r="E21" s="6" t="s">
        <v>11</v>
      </c>
      <c r="F21" s="6"/>
      <c r="G21" s="6"/>
      <c r="H21" s="5"/>
      <c r="J21" s="29"/>
    </row>
    <row r="22" spans="1:12" x14ac:dyDescent="0.25">
      <c r="B22" s="7" t="s">
        <v>12</v>
      </c>
      <c r="C22" s="7"/>
      <c r="D22" s="8"/>
      <c r="E22" s="9"/>
      <c r="F22" s="10"/>
      <c r="G22" s="11"/>
      <c r="H22" s="12"/>
      <c r="I22" s="11"/>
      <c r="J22" s="7"/>
    </row>
    <row r="23" spans="1:12" x14ac:dyDescent="0.25">
      <c r="B23" s="13" t="s">
        <v>13</v>
      </c>
      <c r="C23" s="13"/>
      <c r="D23" s="13"/>
      <c r="E23" s="13"/>
      <c r="F23" s="14"/>
      <c r="G23" s="13" t="s">
        <v>14</v>
      </c>
      <c r="H23" s="7"/>
      <c r="I23" s="7"/>
      <c r="J23" s="7"/>
    </row>
    <row r="24" spans="1:12" x14ac:dyDescent="0.25">
      <c r="B24" s="15" t="s">
        <v>15</v>
      </c>
      <c r="C24" s="15"/>
      <c r="D24" s="15" t="s">
        <v>16</v>
      </c>
      <c r="E24" s="15" t="s">
        <v>17</v>
      </c>
      <c r="F24" s="15" t="s">
        <v>18</v>
      </c>
      <c r="G24" s="15" t="s">
        <v>15</v>
      </c>
      <c r="H24" s="15" t="s">
        <v>16</v>
      </c>
      <c r="I24" s="15" t="s">
        <v>17</v>
      </c>
      <c r="J24" s="15" t="s">
        <v>18</v>
      </c>
    </row>
    <row r="25" spans="1:12" x14ac:dyDescent="0.25">
      <c r="B25" s="16" t="s">
        <v>116</v>
      </c>
      <c r="C25" s="16"/>
      <c r="D25" s="17">
        <f>E20</f>
        <v>42500</v>
      </c>
      <c r="E25" s="16"/>
      <c r="F25" s="16"/>
      <c r="G25" s="16" t="s">
        <v>116</v>
      </c>
      <c r="H25" s="17">
        <f>G20</f>
        <v>43500</v>
      </c>
      <c r="I25" s="16"/>
      <c r="J25" s="16"/>
    </row>
    <row r="26" spans="1:12" x14ac:dyDescent="0.25">
      <c r="B26" s="16" t="s">
        <v>4</v>
      </c>
      <c r="C26" s="16"/>
      <c r="D26" s="17">
        <f>'OCTOBER 20'!F38</f>
        <v>-3100</v>
      </c>
      <c r="E26" s="16"/>
      <c r="F26" s="16"/>
      <c r="G26" s="16"/>
      <c r="H26" s="17"/>
      <c r="I26" s="16"/>
      <c r="J26" s="16"/>
    </row>
    <row r="27" spans="1:12" x14ac:dyDescent="0.25">
      <c r="B27" s="16" t="s">
        <v>39</v>
      </c>
      <c r="C27" s="16"/>
      <c r="D27" s="17">
        <f>C20</f>
        <v>0</v>
      </c>
      <c r="E27" s="16"/>
      <c r="F27" s="16"/>
      <c r="G27" s="16" t="s">
        <v>4</v>
      </c>
      <c r="H27" s="17">
        <f>'OCTOBER 20'!J38</f>
        <v>-5600</v>
      </c>
      <c r="I27" s="16"/>
      <c r="J27" s="16"/>
    </row>
    <row r="28" spans="1:12" x14ac:dyDescent="0.25">
      <c r="B28" s="16" t="s">
        <v>20</v>
      </c>
      <c r="C28" s="16"/>
      <c r="D28" s="18">
        <v>0.1</v>
      </c>
      <c r="E28" s="17">
        <f>D28*D25</f>
        <v>4250</v>
      </c>
      <c r="F28" s="16"/>
      <c r="G28" s="16" t="s">
        <v>20</v>
      </c>
      <c r="H28" s="18">
        <v>0.1</v>
      </c>
      <c r="I28" s="17">
        <f>H28*D25</f>
        <v>4250</v>
      </c>
      <c r="J28" s="16"/>
      <c r="L28" s="24">
        <f>D25</f>
        <v>42500</v>
      </c>
    </row>
    <row r="29" spans="1:12" x14ac:dyDescent="0.25">
      <c r="B29" s="15" t="s">
        <v>21</v>
      </c>
      <c r="C29" s="15"/>
      <c r="D29" s="19"/>
      <c r="E29" s="15"/>
      <c r="F29" s="15"/>
      <c r="G29" s="15" t="s">
        <v>21</v>
      </c>
      <c r="H29" s="19"/>
      <c r="I29" s="15"/>
      <c r="J29" s="15"/>
      <c r="L29" s="24">
        <f>E28</f>
        <v>4250</v>
      </c>
    </row>
    <row r="30" spans="1:12" x14ac:dyDescent="0.25">
      <c r="B30" s="16" t="s">
        <v>121</v>
      </c>
      <c r="C30" s="15"/>
      <c r="D30" s="19"/>
      <c r="E30" s="16">
        <v>11462</v>
      </c>
      <c r="F30" s="15"/>
      <c r="G30" s="16" t="s">
        <v>121</v>
      </c>
      <c r="H30" s="15"/>
      <c r="I30" s="19">
        <v>11462</v>
      </c>
      <c r="J30" s="16"/>
      <c r="L30" s="24">
        <f>L28-L29</f>
        <v>38250</v>
      </c>
    </row>
    <row r="31" spans="1:12" x14ac:dyDescent="0.25">
      <c r="B31" s="16" t="s">
        <v>122</v>
      </c>
      <c r="C31" s="16"/>
      <c r="D31" s="17"/>
      <c r="E31" s="16">
        <v>1571</v>
      </c>
      <c r="F31" s="16"/>
      <c r="G31" s="16" t="s">
        <v>122</v>
      </c>
      <c r="H31" s="16"/>
      <c r="I31" s="17">
        <v>1571</v>
      </c>
      <c r="J31" s="16"/>
      <c r="L31" s="24">
        <f>L30+D26</f>
        <v>35150</v>
      </c>
    </row>
    <row r="32" spans="1:12" x14ac:dyDescent="0.25">
      <c r="B32" s="22" t="s">
        <v>123</v>
      </c>
      <c r="C32" s="22"/>
      <c r="D32" s="16"/>
      <c r="E32" s="16">
        <v>2041</v>
      </c>
      <c r="F32" s="16"/>
      <c r="G32" s="22" t="s">
        <v>123</v>
      </c>
      <c r="H32" s="22"/>
      <c r="I32" s="16">
        <v>2041</v>
      </c>
      <c r="J32" s="16"/>
      <c r="L32" s="24">
        <f>L31-E30</f>
        <v>23688</v>
      </c>
    </row>
    <row r="33" spans="2:12" x14ac:dyDescent="0.25">
      <c r="B33" s="22" t="s">
        <v>126</v>
      </c>
      <c r="C33" s="22"/>
      <c r="D33" s="16"/>
      <c r="E33" s="16">
        <v>21600</v>
      </c>
      <c r="F33" s="16"/>
      <c r="G33" s="22" t="s">
        <v>126</v>
      </c>
      <c r="H33" s="22"/>
      <c r="I33" s="16">
        <v>21600</v>
      </c>
      <c r="J33" s="16"/>
      <c r="L33" s="24">
        <f>L32-E31</f>
        <v>22117</v>
      </c>
    </row>
    <row r="34" spans="2:12" x14ac:dyDescent="0.25">
      <c r="B34" s="22"/>
      <c r="C34" s="22"/>
      <c r="D34" s="16"/>
      <c r="E34" s="16"/>
      <c r="F34" s="16"/>
      <c r="G34" s="22"/>
      <c r="H34" s="22"/>
      <c r="I34" s="16"/>
      <c r="J34" s="16"/>
      <c r="L34" s="24">
        <f>L33-E32</f>
        <v>20076</v>
      </c>
    </row>
    <row r="35" spans="2:12" x14ac:dyDescent="0.25">
      <c r="B35" s="21"/>
      <c r="C35" s="21"/>
      <c r="D35" s="16"/>
      <c r="E35" s="23"/>
      <c r="F35" s="16"/>
      <c r="G35" s="21"/>
      <c r="H35" s="21"/>
      <c r="I35" s="16"/>
      <c r="J35" s="23"/>
      <c r="L35" s="24">
        <f>L34-E33</f>
        <v>-1524</v>
      </c>
    </row>
    <row r="36" spans="2:12" x14ac:dyDescent="0.25">
      <c r="B36" s="21"/>
      <c r="C36" s="21"/>
      <c r="D36" s="16"/>
      <c r="E36" s="23"/>
      <c r="F36" s="16"/>
      <c r="G36" s="21"/>
      <c r="H36" s="16"/>
      <c r="I36" s="23"/>
      <c r="J36" s="23"/>
    </row>
    <row r="37" spans="2:12" x14ac:dyDescent="0.25">
      <c r="B37" s="21"/>
      <c r="C37" s="21"/>
      <c r="D37" s="16"/>
      <c r="E37" s="23"/>
      <c r="F37" s="16"/>
      <c r="G37" s="21"/>
      <c r="H37" s="16"/>
      <c r="I37" s="23"/>
      <c r="J37" s="16"/>
    </row>
    <row r="38" spans="2:12" x14ac:dyDescent="0.25">
      <c r="B38" s="15" t="s">
        <v>9</v>
      </c>
      <c r="C38" s="15"/>
      <c r="D38" s="19">
        <f>D25+D26+D27</f>
        <v>39400</v>
      </c>
      <c r="E38" s="19">
        <f>SUM(E28:E37)</f>
        <v>40924</v>
      </c>
      <c r="F38" s="19">
        <f>D38-E38</f>
        <v>-1524</v>
      </c>
      <c r="G38" s="15" t="s">
        <v>9</v>
      </c>
      <c r="H38" s="19">
        <f>H25+H27+H26-I28</f>
        <v>33650</v>
      </c>
      <c r="I38" s="19">
        <f>SUM(I30:I37)</f>
        <v>36674</v>
      </c>
      <c r="J38" s="19">
        <f>H38-I38</f>
        <v>-3024</v>
      </c>
    </row>
    <row r="40" spans="2:12" x14ac:dyDescent="0.25">
      <c r="B40" t="s">
        <v>22</v>
      </c>
      <c r="E40" t="s">
        <v>23</v>
      </c>
      <c r="H40" t="s">
        <v>24</v>
      </c>
    </row>
    <row r="41" spans="2:12" x14ac:dyDescent="0.25">
      <c r="B41" t="s">
        <v>25</v>
      </c>
      <c r="E41" t="s">
        <v>26</v>
      </c>
      <c r="H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MARCH 20</vt:lpstr>
      <vt:lpstr>APRIL 20</vt:lpstr>
      <vt:lpstr>MAY 20</vt:lpstr>
      <vt:lpstr>JUNE 20</vt:lpstr>
      <vt:lpstr>JULY 20</vt:lpstr>
      <vt:lpstr>AUG 20</vt:lpstr>
      <vt:lpstr>SEPTEMBER 20</vt:lpstr>
      <vt:lpstr>OCTOBER 20</vt:lpstr>
      <vt:lpstr>NOVEMBR20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2021-01-20T09:36:05Z</cp:lastPrinted>
  <dcterms:created xsi:type="dcterms:W3CDTF">2020-02-26T13:53:06Z</dcterms:created>
  <dcterms:modified xsi:type="dcterms:W3CDTF">2021-12-15T16:05:37Z</dcterms:modified>
</cp:coreProperties>
</file>