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5" windowWidth="14805" windowHeight="7740" tabRatio="722" firstSheet="33" activeTab="39"/>
  </bookViews>
  <sheets>
    <sheet name="SEPTEMBER" sheetId="1" r:id="rId1"/>
    <sheet name="OCTOBER" sheetId="2" r:id="rId2"/>
    <sheet name="NOVEMBER" sheetId="3" r:id="rId3"/>
    <sheet name="DECEMBER" sheetId="4" r:id="rId4"/>
    <sheet name="JANUARY" sheetId="5" r:id="rId5"/>
    <sheet name="FEBRUARY" sheetId="6" r:id="rId6"/>
    <sheet name="MARCH" sheetId="7" r:id="rId7"/>
    <sheet name="APRIL" sheetId="8" r:id="rId8"/>
    <sheet name="MAY" sheetId="9" r:id="rId9"/>
    <sheet name="JUNE " sheetId="10" r:id="rId10"/>
    <sheet name="JULY " sheetId="11" r:id="rId11"/>
    <sheet name="AUGUST" sheetId="12" r:id="rId12"/>
    <sheet name="SEPT 19" sheetId="13" r:id="rId13"/>
    <sheet name="OCTOBER 19" sheetId="14" r:id="rId14"/>
    <sheet name="NOVEMBER 19" sheetId="15" r:id="rId15"/>
    <sheet name="DECEMBER 19" sheetId="16" r:id="rId16"/>
    <sheet name="JANUARY 20" sheetId="17" r:id="rId17"/>
    <sheet name="FEBRUARY 20" sheetId="18" r:id="rId18"/>
    <sheet name="MARCH 20" sheetId="19" r:id="rId19"/>
    <sheet name="APRIL 20" sheetId="20" r:id="rId20"/>
    <sheet name="MAY 20" sheetId="21" r:id="rId21"/>
    <sheet name="JUNE 20" sheetId="22" r:id="rId22"/>
    <sheet name="JULY 20" sheetId="23" r:id="rId23"/>
    <sheet name="AUGUST 20" sheetId="24" r:id="rId24"/>
    <sheet name="SEPTEMBER20" sheetId="25" r:id="rId25"/>
    <sheet name="OCTOBER20" sheetId="26" r:id="rId26"/>
    <sheet name="NOVEMBER20" sheetId="27" r:id="rId27"/>
    <sheet name="DECEMBER 20" sheetId="28" r:id="rId28"/>
    <sheet name="JANUARY 21" sheetId="29" r:id="rId29"/>
    <sheet name="FEBRUARY21" sheetId="30" r:id="rId30"/>
    <sheet name="MARCH 21" sheetId="31" r:id="rId31"/>
    <sheet name="APRIL 21" sheetId="32" r:id="rId32"/>
    <sheet name="MAY 21" sheetId="33" r:id="rId33"/>
    <sheet name="JUNE 21" sheetId="34" r:id="rId34"/>
    <sheet name="JULY 21" sheetId="35" r:id="rId35"/>
    <sheet name="AUGUST 21" sheetId="36" r:id="rId36"/>
    <sheet name="SEPT 21" sheetId="37" r:id="rId37"/>
    <sheet name="OCTOBER 21" sheetId="38" r:id="rId38"/>
    <sheet name="NOVEMBER 21" sheetId="39" r:id="rId39"/>
    <sheet name="DECEMBER 21" sheetId="40" r:id="rId40"/>
  </sheets>
  <externalReferences>
    <externalReference r:id="rId41"/>
  </externalReferences>
  <calcPr calcId="162913"/>
</workbook>
</file>

<file path=xl/calcChain.xml><?xml version="1.0" encoding="utf-8"?>
<calcChain xmlns="http://schemas.openxmlformats.org/spreadsheetml/2006/main">
  <c r="G14" i="40" l="1"/>
  <c r="F13" i="40" l="1"/>
  <c r="H13" i="40" s="1"/>
  <c r="H45" i="40"/>
  <c r="G30" i="40"/>
  <c r="C25" i="40"/>
  <c r="J23" i="40"/>
  <c r="I23" i="40"/>
  <c r="C31" i="40" s="1"/>
  <c r="G31" i="40" s="1"/>
  <c r="G23" i="40"/>
  <c r="G27" i="40" s="1"/>
  <c r="E23" i="40"/>
  <c r="C27" i="40" s="1"/>
  <c r="D32" i="40" s="1"/>
  <c r="H32" i="40" s="1"/>
  <c r="D23" i="40"/>
  <c r="D45" i="40"/>
  <c r="H45" i="38" l="1"/>
  <c r="H45" i="39" l="1"/>
  <c r="G30" i="39"/>
  <c r="C25" i="39"/>
  <c r="J23" i="39"/>
  <c r="I23" i="39"/>
  <c r="C31" i="39" s="1"/>
  <c r="G31" i="39" s="1"/>
  <c r="G23" i="39"/>
  <c r="G27" i="39" s="1"/>
  <c r="E23" i="39"/>
  <c r="C27" i="39" s="1"/>
  <c r="D23" i="39"/>
  <c r="D32" i="39" l="1"/>
  <c r="H32" i="39" s="1"/>
  <c r="C21" i="38" l="1"/>
  <c r="D34" i="37" l="1"/>
  <c r="H34" i="37"/>
  <c r="D45" i="38" l="1"/>
  <c r="G30" i="38"/>
  <c r="C25" i="38"/>
  <c r="J23" i="38"/>
  <c r="I23" i="38"/>
  <c r="C31" i="38" s="1"/>
  <c r="G31" i="38" s="1"/>
  <c r="E23" i="38"/>
  <c r="C27" i="38" s="1"/>
  <c r="D23" i="38"/>
  <c r="F21" i="38"/>
  <c r="H21" i="38" s="1"/>
  <c r="C21" i="39" s="1"/>
  <c r="F21" i="39" s="1"/>
  <c r="H21" i="39" s="1"/>
  <c r="C21" i="40" s="1"/>
  <c r="F21" i="40" s="1"/>
  <c r="H21" i="40" s="1"/>
  <c r="F20" i="38"/>
  <c r="H20" i="38" s="1"/>
  <c r="C20" i="39" s="1"/>
  <c r="F20" i="39" s="1"/>
  <c r="H20" i="39" s="1"/>
  <c r="C20" i="40" s="1"/>
  <c r="F20" i="40" s="1"/>
  <c r="H20" i="40" s="1"/>
  <c r="F19" i="38"/>
  <c r="H19" i="38" s="1"/>
  <c r="C19" i="39" s="1"/>
  <c r="F19" i="39" s="1"/>
  <c r="H19" i="39" s="1"/>
  <c r="C19" i="40" s="1"/>
  <c r="F19" i="40" s="1"/>
  <c r="H19" i="40" s="1"/>
  <c r="F17" i="38"/>
  <c r="H17" i="38" s="1"/>
  <c r="C17" i="39" s="1"/>
  <c r="F17" i="39" s="1"/>
  <c r="H17" i="39" s="1"/>
  <c r="C17" i="40" s="1"/>
  <c r="F17" i="40" s="1"/>
  <c r="H17" i="40" s="1"/>
  <c r="F14" i="38"/>
  <c r="H14" i="38" s="1"/>
  <c r="C14" i="39" s="1"/>
  <c r="F14" i="39" s="1"/>
  <c r="H14" i="39" s="1"/>
  <c r="C14" i="40" s="1"/>
  <c r="F14" i="40" s="1"/>
  <c r="H14" i="40" s="1"/>
  <c r="F13" i="38"/>
  <c r="H13" i="38" s="1"/>
  <c r="C13" i="39" s="1"/>
  <c r="F12" i="38"/>
  <c r="H12" i="38" s="1"/>
  <c r="C12" i="39" s="1"/>
  <c r="F12" i="39" s="1"/>
  <c r="H12" i="39" s="1"/>
  <c r="C12" i="40" s="1"/>
  <c r="F12" i="40" s="1"/>
  <c r="H12" i="40" s="1"/>
  <c r="F11" i="38"/>
  <c r="H11" i="38" s="1"/>
  <c r="C11" i="39" s="1"/>
  <c r="F11" i="39" s="1"/>
  <c r="H11" i="39" s="1"/>
  <c r="C11" i="40" s="1"/>
  <c r="F11" i="40" s="1"/>
  <c r="H11" i="40" s="1"/>
  <c r="F10" i="38"/>
  <c r="H10" i="38" s="1"/>
  <c r="C10" i="39" s="1"/>
  <c r="F10" i="39" s="1"/>
  <c r="H10" i="39" s="1"/>
  <c r="C10" i="40" s="1"/>
  <c r="F10" i="40" s="1"/>
  <c r="H10" i="40" s="1"/>
  <c r="F9" i="38"/>
  <c r="H9" i="38" s="1"/>
  <c r="C9" i="39" s="1"/>
  <c r="F9" i="39" s="1"/>
  <c r="H9" i="39" s="1"/>
  <c r="C9" i="40" s="1"/>
  <c r="F9" i="40" s="1"/>
  <c r="H9" i="40" s="1"/>
  <c r="G23" i="38"/>
  <c r="G27" i="38" s="1"/>
  <c r="F7" i="38"/>
  <c r="H7" i="38" s="1"/>
  <c r="C7" i="39" s="1"/>
  <c r="F7" i="39" s="1"/>
  <c r="H7" i="39" s="1"/>
  <c r="C7" i="40" s="1"/>
  <c r="F7" i="40" s="1"/>
  <c r="H7" i="40" s="1"/>
  <c r="F13" i="39" l="1"/>
  <c r="H13" i="39" s="1"/>
  <c r="D36" i="39"/>
  <c r="D45" i="39" s="1"/>
  <c r="D32" i="38"/>
  <c r="H32" i="38" s="1"/>
  <c r="G7" i="37"/>
  <c r="G12" i="37"/>
  <c r="G15" i="37" l="1"/>
  <c r="E23" i="37" l="1"/>
  <c r="C27" i="37" s="1"/>
  <c r="H45" i="37"/>
  <c r="D45" i="37"/>
  <c r="G30" i="37"/>
  <c r="C25" i="37"/>
  <c r="J23" i="37"/>
  <c r="I23" i="37"/>
  <c r="C31" i="37" s="1"/>
  <c r="G31" i="37" s="1"/>
  <c r="D23" i="37"/>
  <c r="G23" i="37"/>
  <c r="G27" i="37" s="1"/>
  <c r="D32" i="37" l="1"/>
  <c r="H32" i="37" s="1"/>
  <c r="L18" i="36" l="1"/>
  <c r="G12" i="36"/>
  <c r="G13" i="36" l="1"/>
  <c r="G7" i="36" l="1"/>
  <c r="G10" i="35" l="1"/>
  <c r="H45" i="36" l="1"/>
  <c r="D45" i="36"/>
  <c r="G30" i="36"/>
  <c r="C25" i="36"/>
  <c r="J23" i="36"/>
  <c r="I23" i="36"/>
  <c r="C31" i="36" s="1"/>
  <c r="G31" i="36" s="1"/>
  <c r="E23" i="36"/>
  <c r="C27" i="36" s="1"/>
  <c r="D23" i="36"/>
  <c r="G23" i="36"/>
  <c r="G27" i="36" s="1"/>
  <c r="F5" i="36"/>
  <c r="H5" i="36" s="1"/>
  <c r="C5" i="37" s="1"/>
  <c r="F5" i="37" l="1"/>
  <c r="D32" i="36"/>
  <c r="H32" i="36" s="1"/>
  <c r="D38" i="32"/>
  <c r="E23" i="28"/>
  <c r="D37" i="28"/>
  <c r="C6" i="28"/>
  <c r="B7" i="34"/>
  <c r="H5" i="37" l="1"/>
  <c r="G13" i="35"/>
  <c r="C5" i="38" l="1"/>
  <c r="F5" i="38" s="1"/>
  <c r="G11" i="34"/>
  <c r="H5" i="38" l="1"/>
  <c r="H45" i="35"/>
  <c r="D45" i="35"/>
  <c r="G30" i="35"/>
  <c r="C25" i="35"/>
  <c r="J23" i="35"/>
  <c r="I23" i="35"/>
  <c r="C31" i="35" s="1"/>
  <c r="G31" i="35" s="1"/>
  <c r="E23" i="35"/>
  <c r="C27" i="35" s="1"/>
  <c r="D23" i="35"/>
  <c r="G23" i="35"/>
  <c r="G27" i="35" s="1"/>
  <c r="C5" i="39" l="1"/>
  <c r="D32" i="35"/>
  <c r="H32" i="35" s="1"/>
  <c r="G19" i="34"/>
  <c r="F5" i="39" l="1"/>
  <c r="G19" i="33"/>
  <c r="H5" i="39" l="1"/>
  <c r="C5" i="40" s="1"/>
  <c r="H45" i="34"/>
  <c r="D45" i="34"/>
  <c r="G30" i="34"/>
  <c r="C25" i="34"/>
  <c r="J23" i="34"/>
  <c r="I23" i="34"/>
  <c r="C31" i="34" s="1"/>
  <c r="G31" i="34" s="1"/>
  <c r="G23" i="34"/>
  <c r="G27" i="34" s="1"/>
  <c r="E23" i="34"/>
  <c r="C27" i="34" s="1"/>
  <c r="D23" i="34"/>
  <c r="F15" i="34"/>
  <c r="H15" i="34" s="1"/>
  <c r="C15" i="35" s="1"/>
  <c r="F15" i="35" s="1"/>
  <c r="H15" i="35" s="1"/>
  <c r="C15" i="36" s="1"/>
  <c r="F15" i="36" s="1"/>
  <c r="H15" i="36" s="1"/>
  <c r="C15" i="37" s="1"/>
  <c r="F15" i="37" s="1"/>
  <c r="H15" i="37" s="1"/>
  <c r="C15" i="38" s="1"/>
  <c r="F15" i="38" s="1"/>
  <c r="H15" i="38" s="1"/>
  <c r="C15" i="39" s="1"/>
  <c r="F15" i="39" s="1"/>
  <c r="H15" i="39" s="1"/>
  <c r="C15" i="40" s="1"/>
  <c r="F15" i="40" s="1"/>
  <c r="H15" i="40" s="1"/>
  <c r="F5" i="40" l="1"/>
  <c r="D32" i="34"/>
  <c r="H32" i="34" s="1"/>
  <c r="H5" i="40" l="1"/>
  <c r="G13" i="33"/>
  <c r="G6" i="32" l="1"/>
  <c r="H45" i="33" l="1"/>
  <c r="D45" i="33"/>
  <c r="G30" i="33"/>
  <c r="C25" i="33"/>
  <c r="J23" i="33"/>
  <c r="I23" i="33"/>
  <c r="C31" i="33" s="1"/>
  <c r="G31" i="33" s="1"/>
  <c r="E23" i="33"/>
  <c r="C27" i="33" s="1"/>
  <c r="D23" i="33"/>
  <c r="G23" i="33"/>
  <c r="G27" i="33" s="1"/>
  <c r="B7" i="33"/>
  <c r="D32" i="33" l="1"/>
  <c r="H32" i="33" s="1"/>
  <c r="F5" i="33"/>
  <c r="H5" i="33" s="1"/>
  <c r="C5" i="34" s="1"/>
  <c r="F5" i="34" s="1"/>
  <c r="H5" i="34" s="1"/>
  <c r="C5" i="35" s="1"/>
  <c r="F5" i="35" s="1"/>
  <c r="B7" i="32" l="1"/>
  <c r="D40" i="31"/>
  <c r="G19" i="32" l="1"/>
  <c r="G6" i="31" l="1"/>
  <c r="F14" i="32" l="1"/>
  <c r="H14" i="32" s="1"/>
  <c r="C14" i="33" s="1"/>
  <c r="F14" i="33" s="1"/>
  <c r="H14" i="33" s="1"/>
  <c r="C14" i="34" s="1"/>
  <c r="F14" i="34" s="1"/>
  <c r="H14" i="34" s="1"/>
  <c r="C14" i="35" s="1"/>
  <c r="F14" i="35" s="1"/>
  <c r="H14" i="35" s="1"/>
  <c r="C14" i="36" s="1"/>
  <c r="F14" i="36" s="1"/>
  <c r="H14" i="36" s="1"/>
  <c r="C14" i="37" s="1"/>
  <c r="F14" i="37" s="1"/>
  <c r="H14" i="37" s="1"/>
  <c r="F18" i="32"/>
  <c r="H18" i="32" s="1"/>
  <c r="C18" i="33" s="1"/>
  <c r="F18" i="33" s="1"/>
  <c r="H18" i="33" s="1"/>
  <c r="C18" i="34" s="1"/>
  <c r="F18" i="34" s="1"/>
  <c r="H18" i="34" s="1"/>
  <c r="C18" i="35" s="1"/>
  <c r="F18" i="35" s="1"/>
  <c r="H18" i="35" s="1"/>
  <c r="C18" i="36" s="1"/>
  <c r="F18" i="36" s="1"/>
  <c r="H18" i="36" s="1"/>
  <c r="C18" i="37" s="1"/>
  <c r="F18" i="37" s="1"/>
  <c r="H18" i="37" s="1"/>
  <c r="C18" i="38" s="1"/>
  <c r="F18" i="38" s="1"/>
  <c r="H18" i="38" s="1"/>
  <c r="C18" i="39" s="1"/>
  <c r="F18" i="39" s="1"/>
  <c r="H18" i="39" s="1"/>
  <c r="C18" i="40" s="1"/>
  <c r="F18" i="40" s="1"/>
  <c r="H18" i="40" s="1"/>
  <c r="F20" i="32"/>
  <c r="H20" i="32" s="1"/>
  <c r="C20" i="33" s="1"/>
  <c r="F20" i="33" s="1"/>
  <c r="H20" i="33" s="1"/>
  <c r="C20" i="34" s="1"/>
  <c r="F20" i="34" s="1"/>
  <c r="H20" i="34" s="1"/>
  <c r="C20" i="35" s="1"/>
  <c r="F20" i="35" s="1"/>
  <c r="H20" i="35" s="1"/>
  <c r="C20" i="36" s="1"/>
  <c r="F20" i="36" s="1"/>
  <c r="H20" i="36" s="1"/>
  <c r="C20" i="37" s="1"/>
  <c r="F20" i="37" s="1"/>
  <c r="H20" i="37" s="1"/>
  <c r="H45" i="32"/>
  <c r="G30" i="32"/>
  <c r="C25" i="32"/>
  <c r="J23" i="32"/>
  <c r="I23" i="32"/>
  <c r="C31" i="32" s="1"/>
  <c r="G31" i="32" s="1"/>
  <c r="E23" i="32"/>
  <c r="C27" i="32" s="1"/>
  <c r="D23" i="32"/>
  <c r="F19" i="32"/>
  <c r="H19" i="32" s="1"/>
  <c r="C19" i="33" s="1"/>
  <c r="F19" i="33" s="1"/>
  <c r="H19" i="33" s="1"/>
  <c r="C19" i="34" s="1"/>
  <c r="F19" i="34" s="1"/>
  <c r="H19" i="34" s="1"/>
  <c r="C19" i="35" s="1"/>
  <c r="F19" i="35" s="1"/>
  <c r="H19" i="35" s="1"/>
  <c r="C19" i="36" s="1"/>
  <c r="F19" i="36" s="1"/>
  <c r="H19" i="36" s="1"/>
  <c r="C19" i="37" s="1"/>
  <c r="F19" i="37" s="1"/>
  <c r="H19" i="37" s="1"/>
  <c r="F15" i="32"/>
  <c r="H15" i="32" s="1"/>
  <c r="C15" i="33" s="1"/>
  <c r="F15" i="33" s="1"/>
  <c r="F12" i="32"/>
  <c r="H12" i="32" s="1"/>
  <c r="C12" i="33" s="1"/>
  <c r="F12" i="33" s="1"/>
  <c r="H12" i="33" s="1"/>
  <c r="C12" i="34" s="1"/>
  <c r="F12" i="34" s="1"/>
  <c r="H12" i="34" s="1"/>
  <c r="C12" i="35" s="1"/>
  <c r="F12" i="35" s="1"/>
  <c r="H12" i="35" s="1"/>
  <c r="C12" i="36" s="1"/>
  <c r="F12" i="36" s="1"/>
  <c r="H12" i="36" s="1"/>
  <c r="C12" i="37" s="1"/>
  <c r="F12" i="37" s="1"/>
  <c r="H12" i="37" s="1"/>
  <c r="F11" i="32"/>
  <c r="H11" i="32" s="1"/>
  <c r="C11" i="33" s="1"/>
  <c r="F11" i="33" s="1"/>
  <c r="H11" i="33" s="1"/>
  <c r="C11" i="34" s="1"/>
  <c r="F11" i="34" s="1"/>
  <c r="H11" i="34" s="1"/>
  <c r="C11" i="35" s="1"/>
  <c r="F11" i="35" s="1"/>
  <c r="H11" i="35" s="1"/>
  <c r="C11" i="36" s="1"/>
  <c r="F11" i="36" s="1"/>
  <c r="H11" i="36" s="1"/>
  <c r="C11" i="37" s="1"/>
  <c r="F11" i="37" s="1"/>
  <c r="H11" i="37" s="1"/>
  <c r="F9" i="32"/>
  <c r="H9" i="32" s="1"/>
  <c r="C9" i="33" s="1"/>
  <c r="F9" i="33" s="1"/>
  <c r="H9" i="33" s="1"/>
  <c r="C9" i="34" s="1"/>
  <c r="F9" i="34" s="1"/>
  <c r="H9" i="34" s="1"/>
  <c r="C9" i="35" s="1"/>
  <c r="F9" i="35" s="1"/>
  <c r="H9" i="35" s="1"/>
  <c r="C9" i="36" s="1"/>
  <c r="F9" i="36" s="1"/>
  <c r="H9" i="36" s="1"/>
  <c r="C9" i="37" s="1"/>
  <c r="F9" i="37" s="1"/>
  <c r="H9" i="37" s="1"/>
  <c r="F8" i="32"/>
  <c r="H8" i="32" s="1"/>
  <c r="C8" i="33" s="1"/>
  <c r="F8" i="33" s="1"/>
  <c r="H8" i="33" s="1"/>
  <c r="C8" i="34" s="1"/>
  <c r="F8" i="34" s="1"/>
  <c r="H8" i="34" s="1"/>
  <c r="C8" i="35" s="1"/>
  <c r="F8" i="35" s="1"/>
  <c r="F8" i="36" s="1"/>
  <c r="H8" i="36" s="1"/>
  <c r="C8" i="37" s="1"/>
  <c r="F8" i="37" s="1"/>
  <c r="H8" i="37" s="1"/>
  <c r="C8" i="38" s="1"/>
  <c r="F8" i="38" s="1"/>
  <c r="H8" i="38" s="1"/>
  <c r="C8" i="39" s="1"/>
  <c r="F8" i="39" s="1"/>
  <c r="H8" i="39" s="1"/>
  <c r="C8" i="40" s="1"/>
  <c r="F8" i="40" s="1"/>
  <c r="H8" i="40" s="1"/>
  <c r="G23" i="32"/>
  <c r="G27" i="32" s="1"/>
  <c r="D32" i="32" l="1"/>
  <c r="H32" i="32" s="1"/>
  <c r="G7" i="31" l="1"/>
  <c r="G10" i="31" l="1"/>
  <c r="G5" i="31" l="1"/>
  <c r="D34" i="30" l="1"/>
  <c r="D34" i="29"/>
  <c r="D45" i="29" s="1"/>
  <c r="H34" i="30"/>
  <c r="D45" i="31" l="1"/>
  <c r="G30" i="31"/>
  <c r="C25" i="31"/>
  <c r="J23" i="31"/>
  <c r="I23" i="31"/>
  <c r="C31" i="31" s="1"/>
  <c r="G31" i="31" s="1"/>
  <c r="E23" i="31"/>
  <c r="C27" i="31" s="1"/>
  <c r="D23" i="31"/>
  <c r="F12" i="31"/>
  <c r="H12" i="31" s="1"/>
  <c r="G23" i="31"/>
  <c r="G27" i="31" s="1"/>
  <c r="C25" i="30"/>
  <c r="G30" i="30"/>
  <c r="D32" i="31" l="1"/>
  <c r="H32" i="31" s="1"/>
  <c r="H45" i="31"/>
  <c r="G8" i="30"/>
  <c r="G13" i="30" l="1"/>
  <c r="G19" i="30" l="1"/>
  <c r="G14" i="30" l="1"/>
  <c r="M50" i="29" l="1"/>
  <c r="D39" i="30" l="1"/>
  <c r="J23" i="30"/>
  <c r="I23" i="30"/>
  <c r="C31" i="30" s="1"/>
  <c r="G31" i="30" s="1"/>
  <c r="E23" i="30"/>
  <c r="C27" i="30" s="1"/>
  <c r="D32" i="30" s="1"/>
  <c r="H32" i="30" s="1"/>
  <c r="D23" i="30"/>
  <c r="G23" i="30"/>
  <c r="G27" i="30" s="1"/>
  <c r="G6" i="29"/>
  <c r="H39" i="30" l="1"/>
  <c r="G7" i="29"/>
  <c r="G8" i="29" l="1"/>
  <c r="G10" i="29" l="1"/>
  <c r="M40" i="28" l="1"/>
  <c r="L40" i="28"/>
  <c r="G14" i="29" l="1"/>
  <c r="G12" i="29" l="1"/>
  <c r="G30" i="29" l="1"/>
  <c r="C25" i="29"/>
  <c r="J23" i="29"/>
  <c r="I23" i="29"/>
  <c r="C31" i="29" s="1"/>
  <c r="G31" i="29" s="1"/>
  <c r="E23" i="29"/>
  <c r="C27" i="29" s="1"/>
  <c r="D23" i="29"/>
  <c r="G23" i="29"/>
  <c r="G27" i="29" s="1"/>
  <c r="D32" i="29" l="1"/>
  <c r="H32" i="29" s="1"/>
  <c r="H34" i="29"/>
  <c r="H45" i="29" s="1"/>
  <c r="G10" i="28"/>
  <c r="D34" i="28" l="1"/>
  <c r="G6" i="28"/>
  <c r="D45" i="28" l="1"/>
  <c r="G30" i="28"/>
  <c r="C25" i="28"/>
  <c r="J23" i="28"/>
  <c r="I23" i="28"/>
  <c r="C31" i="28" s="1"/>
  <c r="G31" i="28" s="1"/>
  <c r="G23" i="28"/>
  <c r="G27" i="28" s="1"/>
  <c r="C27" i="28"/>
  <c r="D23" i="28"/>
  <c r="F6" i="28"/>
  <c r="H6" i="28" s="1"/>
  <c r="C6" i="29" s="1"/>
  <c r="F6" i="29" s="1"/>
  <c r="H6" i="29" s="1"/>
  <c r="C6" i="30" s="1"/>
  <c r="F6" i="30" s="1"/>
  <c r="H6" i="30" s="1"/>
  <c r="C6" i="31" s="1"/>
  <c r="F6" i="31" s="1"/>
  <c r="H6" i="31" s="1"/>
  <c r="C6" i="32" s="1"/>
  <c r="F6" i="32" s="1"/>
  <c r="F6" i="33" s="1"/>
  <c r="H6" i="33" s="1"/>
  <c r="C6" i="34" s="1"/>
  <c r="F6" i="34" s="1"/>
  <c r="H6" i="34" s="1"/>
  <c r="C6" i="35" s="1"/>
  <c r="F6" i="35" s="1"/>
  <c r="H6" i="35" s="1"/>
  <c r="E23" i="26"/>
  <c r="G23" i="27"/>
  <c r="G27" i="27" s="1"/>
  <c r="E23" i="27"/>
  <c r="C6" i="36" l="1"/>
  <c r="F6" i="36" s="1"/>
  <c r="H6" i="36" s="1"/>
  <c r="C6" i="37" s="1"/>
  <c r="F6" i="37" s="1"/>
  <c r="D32" i="28"/>
  <c r="H32" i="28" s="1"/>
  <c r="H34" i="28"/>
  <c r="H45" i="28" s="1"/>
  <c r="J23" i="26"/>
  <c r="I23" i="26"/>
  <c r="D37" i="26"/>
  <c r="H6" i="37" l="1"/>
  <c r="C6" i="27"/>
  <c r="D34" i="27"/>
  <c r="H34" i="27" s="1"/>
  <c r="H45" i="27" s="1"/>
  <c r="G30" i="27"/>
  <c r="C25" i="27"/>
  <c r="J23" i="27"/>
  <c r="I23" i="27"/>
  <c r="C27" i="27"/>
  <c r="D23" i="27"/>
  <c r="F6" i="27"/>
  <c r="F6" i="38" l="1"/>
  <c r="D45" i="27"/>
  <c r="C31" i="27"/>
  <c r="G31" i="27" s="1"/>
  <c r="D32" i="27"/>
  <c r="H32" i="27" s="1"/>
  <c r="H6" i="38" l="1"/>
  <c r="G8" i="26"/>
  <c r="C6" i="39" l="1"/>
  <c r="G18" i="26"/>
  <c r="F6" i="39" l="1"/>
  <c r="G19" i="26"/>
  <c r="G23" i="26" s="1"/>
  <c r="G27" i="26" s="1"/>
  <c r="H6" i="39" l="1"/>
  <c r="C6" i="40" s="1"/>
  <c r="D34" i="26"/>
  <c r="D45" i="26" s="1"/>
  <c r="G30" i="26"/>
  <c r="C25" i="26"/>
  <c r="C31" i="26"/>
  <c r="G31" i="26" s="1"/>
  <c r="C27" i="26"/>
  <c r="D23" i="26"/>
  <c r="F6" i="40" l="1"/>
  <c r="D32" i="26"/>
  <c r="H32" i="26" s="1"/>
  <c r="H34" i="26"/>
  <c r="H45" i="26" s="1"/>
  <c r="D34" i="25"/>
  <c r="H6" i="40" l="1"/>
  <c r="P32" i="25"/>
  <c r="P33" i="25" s="1"/>
  <c r="G10" i="25" l="1"/>
  <c r="G19" i="25" l="1"/>
  <c r="G20" i="25" l="1"/>
  <c r="G23" i="25" l="1"/>
  <c r="G27" i="25" s="1"/>
  <c r="C25" i="25" l="1"/>
  <c r="D45" i="25"/>
  <c r="H34" i="25"/>
  <c r="H45" i="25" s="1"/>
  <c r="G30" i="25"/>
  <c r="J23" i="25"/>
  <c r="I23" i="25"/>
  <c r="C31" i="25" s="1"/>
  <c r="G31" i="25" s="1"/>
  <c r="E23" i="25"/>
  <c r="D23" i="25"/>
  <c r="C27" i="25" l="1"/>
  <c r="D32" i="25" s="1"/>
  <c r="H32" i="25" s="1"/>
  <c r="D39" i="23"/>
  <c r="D40" i="24" l="1"/>
  <c r="H34" i="24"/>
  <c r="H40" i="24" s="1"/>
  <c r="G30" i="24"/>
  <c r="J23" i="24"/>
  <c r="I23" i="24"/>
  <c r="C31" i="24" s="1"/>
  <c r="G31" i="24" s="1"/>
  <c r="G23" i="24"/>
  <c r="G27" i="24" s="1"/>
  <c r="E23" i="24"/>
  <c r="C27" i="24" s="1"/>
  <c r="D32" i="24" s="1"/>
  <c r="H32" i="24" s="1"/>
  <c r="D23" i="24"/>
  <c r="F15" i="24"/>
  <c r="H15" i="24" s="1"/>
  <c r="F12" i="24"/>
  <c r="H12" i="24" s="1"/>
  <c r="F9" i="24"/>
  <c r="H9" i="24" s="1"/>
  <c r="D38" i="23"/>
  <c r="C9" i="25" l="1"/>
  <c r="F9" i="25" s="1"/>
  <c r="H9" i="25" s="1"/>
  <c r="C15" i="25"/>
  <c r="F15" i="25" s="1"/>
  <c r="H15" i="25" s="1"/>
  <c r="F17" i="25"/>
  <c r="H17" i="25" s="1"/>
  <c r="C12" i="25"/>
  <c r="F12" i="25" s="1"/>
  <c r="H12" i="25" s="1"/>
  <c r="D39" i="22"/>
  <c r="D38" i="22"/>
  <c r="C12" i="26" l="1"/>
  <c r="F12" i="26" s="1"/>
  <c r="H12" i="26" s="1"/>
  <c r="C12" i="27" s="1"/>
  <c r="F12" i="27" s="1"/>
  <c r="H12" i="27" s="1"/>
  <c r="C12" i="28" s="1"/>
  <c r="C9" i="26"/>
  <c r="F9" i="26" s="1"/>
  <c r="H9" i="26" s="1"/>
  <c r="C9" i="27" s="1"/>
  <c r="F9" i="27" s="1"/>
  <c r="H9" i="27" s="1"/>
  <c r="C9" i="28" s="1"/>
  <c r="C15" i="26"/>
  <c r="F15" i="26" s="1"/>
  <c r="H15" i="26" s="1"/>
  <c r="C15" i="27" s="1"/>
  <c r="F15" i="27" s="1"/>
  <c r="H15" i="27" s="1"/>
  <c r="C15" i="28" s="1"/>
  <c r="C17" i="26"/>
  <c r="G15" i="23"/>
  <c r="F9" i="28" l="1"/>
  <c r="H9" i="28" s="1"/>
  <c r="C9" i="29" s="1"/>
  <c r="F9" i="29" s="1"/>
  <c r="H9" i="29" s="1"/>
  <c r="C9" i="30" s="1"/>
  <c r="F9" i="30" s="1"/>
  <c r="H9" i="30" s="1"/>
  <c r="F15" i="28"/>
  <c r="H15" i="28" s="1"/>
  <c r="C15" i="29" s="1"/>
  <c r="F15" i="29" s="1"/>
  <c r="H15" i="29" s="1"/>
  <c r="C15" i="30" s="1"/>
  <c r="F15" i="30" s="1"/>
  <c r="H15" i="30" s="1"/>
  <c r="C15" i="31" s="1"/>
  <c r="F15" i="31" s="1"/>
  <c r="H15" i="31" s="1"/>
  <c r="F12" i="28"/>
  <c r="H12" i="28" s="1"/>
  <c r="C12" i="29" s="1"/>
  <c r="F12" i="29" s="1"/>
  <c r="H12" i="29" s="1"/>
  <c r="C12" i="30" s="1"/>
  <c r="F12" i="30" s="1"/>
  <c r="F17" i="26"/>
  <c r="H17" i="26" s="1"/>
  <c r="C17" i="27" s="1"/>
  <c r="F17" i="27" s="1"/>
  <c r="H17" i="27" s="1"/>
  <c r="C17" i="28" s="1"/>
  <c r="D45" i="23"/>
  <c r="H34" i="23"/>
  <c r="H45" i="23" s="1"/>
  <c r="G30" i="23"/>
  <c r="J23" i="23"/>
  <c r="I23" i="23"/>
  <c r="C31" i="23" s="1"/>
  <c r="G31" i="23" s="1"/>
  <c r="G23" i="23"/>
  <c r="G27" i="23" s="1"/>
  <c r="E23" i="23"/>
  <c r="C27" i="23" s="1"/>
  <c r="D32" i="23" s="1"/>
  <c r="H32" i="23" s="1"/>
  <c r="D23" i="23"/>
  <c r="F14" i="23"/>
  <c r="H14" i="23" s="1"/>
  <c r="C14" i="24" s="1"/>
  <c r="F14" i="24" s="1"/>
  <c r="H14" i="24" s="1"/>
  <c r="C14" i="25" s="1"/>
  <c r="F14" i="25" s="1"/>
  <c r="H14" i="25" s="1"/>
  <c r="F11" i="23"/>
  <c r="H11" i="23" s="1"/>
  <c r="C11" i="24" s="1"/>
  <c r="F11" i="24" s="1"/>
  <c r="H11" i="24" s="1"/>
  <c r="C11" i="25" s="1"/>
  <c r="F11" i="25" s="1"/>
  <c r="H11" i="25" s="1"/>
  <c r="F8" i="23"/>
  <c r="H8" i="23" s="1"/>
  <c r="C8" i="24" s="1"/>
  <c r="F8" i="24" s="1"/>
  <c r="H8" i="24" s="1"/>
  <c r="C8" i="25" s="1"/>
  <c r="F8" i="25" s="1"/>
  <c r="H8" i="25" s="1"/>
  <c r="C9" i="31" l="1"/>
  <c r="F9" i="31" s="1"/>
  <c r="F17" i="28"/>
  <c r="H17" i="28" s="1"/>
  <c r="C17" i="29" s="1"/>
  <c r="F17" i="29" s="1"/>
  <c r="H17" i="29" s="1"/>
  <c r="C17" i="30" s="1"/>
  <c r="F17" i="30" s="1"/>
  <c r="H17" i="30" s="1"/>
  <c r="C17" i="31" s="1"/>
  <c r="F17" i="31" s="1"/>
  <c r="H17" i="31" s="1"/>
  <c r="C17" i="32" s="1"/>
  <c r="F17" i="32" s="1"/>
  <c r="H17" i="32" s="1"/>
  <c r="C17" i="33" s="1"/>
  <c r="F17" i="33" s="1"/>
  <c r="H17" i="33" s="1"/>
  <c r="C17" i="34" s="1"/>
  <c r="F17" i="34" s="1"/>
  <c r="H17" i="34" s="1"/>
  <c r="C17" i="35" s="1"/>
  <c r="F17" i="35" s="1"/>
  <c r="H17" i="35" s="1"/>
  <c r="C17" i="36" s="1"/>
  <c r="F17" i="36" s="1"/>
  <c r="H17" i="36" s="1"/>
  <c r="C17" i="37" s="1"/>
  <c r="F17" i="37" s="1"/>
  <c r="H17" i="37" s="1"/>
  <c r="C8" i="26"/>
  <c r="F8" i="26" s="1"/>
  <c r="H8" i="26" s="1"/>
  <c r="C8" i="27" s="1"/>
  <c r="F8" i="27" s="1"/>
  <c r="H8" i="27" s="1"/>
  <c r="C8" i="28" s="1"/>
  <c r="C11" i="26"/>
  <c r="F11" i="26" s="1"/>
  <c r="H11" i="26" s="1"/>
  <c r="C11" i="27" s="1"/>
  <c r="F11" i="27" s="1"/>
  <c r="H11" i="27" s="1"/>
  <c r="C11" i="28" s="1"/>
  <c r="C14" i="26"/>
  <c r="F14" i="26" s="1"/>
  <c r="H14" i="26" s="1"/>
  <c r="C14" i="27" s="1"/>
  <c r="F14" i="27" s="1"/>
  <c r="H14" i="27" s="1"/>
  <c r="C14" i="28" s="1"/>
  <c r="G14" i="22"/>
  <c r="G8" i="22"/>
  <c r="F11" i="28" l="1"/>
  <c r="H11" i="28" s="1"/>
  <c r="C11" i="29" s="1"/>
  <c r="F11" i="29" s="1"/>
  <c r="H11" i="29" s="1"/>
  <c r="C11" i="30" s="1"/>
  <c r="F11" i="30" s="1"/>
  <c r="H11" i="30" s="1"/>
  <c r="C11" i="31" s="1"/>
  <c r="F11" i="31" s="1"/>
  <c r="F14" i="28"/>
  <c r="H14" i="28" s="1"/>
  <c r="C14" i="29" s="1"/>
  <c r="F14" i="29" s="1"/>
  <c r="H14" i="29" s="1"/>
  <c r="C14" i="30" s="1"/>
  <c r="F14" i="30" s="1"/>
  <c r="H14" i="30" s="1"/>
  <c r="C14" i="31" s="1"/>
  <c r="F14" i="31" s="1"/>
  <c r="F8" i="28"/>
  <c r="H8" i="28" s="1"/>
  <c r="C8" i="29" s="1"/>
  <c r="F8" i="29" s="1"/>
  <c r="H8" i="29" s="1"/>
  <c r="C8" i="30" s="1"/>
  <c r="F8" i="30" s="1"/>
  <c r="H8" i="30" s="1"/>
  <c r="C8" i="31" s="1"/>
  <c r="F8" i="31" s="1"/>
  <c r="G20" i="22"/>
  <c r="D45" i="22" l="1"/>
  <c r="H34" i="22"/>
  <c r="H45" i="22" s="1"/>
  <c r="G30" i="22"/>
  <c r="J23" i="22"/>
  <c r="E23" i="22"/>
  <c r="C27" i="22" s="1"/>
  <c r="D23" i="22"/>
  <c r="I23" i="22"/>
  <c r="C31" i="22" s="1"/>
  <c r="G31" i="22" s="1"/>
  <c r="G23" i="22"/>
  <c r="G27" i="22" s="1"/>
  <c r="F8" i="22"/>
  <c r="H8" i="22" s="1"/>
  <c r="D32" i="22" l="1"/>
  <c r="H32" i="22" s="1"/>
  <c r="I15" i="21"/>
  <c r="G15" i="21"/>
  <c r="G14" i="21" l="1"/>
  <c r="H41" i="19" l="1"/>
  <c r="D41" i="19"/>
  <c r="D45" i="21" l="1"/>
  <c r="H34" i="21"/>
  <c r="H45" i="21" s="1"/>
  <c r="G30" i="21"/>
  <c r="J23" i="21"/>
  <c r="I23" i="21"/>
  <c r="C31" i="21" s="1"/>
  <c r="G31" i="21" s="1"/>
  <c r="E23" i="21"/>
  <c r="C27" i="21" s="1"/>
  <c r="D23" i="21"/>
  <c r="G23" i="21"/>
  <c r="G27" i="21" s="1"/>
  <c r="D32" i="21" l="1"/>
  <c r="H32" i="21" s="1"/>
  <c r="G14" i="20"/>
  <c r="D36" i="19" l="1"/>
  <c r="H36" i="19" l="1"/>
  <c r="C29" i="12" l="1"/>
  <c r="D45" i="20" l="1"/>
  <c r="H34" i="20"/>
  <c r="H45" i="20" s="1"/>
  <c r="G30" i="20"/>
  <c r="J23" i="20"/>
  <c r="I23" i="20"/>
  <c r="C31" i="20" s="1"/>
  <c r="G31" i="20" s="1"/>
  <c r="E23" i="20"/>
  <c r="C27" i="20" s="1"/>
  <c r="D23" i="20"/>
  <c r="G23" i="20"/>
  <c r="G27" i="20" s="1"/>
  <c r="D32" i="20" l="1"/>
  <c r="H32" i="20" s="1"/>
  <c r="E54" i="18"/>
  <c r="G14" i="19" l="1"/>
  <c r="D34" i="18" l="1"/>
  <c r="F5" i="19" l="1"/>
  <c r="H5" i="19" s="1"/>
  <c r="C5" i="20" s="1"/>
  <c r="F5" i="20" s="1"/>
  <c r="H5" i="20" s="1"/>
  <c r="C5" i="21" s="1"/>
  <c r="F5" i="21" s="1"/>
  <c r="H5" i="21" s="1"/>
  <c r="C5" i="22" s="1"/>
  <c r="D45" i="19"/>
  <c r="G30" i="19"/>
  <c r="J23" i="19"/>
  <c r="I23" i="19"/>
  <c r="C31" i="19" s="1"/>
  <c r="G31" i="19" s="1"/>
  <c r="E23" i="19"/>
  <c r="C27" i="19" s="1"/>
  <c r="D32" i="19" s="1"/>
  <c r="D23" i="19"/>
  <c r="G23" i="19"/>
  <c r="F5" i="22" l="1"/>
  <c r="H5" i="22" s="1"/>
  <c r="C5" i="23" s="1"/>
  <c r="G27" i="19"/>
  <c r="H32" i="19"/>
  <c r="H45" i="19"/>
  <c r="G14" i="18"/>
  <c r="F5" i="23" l="1"/>
  <c r="H5" i="23" s="1"/>
  <c r="C5" i="24" s="1"/>
  <c r="D45" i="18"/>
  <c r="F5" i="24" l="1"/>
  <c r="H5" i="24" s="1"/>
  <c r="C5" i="25" s="1"/>
  <c r="F5" i="25" s="1"/>
  <c r="D34" i="17"/>
  <c r="H5" i="25" l="1"/>
  <c r="E23" i="18"/>
  <c r="C27" i="18" s="1"/>
  <c r="G30" i="18"/>
  <c r="J23" i="18"/>
  <c r="I23" i="18"/>
  <c r="C31" i="18" s="1"/>
  <c r="D23" i="18"/>
  <c r="F16" i="18"/>
  <c r="H16" i="18" s="1"/>
  <c r="C16" i="19" s="1"/>
  <c r="F16" i="19" s="1"/>
  <c r="H16" i="19" s="1"/>
  <c r="F16" i="20" s="1"/>
  <c r="H16" i="20" s="1"/>
  <c r="C16" i="21" s="1"/>
  <c r="F16" i="21" s="1"/>
  <c r="H16" i="21" s="1"/>
  <c r="C16" i="22" s="1"/>
  <c r="F16" i="22" s="1"/>
  <c r="H16" i="22" s="1"/>
  <c r="C16" i="23" s="1"/>
  <c r="F16" i="23" s="1"/>
  <c r="H16" i="23" s="1"/>
  <c r="C16" i="24" s="1"/>
  <c r="F16" i="24" s="1"/>
  <c r="H16" i="24" s="1"/>
  <c r="C16" i="25" s="1"/>
  <c r="F16" i="25" s="1"/>
  <c r="H16" i="25" s="1"/>
  <c r="G23" i="18"/>
  <c r="G27" i="18" s="1"/>
  <c r="F8" i="18"/>
  <c r="H8" i="18" s="1"/>
  <c r="C8" i="19" s="1"/>
  <c r="F8" i="19" s="1"/>
  <c r="H8" i="19" s="1"/>
  <c r="C8" i="20" s="1"/>
  <c r="F8" i="20" s="1"/>
  <c r="H8" i="20" s="1"/>
  <c r="F8" i="21" s="1"/>
  <c r="H8" i="21" s="1"/>
  <c r="F5" i="18"/>
  <c r="H5" i="18" s="1"/>
  <c r="C16" i="26" l="1"/>
  <c r="F16" i="26" s="1"/>
  <c r="H16" i="26" s="1"/>
  <c r="C16" i="27" s="1"/>
  <c r="F16" i="27" s="1"/>
  <c r="H16" i="27" s="1"/>
  <c r="C16" i="28" s="1"/>
  <c r="C5" i="26"/>
  <c r="G31" i="18"/>
  <c r="D32" i="18"/>
  <c r="H32" i="18" s="1"/>
  <c r="H34" i="18"/>
  <c r="H45" i="18" s="1"/>
  <c r="F16" i="28" l="1"/>
  <c r="H16" i="28" s="1"/>
  <c r="C16" i="29" s="1"/>
  <c r="F16" i="29" s="1"/>
  <c r="H16" i="29" s="1"/>
  <c r="C16" i="30" s="1"/>
  <c r="F16" i="30" s="1"/>
  <c r="H16" i="30" s="1"/>
  <c r="C16" i="31" s="1"/>
  <c r="F16" i="31" s="1"/>
  <c r="H16" i="31" s="1"/>
  <c r="C16" i="32" s="1"/>
  <c r="F16" i="32" s="1"/>
  <c r="H16" i="32" s="1"/>
  <c r="C16" i="33" s="1"/>
  <c r="F16" i="33" s="1"/>
  <c r="H16" i="33" s="1"/>
  <c r="C16" i="34" s="1"/>
  <c r="F16" i="34" s="1"/>
  <c r="H16" i="34" s="1"/>
  <c r="C16" i="35" s="1"/>
  <c r="F16" i="35" s="1"/>
  <c r="H16" i="35" s="1"/>
  <c r="C16" i="36" s="1"/>
  <c r="F16" i="36" s="1"/>
  <c r="H16" i="36" s="1"/>
  <c r="C16" i="37" s="1"/>
  <c r="F16" i="37" s="1"/>
  <c r="H16" i="37" s="1"/>
  <c r="C16" i="38" s="1"/>
  <c r="F16" i="38" s="1"/>
  <c r="F5" i="26"/>
  <c r="H5" i="26" s="1"/>
  <c r="G14" i="17"/>
  <c r="H16" i="38" l="1"/>
  <c r="C5" i="27"/>
  <c r="F5" i="27" s="1"/>
  <c r="H5" i="27" s="1"/>
  <c r="D34" i="16"/>
  <c r="C16" i="39" l="1"/>
  <c r="C5" i="28"/>
  <c r="F5" i="28" s="1"/>
  <c r="D45" i="17"/>
  <c r="G30" i="17"/>
  <c r="J23" i="17"/>
  <c r="I23" i="17"/>
  <c r="C31" i="17" s="1"/>
  <c r="G31" i="17" s="1"/>
  <c r="G23" i="17"/>
  <c r="G27" i="17" s="1"/>
  <c r="E23" i="17"/>
  <c r="C27" i="17" s="1"/>
  <c r="D32" i="17" s="1"/>
  <c r="D23" i="17"/>
  <c r="F16" i="17"/>
  <c r="H16" i="17" s="1"/>
  <c r="F8" i="17"/>
  <c r="H8" i="17" s="1"/>
  <c r="F5" i="17"/>
  <c r="H5" i="17" s="1"/>
  <c r="H5" i="28" l="1"/>
  <c r="C5" i="29" s="1"/>
  <c r="F16" i="39"/>
  <c r="F5" i="29"/>
  <c r="H5" i="29" s="1"/>
  <c r="C5" i="30" s="1"/>
  <c r="F5" i="30" s="1"/>
  <c r="H5" i="30" s="1"/>
  <c r="C5" i="31" s="1"/>
  <c r="H32" i="17"/>
  <c r="H34" i="17"/>
  <c r="H45" i="17" s="1"/>
  <c r="H34" i="16"/>
  <c r="H16" i="39" l="1"/>
  <c r="C16" i="40" s="1"/>
  <c r="F5" i="31"/>
  <c r="H5" i="31" s="1"/>
  <c r="C5" i="32" s="1"/>
  <c r="F5" i="32" s="1"/>
  <c r="D37" i="32" s="1"/>
  <c r="D45" i="32" s="1"/>
  <c r="G23" i="16"/>
  <c r="F16" i="40" l="1"/>
  <c r="D45" i="16"/>
  <c r="G30" i="16"/>
  <c r="J23" i="16"/>
  <c r="I23" i="16"/>
  <c r="C31" i="16" s="1"/>
  <c r="G31" i="16" s="1"/>
  <c r="G27" i="16"/>
  <c r="E23" i="16"/>
  <c r="C27" i="16" s="1"/>
  <c r="D23" i="16"/>
  <c r="F16" i="16"/>
  <c r="H16" i="16" s="1"/>
  <c r="F8" i="16"/>
  <c r="H8" i="16" s="1"/>
  <c r="F5" i="16"/>
  <c r="H5" i="16" s="1"/>
  <c r="G23" i="12"/>
  <c r="D38" i="15"/>
  <c r="H38" i="15" s="1"/>
  <c r="H16" i="40" l="1"/>
  <c r="D32" i="16"/>
  <c r="H32" i="16" s="1"/>
  <c r="H45" i="16"/>
  <c r="E23" i="15"/>
  <c r="G23" i="15"/>
  <c r="E23" i="12" l="1"/>
  <c r="C27" i="12" s="1"/>
  <c r="G23" i="9"/>
  <c r="E23" i="9"/>
  <c r="E23" i="8"/>
  <c r="G23" i="8"/>
  <c r="E23" i="5"/>
  <c r="G23" i="5"/>
  <c r="G23" i="6"/>
  <c r="D36" i="13"/>
  <c r="G9" i="11"/>
  <c r="D40" i="8"/>
  <c r="H45" i="14"/>
  <c r="H41" i="11"/>
  <c r="H40" i="10"/>
  <c r="G27" i="15" l="1"/>
  <c r="H45" i="15"/>
  <c r="D45" i="15"/>
  <c r="G30" i="15"/>
  <c r="J23" i="15"/>
  <c r="I23" i="15"/>
  <c r="C31" i="15" s="1"/>
  <c r="G31" i="15" s="1"/>
  <c r="C27" i="15"/>
  <c r="D23" i="15"/>
  <c r="F20" i="15"/>
  <c r="H20" i="15" s="1"/>
  <c r="C20" i="16" s="1"/>
  <c r="F20" i="16" s="1"/>
  <c r="H20" i="16" s="1"/>
  <c r="C20" i="17" s="1"/>
  <c r="F20" i="17" s="1"/>
  <c r="H20" i="17" s="1"/>
  <c r="F8" i="15"/>
  <c r="H8" i="15" s="1"/>
  <c r="F5" i="15"/>
  <c r="H5" i="15" s="1"/>
  <c r="C20" i="18" l="1"/>
  <c r="F20" i="18" s="1"/>
  <c r="H20" i="18" s="1"/>
  <c r="C20" i="19" s="1"/>
  <c r="F20" i="19" s="1"/>
  <c r="H20" i="19" s="1"/>
  <c r="C20" i="20" s="1"/>
  <c r="F20" i="20" s="1"/>
  <c r="H20" i="20" s="1"/>
  <c r="C20" i="21" s="1"/>
  <c r="F20" i="21" s="1"/>
  <c r="H20" i="21" s="1"/>
  <c r="C20" i="22" s="1"/>
  <c r="F20" i="22" s="1"/>
  <c r="H20" i="22" s="1"/>
  <c r="C20" i="23" s="1"/>
  <c r="F20" i="23" s="1"/>
  <c r="H20" i="23" s="1"/>
  <c r="C20" i="24" s="1"/>
  <c r="F20" i="24" s="1"/>
  <c r="H20" i="24" s="1"/>
  <c r="C20" i="25" s="1"/>
  <c r="F20" i="25" s="1"/>
  <c r="F20" i="26" s="1"/>
  <c r="H20" i="26" s="1"/>
  <c r="C20" i="27" s="1"/>
  <c r="F20" i="27" s="1"/>
  <c r="H20" i="27" s="1"/>
  <c r="C20" i="28" s="1"/>
  <c r="D32" i="15"/>
  <c r="H32" i="15" s="1"/>
  <c r="F20" i="28" l="1"/>
  <c r="H20" i="28" s="1"/>
  <c r="C20" i="29"/>
  <c r="F20" i="29" s="1"/>
  <c r="H20" i="29" s="1"/>
  <c r="C20" i="30" s="1"/>
  <c r="F20" i="30" s="1"/>
  <c r="H20" i="30" s="1"/>
  <c r="C20" i="31" s="1"/>
  <c r="F20" i="31" s="1"/>
  <c r="H20" i="31" s="1"/>
  <c r="H41" i="13"/>
  <c r="D41" i="13"/>
  <c r="D45" i="14" l="1"/>
  <c r="G30" i="14"/>
  <c r="J23" i="14"/>
  <c r="I23" i="14"/>
  <c r="C31" i="14" s="1"/>
  <c r="G31" i="14" s="1"/>
  <c r="G23" i="14"/>
  <c r="E23" i="14"/>
  <c r="C27" i="14" s="1"/>
  <c r="D23" i="14"/>
  <c r="G27" i="14" l="1"/>
  <c r="L26" i="14"/>
  <c r="D32" i="14"/>
  <c r="H32" i="14" s="1"/>
  <c r="F17" i="13" l="1"/>
  <c r="H36" i="13" l="1"/>
  <c r="D34" i="13" l="1"/>
  <c r="D45" i="13" s="1"/>
  <c r="J23" i="13" l="1"/>
  <c r="G30" i="13" s="1"/>
  <c r="I23" i="13"/>
  <c r="C31" i="13" s="1"/>
  <c r="G31" i="13" s="1"/>
  <c r="G23" i="13"/>
  <c r="G27" i="13" s="1"/>
  <c r="E23" i="13"/>
  <c r="D23" i="13"/>
  <c r="H17" i="13"/>
  <c r="C17" i="14" s="1"/>
  <c r="F17" i="14" s="1"/>
  <c r="H17" i="14" s="1"/>
  <c r="C17" i="15" s="1"/>
  <c r="F17" i="15" s="1"/>
  <c r="H17" i="15" s="1"/>
  <c r="C17" i="16" s="1"/>
  <c r="F17" i="16" s="1"/>
  <c r="H17" i="16" s="1"/>
  <c r="C17" i="17" s="1"/>
  <c r="F17" i="17" s="1"/>
  <c r="H17" i="17" s="1"/>
  <c r="H7" i="13"/>
  <c r="C7" i="14" s="1"/>
  <c r="F7" i="14" s="1"/>
  <c r="H7" i="14" s="1"/>
  <c r="C7" i="15" s="1"/>
  <c r="F7" i="15" s="1"/>
  <c r="H7" i="15" s="1"/>
  <c r="C7" i="16" s="1"/>
  <c r="F7" i="16" s="1"/>
  <c r="H7" i="16" s="1"/>
  <c r="C7" i="17" s="1"/>
  <c r="F7" i="17" s="1"/>
  <c r="H7" i="17" s="1"/>
  <c r="C7" i="18" s="1"/>
  <c r="F7" i="18" s="1"/>
  <c r="H7" i="18" s="1"/>
  <c r="C7" i="19" s="1"/>
  <c r="F7" i="19" s="1"/>
  <c r="H7" i="19" s="1"/>
  <c r="C7" i="20" s="1"/>
  <c r="F7" i="20" s="1"/>
  <c r="H7" i="20" s="1"/>
  <c r="C7" i="21" s="1"/>
  <c r="F7" i="21" s="1"/>
  <c r="H7" i="21" s="1"/>
  <c r="C7" i="22" s="1"/>
  <c r="F7" i="22" s="1"/>
  <c r="H7" i="22" s="1"/>
  <c r="C7" i="23" s="1"/>
  <c r="F7" i="23" s="1"/>
  <c r="H7" i="23" s="1"/>
  <c r="C7" i="24" s="1"/>
  <c r="F7" i="24" s="1"/>
  <c r="H7" i="24" s="1"/>
  <c r="C7" i="25" s="1"/>
  <c r="F7" i="25" s="1"/>
  <c r="H7" i="25" s="1"/>
  <c r="C7" i="26" l="1"/>
  <c r="F7" i="26" s="1"/>
  <c r="H7" i="26" s="1"/>
  <c r="L26" i="13"/>
  <c r="C27" i="13"/>
  <c r="D32" i="13" s="1"/>
  <c r="H32" i="13" s="1"/>
  <c r="H34" i="13"/>
  <c r="H45" i="13" s="1"/>
  <c r="C7" i="27" l="1"/>
  <c r="F7" i="27" s="1"/>
  <c r="H7" i="27" s="1"/>
  <c r="D35" i="12"/>
  <c r="D34" i="12"/>
  <c r="C7" i="28" l="1"/>
  <c r="F7" i="28" s="1"/>
  <c r="F6" i="12"/>
  <c r="F7" i="12"/>
  <c r="F8" i="12"/>
  <c r="H8" i="12" s="1"/>
  <c r="C8" i="13" s="1"/>
  <c r="F8" i="13" s="1"/>
  <c r="H8" i="13" s="1"/>
  <c r="C8" i="14" s="1"/>
  <c r="F8" i="14" s="1"/>
  <c r="H8" i="14" s="1"/>
  <c r="F9" i="12"/>
  <c r="H9" i="12" s="1"/>
  <c r="C9" i="13" s="1"/>
  <c r="F9" i="13" s="1"/>
  <c r="H9" i="13" s="1"/>
  <c r="C9" i="14" s="1"/>
  <c r="F9" i="14" s="1"/>
  <c r="H9" i="14" s="1"/>
  <c r="C9" i="15" s="1"/>
  <c r="F9" i="15" s="1"/>
  <c r="H9" i="15" s="1"/>
  <c r="C9" i="16" s="1"/>
  <c r="F9" i="16" s="1"/>
  <c r="H9" i="16" s="1"/>
  <c r="C9" i="17" s="1"/>
  <c r="F9" i="17" s="1"/>
  <c r="H9" i="17" s="1"/>
  <c r="C9" i="18" s="1"/>
  <c r="F9" i="18" s="1"/>
  <c r="H9" i="18" s="1"/>
  <c r="C9" i="19" s="1"/>
  <c r="F9" i="19" s="1"/>
  <c r="H9" i="19" s="1"/>
  <c r="C9" i="20" s="1"/>
  <c r="F9" i="20" s="1"/>
  <c r="H9" i="20" s="1"/>
  <c r="C9" i="21" s="1"/>
  <c r="F9" i="21" s="1"/>
  <c r="H9" i="21" s="1"/>
  <c r="C9" i="22" s="1"/>
  <c r="F9" i="22" s="1"/>
  <c r="H9" i="22" s="1"/>
  <c r="C9" i="23" s="1"/>
  <c r="F9" i="23" s="1"/>
  <c r="H9" i="23" s="1"/>
  <c r="F10" i="12"/>
  <c r="F11" i="12"/>
  <c r="H12" i="12"/>
  <c r="C12" i="13" s="1"/>
  <c r="F12" i="13" s="1"/>
  <c r="H12" i="13" s="1"/>
  <c r="C12" i="14" s="1"/>
  <c r="F12" i="14" s="1"/>
  <c r="H12" i="14" s="1"/>
  <c r="C12" i="15" s="1"/>
  <c r="F12" i="15" s="1"/>
  <c r="H12" i="15" s="1"/>
  <c r="C12" i="16" s="1"/>
  <c r="F12" i="16" s="1"/>
  <c r="H12" i="16" s="1"/>
  <c r="C12" i="17" s="1"/>
  <c r="F12" i="17" s="1"/>
  <c r="H12" i="17" s="1"/>
  <c r="F13" i="12"/>
  <c r="H13" i="12" s="1"/>
  <c r="C13" i="13" s="1"/>
  <c r="F13" i="13" s="1"/>
  <c r="H13" i="13" s="1"/>
  <c r="C13" i="14" s="1"/>
  <c r="F13" i="14" s="1"/>
  <c r="H13" i="14" s="1"/>
  <c r="C13" i="15" s="1"/>
  <c r="F13" i="15" s="1"/>
  <c r="H13" i="15" s="1"/>
  <c r="C13" i="16" s="1"/>
  <c r="F13" i="16" s="1"/>
  <c r="H13" i="16" s="1"/>
  <c r="C13" i="17" s="1"/>
  <c r="F13" i="17" s="1"/>
  <c r="H13" i="17" s="1"/>
  <c r="F14" i="12"/>
  <c r="F15" i="12"/>
  <c r="H15" i="12" s="1"/>
  <c r="C15" i="13" s="1"/>
  <c r="F15" i="13" s="1"/>
  <c r="H15" i="13" s="1"/>
  <c r="C15" i="14" s="1"/>
  <c r="F15" i="14" s="1"/>
  <c r="H15" i="14" s="1"/>
  <c r="C15" i="15" s="1"/>
  <c r="F15" i="15" s="1"/>
  <c r="H15" i="15" s="1"/>
  <c r="C15" i="16" s="1"/>
  <c r="F15" i="16" s="1"/>
  <c r="H15" i="16" s="1"/>
  <c r="C15" i="17" s="1"/>
  <c r="F15" i="17" s="1"/>
  <c r="H15" i="17" s="1"/>
  <c r="C15" i="18" s="1"/>
  <c r="F15" i="18" s="1"/>
  <c r="H15" i="18" s="1"/>
  <c r="C15" i="19" s="1"/>
  <c r="F15" i="19" s="1"/>
  <c r="H15" i="19" s="1"/>
  <c r="C15" i="20" s="1"/>
  <c r="F15" i="20" s="1"/>
  <c r="H15" i="20" s="1"/>
  <c r="C15" i="21" s="1"/>
  <c r="F15" i="21" s="1"/>
  <c r="H15" i="21" s="1"/>
  <c r="C15" i="22" s="1"/>
  <c r="F15" i="22" s="1"/>
  <c r="H15" i="22" s="1"/>
  <c r="C15" i="23" s="1"/>
  <c r="F15" i="23" s="1"/>
  <c r="H15" i="23" s="1"/>
  <c r="F16" i="12"/>
  <c r="H16" i="12" s="1"/>
  <c r="C16" i="13" s="1"/>
  <c r="F16" i="13" s="1"/>
  <c r="H16" i="13" s="1"/>
  <c r="C16" i="14" s="1"/>
  <c r="F16" i="14" s="1"/>
  <c r="H16" i="14" s="1"/>
  <c r="F17" i="12"/>
  <c r="H17" i="12" s="1"/>
  <c r="F18" i="12"/>
  <c r="H18" i="12" s="1"/>
  <c r="C18" i="13" s="1"/>
  <c r="F18" i="13" s="1"/>
  <c r="H18" i="13" s="1"/>
  <c r="C18" i="14" s="1"/>
  <c r="F18" i="14" s="1"/>
  <c r="H18" i="14" s="1"/>
  <c r="C18" i="15" s="1"/>
  <c r="F18" i="15" s="1"/>
  <c r="H18" i="15" s="1"/>
  <c r="C18" i="16" s="1"/>
  <c r="F18" i="16" s="1"/>
  <c r="H18" i="16" s="1"/>
  <c r="C18" i="17" s="1"/>
  <c r="F18" i="17" s="1"/>
  <c r="H18" i="17" s="1"/>
  <c r="F19" i="12"/>
  <c r="H19" i="12" s="1"/>
  <c r="C19" i="13" s="1"/>
  <c r="F19" i="13" s="1"/>
  <c r="H19" i="13" s="1"/>
  <c r="C19" i="14" s="1"/>
  <c r="F19" i="14" s="1"/>
  <c r="H19" i="14" s="1"/>
  <c r="C19" i="15" s="1"/>
  <c r="F19" i="15" s="1"/>
  <c r="H19" i="15" s="1"/>
  <c r="C19" i="16" s="1"/>
  <c r="F19" i="16" s="1"/>
  <c r="H19" i="16" s="1"/>
  <c r="C19" i="17" s="1"/>
  <c r="F19" i="17" s="1"/>
  <c r="H19" i="17" s="1"/>
  <c r="C19" i="18" s="1"/>
  <c r="F19" i="18" s="1"/>
  <c r="H19" i="18" s="1"/>
  <c r="C19" i="19" s="1"/>
  <c r="F19" i="19" s="1"/>
  <c r="H19" i="19" s="1"/>
  <c r="C19" i="20" s="1"/>
  <c r="F19" i="20" s="1"/>
  <c r="H19" i="20" s="1"/>
  <c r="C19" i="21" s="1"/>
  <c r="F19" i="21" s="1"/>
  <c r="H19" i="21" s="1"/>
  <c r="C19" i="22" s="1"/>
  <c r="F19" i="22" s="1"/>
  <c r="H19" i="22" s="1"/>
  <c r="C19" i="23" s="1"/>
  <c r="F19" i="23" s="1"/>
  <c r="H19" i="23" s="1"/>
  <c r="C19" i="24" s="1"/>
  <c r="F19" i="24" s="1"/>
  <c r="H19" i="24" s="1"/>
  <c r="C19" i="25" s="1"/>
  <c r="F19" i="25" s="1"/>
  <c r="H19" i="25" s="1"/>
  <c r="F20" i="12"/>
  <c r="H20" i="12" s="1"/>
  <c r="C20" i="13" s="1"/>
  <c r="F20" i="13" s="1"/>
  <c r="H20" i="13" s="1"/>
  <c r="C20" i="14" s="1"/>
  <c r="F20" i="14" s="1"/>
  <c r="H20" i="14" s="1"/>
  <c r="F21" i="12"/>
  <c r="H21" i="12" s="1"/>
  <c r="C21" i="13" s="1"/>
  <c r="F21" i="13" s="1"/>
  <c r="H21" i="13" s="1"/>
  <c r="C21" i="14" s="1"/>
  <c r="F21" i="14" s="1"/>
  <c r="H21" i="14" s="1"/>
  <c r="C21" i="15" s="1"/>
  <c r="F21" i="15" s="1"/>
  <c r="H21" i="15" s="1"/>
  <c r="C21" i="16" s="1"/>
  <c r="F21" i="16" s="1"/>
  <c r="H21" i="16" s="1"/>
  <c r="C21" i="17" s="1"/>
  <c r="F21" i="17" s="1"/>
  <c r="H21" i="17" s="1"/>
  <c r="F22" i="12"/>
  <c r="F5" i="12"/>
  <c r="H6" i="12"/>
  <c r="C6" i="13" s="1"/>
  <c r="F6" i="13" s="1"/>
  <c r="H6" i="13" s="1"/>
  <c r="C6" i="14" s="1"/>
  <c r="F6" i="14" s="1"/>
  <c r="H6" i="14" s="1"/>
  <c r="C6" i="15" s="1"/>
  <c r="F6" i="15" s="1"/>
  <c r="H6" i="15" s="1"/>
  <c r="C6" i="16" s="1"/>
  <c r="H7" i="12"/>
  <c r="H10" i="12"/>
  <c r="C10" i="13" s="1"/>
  <c r="F10" i="13" s="1"/>
  <c r="H10" i="13" s="1"/>
  <c r="C10" i="14" s="1"/>
  <c r="F10" i="14" s="1"/>
  <c r="H10" i="14" s="1"/>
  <c r="C10" i="15" s="1"/>
  <c r="F10" i="15" s="1"/>
  <c r="H10" i="15" s="1"/>
  <c r="C10" i="16" s="1"/>
  <c r="F10" i="16" s="1"/>
  <c r="H10" i="16" s="1"/>
  <c r="C10" i="17" s="1"/>
  <c r="F10" i="17" s="1"/>
  <c r="H10" i="17" s="1"/>
  <c r="C10" i="18" s="1"/>
  <c r="F10" i="18" s="1"/>
  <c r="H10" i="18" s="1"/>
  <c r="C10" i="19" s="1"/>
  <c r="F10" i="19" s="1"/>
  <c r="H10" i="19" s="1"/>
  <c r="C10" i="20" s="1"/>
  <c r="F10" i="20" s="1"/>
  <c r="H10" i="20" s="1"/>
  <c r="C10" i="21" s="1"/>
  <c r="F10" i="21" s="1"/>
  <c r="H10" i="21" s="1"/>
  <c r="C10" i="22" s="1"/>
  <c r="F10" i="22" s="1"/>
  <c r="H10" i="22" s="1"/>
  <c r="C10" i="23" s="1"/>
  <c r="F10" i="23" s="1"/>
  <c r="H10" i="23" s="1"/>
  <c r="C10" i="24" s="1"/>
  <c r="F10" i="24" s="1"/>
  <c r="H10" i="24" s="1"/>
  <c r="C10" i="25" s="1"/>
  <c r="F10" i="25" s="1"/>
  <c r="H10" i="25" s="1"/>
  <c r="H11" i="12"/>
  <c r="C11" i="13" s="1"/>
  <c r="F11" i="13" s="1"/>
  <c r="H11" i="13" s="1"/>
  <c r="C11" i="14" s="1"/>
  <c r="F11" i="14" s="1"/>
  <c r="H11" i="14" s="1"/>
  <c r="C11" i="15" s="1"/>
  <c r="F11" i="15" s="1"/>
  <c r="H11" i="15" s="1"/>
  <c r="C11" i="16" s="1"/>
  <c r="F11" i="16" s="1"/>
  <c r="H11" i="16" s="1"/>
  <c r="C11" i="17" s="1"/>
  <c r="F11" i="17" s="1"/>
  <c r="H11" i="17" s="1"/>
  <c r="H14" i="12"/>
  <c r="C14" i="13" s="1"/>
  <c r="F14" i="13" s="1"/>
  <c r="H14" i="13" s="1"/>
  <c r="C14" i="14" s="1"/>
  <c r="F14" i="14" s="1"/>
  <c r="H14" i="14" s="1"/>
  <c r="C14" i="15" s="1"/>
  <c r="F14" i="15" s="1"/>
  <c r="H14" i="15" s="1"/>
  <c r="C14" i="16" s="1"/>
  <c r="F14" i="16" s="1"/>
  <c r="H14" i="16" s="1"/>
  <c r="H22" i="12"/>
  <c r="C22" i="13" s="1"/>
  <c r="F22" i="13" s="1"/>
  <c r="H22" i="13" s="1"/>
  <c r="C22" i="14" s="1"/>
  <c r="F22" i="14" s="1"/>
  <c r="H22" i="14" s="1"/>
  <c r="C22" i="15" s="1"/>
  <c r="F22" i="15" s="1"/>
  <c r="H22" i="15" s="1"/>
  <c r="C22" i="16" s="1"/>
  <c r="F22" i="16" s="1"/>
  <c r="H22" i="16" s="1"/>
  <c r="C22" i="17" s="1"/>
  <c r="F22" i="17" s="1"/>
  <c r="H22" i="17" s="1"/>
  <c r="H7" i="28" l="1"/>
  <c r="C7" i="29" s="1"/>
  <c r="F7" i="29" s="1"/>
  <c r="H7" i="29" s="1"/>
  <c r="C21" i="18"/>
  <c r="F21" i="18" s="1"/>
  <c r="H21" i="18" s="1"/>
  <c r="C21" i="19" s="1"/>
  <c r="F21" i="19" s="1"/>
  <c r="H21" i="19" s="1"/>
  <c r="C21" i="20" s="1"/>
  <c r="F21" i="20" s="1"/>
  <c r="H21" i="20" s="1"/>
  <c r="C21" i="21" s="1"/>
  <c r="F21" i="21" s="1"/>
  <c r="H21" i="21" s="1"/>
  <c r="C21" i="22" s="1"/>
  <c r="F21" i="22" s="1"/>
  <c r="H21" i="22" s="1"/>
  <c r="C21" i="23" s="1"/>
  <c r="F21" i="23" s="1"/>
  <c r="H21" i="23" s="1"/>
  <c r="C21" i="24" s="1"/>
  <c r="F21" i="24" s="1"/>
  <c r="H21" i="24" s="1"/>
  <c r="C21" i="25" s="1"/>
  <c r="F21" i="25" s="1"/>
  <c r="H21" i="25" s="1"/>
  <c r="C21" i="26" s="1"/>
  <c r="F21" i="26" s="1"/>
  <c r="H21" i="26" s="1"/>
  <c r="C21" i="27" s="1"/>
  <c r="F21" i="27" s="1"/>
  <c r="H21" i="27" s="1"/>
  <c r="C21" i="28" s="1"/>
  <c r="C17" i="18"/>
  <c r="F17" i="18" s="1"/>
  <c r="H17" i="18" s="1"/>
  <c r="C17" i="19" s="1"/>
  <c r="F17" i="19" s="1"/>
  <c r="H17" i="19" s="1"/>
  <c r="C17" i="20" s="1"/>
  <c r="F17" i="20" s="1"/>
  <c r="H17" i="20" s="1"/>
  <c r="C17" i="21" s="1"/>
  <c r="F17" i="21" s="1"/>
  <c r="H17" i="21" s="1"/>
  <c r="C17" i="22" s="1"/>
  <c r="F17" i="22" s="1"/>
  <c r="H17" i="22" s="1"/>
  <c r="C17" i="23" s="1"/>
  <c r="F17" i="23" s="1"/>
  <c r="H17" i="23" s="1"/>
  <c r="C17" i="24" s="1"/>
  <c r="F17" i="24" s="1"/>
  <c r="H17" i="24" s="1"/>
  <c r="C18" i="18"/>
  <c r="F18" i="18" s="1"/>
  <c r="H18" i="18" s="1"/>
  <c r="C18" i="19" s="1"/>
  <c r="F18" i="19" s="1"/>
  <c r="H18" i="19" s="1"/>
  <c r="C18" i="20" s="1"/>
  <c r="F18" i="20" s="1"/>
  <c r="H18" i="20" s="1"/>
  <c r="C18" i="21" s="1"/>
  <c r="F18" i="21" s="1"/>
  <c r="H18" i="21" s="1"/>
  <c r="C18" i="22" s="1"/>
  <c r="F18" i="22" s="1"/>
  <c r="H18" i="22" s="1"/>
  <c r="C18" i="23" s="1"/>
  <c r="F18" i="23" s="1"/>
  <c r="H18" i="23" s="1"/>
  <c r="C18" i="24" s="1"/>
  <c r="F18" i="24" s="1"/>
  <c r="H18" i="24" s="1"/>
  <c r="C18" i="25" s="1"/>
  <c r="F18" i="25" s="1"/>
  <c r="H18" i="25" s="1"/>
  <c r="C14" i="17"/>
  <c r="F14" i="17" s="1"/>
  <c r="H14" i="17" s="1"/>
  <c r="H24" i="16"/>
  <c r="C19" i="26"/>
  <c r="F19" i="26" s="1"/>
  <c r="H19" i="26" s="1"/>
  <c r="C19" i="27" s="1"/>
  <c r="F19" i="27" s="1"/>
  <c r="H19" i="27" s="1"/>
  <c r="C10" i="26"/>
  <c r="F10" i="26" s="1"/>
  <c r="H10" i="26" s="1"/>
  <c r="F6" i="16"/>
  <c r="H6" i="16" s="1"/>
  <c r="C6" i="17" s="1"/>
  <c r="C23" i="16"/>
  <c r="F23" i="16" s="1"/>
  <c r="H23" i="16" s="1"/>
  <c r="C11" i="18"/>
  <c r="F11" i="18" s="1"/>
  <c r="H11" i="18" s="1"/>
  <c r="C11" i="19" s="1"/>
  <c r="F11" i="19" s="1"/>
  <c r="H11" i="19" s="1"/>
  <c r="C11" i="20" s="1"/>
  <c r="F11" i="20" s="1"/>
  <c r="H11" i="20" s="1"/>
  <c r="C11" i="21" s="1"/>
  <c r="F11" i="21" s="1"/>
  <c r="H11" i="21" s="1"/>
  <c r="C11" i="22" s="1"/>
  <c r="F11" i="22" s="1"/>
  <c r="H11" i="22" s="1"/>
  <c r="C12" i="18"/>
  <c r="F12" i="18" s="1"/>
  <c r="H12" i="18" s="1"/>
  <c r="C12" i="19" s="1"/>
  <c r="F12" i="19" s="1"/>
  <c r="H12" i="19" s="1"/>
  <c r="C12" i="20" s="1"/>
  <c r="F12" i="20" s="1"/>
  <c r="H12" i="20" s="1"/>
  <c r="C12" i="21" s="1"/>
  <c r="F12" i="21" s="1"/>
  <c r="H12" i="21" s="1"/>
  <c r="C12" i="22" s="1"/>
  <c r="F12" i="22" s="1"/>
  <c r="H12" i="22" s="1"/>
  <c r="C12" i="23" s="1"/>
  <c r="F12" i="23" s="1"/>
  <c r="H12" i="23" s="1"/>
  <c r="F16" i="15"/>
  <c r="H16" i="15" s="1"/>
  <c r="C23" i="15"/>
  <c r="F23" i="15" s="1"/>
  <c r="H23" i="15" s="1"/>
  <c r="H35" i="12"/>
  <c r="H34" i="12"/>
  <c r="C7" i="30" l="1"/>
  <c r="F7" i="30" s="1"/>
  <c r="H7" i="30" s="1"/>
  <c r="F19" i="28"/>
  <c r="C19" i="29" s="1"/>
  <c r="F19" i="29" s="1"/>
  <c r="H19" i="29" s="1"/>
  <c r="C19" i="30" s="1"/>
  <c r="F19" i="30" s="1"/>
  <c r="H19" i="30" s="1"/>
  <c r="C19" i="31" s="1"/>
  <c r="F19" i="31" s="1"/>
  <c r="H19" i="31" s="1"/>
  <c r="F21" i="28"/>
  <c r="H21" i="28" s="1"/>
  <c r="C21" i="29"/>
  <c r="F21" i="29" s="1"/>
  <c r="H21" i="29" s="1"/>
  <c r="C21" i="30" s="1"/>
  <c r="F21" i="30" s="1"/>
  <c r="H21" i="30" s="1"/>
  <c r="C21" i="31" s="1"/>
  <c r="F21" i="31" s="1"/>
  <c r="H21" i="31" s="1"/>
  <c r="C21" i="32" s="1"/>
  <c r="F21" i="32" s="1"/>
  <c r="H21" i="32" s="1"/>
  <c r="C21" i="33" s="1"/>
  <c r="F21" i="33" s="1"/>
  <c r="H21" i="33" s="1"/>
  <c r="C21" i="34" s="1"/>
  <c r="F21" i="34" s="1"/>
  <c r="H21" i="34" s="1"/>
  <c r="C21" i="35" s="1"/>
  <c r="F21" i="35" s="1"/>
  <c r="H21" i="35" s="1"/>
  <c r="C21" i="36" s="1"/>
  <c r="F21" i="36" s="1"/>
  <c r="H21" i="36" s="1"/>
  <c r="C21" i="37" s="1"/>
  <c r="F21" i="37" s="1"/>
  <c r="H21" i="37" s="1"/>
  <c r="C18" i="26"/>
  <c r="F18" i="26" s="1"/>
  <c r="H18" i="26" s="1"/>
  <c r="C18" i="27" s="1"/>
  <c r="F18" i="27" s="1"/>
  <c r="H18" i="27" s="1"/>
  <c r="C18" i="28" s="1"/>
  <c r="F6" i="17"/>
  <c r="H6" i="17" s="1"/>
  <c r="C6" i="18" s="1"/>
  <c r="C23" i="17"/>
  <c r="F23" i="17" s="1"/>
  <c r="H23" i="17" s="1"/>
  <c r="C22" i="18" s="1"/>
  <c r="F22" i="18" s="1"/>
  <c r="H22" i="18" s="1"/>
  <c r="C22" i="19" s="1"/>
  <c r="F22" i="19" s="1"/>
  <c r="H22" i="19" s="1"/>
  <c r="C10" i="27"/>
  <c r="F10" i="27" s="1"/>
  <c r="H10" i="27" s="1"/>
  <c r="C13" i="18"/>
  <c r="F13" i="18" s="1"/>
  <c r="H13" i="18" s="1"/>
  <c r="C13" i="19" s="1"/>
  <c r="F13" i="19" s="1"/>
  <c r="H13" i="19" s="1"/>
  <c r="C13" i="20" s="1"/>
  <c r="F13" i="20" s="1"/>
  <c r="H13" i="20" s="1"/>
  <c r="C13" i="21" s="1"/>
  <c r="F13" i="21" s="1"/>
  <c r="H13" i="21" s="1"/>
  <c r="C13" i="22" s="1"/>
  <c r="F13" i="22" s="1"/>
  <c r="H13" i="22" s="1"/>
  <c r="C13" i="23" s="1"/>
  <c r="F13" i="23" s="1"/>
  <c r="H13" i="23" s="1"/>
  <c r="C13" i="24" s="1"/>
  <c r="F13" i="24" s="1"/>
  <c r="H13" i="24" s="1"/>
  <c r="C13" i="25" s="1"/>
  <c r="F13" i="25" s="1"/>
  <c r="H13" i="25" s="1"/>
  <c r="C14" i="18"/>
  <c r="F14" i="18" s="1"/>
  <c r="H14" i="18" s="1"/>
  <c r="H24" i="17"/>
  <c r="D36" i="12"/>
  <c r="D45" i="12" s="1"/>
  <c r="C10" i="28" l="1"/>
  <c r="F10" i="28" s="1"/>
  <c r="C7" i="31"/>
  <c r="F7" i="31" s="1"/>
  <c r="H7" i="31" s="1"/>
  <c r="F18" i="28"/>
  <c r="H18" i="28" s="1"/>
  <c r="C18" i="29" s="1"/>
  <c r="F18" i="29" s="1"/>
  <c r="H18" i="29" s="1"/>
  <c r="C18" i="30" s="1"/>
  <c r="F18" i="30" s="1"/>
  <c r="H18" i="30" s="1"/>
  <c r="C18" i="31" s="1"/>
  <c r="F18" i="31" s="1"/>
  <c r="H18" i="31" s="1"/>
  <c r="C14" i="19"/>
  <c r="F14" i="19" s="1"/>
  <c r="H14" i="19" s="1"/>
  <c r="H24" i="18"/>
  <c r="C22" i="23"/>
  <c r="F22" i="23" s="1"/>
  <c r="H22" i="23" s="1"/>
  <c r="C22" i="24" s="1"/>
  <c r="F22" i="24" s="1"/>
  <c r="H22" i="24" s="1"/>
  <c r="C22" i="25" s="1"/>
  <c r="F22" i="25" s="1"/>
  <c r="H22" i="25" s="1"/>
  <c r="C22" i="22"/>
  <c r="F22" i="22" s="1"/>
  <c r="H22" i="22" s="1"/>
  <c r="C22" i="21"/>
  <c r="F22" i="21" s="1"/>
  <c r="H22" i="21" s="1"/>
  <c r="C22" i="20"/>
  <c r="F22" i="20" s="1"/>
  <c r="H22" i="20" s="1"/>
  <c r="C13" i="26"/>
  <c r="F13" i="26" s="1"/>
  <c r="H13" i="26" s="1"/>
  <c r="F6" i="18"/>
  <c r="H6" i="18" s="1"/>
  <c r="C6" i="19" s="1"/>
  <c r="C23" i="18"/>
  <c r="F23" i="18" s="1"/>
  <c r="H23" i="18" s="1"/>
  <c r="H36" i="12"/>
  <c r="H45" i="12" s="1"/>
  <c r="J23" i="12"/>
  <c r="I23" i="12"/>
  <c r="C31" i="12" s="1"/>
  <c r="D23" i="12"/>
  <c r="C23" i="12"/>
  <c r="H10" i="28" l="1"/>
  <c r="C10" i="29" s="1"/>
  <c r="F10" i="29" s="1"/>
  <c r="H10" i="29" s="1"/>
  <c r="C7" i="32"/>
  <c r="F6" i="19"/>
  <c r="H6" i="19" s="1"/>
  <c r="C6" i="20" s="1"/>
  <c r="C23" i="19"/>
  <c r="F23" i="19" s="1"/>
  <c r="H23" i="19" s="1"/>
  <c r="C13" i="27"/>
  <c r="F13" i="27" s="1"/>
  <c r="H13" i="27" s="1"/>
  <c r="C22" i="26"/>
  <c r="F22" i="26" s="1"/>
  <c r="H22" i="26" s="1"/>
  <c r="C14" i="20"/>
  <c r="F14" i="20" s="1"/>
  <c r="H14" i="20" s="1"/>
  <c r="C14" i="21" s="1"/>
  <c r="F14" i="21" s="1"/>
  <c r="H14" i="21" s="1"/>
  <c r="C14" i="22" s="1"/>
  <c r="F14" i="22" s="1"/>
  <c r="H14" i="22" s="1"/>
  <c r="H24" i="19"/>
  <c r="G31" i="12"/>
  <c r="C30" i="12"/>
  <c r="G30" i="12" s="1"/>
  <c r="F23" i="12"/>
  <c r="H23" i="12" s="1"/>
  <c r="C23" i="13" s="1"/>
  <c r="F23" i="13" s="1"/>
  <c r="H23" i="13" s="1"/>
  <c r="C23" i="14" s="1"/>
  <c r="F23" i="14" s="1"/>
  <c r="H23" i="14" s="1"/>
  <c r="L26" i="12"/>
  <c r="D32" i="12"/>
  <c r="H32" i="12" s="1"/>
  <c r="G27" i="12"/>
  <c r="H5" i="12"/>
  <c r="C5" i="13" s="1"/>
  <c r="F5" i="13" s="1"/>
  <c r="H5" i="13" s="1"/>
  <c r="C5" i="14" s="1"/>
  <c r="F5" i="14" s="1"/>
  <c r="H5" i="14" s="1"/>
  <c r="C13" i="28" l="1"/>
  <c r="F13" i="28" s="1"/>
  <c r="C10" i="30"/>
  <c r="F10" i="30" s="1"/>
  <c r="H10" i="30" s="1"/>
  <c r="F7" i="32"/>
  <c r="H7" i="32" s="1"/>
  <c r="C22" i="27"/>
  <c r="F22" i="27" s="1"/>
  <c r="H22" i="27" s="1"/>
  <c r="C22" i="28" s="1"/>
  <c r="H23" i="26"/>
  <c r="C23" i="27" s="1"/>
  <c r="F23" i="27" s="1"/>
  <c r="F6" i="20"/>
  <c r="H6" i="20" s="1"/>
  <c r="C6" i="21" s="1"/>
  <c r="C23" i="20"/>
  <c r="F23" i="20" s="1"/>
  <c r="H23" i="20" s="1"/>
  <c r="H24" i="20" s="1"/>
  <c r="G29" i="5"/>
  <c r="H13" i="28" l="1"/>
  <c r="C13" i="29" s="1"/>
  <c r="F13" i="29" s="1"/>
  <c r="H13" i="29" s="1"/>
  <c r="H23" i="27"/>
  <c r="C23" i="28" s="1"/>
  <c r="C7" i="33"/>
  <c r="F7" i="33" s="1"/>
  <c r="H7" i="33" s="1"/>
  <c r="C10" i="31"/>
  <c r="F10" i="31" s="1"/>
  <c r="H10" i="31" s="1"/>
  <c r="C22" i="29"/>
  <c r="F22" i="29" s="1"/>
  <c r="H22" i="29" s="1"/>
  <c r="C22" i="30" s="1"/>
  <c r="F22" i="30" s="1"/>
  <c r="H22" i="30" s="1"/>
  <c r="C22" i="31" s="1"/>
  <c r="F22" i="31" s="1"/>
  <c r="H22" i="31" s="1"/>
  <c r="C22" i="32" s="1"/>
  <c r="F22" i="32" s="1"/>
  <c r="H22" i="32" s="1"/>
  <c r="C22" i="33" s="1"/>
  <c r="F22" i="33" s="1"/>
  <c r="H22" i="33" s="1"/>
  <c r="C22" i="34" s="1"/>
  <c r="F22" i="34" s="1"/>
  <c r="H22" i="34" s="1"/>
  <c r="C22" i="35" s="1"/>
  <c r="F22" i="35" s="1"/>
  <c r="H22" i="35" s="1"/>
  <c r="C22" i="36" s="1"/>
  <c r="F22" i="36" s="1"/>
  <c r="H22" i="36" s="1"/>
  <c r="C22" i="37" s="1"/>
  <c r="F22" i="37" s="1"/>
  <c r="H22" i="37" s="1"/>
  <c r="C22" i="38" s="1"/>
  <c r="F22" i="38" s="1"/>
  <c r="F6" i="21"/>
  <c r="H6" i="21" s="1"/>
  <c r="C6" i="22" s="1"/>
  <c r="C23" i="21"/>
  <c r="F23" i="21" s="1"/>
  <c r="H23" i="21" s="1"/>
  <c r="D41" i="11"/>
  <c r="J16" i="11"/>
  <c r="C22" i="11" s="1"/>
  <c r="G22" i="11" s="1"/>
  <c r="I16" i="11"/>
  <c r="C23" i="11" s="1"/>
  <c r="G23" i="11" s="1"/>
  <c r="G16" i="11"/>
  <c r="G20" i="11" s="1"/>
  <c r="E16" i="11"/>
  <c r="D16" i="11"/>
  <c r="C16" i="1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H10" i="11" s="1"/>
  <c r="F9" i="11"/>
  <c r="H9" i="11" s="1"/>
  <c r="F8" i="11"/>
  <c r="H8" i="11" s="1"/>
  <c r="F7" i="11"/>
  <c r="H7" i="11" s="1"/>
  <c r="F6" i="11"/>
  <c r="H6" i="11" s="1"/>
  <c r="F5" i="11"/>
  <c r="H22" i="38" l="1"/>
  <c r="H23" i="38" s="1"/>
  <c r="F23" i="38"/>
  <c r="C7" i="34"/>
  <c r="F7" i="34" s="1"/>
  <c r="H7" i="34" s="1"/>
  <c r="C7" i="35" s="1"/>
  <c r="C13" i="30"/>
  <c r="F13" i="30" s="1"/>
  <c r="H13" i="30" s="1"/>
  <c r="H23" i="29"/>
  <c r="C10" i="32"/>
  <c r="I25" i="31"/>
  <c r="C23" i="29"/>
  <c r="F23" i="29" s="1"/>
  <c r="F22" i="28"/>
  <c r="C20" i="11"/>
  <c r="F6" i="22"/>
  <c r="H6" i="22" s="1"/>
  <c r="C6" i="23" s="1"/>
  <c r="C23" i="22"/>
  <c r="F23" i="22" s="1"/>
  <c r="H23" i="22" s="1"/>
  <c r="F16" i="11"/>
  <c r="H5" i="11"/>
  <c r="H16" i="11" s="1"/>
  <c r="H40" i="9"/>
  <c r="D40" i="9"/>
  <c r="H22" i="28" l="1"/>
  <c r="H23" i="28" s="1"/>
  <c r="J28" i="28" s="1"/>
  <c r="F23" i="28"/>
  <c r="C22" i="39"/>
  <c r="C23" i="30"/>
  <c r="F23" i="30" s="1"/>
  <c r="F10" i="32"/>
  <c r="H10" i="32" s="1"/>
  <c r="C13" i="31"/>
  <c r="H23" i="30"/>
  <c r="F7" i="35"/>
  <c r="H7" i="35" s="1"/>
  <c r="F6" i="23"/>
  <c r="H6" i="23" s="1"/>
  <c r="C6" i="24" s="1"/>
  <c r="C23" i="23"/>
  <c r="F23" i="23" s="1"/>
  <c r="H23" i="23" s="1"/>
  <c r="H24" i="23" s="1"/>
  <c r="H41" i="4"/>
  <c r="D41" i="4"/>
  <c r="G23" i="3"/>
  <c r="E23" i="3"/>
  <c r="D42" i="3"/>
  <c r="H40" i="6"/>
  <c r="D40" i="6"/>
  <c r="E23" i="10"/>
  <c r="D40" i="10"/>
  <c r="J23" i="10"/>
  <c r="C31" i="10" s="1"/>
  <c r="G31" i="10" s="1"/>
  <c r="I23" i="10"/>
  <c r="C32" i="10" s="1"/>
  <c r="G32" i="10" s="1"/>
  <c r="G23" i="10"/>
  <c r="D23" i="10"/>
  <c r="C29" i="10" s="1"/>
  <c r="C23" i="10"/>
  <c r="F22" i="10"/>
  <c r="H22" i="10" s="1"/>
  <c r="F20" i="10"/>
  <c r="H20" i="10" s="1"/>
  <c r="F19" i="10"/>
  <c r="H19" i="10" s="1"/>
  <c r="F16" i="10"/>
  <c r="H16" i="10" s="1"/>
  <c r="F15" i="10"/>
  <c r="H15" i="10" s="1"/>
  <c r="F14" i="10"/>
  <c r="H14" i="10" s="1"/>
  <c r="F13" i="10"/>
  <c r="H13" i="10" s="1"/>
  <c r="F12" i="10"/>
  <c r="H12" i="10" s="1"/>
  <c r="F11" i="10"/>
  <c r="H11" i="10" s="1"/>
  <c r="F10" i="10"/>
  <c r="H10" i="10" s="1"/>
  <c r="F9" i="10"/>
  <c r="H9" i="10" s="1"/>
  <c r="F8" i="10"/>
  <c r="H8" i="10" s="1"/>
  <c r="F7" i="10"/>
  <c r="H7" i="10" s="1"/>
  <c r="F6" i="10"/>
  <c r="H6" i="10" s="1"/>
  <c r="F5" i="10"/>
  <c r="C7" i="36" l="1"/>
  <c r="F7" i="36" s="1"/>
  <c r="H7" i="36" s="1"/>
  <c r="C7" i="37" s="1"/>
  <c r="F7" i="37" s="1"/>
  <c r="F22" i="39"/>
  <c r="C23" i="39"/>
  <c r="C23" i="31"/>
  <c r="F23" i="31" s="1"/>
  <c r="F13" i="31"/>
  <c r="H13" i="31" s="1"/>
  <c r="C10" i="33"/>
  <c r="F10" i="33" s="1"/>
  <c r="H10" i="33" s="1"/>
  <c r="G29" i="10"/>
  <c r="F6" i="24"/>
  <c r="H6" i="24" s="1"/>
  <c r="C23" i="24"/>
  <c r="F23" i="24" s="1"/>
  <c r="F23" i="10"/>
  <c r="H5" i="10"/>
  <c r="H23" i="10" s="1"/>
  <c r="H41" i="5"/>
  <c r="D41" i="5"/>
  <c r="H22" i="39" l="1"/>
  <c r="F23" i="39"/>
  <c r="H7" i="37"/>
  <c r="C13" i="32"/>
  <c r="H23" i="31"/>
  <c r="H24" i="31" s="1"/>
  <c r="C10" i="34"/>
  <c r="F10" i="34" s="1"/>
  <c r="H10" i="34" s="1"/>
  <c r="C10" i="35" s="1"/>
  <c r="C6" i="25"/>
  <c r="F6" i="25" s="1"/>
  <c r="H23" i="24"/>
  <c r="C23" i="25" s="1"/>
  <c r="E10" i="1"/>
  <c r="G10" i="1" s="1"/>
  <c r="J23" i="9"/>
  <c r="C31" i="9" s="1"/>
  <c r="G31" i="9" s="1"/>
  <c r="I23" i="9"/>
  <c r="C32" i="9" s="1"/>
  <c r="G32" i="9" s="1"/>
  <c r="D23" i="9"/>
  <c r="G29" i="9" s="1"/>
  <c r="C23" i="9"/>
  <c r="F22" i="9"/>
  <c r="H22" i="9" s="1"/>
  <c r="F20" i="9"/>
  <c r="H20" i="9" s="1"/>
  <c r="F19" i="9"/>
  <c r="H19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23" i="39" l="1"/>
  <c r="C22" i="40"/>
  <c r="F10" i="35"/>
  <c r="H10" i="35" s="1"/>
  <c r="F13" i="32"/>
  <c r="H13" i="32" s="1"/>
  <c r="C23" i="32"/>
  <c r="H6" i="25"/>
  <c r="F23" i="25"/>
  <c r="C29" i="9"/>
  <c r="F23" i="9"/>
  <c r="H5" i="9"/>
  <c r="H23" i="9" s="1"/>
  <c r="J23" i="8"/>
  <c r="I23" i="8"/>
  <c r="F22" i="40" l="1"/>
  <c r="C23" i="40"/>
  <c r="F10" i="36"/>
  <c r="H10" i="36" s="1"/>
  <c r="C10" i="37" s="1"/>
  <c r="F10" i="37" s="1"/>
  <c r="F23" i="32"/>
  <c r="C13" i="33"/>
  <c r="F13" i="33" s="1"/>
  <c r="H13" i="33" s="1"/>
  <c r="H23" i="32"/>
  <c r="C6" i="26"/>
  <c r="H23" i="25"/>
  <c r="H40" i="8"/>
  <c r="C31" i="8"/>
  <c r="G31" i="8" s="1"/>
  <c r="C32" i="8"/>
  <c r="G32" i="8" s="1"/>
  <c r="D23" i="8"/>
  <c r="G29" i="8" s="1"/>
  <c r="C23" i="8"/>
  <c r="F22" i="8"/>
  <c r="H22" i="8" s="1"/>
  <c r="F20" i="8"/>
  <c r="H20" i="8" s="1"/>
  <c r="F19" i="8"/>
  <c r="H19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5" i="8"/>
  <c r="H22" i="40" l="1"/>
  <c r="H23" i="40" s="1"/>
  <c r="F23" i="40"/>
  <c r="C23" i="33"/>
  <c r="F23" i="33" s="1"/>
  <c r="H10" i="37"/>
  <c r="C13" i="34"/>
  <c r="F13" i="34" s="1"/>
  <c r="H13" i="34" s="1"/>
  <c r="C13" i="35" s="1"/>
  <c r="H23" i="33"/>
  <c r="F6" i="26"/>
  <c r="C23" i="26"/>
  <c r="F23" i="26" s="1"/>
  <c r="C29" i="8"/>
  <c r="F23" i="8"/>
  <c r="H5" i="8"/>
  <c r="H23" i="8" s="1"/>
  <c r="C23" i="34" l="1"/>
  <c r="F23" i="34" s="1"/>
  <c r="H23" i="34" s="1"/>
  <c r="F13" i="35"/>
  <c r="H13" i="35" s="1"/>
  <c r="C23" i="35"/>
  <c r="F23" i="35" s="1"/>
  <c r="F8" i="7"/>
  <c r="H8" i="7" s="1"/>
  <c r="F9" i="7"/>
  <c r="H9" i="7" s="1"/>
  <c r="H40" i="7"/>
  <c r="D40" i="7"/>
  <c r="J23" i="7"/>
  <c r="C31" i="7" s="1"/>
  <c r="G31" i="7" s="1"/>
  <c r="I23" i="7"/>
  <c r="C32" i="7" s="1"/>
  <c r="G32" i="7" s="1"/>
  <c r="G23" i="7"/>
  <c r="E23" i="7"/>
  <c r="D23" i="7"/>
  <c r="C23" i="7"/>
  <c r="F22" i="7"/>
  <c r="H22" i="7" s="1"/>
  <c r="F20" i="7"/>
  <c r="H20" i="7" s="1"/>
  <c r="F19" i="7"/>
  <c r="H19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7" i="7"/>
  <c r="H7" i="7" s="1"/>
  <c r="F6" i="7"/>
  <c r="H6" i="7" s="1"/>
  <c r="F5" i="7"/>
  <c r="C13" i="36" l="1"/>
  <c r="F13" i="36" s="1"/>
  <c r="H13" i="36" s="1"/>
  <c r="C13" i="37" s="1"/>
  <c r="C23" i="37" s="1"/>
  <c r="H23" i="35"/>
  <c r="F13" i="37"/>
  <c r="G29" i="7"/>
  <c r="C29" i="7"/>
  <c r="F23" i="7"/>
  <c r="H5" i="7"/>
  <c r="H23" i="7" s="1"/>
  <c r="C23" i="36" l="1"/>
  <c r="F23" i="36" s="1"/>
  <c r="H23" i="36" s="1"/>
  <c r="H13" i="37"/>
  <c r="H23" i="37" s="1"/>
  <c r="C23" i="38" s="1"/>
  <c r="F23" i="37"/>
  <c r="D33" i="7"/>
  <c r="H33" i="7" s="1"/>
  <c r="D33" i="10"/>
  <c r="H33" i="10" s="1"/>
  <c r="D24" i="11"/>
  <c r="H24" i="11" s="1"/>
  <c r="D33" i="9"/>
  <c r="H33" i="9" s="1"/>
  <c r="D33" i="8"/>
  <c r="H33" i="8" s="1"/>
  <c r="F6" i="6"/>
  <c r="J23" i="6" l="1"/>
  <c r="C31" i="6" s="1"/>
  <c r="G31" i="6" s="1"/>
  <c r="I23" i="6"/>
  <c r="C32" i="6" s="1"/>
  <c r="E23" i="6"/>
  <c r="D23" i="6"/>
  <c r="C23" i="6"/>
  <c r="F22" i="6"/>
  <c r="H22" i="6" s="1"/>
  <c r="F20" i="6"/>
  <c r="H20" i="6" s="1"/>
  <c r="F19" i="6"/>
  <c r="H19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7" i="6"/>
  <c r="H7" i="6" s="1"/>
  <c r="H6" i="6"/>
  <c r="F5" i="6"/>
  <c r="F23" i="6" l="1"/>
  <c r="C29" i="6"/>
  <c r="D33" i="6" s="1"/>
  <c r="H33" i="6" s="1"/>
  <c r="G29" i="6"/>
  <c r="G32" i="6"/>
  <c r="H5" i="6"/>
  <c r="H23" i="6" s="1"/>
  <c r="H42" i="3" l="1"/>
  <c r="J23" i="5" l="1"/>
  <c r="C32" i="5" s="1"/>
  <c r="G32" i="5" s="1"/>
  <c r="I23" i="5"/>
  <c r="C33" i="5" s="1"/>
  <c r="C29" i="5"/>
  <c r="D34" i="5" s="1"/>
  <c r="D23" i="5"/>
  <c r="C31" i="5" s="1"/>
  <c r="G31" i="5" s="1"/>
  <c r="C23" i="5"/>
  <c r="F22" i="5"/>
  <c r="H22" i="5" s="1"/>
  <c r="F20" i="5"/>
  <c r="H20" i="5" s="1"/>
  <c r="F19" i="5"/>
  <c r="H19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7" i="5"/>
  <c r="H7" i="5" s="1"/>
  <c r="F6" i="5"/>
  <c r="H6" i="5" s="1"/>
  <c r="F5" i="5"/>
  <c r="J23" i="4"/>
  <c r="I23" i="4"/>
  <c r="G23" i="4"/>
  <c r="G29" i="4" s="1"/>
  <c r="E23" i="4"/>
  <c r="F23" i="5" l="1"/>
  <c r="G33" i="5"/>
  <c r="H34" i="5"/>
  <c r="H5" i="5"/>
  <c r="H23" i="5" s="1"/>
  <c r="C29" i="4"/>
  <c r="D34" i="4" l="1"/>
  <c r="C32" i="4"/>
  <c r="G32" i="4" s="1"/>
  <c r="C33" i="4"/>
  <c r="G33" i="4" s="1"/>
  <c r="D23" i="4"/>
  <c r="C23" i="4"/>
  <c r="F22" i="4"/>
  <c r="H22" i="4" s="1"/>
  <c r="F20" i="4"/>
  <c r="H20" i="4" s="1"/>
  <c r="F19" i="4"/>
  <c r="H19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7" i="4"/>
  <c r="H7" i="4" s="1"/>
  <c r="F6" i="4"/>
  <c r="H6" i="4" s="1"/>
  <c r="F5" i="4"/>
  <c r="F23" i="4" l="1"/>
  <c r="C31" i="4"/>
  <c r="G31" i="4" s="1"/>
  <c r="H5" i="4"/>
  <c r="H23" i="4" s="1"/>
  <c r="H34" i="4" l="1"/>
  <c r="E23" i="2"/>
  <c r="D23" i="1"/>
  <c r="C28" i="1" s="1"/>
  <c r="C29" i="2" l="1"/>
  <c r="D36" i="2" s="1"/>
  <c r="D42" i="2" s="1"/>
  <c r="D30" i="1"/>
  <c r="D37" i="1" s="1"/>
  <c r="F8" i="3"/>
  <c r="H8" i="3" s="1"/>
  <c r="F9" i="3"/>
  <c r="H9" i="3" s="1"/>
  <c r="F7" i="3"/>
  <c r="H7" i="3" s="1"/>
  <c r="C29" i="3" l="1"/>
  <c r="D35" i="3" l="1"/>
  <c r="G23" i="2"/>
  <c r="G29" i="2" s="1"/>
  <c r="H36" i="2" l="1"/>
  <c r="H42" i="2" s="1"/>
  <c r="J23" i="3"/>
  <c r="C32" i="3" s="1"/>
  <c r="G32" i="3" s="1"/>
  <c r="I23" i="3"/>
  <c r="C33" i="3" s="1"/>
  <c r="G33" i="3" s="1"/>
  <c r="G29" i="3"/>
  <c r="D23" i="3"/>
  <c r="C31" i="3" s="1"/>
  <c r="G31" i="3" s="1"/>
  <c r="C23" i="3"/>
  <c r="F22" i="3"/>
  <c r="H22" i="3" s="1"/>
  <c r="F20" i="3"/>
  <c r="H20" i="3" s="1"/>
  <c r="F19" i="3"/>
  <c r="H19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6" i="3"/>
  <c r="H6" i="3" s="1"/>
  <c r="F5" i="3"/>
  <c r="F23" i="3" l="1"/>
  <c r="H5" i="3"/>
  <c r="H23" i="3" s="1"/>
  <c r="J23" i="2"/>
  <c r="C32" i="2" s="1"/>
  <c r="G32" i="2" s="1"/>
  <c r="I23" i="2"/>
  <c r="C33" i="2" s="1"/>
  <c r="G33" i="2" s="1"/>
  <c r="D23" i="2"/>
  <c r="C23" i="2"/>
  <c r="F23" i="1" l="1"/>
  <c r="F6" i="2" l="1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5" i="2"/>
  <c r="H5" i="2" l="1"/>
  <c r="F23" i="2"/>
  <c r="H23" i="2"/>
  <c r="E6" i="1"/>
  <c r="E7" i="1"/>
  <c r="G7" i="1" s="1"/>
  <c r="E8" i="1"/>
  <c r="E9" i="1"/>
  <c r="G9" i="1" s="1"/>
  <c r="E11" i="1"/>
  <c r="E12" i="1"/>
  <c r="G12" i="1" s="1"/>
  <c r="E13" i="1"/>
  <c r="E14" i="1"/>
  <c r="G14" i="1" s="1"/>
  <c r="E15" i="1"/>
  <c r="E16" i="1"/>
  <c r="G16" i="1" s="1"/>
  <c r="E17" i="1"/>
  <c r="G17" i="1" s="1"/>
  <c r="E18" i="1"/>
  <c r="G18" i="1" s="1"/>
  <c r="E19" i="1"/>
  <c r="E20" i="1"/>
  <c r="G20" i="1" s="1"/>
  <c r="E21" i="1"/>
  <c r="E22" i="1"/>
  <c r="G22" i="1" s="1"/>
  <c r="E5" i="1"/>
  <c r="G6" i="1"/>
  <c r="G8" i="1"/>
  <c r="G11" i="1"/>
  <c r="G13" i="1"/>
  <c r="G15" i="1"/>
  <c r="G19" i="1"/>
  <c r="G21" i="1"/>
  <c r="G5" i="1"/>
  <c r="G23" i="1" l="1"/>
  <c r="C23" i="1" l="1"/>
  <c r="G28" i="1" l="1"/>
  <c r="G29" i="1"/>
  <c r="C29" i="1"/>
  <c r="C37" i="1" l="1"/>
  <c r="E37" i="1" s="1"/>
  <c r="G37" i="1"/>
  <c r="E23" i="1"/>
  <c r="C30" i="2" l="1"/>
  <c r="H30" i="1"/>
  <c r="H37" i="1" l="1"/>
  <c r="I37" i="1" s="1"/>
  <c r="G30" i="2" s="1"/>
  <c r="C42" i="2"/>
  <c r="E42" i="2" s="1"/>
  <c r="C34" i="2"/>
  <c r="G42" i="2" l="1"/>
  <c r="I42" i="2" s="1"/>
  <c r="G34" i="2"/>
  <c r="G30" i="3"/>
  <c r="G34" i="3" s="1"/>
  <c r="C30" i="3"/>
  <c r="C42" i="3" l="1"/>
  <c r="E42" i="3" s="1"/>
  <c r="C30" i="4" s="1"/>
  <c r="C41" i="4" s="1"/>
  <c r="C34" i="3"/>
  <c r="H35" i="3"/>
  <c r="G42" i="3" l="1"/>
  <c r="I42" i="3" s="1"/>
  <c r="G30" i="4" s="1"/>
  <c r="E41" i="4"/>
  <c r="C30" i="5" s="1"/>
  <c r="C41" i="5" s="1"/>
  <c r="G41" i="4" l="1"/>
  <c r="I41" i="4" s="1"/>
  <c r="G30" i="5" s="1"/>
  <c r="G41" i="5" s="1"/>
  <c r="I41" i="5" s="1"/>
  <c r="G30" i="6" s="1"/>
  <c r="G40" i="6" s="1"/>
  <c r="K28" i="5"/>
  <c r="E41" i="5"/>
  <c r="C30" i="6" s="1"/>
  <c r="C40" i="6" s="1"/>
  <c r="E40" i="6" s="1"/>
  <c r="I40" i="6" l="1"/>
  <c r="G30" i="7" s="1"/>
  <c r="G40" i="7" s="1"/>
  <c r="I40" i="7" s="1"/>
  <c r="G30" i="8" s="1"/>
  <c r="K28" i="6"/>
  <c r="C30" i="7"/>
  <c r="C40" i="7" s="1"/>
  <c r="G40" i="8" l="1"/>
  <c r="I40" i="8" s="1"/>
  <c r="G30" i="9" s="1"/>
  <c r="E40" i="7"/>
  <c r="C30" i="8" s="1"/>
  <c r="C40" i="8" s="1"/>
  <c r="E40" i="8" l="1"/>
  <c r="C30" i="9" s="1"/>
  <c r="G40" i="9"/>
  <c r="I40" i="9" s="1"/>
  <c r="G30" i="10" s="1"/>
  <c r="G40" i="10" s="1"/>
  <c r="I40" i="10" s="1"/>
  <c r="G21" i="11" l="1"/>
  <c r="G41" i="11" s="1"/>
  <c r="C40" i="9"/>
  <c r="E40" i="9" s="1"/>
  <c r="C30" i="10" s="1"/>
  <c r="C40" i="10" s="1"/>
  <c r="E40" i="10" s="1"/>
  <c r="C21" i="11" s="1"/>
  <c r="C41" i="11" l="1"/>
  <c r="E41" i="11" s="1"/>
  <c r="C28" i="12" s="1"/>
  <c r="C45" i="12" s="1"/>
  <c r="E45" i="12" s="1"/>
  <c r="C28" i="13" s="1"/>
  <c r="C45" i="13" s="1"/>
  <c r="I41" i="11"/>
  <c r="G28" i="12" l="1"/>
  <c r="G45" i="12" s="1"/>
  <c r="I45" i="12" s="1"/>
  <c r="E45" i="13"/>
  <c r="C28" i="14" s="1"/>
  <c r="C45" i="14" l="1"/>
  <c r="E45" i="14" s="1"/>
  <c r="C28" i="15" s="1"/>
  <c r="C45" i="15" s="1"/>
  <c r="E45" i="15" s="1"/>
  <c r="C28" i="16" s="1"/>
  <c r="C45" i="16" s="1"/>
  <c r="E45" i="16" s="1"/>
  <c r="C28" i="17" s="1"/>
  <c r="C45" i="17" s="1"/>
  <c r="E45" i="17" s="1"/>
  <c r="C28" i="18" s="1"/>
  <c r="G28" i="13"/>
  <c r="G45" i="13" s="1"/>
  <c r="C45" i="18" l="1"/>
  <c r="E45" i="18" s="1"/>
  <c r="C28" i="19" s="1"/>
  <c r="C45" i="19" s="1"/>
  <c r="E45" i="19" s="1"/>
  <c r="C28" i="20" s="1"/>
  <c r="C45" i="20" s="1"/>
  <c r="E45" i="20" s="1"/>
  <c r="I45" i="13"/>
  <c r="C28" i="21" l="1"/>
  <c r="C45" i="21" s="1"/>
  <c r="E45" i="21" s="1"/>
  <c r="C28" i="22" s="1"/>
  <c r="C45" i="22" s="1"/>
  <c r="E45" i="22" s="1"/>
  <c r="C28" i="23" s="1"/>
  <c r="C45" i="23" s="1"/>
  <c r="E45" i="23" s="1"/>
  <c r="C28" i="24" s="1"/>
  <c r="C40" i="24" s="1"/>
  <c r="E40" i="24" s="1"/>
  <c r="C28" i="25" s="1"/>
  <c r="G28" i="14"/>
  <c r="C45" i="25" l="1"/>
  <c r="E45" i="25" s="1"/>
  <c r="G45" i="14"/>
  <c r="I45" i="14" s="1"/>
  <c r="C28" i="26" l="1"/>
  <c r="C45" i="26" s="1"/>
  <c r="E45" i="26" s="1"/>
  <c r="C28" i="27" s="1"/>
  <c r="C45" i="27" s="1"/>
  <c r="E45" i="27" s="1"/>
  <c r="C28" i="28" s="1"/>
  <c r="G28" i="15"/>
  <c r="G45" i="15" s="1"/>
  <c r="I45" i="15" s="1"/>
  <c r="C45" i="28" l="1"/>
  <c r="E45" i="28" s="1"/>
  <c r="C28" i="29" s="1"/>
  <c r="C45" i="29" s="1"/>
  <c r="E45" i="29" s="1"/>
  <c r="G28" i="16"/>
  <c r="G45" i="16" s="1"/>
  <c r="I45" i="16" s="1"/>
  <c r="C28" i="30" l="1"/>
  <c r="C39" i="30" s="1"/>
  <c r="E39" i="30" s="1"/>
  <c r="C28" i="31" s="1"/>
  <c r="C45" i="31" s="1"/>
  <c r="E45" i="31" s="1"/>
  <c r="G28" i="17"/>
  <c r="G45" i="17" s="1"/>
  <c r="I45" i="17" s="1"/>
  <c r="C28" i="32" l="1"/>
  <c r="C45" i="32" s="1"/>
  <c r="E45" i="32" s="1"/>
  <c r="C28" i="33" s="1"/>
  <c r="C45" i="33" s="1"/>
  <c r="E45" i="33" s="1"/>
  <c r="C28" i="34" s="1"/>
  <c r="C45" i="34" s="1"/>
  <c r="E45" i="34" s="1"/>
  <c r="C28" i="35" s="1"/>
  <c r="C45" i="35" s="1"/>
  <c r="E45" i="35" s="1"/>
  <c r="C28" i="36" s="1"/>
  <c r="C45" i="36" s="1"/>
  <c r="E45" i="36" s="1"/>
  <c r="C28" i="37" s="1"/>
  <c r="C45" i="37" s="1"/>
  <c r="E45" i="37" s="1"/>
  <c r="G28" i="18"/>
  <c r="G45" i="18" s="1"/>
  <c r="I45" i="18" s="1"/>
  <c r="C28" i="38" l="1"/>
  <c r="C45" i="38" s="1"/>
  <c r="E45" i="38" s="1"/>
  <c r="C28" i="39" s="1"/>
  <c r="C45" i="39" s="1"/>
  <c r="E45" i="39" s="1"/>
  <c r="C28" i="40" s="1"/>
  <c r="C45" i="40" s="1"/>
  <c r="E45" i="40" s="1"/>
  <c r="G28" i="19"/>
  <c r="G45" i="19" s="1"/>
  <c r="I45" i="19" s="1"/>
  <c r="G28" i="20" l="1"/>
  <c r="G45" i="20" s="1"/>
  <c r="I45" i="20" s="1"/>
  <c r="G28" i="21" l="1"/>
  <c r="G45" i="21" s="1"/>
  <c r="I45" i="21" s="1"/>
  <c r="G28" i="22" l="1"/>
  <c r="G45" i="22" s="1"/>
  <c r="I45" i="22" s="1"/>
  <c r="G28" i="23" l="1"/>
  <c r="G45" i="23" s="1"/>
  <c r="I45" i="23" s="1"/>
  <c r="G28" i="24" l="1"/>
  <c r="G40" i="24" s="1"/>
  <c r="I40" i="24" s="1"/>
  <c r="K40" i="24" s="1"/>
  <c r="G28" i="25" l="1"/>
  <c r="G45" i="25" s="1"/>
  <c r="I45" i="25" l="1"/>
  <c r="G28" i="26" l="1"/>
  <c r="G45" i="26" l="1"/>
  <c r="I45" i="26" s="1"/>
  <c r="G28" i="27" l="1"/>
  <c r="G45" i="27"/>
  <c r="I45" i="27" s="1"/>
  <c r="G28" i="28" s="1"/>
  <c r="G45" i="28" l="1"/>
  <c r="I45" i="28" s="1"/>
  <c r="G28" i="29" s="1"/>
  <c r="G45" i="29" s="1"/>
  <c r="I45" i="29" s="1"/>
  <c r="K37" i="29" l="1"/>
  <c r="K38" i="29" s="1"/>
  <c r="G28" i="30"/>
  <c r="G39" i="30" s="1"/>
  <c r="I39" i="30" s="1"/>
  <c r="G28" i="31" s="1"/>
  <c r="G45" i="31" s="1"/>
  <c r="I45" i="31" s="1"/>
  <c r="K38" i="31" s="1"/>
  <c r="K39" i="31" s="1"/>
  <c r="J41" i="30" l="1"/>
  <c r="J42" i="30" s="1"/>
  <c r="G49" i="31"/>
  <c r="G28" i="32"/>
  <c r="G45" i="32" s="1"/>
  <c r="I45" i="32" s="1"/>
  <c r="G28" i="33" l="1"/>
  <c r="G45" i="33" s="1"/>
  <c r="I45" i="33" s="1"/>
  <c r="J45" i="33" s="1"/>
  <c r="J46" i="33" s="1"/>
  <c r="K42" i="32"/>
  <c r="G28" i="34" l="1"/>
  <c r="G45" i="34" s="1"/>
  <c r="I45" i="34" s="1"/>
  <c r="G28" i="35" s="1"/>
  <c r="G45" i="35" s="1"/>
  <c r="I45" i="35" s="1"/>
  <c r="G28" i="36" l="1"/>
  <c r="G45" i="36" s="1"/>
  <c r="I45" i="36" s="1"/>
  <c r="J49" i="35"/>
  <c r="I48" i="34"/>
  <c r="G28" i="37" l="1"/>
  <c r="G45" i="37" s="1"/>
  <c r="I45" i="37" s="1"/>
  <c r="K42" i="36"/>
  <c r="G28" i="38" l="1"/>
  <c r="G45" i="38" s="1"/>
  <c r="I45" i="38" s="1"/>
  <c r="J38" i="38" l="1"/>
  <c r="G28" i="39"/>
  <c r="G45" i="39" s="1"/>
  <c r="I45" i="39" s="1"/>
  <c r="G28" i="40" s="1"/>
  <c r="G45" i="40" s="1"/>
  <c r="I45" i="40" s="1"/>
</calcChain>
</file>

<file path=xl/sharedStrings.xml><?xml version="1.0" encoding="utf-8"?>
<sst xmlns="http://schemas.openxmlformats.org/spreadsheetml/2006/main" count="2803" uniqueCount="299">
  <si>
    <t xml:space="preserve">NO. </t>
  </si>
  <si>
    <t>NAME</t>
  </si>
  <si>
    <t>BF</t>
  </si>
  <si>
    <t>RENT</t>
  </si>
  <si>
    <t>TOTAL DUE</t>
  </si>
  <si>
    <t xml:space="preserve">PAID </t>
  </si>
  <si>
    <t>BAL</t>
  </si>
  <si>
    <t xml:space="preserve">JOSPHAT KURIA </t>
  </si>
  <si>
    <t xml:space="preserve">RENT STATEMENT </t>
  </si>
  <si>
    <t>FOR THE MONTH OF SEPTEMBER 2018</t>
  </si>
  <si>
    <t>IBRAHIM WAMBUGU</t>
  </si>
  <si>
    <t>KENNEDY NGANGA</t>
  </si>
  <si>
    <t>SCOLAR MASADI</t>
  </si>
  <si>
    <t>JOEL WAINAINA</t>
  </si>
  <si>
    <t>CARETAKER DANIEL</t>
  </si>
  <si>
    <t>WINFRED SYOKAU</t>
  </si>
  <si>
    <t>MUSYOKI KATIWA</t>
  </si>
  <si>
    <t>MOSES WAWERU</t>
  </si>
  <si>
    <t>MARTIN KARIA</t>
  </si>
  <si>
    <t>COLLINS OWINO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</si>
  <si>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</si>
  <si>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</si>
  <si>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</si>
  <si>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</si>
  <si>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</si>
  <si>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</si>
  <si>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</si>
  <si>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SEP</t>
  </si>
  <si>
    <t>COMM</t>
  </si>
  <si>
    <t>PAYMENTS</t>
  </si>
  <si>
    <t xml:space="preserve"> </t>
  </si>
  <si>
    <t>PREPARED BY</t>
  </si>
  <si>
    <t>APPROVED BY</t>
  </si>
  <si>
    <t>RECEIVED BY</t>
  </si>
  <si>
    <t>RUTH</t>
  </si>
  <si>
    <t>GRACE</t>
  </si>
  <si>
    <t>JOSPHAT</t>
  </si>
  <si>
    <t>EZEKIEL ODHIAMBO</t>
  </si>
  <si>
    <t>ALICE LEMARON</t>
  </si>
  <si>
    <t>GERALD MATHIA</t>
  </si>
  <si>
    <t>BENSON KARIUKI</t>
  </si>
  <si>
    <t>DEPOSIT</t>
  </si>
  <si>
    <t>FOR THE MONTH OF OCTOBER 2018</t>
  </si>
  <si>
    <t>OCT</t>
  </si>
  <si>
    <t>WATER</t>
  </si>
  <si>
    <t>STIMA</t>
  </si>
  <si>
    <t>TOTAL</t>
  </si>
  <si>
    <t>TRANSPORT -8</t>
  </si>
  <si>
    <t>CC</t>
  </si>
  <si>
    <t>CC-CARETAKER</t>
  </si>
  <si>
    <t>FOR THE MONTH OF NOVEMBER 2018</t>
  </si>
  <si>
    <t>SLASHER/BROOMS</t>
  </si>
  <si>
    <t>CAROLINE GATWIRI</t>
  </si>
  <si>
    <t xml:space="preserve">ELECTRICITY </t>
  </si>
  <si>
    <t xml:space="preserve">TOTAL </t>
  </si>
  <si>
    <t>TOKENS</t>
  </si>
  <si>
    <t>TOKENS 30/11/18</t>
  </si>
  <si>
    <t>TOKENS 7/11/18</t>
  </si>
  <si>
    <t>NOV</t>
  </si>
  <si>
    <t>FOR THE MONTH OF DECEMBER 2018</t>
  </si>
  <si>
    <t>DEC</t>
  </si>
  <si>
    <t>LOISE MWANGI</t>
  </si>
  <si>
    <t>JUDITH MACHUKI</t>
  </si>
  <si>
    <t>ROOF REPAIR</t>
  </si>
  <si>
    <t>PAID ON 24/12/18</t>
  </si>
  <si>
    <t>FOR THE MONTH OF JANUARY 2019</t>
  </si>
  <si>
    <t>JAN</t>
  </si>
  <si>
    <t>TOKENS ON 14/1/19</t>
  </si>
  <si>
    <t xml:space="preserve">JOEL </t>
  </si>
  <si>
    <t>JOEL</t>
  </si>
  <si>
    <t>PAID ON 22/1/19</t>
  </si>
  <si>
    <t>FOR THE MONTH OF FEBRUARY 2019</t>
  </si>
  <si>
    <t>FEB</t>
  </si>
  <si>
    <t>PAID ON 19/2/19</t>
  </si>
  <si>
    <t>FOR THE MONTH OF MARCH 2019</t>
  </si>
  <si>
    <t>MARCH</t>
  </si>
  <si>
    <t>WINDOW REPAIR</t>
  </si>
  <si>
    <t xml:space="preserve">GRACE WAMUHU </t>
  </si>
  <si>
    <t>JOYCE WANJIKU</t>
  </si>
  <si>
    <t>JOSEPH KARIUKI</t>
  </si>
  <si>
    <t>PAID ON 12/3/19</t>
  </si>
  <si>
    <t>TOKENS ON 23-02-2019</t>
  </si>
  <si>
    <t>TOKENS ON 25/3/19</t>
  </si>
  <si>
    <t>FOR THE MONTH OF APRIL 2019</t>
  </si>
  <si>
    <t>APRIL</t>
  </si>
  <si>
    <t>ANTHONY NGUMBA</t>
  </si>
  <si>
    <t>PAID ON 13/4/19</t>
  </si>
  <si>
    <t>NGONG HILL WATER</t>
  </si>
  <si>
    <t>MAY</t>
  </si>
  <si>
    <t>FOR THE MONTH OF MAY 2019</t>
  </si>
  <si>
    <t>PAID ON 15/5/19</t>
  </si>
  <si>
    <t>FOR THE MONTH OF JUNE 2019</t>
  </si>
  <si>
    <t xml:space="preserve">JUNE </t>
  </si>
  <si>
    <t>PAID ON 11/6/19</t>
  </si>
  <si>
    <t>TOKENS ON 15/4/19</t>
  </si>
  <si>
    <t>TOKENS ON 9/5/19</t>
  </si>
  <si>
    <t>TOKENS ON 30/5/19</t>
  </si>
  <si>
    <t>PAID ON 15/6/19</t>
  </si>
  <si>
    <t>FOR THE MONTH OF JULY 2019</t>
  </si>
  <si>
    <t>JULY</t>
  </si>
  <si>
    <t>TOKENS ON 3/7/19</t>
  </si>
  <si>
    <t>PAID ON 11/7/19</t>
  </si>
  <si>
    <t xml:space="preserve">PAINTER </t>
  </si>
  <si>
    <t>TOKENS ON 17/7/19</t>
  </si>
  <si>
    <t>PAINTING LABOUR</t>
  </si>
  <si>
    <t>PAINTING LABOUR 24/7/2019</t>
  </si>
  <si>
    <t>DOOR PAINTS &amp; BRUSH24/7/2019</t>
  </si>
  <si>
    <t>DOOR PAINT &amp; BRUSH24/7/2019</t>
  </si>
  <si>
    <t>PAINTING SCRUBERS 24/7/2019</t>
  </si>
  <si>
    <t>VICTOR MBITHI</t>
  </si>
  <si>
    <t>LETING  FEE</t>
  </si>
  <si>
    <t>PAINTS 24/7/19</t>
  </si>
  <si>
    <t>PAID ON 29/7/19</t>
  </si>
  <si>
    <t>DOUGLAS KARISA</t>
  </si>
  <si>
    <t>AUGUST</t>
  </si>
  <si>
    <t>LETTING FEE</t>
  </si>
  <si>
    <t>JOSEPH MBURU</t>
  </si>
  <si>
    <t>TOKENS 2/8/19</t>
  </si>
  <si>
    <t>STEPHENON 2/8</t>
  </si>
  <si>
    <t>LABOUR ON 3/8</t>
  </si>
  <si>
    <t>PAINTING LABOUR ON 3/8</t>
  </si>
  <si>
    <t>ANTONY NGUMBA</t>
  </si>
  <si>
    <t>TOKEN 12/8</t>
  </si>
  <si>
    <t>NGONG WATER</t>
  </si>
  <si>
    <t>ELECTRICITY</t>
  </si>
  <si>
    <t>DEP</t>
  </si>
  <si>
    <t>PETER KINGORI</t>
  </si>
  <si>
    <t>TOKEN 21/8</t>
  </si>
  <si>
    <t>ELECTRICALS+LABOUR</t>
  </si>
  <si>
    <t>PAID ON 30/8 STEPHEN</t>
  </si>
  <si>
    <t>02/8 ELECTRICITY REPAIR</t>
  </si>
  <si>
    <t>ELECTRICALS+LABOUR28/8</t>
  </si>
  <si>
    <t>ELIZABETH MWIKALI</t>
  </si>
  <si>
    <t>HSE REPAIR</t>
  </si>
  <si>
    <t>FLORENCE</t>
  </si>
  <si>
    <t>PAID 12/9</t>
  </si>
  <si>
    <t>SEPT</t>
  </si>
  <si>
    <t>FOR THE MONTH OF SEPTEMBER 2019</t>
  </si>
  <si>
    <t>FOR THE MONTH OF OCTOBER 2019</t>
  </si>
  <si>
    <t>ELECTRICITY REPAIR</t>
  </si>
  <si>
    <t>ELECTRICITY REPAIR22/9-27/9</t>
  </si>
  <si>
    <t>STEPHEN MULI</t>
  </si>
  <si>
    <t>PAID ON 12/10/19</t>
  </si>
  <si>
    <t>TRASPORT TO REPAIR ELECTRICITY</t>
  </si>
  <si>
    <t xml:space="preserve">ELECTICITY REPAIR </t>
  </si>
  <si>
    <t>LABOUR</t>
  </si>
  <si>
    <t>HOUSE REPAIR LABOUR</t>
  </si>
  <si>
    <t>NOVEMBER</t>
  </si>
  <si>
    <t>FOR THE MONTH OF NOVEMBER  2019</t>
  </si>
  <si>
    <t>VACCATED</t>
  </si>
  <si>
    <t>JOSEPH</t>
  </si>
  <si>
    <t>LL2000</t>
  </si>
  <si>
    <t>PAID ON 11/11</t>
  </si>
  <si>
    <t>ELECTRICAL MATERIALS</t>
  </si>
  <si>
    <t>DEPOSIT BAL</t>
  </si>
  <si>
    <t>DECEMBER</t>
  </si>
  <si>
    <t>FOR THE MONTH OF DECEMBER  2019</t>
  </si>
  <si>
    <t>ELECTRICITY REPAIR LABOUR</t>
  </si>
  <si>
    <t>WINFRED NZULA</t>
  </si>
  <si>
    <t>SCOLLAR KATHURIMA</t>
  </si>
  <si>
    <t>PAID ON 12/12</t>
  </si>
  <si>
    <t>JANUARY</t>
  </si>
  <si>
    <t>FOR THE MONTH OF JANUARY  2020</t>
  </si>
  <si>
    <t>STELLA MUKAMI</t>
  </si>
  <si>
    <t>FEBRUARY</t>
  </si>
  <si>
    <t>FOR THE MONTH OF FEBRUARY  2020</t>
  </si>
  <si>
    <t>PAID ON 31/1</t>
  </si>
  <si>
    <t>MARY NGUGI</t>
  </si>
  <si>
    <t>PAID ON 7/2</t>
  </si>
  <si>
    <t>PAID ON12/2</t>
  </si>
  <si>
    <t>SWITCH</t>
  </si>
  <si>
    <t>FOR THE MONTH OF MARCH 2020</t>
  </si>
  <si>
    <t>CEMENT</t>
  </si>
  <si>
    <t>BALLAST</t>
  </si>
  <si>
    <t>SAND</t>
  </si>
  <si>
    <t>CHICKEN WIRE</t>
  </si>
  <si>
    <t>WHEELBARROW,SPADE,TRANSPORT</t>
  </si>
  <si>
    <t>BUILDING LABOUR</t>
  </si>
  <si>
    <t>VACCANT</t>
  </si>
  <si>
    <t>PAID  ON 14/3</t>
  </si>
  <si>
    <t>FOR THE MONTH OF APRIL 2020</t>
  </si>
  <si>
    <t>SAND+CEMENT+TRANSPORT</t>
  </si>
  <si>
    <t>SLASHING</t>
  </si>
  <si>
    <t>FOR THE MONTH OF MAY 2020</t>
  </si>
  <si>
    <t xml:space="preserve"> ELECTRICITY LABOUR</t>
  </si>
  <si>
    <t>ELECTRICITY LABOUR</t>
  </si>
  <si>
    <t>PAID ON 27/4</t>
  </si>
  <si>
    <t>AT HOME</t>
  </si>
  <si>
    <t>TO PAY APRIL+MAY</t>
  </si>
  <si>
    <t>WAITING TO GET MONEY TO CLEAR</t>
  </si>
  <si>
    <t>NOT AVAILBLE</t>
  </si>
  <si>
    <t>PAID ON 15/5</t>
  </si>
  <si>
    <t>TO PAY WHE THEY GET MONEY</t>
  </si>
  <si>
    <t>TO PAY WHE HE GET MONEY</t>
  </si>
  <si>
    <t>PAID ON 23/5</t>
  </si>
  <si>
    <t>FOR THE MONTH OF JUNE 2020</t>
  </si>
  <si>
    <t>JUNE</t>
  </si>
  <si>
    <t>NOTICE</t>
  </si>
  <si>
    <t>PAID ON 26/6</t>
  </si>
  <si>
    <t>FOR THE MONTH OF JULY 2020</t>
  </si>
  <si>
    <t>VICTOR MBITH VACCATED</t>
  </si>
  <si>
    <t>MUSYOKI KATIWA VACCATED</t>
  </si>
  <si>
    <t>MOSES WAWERU VACCATED</t>
  </si>
  <si>
    <t>PAID ON 20/7</t>
  </si>
  <si>
    <t>EVICTED</t>
  </si>
  <si>
    <t>ANTONY NGUMBA EVICTED</t>
  </si>
  <si>
    <t>WINFRED NZULA EVICTED</t>
  </si>
  <si>
    <t>FOR THE MONTH OF AUGUST 2020</t>
  </si>
  <si>
    <t>vaccated</t>
  </si>
  <si>
    <t>MARTIN KARIA VACCATED</t>
  </si>
  <si>
    <t>PAID ON 22/8</t>
  </si>
  <si>
    <t>KASYOKI MUSYOKA</t>
  </si>
  <si>
    <t>FOR THE MONTH OF SEPTEMBER 2020</t>
  </si>
  <si>
    <t>SEPTEMBER</t>
  </si>
  <si>
    <t>BEATRICE KINYA</t>
  </si>
  <si>
    <t>BERNETA</t>
  </si>
  <si>
    <t>SARAH NYANGASI</t>
  </si>
  <si>
    <t>FOR THE MONTH OF OCTOBER 2020</t>
  </si>
  <si>
    <t>OCTOBER</t>
  </si>
  <si>
    <t>PAID ON 30/9</t>
  </si>
  <si>
    <t>SCOLLAR VACCATED</t>
  </si>
  <si>
    <t>FOR THE MONTH OF NOVEMBER 2020</t>
  </si>
  <si>
    <t>RODAH KAANYIRI</t>
  </si>
  <si>
    <t>PAID ON 26/10</t>
  </si>
  <si>
    <t>GRACE NJERI</t>
  </si>
  <si>
    <t>JOYCE WANJIKU VACCATED</t>
  </si>
  <si>
    <t>PAID ON 19/11</t>
  </si>
  <si>
    <t>FOR THE MONTH OF DECEMBER 2020</t>
  </si>
  <si>
    <t>JOYCE KATATO</t>
  </si>
  <si>
    <t>WILLIAM KINGORI</t>
  </si>
  <si>
    <t>FOR THE MONTH OF JANUARY  2021</t>
  </si>
  <si>
    <t>PAID ON27/12</t>
  </si>
  <si>
    <t>STELLA MUKAMI VACCATED</t>
  </si>
  <si>
    <t>NEW</t>
  </si>
  <si>
    <t>JANE NJOKI</t>
  </si>
  <si>
    <t>KENNETH KIBET</t>
  </si>
  <si>
    <t>STANLEY NKAMPAA</t>
  </si>
  <si>
    <t>BERNETA MUKHAVALI</t>
  </si>
  <si>
    <t>LUCY NJOKI</t>
  </si>
  <si>
    <t>PATRICK KAMAKEI</t>
  </si>
  <si>
    <t>FOR THE MONTH OF FEBRUARY  2021</t>
  </si>
  <si>
    <t>PAID  ON 30/1</t>
  </si>
  <si>
    <t>ELVIS MWAURA</t>
  </si>
  <si>
    <t>TERESIA WANJIRU</t>
  </si>
  <si>
    <t>JOY GITONGA</t>
  </si>
  <si>
    <t>BERNETA MUKHAVALI VACCATED</t>
  </si>
  <si>
    <t>FOR THE MONTH OF MARCH  2021</t>
  </si>
  <si>
    <t xml:space="preserve">STELLA MUKAMI </t>
  </si>
  <si>
    <t>PAID ON 5/3</t>
  </si>
  <si>
    <t>LUCY VACCATED</t>
  </si>
  <si>
    <t>FOR THE MONTH OF APRIL  2021</t>
  </si>
  <si>
    <t>STORE</t>
  </si>
  <si>
    <t xml:space="preserve">MARY VACCATED </t>
  </si>
  <si>
    <t>PATRICK VACCATED</t>
  </si>
  <si>
    <t>PAID ON 7/4</t>
  </si>
  <si>
    <t>KENNETH VACCATED</t>
  </si>
  <si>
    <t>SAMUEL MAINA</t>
  </si>
  <si>
    <t>BENARD ISIENYI</t>
  </si>
  <si>
    <t>FOR THE MONTH OF MAY 21  2021</t>
  </si>
  <si>
    <t>GRACENO.1VACCATED</t>
  </si>
  <si>
    <t>JOYCENO.2 VACCATED</t>
  </si>
  <si>
    <t>MARY MBATHA</t>
  </si>
  <si>
    <t>PAID ON 14/5</t>
  </si>
  <si>
    <t>STEPHEN SARUNI</t>
  </si>
  <si>
    <t>FOR THE MONTH OF JUNE 21  2021</t>
  </si>
  <si>
    <t>NAOMI MAROKO</t>
  </si>
  <si>
    <t>PAID ON 9/6</t>
  </si>
  <si>
    <t>EDWIN LEIYAN</t>
  </si>
  <si>
    <t>FOR THE MONTH OF JULY 21  2021</t>
  </si>
  <si>
    <t>WILLIAM N KINGORI</t>
  </si>
  <si>
    <t>STANLEY VACCATED</t>
  </si>
  <si>
    <t>FOR THE MONTH OF AUGUST 21  2021</t>
  </si>
  <si>
    <t>NAOM VACCATED</t>
  </si>
  <si>
    <t>SAMUEL VACATED</t>
  </si>
  <si>
    <t>LYDIA WANJIKU</t>
  </si>
  <si>
    <t>ELKANA  REUBEN</t>
  </si>
  <si>
    <t>LILIAN KEMUNTO</t>
  </si>
  <si>
    <t>PAID ON 21/8</t>
  </si>
  <si>
    <t>FOR THE MONTH OF SEPTEMBER 21  2021</t>
  </si>
  <si>
    <t>RUTH NALIAKA</t>
  </si>
  <si>
    <t>COLLINS ELIUD</t>
  </si>
  <si>
    <t>LINUS KIMELI</t>
  </si>
  <si>
    <t>DOMINIC ROTICH</t>
  </si>
  <si>
    <t>paid on 8/9</t>
  </si>
  <si>
    <t>FOR THE MONTH OF OCTOBER 21  2021</t>
  </si>
  <si>
    <t>PAINTS</t>
  </si>
  <si>
    <t>ERICK MWANGI</t>
  </si>
  <si>
    <t>JOSEPH SERUU</t>
  </si>
  <si>
    <t>JOHN MBITHI</t>
  </si>
  <si>
    <t>DOUBLE</t>
  </si>
  <si>
    <t>FOR THE MONTH OF NOVEMBER 2021</t>
  </si>
  <si>
    <t>PAID ON 21/10</t>
  </si>
  <si>
    <t>BERNARD EVICTED</t>
  </si>
  <si>
    <t>BERNARD ISIENYI</t>
  </si>
  <si>
    <t>november</t>
  </si>
  <si>
    <t>SOCKET,SWITCH</t>
  </si>
  <si>
    <t>FOR THE MONTH OF DECEMBER 2021</t>
  </si>
  <si>
    <t>PAID ON  18/11</t>
  </si>
  <si>
    <t>BRIAN NJUGUNA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</si>
</sst>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14" fontId="0" fillId="0" borderId="1" xfId="0" applyNumberFormat="1" applyBorder="1"/>
    <xf numFmtId="0" fontId="0" fillId="0" borderId="1" xfId="0" applyFont="1" applyFill="1" applyBorder="1"/>
    <xf numFmtId="3" fontId="0" fillId="0" borderId="1" xfId="0" applyNumberFormat="1" applyBorder="1"/>
    <xf numFmtId="3" fontId="0" fillId="0" borderId="1" xfId="0" applyNumberFormat="1" applyFont="1" applyFill="1" applyBorder="1"/>
    <xf numFmtId="0" fontId="3" fillId="0" borderId="1" xfId="0" applyFont="1" applyFill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3" fontId="0" fillId="0" borderId="0" xfId="0" applyNumberFormat="1"/>
    <xf numFmtId="0" fontId="6" fillId="0" borderId="1" xfId="0" applyFont="1" applyBorder="1"/>
    <xf numFmtId="17" fontId="3" fillId="0" borderId="0" xfId="0" applyNumberFormat="1" applyFont="1"/>
    <xf numFmtId="9" fontId="0" fillId="0" borderId="1" xfId="0" applyNumberFormat="1" applyBorder="1"/>
    <xf numFmtId="16" fontId="0" fillId="0" borderId="1" xfId="0" applyNumberFormat="1" applyFont="1" applyBorder="1"/>
    <xf numFmtId="0" fontId="0" fillId="0" borderId="3" xfId="0" applyFill="1" applyBorder="1"/>
    <xf numFmtId="0" fontId="7" fillId="0" borderId="1" xfId="0" applyFont="1" applyBorder="1"/>
    <xf numFmtId="0" fontId="8" fillId="0" borderId="1" xfId="0" applyFont="1" applyBorder="1"/>
    <xf numFmtId="4" fontId="0" fillId="0" borderId="0" xfId="0" applyNumberFormat="1"/>
    <xf numFmtId="0" fontId="2" fillId="0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TFLOW-PC\Desktop\FLORENCE\CLIENTS\JOHN%20TA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UST"/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 "/>
      <sheetName val="AUGUST2019"/>
      <sheetName val="SEPT 19"/>
      <sheetName val="OCT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5">
          <cell r="H25">
            <v>22300</v>
          </cell>
        </row>
      </sheetData>
      <sheetData sheetId="11">
        <row r="25">
          <cell r="H25">
            <v>12400</v>
          </cell>
        </row>
      </sheetData>
      <sheetData sheetId="12">
        <row r="25">
          <cell r="C25">
            <v>2700</v>
          </cell>
        </row>
      </sheetData>
      <sheetData sheetId="13">
        <row r="25">
          <cell r="G25">
            <v>30500</v>
          </cell>
        </row>
      </sheetData>
      <sheetData sheetId="14">
        <row r="25">
          <cell r="E25">
            <v>35000</v>
          </cell>
        </row>
      </sheetData>
      <sheetData sheetId="15">
        <row r="25">
          <cell r="C25">
            <v>3300</v>
          </cell>
        </row>
      </sheetData>
      <sheetData sheetId="16">
        <row r="25">
          <cell r="C25">
            <v>1800</v>
          </cell>
        </row>
      </sheetData>
      <sheetData sheetId="17">
        <row r="25">
          <cell r="C25">
            <v>600</v>
          </cell>
        </row>
      </sheetData>
      <sheetData sheetId="18">
        <row r="25">
          <cell r="C25">
            <v>300</v>
          </cell>
        </row>
      </sheetData>
      <sheetData sheetId="19">
        <row r="25">
          <cell r="C25">
            <v>300</v>
          </cell>
        </row>
      </sheetData>
      <sheetData sheetId="20">
        <row r="25">
          <cell r="E25">
            <v>23000</v>
          </cell>
        </row>
      </sheetData>
      <sheetData sheetId="21">
        <row r="25">
          <cell r="E25">
            <v>21000</v>
          </cell>
        </row>
      </sheetData>
      <sheetData sheetId="22">
        <row r="25">
          <cell r="C25">
            <v>300</v>
          </cell>
        </row>
      </sheetData>
      <sheetData sheetId="23">
        <row r="25">
          <cell r="C25">
            <v>300</v>
          </cell>
        </row>
      </sheetData>
      <sheetData sheetId="24">
        <row r="25">
          <cell r="C25">
            <v>300</v>
          </cell>
        </row>
      </sheetData>
      <sheetData sheetId="25">
        <row r="25">
          <cell r="C25">
            <v>600</v>
          </cell>
        </row>
      </sheetData>
      <sheetData sheetId="26">
        <row r="14">
          <cell r="C14">
            <v>300</v>
          </cell>
        </row>
      </sheetData>
      <sheetData sheetId="27">
        <row r="14">
          <cell r="H14">
            <v>0</v>
          </cell>
        </row>
      </sheetData>
      <sheetData sheetId="28">
        <row r="14">
          <cell r="C14">
            <v>300</v>
          </cell>
        </row>
      </sheetData>
      <sheetData sheetId="29">
        <row r="14">
          <cell r="E14">
            <v>2000</v>
          </cell>
        </row>
      </sheetData>
      <sheetData sheetId="30">
        <row r="18">
          <cell r="H18">
            <v>2350</v>
          </cell>
        </row>
      </sheetData>
      <sheetData sheetId="31">
        <row r="14">
          <cell r="H14">
            <v>0</v>
          </cell>
        </row>
      </sheetData>
      <sheetData sheetId="32">
        <row r="14">
          <cell r="C14">
            <v>300</v>
          </cell>
        </row>
      </sheetData>
      <sheetData sheetId="33">
        <row r="14">
          <cell r="E14">
            <v>2000</v>
          </cell>
        </row>
      </sheetData>
      <sheetData sheetId="34">
        <row r="19">
          <cell r="H19">
            <v>23200</v>
          </cell>
        </row>
      </sheetData>
      <sheetData sheetId="35">
        <row r="19">
          <cell r="H19">
            <v>23200</v>
          </cell>
        </row>
      </sheetData>
      <sheetData sheetId="36">
        <row r="25">
          <cell r="E25">
            <v>2000</v>
          </cell>
        </row>
      </sheetData>
      <sheetData sheetId="37">
        <row r="25">
          <cell r="C25">
            <v>300</v>
          </cell>
        </row>
      </sheetData>
      <sheetData sheetId="38">
        <row r="25">
          <cell r="C25">
            <v>300</v>
          </cell>
        </row>
      </sheetData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29" sqref="C29"/>
    </sheetView>
  </sheetViews>
  <sheetFormatPr defaultRowHeight="15" x14ac:dyDescent="0.25"/>
  <cols>
    <col min="1" max="1" width="3.85546875" customWidth="1"/>
    <col min="2" max="2" width="20.28515625" customWidth="1"/>
    <col min="5" max="5" width="10.5703125" customWidth="1"/>
    <col min="6" max="6" width="9.85546875" customWidth="1"/>
  </cols>
  <sheetData>
    <row r="1" spans="1:7" x14ac:dyDescent="0.25">
      <c r="C1" s="3" t="s">
        <v>7</v>
      </c>
      <c r="D1" s="3"/>
      <c r="E1" s="3"/>
      <c r="F1" s="3"/>
    </row>
    <row r="2" spans="1:7" x14ac:dyDescent="0.25">
      <c r="C2" s="3" t="s">
        <v>8</v>
      </c>
      <c r="D2" s="3"/>
      <c r="E2" s="3"/>
      <c r="F2" s="3"/>
    </row>
    <row r="3" spans="1:7" x14ac:dyDescent="0.25">
      <c r="C3" s="3" t="s">
        <v>9</v>
      </c>
      <c r="D3" s="3"/>
      <c r="E3" s="3"/>
      <c r="F3" s="3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A5" s="2">
        <v>1</v>
      </c>
      <c r="B5" s="2"/>
      <c r="C5" s="2"/>
      <c r="D5" s="2"/>
      <c r="E5" s="2">
        <f>C5+D5</f>
        <v>0</v>
      </c>
      <c r="F5" s="2"/>
      <c r="G5" s="2">
        <f>E5-F5</f>
        <v>0</v>
      </c>
    </row>
    <row r="6" spans="1:7" x14ac:dyDescent="0.25">
      <c r="A6" s="2">
        <v>2</v>
      </c>
      <c r="B6" s="2" t="s">
        <v>10</v>
      </c>
      <c r="C6" s="2"/>
      <c r="D6" s="2">
        <v>1800</v>
      </c>
      <c r="E6" s="2">
        <f t="shared" ref="E6:E22" si="0">C6+D6</f>
        <v>1800</v>
      </c>
      <c r="F6" s="2">
        <v>1800</v>
      </c>
      <c r="G6" s="2">
        <f t="shared" ref="G6:G22" si="1">E6-F6</f>
        <v>0</v>
      </c>
    </row>
    <row r="7" spans="1:7" x14ac:dyDescent="0.25">
      <c r="A7" s="2">
        <v>3</v>
      </c>
      <c r="B7" s="2" t="s">
        <v>11</v>
      </c>
      <c r="C7" s="2">
        <v>3600</v>
      </c>
      <c r="D7" s="2">
        <v>1800</v>
      </c>
      <c r="E7" s="2">
        <f t="shared" si="0"/>
        <v>5400</v>
      </c>
      <c r="F7" s="2">
        <v>1800</v>
      </c>
      <c r="G7" s="2">
        <f t="shared" si="1"/>
        <v>3600</v>
      </c>
    </row>
    <row r="8" spans="1:7" x14ac:dyDescent="0.25">
      <c r="A8" s="2">
        <v>4</v>
      </c>
      <c r="B8" s="2" t="s">
        <v>12</v>
      </c>
      <c r="C8" s="2">
        <v>3600</v>
      </c>
      <c r="D8" s="2">
        <v>1800</v>
      </c>
      <c r="E8" s="2">
        <f t="shared" si="0"/>
        <v>5400</v>
      </c>
      <c r="F8" s="2">
        <v>1800</v>
      </c>
      <c r="G8" s="2">
        <f t="shared" si="1"/>
        <v>3600</v>
      </c>
    </row>
    <row r="9" spans="1:7" x14ac:dyDescent="0.25">
      <c r="A9" s="2">
        <v>5</v>
      </c>
      <c r="B9" s="2" t="s">
        <v>38</v>
      </c>
      <c r="C9" s="2"/>
      <c r="D9" s="2">
        <v>1800</v>
      </c>
      <c r="E9" s="2">
        <f t="shared" si="0"/>
        <v>1800</v>
      </c>
      <c r="F9" s="2">
        <v>1800</v>
      </c>
      <c r="G9" s="2">
        <f t="shared" si="1"/>
        <v>0</v>
      </c>
    </row>
    <row r="10" spans="1:7" x14ac:dyDescent="0.25">
      <c r="A10" s="2">
        <v>6</v>
      </c>
      <c r="B10" s="2" t="s">
        <v>37</v>
      </c>
      <c r="C10" s="2"/>
      <c r="D10" s="2">
        <v>1250</v>
      </c>
      <c r="E10" s="2">
        <f t="shared" si="0"/>
        <v>1250</v>
      </c>
      <c r="F10" s="2">
        <v>1000</v>
      </c>
      <c r="G10" s="2">
        <f t="shared" si="1"/>
        <v>250</v>
      </c>
    </row>
    <row r="11" spans="1:7" x14ac:dyDescent="0.25">
      <c r="A11" s="2">
        <v>7</v>
      </c>
      <c r="B11" s="2" t="s">
        <v>14</v>
      </c>
      <c r="C11" s="2"/>
      <c r="D11" s="2"/>
      <c r="E11" s="2">
        <f t="shared" si="0"/>
        <v>0</v>
      </c>
      <c r="F11" s="2"/>
      <c r="G11" s="2">
        <f t="shared" si="1"/>
        <v>0</v>
      </c>
    </row>
    <row r="12" spans="1:7" x14ac:dyDescent="0.25">
      <c r="A12" s="2">
        <v>8</v>
      </c>
      <c r="B12" s="2" t="s">
        <v>13</v>
      </c>
      <c r="C12" s="2">
        <v>5000</v>
      </c>
      <c r="D12" s="2">
        <v>2500</v>
      </c>
      <c r="E12" s="2">
        <f t="shared" si="0"/>
        <v>7500</v>
      </c>
      <c r="F12" s="2"/>
      <c r="G12" s="2">
        <f t="shared" si="1"/>
        <v>7500</v>
      </c>
    </row>
    <row r="13" spans="1:7" x14ac:dyDescent="0.25">
      <c r="A13" s="2">
        <v>9</v>
      </c>
      <c r="B13" s="2"/>
      <c r="C13" s="2"/>
      <c r="D13" s="2"/>
      <c r="E13" s="2">
        <f t="shared" si="0"/>
        <v>0</v>
      </c>
      <c r="F13" s="2"/>
      <c r="G13" s="2">
        <f t="shared" si="1"/>
        <v>0</v>
      </c>
    </row>
    <row r="14" spans="1:7" x14ac:dyDescent="0.25">
      <c r="A14" s="2">
        <v>10</v>
      </c>
      <c r="B14" s="2" t="s">
        <v>17</v>
      </c>
      <c r="C14" s="2"/>
      <c r="D14" s="2">
        <v>2500</v>
      </c>
      <c r="E14" s="2">
        <f t="shared" si="0"/>
        <v>2500</v>
      </c>
      <c r="F14" s="2">
        <v>2500</v>
      </c>
      <c r="G14" s="2">
        <f t="shared" si="1"/>
        <v>0</v>
      </c>
    </row>
    <row r="15" spans="1:7" x14ac:dyDescent="0.25">
      <c r="A15" s="2">
        <v>11</v>
      </c>
      <c r="B15" s="2" t="s">
        <v>18</v>
      </c>
      <c r="C15" s="2"/>
      <c r="D15" s="2">
        <v>2500</v>
      </c>
      <c r="E15" s="2">
        <f t="shared" si="0"/>
        <v>2500</v>
      </c>
      <c r="F15" s="2">
        <v>2500</v>
      </c>
      <c r="G15" s="2">
        <f t="shared" si="1"/>
        <v>0</v>
      </c>
    </row>
    <row r="16" spans="1:7" x14ac:dyDescent="0.25">
      <c r="A16" s="2">
        <v>12</v>
      </c>
      <c r="B16" s="2"/>
      <c r="C16" s="2"/>
      <c r="D16" s="2"/>
      <c r="E16" s="2">
        <f t="shared" si="0"/>
        <v>0</v>
      </c>
      <c r="F16" s="2"/>
      <c r="G16" s="2">
        <f t="shared" si="1"/>
        <v>0</v>
      </c>
    </row>
    <row r="17" spans="1:9" x14ac:dyDescent="0.25">
      <c r="A17" s="2">
        <v>13</v>
      </c>
      <c r="B17" s="2" t="s">
        <v>15</v>
      </c>
      <c r="C17" s="2">
        <v>4500</v>
      </c>
      <c r="D17" s="2">
        <v>2000</v>
      </c>
      <c r="E17" s="2">
        <f t="shared" si="0"/>
        <v>6500</v>
      </c>
      <c r="F17" s="2">
        <v>2500</v>
      </c>
      <c r="G17" s="2">
        <f t="shared" si="1"/>
        <v>4000</v>
      </c>
    </row>
    <row r="18" spans="1:9" x14ac:dyDescent="0.25">
      <c r="A18" s="2">
        <v>14</v>
      </c>
      <c r="B18" s="2" t="s">
        <v>16</v>
      </c>
      <c r="C18" s="2"/>
      <c r="D18" s="2">
        <v>5000</v>
      </c>
      <c r="E18" s="2">
        <f t="shared" si="0"/>
        <v>5000</v>
      </c>
      <c r="F18" s="2">
        <v>5000</v>
      </c>
      <c r="G18" s="2">
        <f t="shared" si="1"/>
        <v>0</v>
      </c>
    </row>
    <row r="19" spans="1:9" x14ac:dyDescent="0.25">
      <c r="A19" s="2">
        <v>15</v>
      </c>
      <c r="B19" s="2"/>
      <c r="C19" s="2"/>
      <c r="D19" s="2"/>
      <c r="E19" s="2">
        <f t="shared" si="0"/>
        <v>0</v>
      </c>
      <c r="F19" s="2"/>
      <c r="G19" s="2">
        <f t="shared" si="1"/>
        <v>0</v>
      </c>
    </row>
    <row r="20" spans="1:9" x14ac:dyDescent="0.25">
      <c r="A20" s="2">
        <v>16</v>
      </c>
      <c r="B20" s="2" t="s">
        <v>40</v>
      </c>
      <c r="C20" s="2"/>
      <c r="D20" s="2">
        <v>2000</v>
      </c>
      <c r="E20" s="2">
        <f t="shared" si="0"/>
        <v>2000</v>
      </c>
      <c r="F20" s="2">
        <v>2000</v>
      </c>
      <c r="G20" s="2">
        <f t="shared" si="1"/>
        <v>0</v>
      </c>
    </row>
    <row r="21" spans="1:9" x14ac:dyDescent="0.25">
      <c r="A21" s="2">
        <v>17</v>
      </c>
      <c r="B21" s="2"/>
      <c r="C21" s="2"/>
      <c r="D21" s="2"/>
      <c r="E21" s="2">
        <f t="shared" si="0"/>
        <v>0</v>
      </c>
      <c r="F21" s="2"/>
      <c r="G21" s="2">
        <f t="shared" si="1"/>
        <v>0</v>
      </c>
    </row>
    <row r="22" spans="1:9" x14ac:dyDescent="0.25">
      <c r="A22" s="2">
        <v>18</v>
      </c>
      <c r="B22" s="2" t="s">
        <v>19</v>
      </c>
      <c r="C22" s="2">
        <v>1000</v>
      </c>
      <c r="D22" s="2">
        <v>2000</v>
      </c>
      <c r="E22" s="2">
        <f t="shared" si="0"/>
        <v>3000</v>
      </c>
      <c r="F22" s="2">
        <v>2000</v>
      </c>
      <c r="G22" s="2">
        <f t="shared" si="1"/>
        <v>1000</v>
      </c>
    </row>
    <row r="23" spans="1:9" s="3" customFormat="1" x14ac:dyDescent="0.25">
      <c r="A23" s="1"/>
      <c r="B23" s="1" t="s">
        <v>46</v>
      </c>
      <c r="C23" s="1">
        <f>SUM(C5:C22)</f>
        <v>17700</v>
      </c>
      <c r="D23" s="1">
        <f>SUM(D5:D22)</f>
        <v>26950</v>
      </c>
      <c r="E23" s="1">
        <f>SUM(E5:E22)</f>
        <v>44650</v>
      </c>
      <c r="F23" s="1">
        <f>SUM(F5:F22)</f>
        <v>24700</v>
      </c>
      <c r="G23" s="1">
        <f>SUM(G5:G22)</f>
        <v>19950</v>
      </c>
    </row>
    <row r="25" spans="1:9" x14ac:dyDescent="0.25">
      <c r="B25" s="4" t="s">
        <v>20</v>
      </c>
      <c r="C25" s="5"/>
      <c r="D25" s="6"/>
      <c r="E25" s="7"/>
      <c r="F25" s="8"/>
      <c r="G25" s="9"/>
      <c r="H25" s="8"/>
    </row>
    <row r="26" spans="1:9" x14ac:dyDescent="0.25">
      <c r="B26" s="3" t="s">
        <v>21</v>
      </c>
      <c r="C26" s="3"/>
      <c r="D26" s="3"/>
      <c r="E26" s="10"/>
      <c r="F26" s="3" t="s">
        <v>22</v>
      </c>
      <c r="G26" s="11"/>
      <c r="H26" s="11"/>
      <c r="I26" s="11"/>
    </row>
    <row r="27" spans="1:9" x14ac:dyDescent="0.25">
      <c r="B27" s="1" t="s">
        <v>23</v>
      </c>
      <c r="C27" s="1" t="s">
        <v>24</v>
      </c>
      <c r="D27" s="1" t="s">
        <v>25</v>
      </c>
      <c r="E27" s="1" t="s">
        <v>26</v>
      </c>
      <c r="F27" s="1" t="s">
        <v>23</v>
      </c>
      <c r="G27" s="1" t="s">
        <v>24</v>
      </c>
      <c r="H27" s="1" t="s">
        <v>25</v>
      </c>
      <c r="I27" s="1" t="s">
        <v>26</v>
      </c>
    </row>
    <row r="28" spans="1:9" x14ac:dyDescent="0.25">
      <c r="B28" s="12" t="s">
        <v>27</v>
      </c>
      <c r="C28" s="13">
        <f>D23</f>
        <v>26950</v>
      </c>
      <c r="D28" s="12"/>
      <c r="E28" s="12"/>
      <c r="F28" s="12" t="s">
        <v>27</v>
      </c>
      <c r="G28" s="13">
        <f>F23</f>
        <v>24700</v>
      </c>
      <c r="H28" s="12"/>
      <c r="I28" s="12"/>
    </row>
    <row r="29" spans="1:9" x14ac:dyDescent="0.25">
      <c r="B29" s="12" t="s">
        <v>2</v>
      </c>
      <c r="C29" s="13">
        <f>[1]AUGUST!E37</f>
        <v>0</v>
      </c>
      <c r="D29" s="12"/>
      <c r="E29" s="12"/>
      <c r="F29" s="12" t="s">
        <v>2</v>
      </c>
      <c r="G29" s="13">
        <f>[1]AUGUST!I37</f>
        <v>0</v>
      </c>
      <c r="H29" s="12"/>
      <c r="I29" s="12"/>
    </row>
    <row r="30" spans="1:9" x14ac:dyDescent="0.25">
      <c r="B30" s="12" t="s">
        <v>28</v>
      </c>
      <c r="C30" s="14">
        <v>0.05</v>
      </c>
      <c r="D30" s="13">
        <f>C28*C30</f>
        <v>1347.5</v>
      </c>
      <c r="E30" s="12"/>
      <c r="F30" s="12" t="s">
        <v>28</v>
      </c>
      <c r="G30" s="14">
        <v>0.05</v>
      </c>
      <c r="H30" s="13">
        <f>D30</f>
        <v>1347.5</v>
      </c>
      <c r="I30" s="12"/>
    </row>
    <row r="31" spans="1:9" x14ac:dyDescent="0.25">
      <c r="B31" s="15" t="s">
        <v>29</v>
      </c>
      <c r="C31" s="12" t="s">
        <v>30</v>
      </c>
      <c r="D31" s="12"/>
      <c r="E31" s="12"/>
      <c r="F31" s="15" t="s">
        <v>29</v>
      </c>
      <c r="G31" s="13"/>
      <c r="H31" s="12"/>
      <c r="I31" s="12"/>
    </row>
    <row r="32" spans="1:9" x14ac:dyDescent="0.25">
      <c r="B32" s="16">
        <v>43354</v>
      </c>
      <c r="C32" s="2"/>
      <c r="D32" s="2">
        <v>14825</v>
      </c>
      <c r="E32" s="2"/>
      <c r="F32" s="16">
        <v>43354</v>
      </c>
      <c r="G32" s="2"/>
      <c r="H32" s="2">
        <v>14825</v>
      </c>
      <c r="I32" s="12"/>
    </row>
    <row r="33" spans="2:9" x14ac:dyDescent="0.25">
      <c r="B33" s="19">
        <v>43364</v>
      </c>
      <c r="C33" s="2"/>
      <c r="D33" s="2">
        <v>4061</v>
      </c>
      <c r="E33" s="2"/>
      <c r="F33" s="17">
        <v>43364</v>
      </c>
      <c r="G33" s="12"/>
      <c r="H33" s="12">
        <v>4061</v>
      </c>
      <c r="I33" s="12"/>
    </row>
    <row r="34" spans="2:9" x14ac:dyDescent="0.25">
      <c r="B34" s="17"/>
      <c r="C34" s="12"/>
      <c r="D34" s="12"/>
      <c r="E34" s="12"/>
      <c r="F34" s="17"/>
      <c r="G34" s="12"/>
      <c r="H34" s="12"/>
      <c r="I34" s="12"/>
    </row>
    <row r="35" spans="2:9" x14ac:dyDescent="0.25">
      <c r="B35" s="17"/>
      <c r="C35" s="12"/>
      <c r="D35" s="12"/>
      <c r="E35" s="12"/>
      <c r="F35" s="18"/>
      <c r="G35" s="12"/>
      <c r="H35" s="12"/>
      <c r="I35" s="12"/>
    </row>
    <row r="36" spans="2:9" x14ac:dyDescent="0.25">
      <c r="B36" s="18"/>
      <c r="C36" s="12"/>
      <c r="D36" s="12"/>
      <c r="E36" s="12"/>
      <c r="F36" s="19"/>
      <c r="G36" s="2"/>
      <c r="H36" s="20"/>
      <c r="I36" s="12"/>
    </row>
    <row r="37" spans="2:9" x14ac:dyDescent="0.25">
      <c r="B37" s="19"/>
      <c r="C37" s="21">
        <f>C28+C29</f>
        <v>26950</v>
      </c>
      <c r="D37" s="22">
        <f>SUM(D30:D36)</f>
        <v>20233.5</v>
      </c>
      <c r="E37" s="13">
        <f>C37-D37</f>
        <v>6716.5</v>
      </c>
      <c r="F37" s="2"/>
      <c r="G37" s="21">
        <f>G28+G29</f>
        <v>24700</v>
      </c>
      <c r="H37" s="21">
        <f>SUM(H30:H36)</f>
        <v>20233.5</v>
      </c>
      <c r="I37" s="13">
        <f>G37-H37</f>
        <v>4466.5</v>
      </c>
    </row>
    <row r="39" spans="2:9" x14ac:dyDescent="0.25">
      <c r="B39" t="s">
        <v>31</v>
      </c>
      <c r="D39" t="s">
        <v>32</v>
      </c>
      <c r="G39" t="s">
        <v>33</v>
      </c>
    </row>
    <row r="41" spans="2:9" x14ac:dyDescent="0.25">
      <c r="B41" t="s">
        <v>34</v>
      </c>
      <c r="D41" t="s">
        <v>35</v>
      </c>
      <c r="G41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J33" sqref="J33"/>
    </sheetView>
  </sheetViews>
  <sheetFormatPr defaultRowHeight="15" x14ac:dyDescent="0.25"/>
  <cols>
    <col min="1" max="1" width="3.85546875" customWidth="1"/>
    <col min="2" max="2" width="17.8554687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91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/>
      <c r="H9" s="2">
        <f t="shared" si="0"/>
        <v>2000</v>
      </c>
      <c r="I9" s="2"/>
      <c r="J9" s="2"/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4400</v>
      </c>
      <c r="H10" s="2">
        <f t="shared" si="0"/>
        <v>0</v>
      </c>
      <c r="I10" s="2">
        <v>300</v>
      </c>
      <c r="J10" s="2">
        <v>600</v>
      </c>
    </row>
    <row r="11" spans="1:10" x14ac:dyDescent="0.25">
      <c r="A11" s="2">
        <v>7</v>
      </c>
      <c r="B11" s="2" t="s">
        <v>16</v>
      </c>
      <c r="C11" s="2"/>
      <c r="D11" s="2"/>
      <c r="E11" s="2">
        <v>2500</v>
      </c>
      <c r="F11" s="2">
        <f t="shared" si="1"/>
        <v>2500</v>
      </c>
      <c r="G11" s="2">
        <v>2000</v>
      </c>
      <c r="H11" s="2">
        <f t="shared" si="0"/>
        <v>500</v>
      </c>
      <c r="I11" s="2"/>
      <c r="J11" s="2"/>
    </row>
    <row r="12" spans="1:10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2000</v>
      </c>
      <c r="H14" s="2">
        <f t="shared" si="0"/>
        <v>500</v>
      </c>
      <c r="I14" s="2"/>
      <c r="J14" s="2"/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>SUM(E5:E22)</f>
        <v>21500</v>
      </c>
      <c r="F23" s="1">
        <f>SUM(F5:F22)</f>
        <v>23400</v>
      </c>
      <c r="G23" s="1">
        <f t="shared" si="2"/>
        <v>20400</v>
      </c>
      <c r="H23" s="1">
        <f t="shared" si="2"/>
        <v>3000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92</v>
      </c>
      <c r="C29" s="13">
        <f>D23+E23</f>
        <v>21500</v>
      </c>
      <c r="D29" s="12"/>
      <c r="E29" s="12"/>
      <c r="F29" s="12" t="s">
        <v>92</v>
      </c>
      <c r="G29" s="13">
        <f>G23+D23</f>
        <v>20400</v>
      </c>
      <c r="H29" s="12"/>
      <c r="I29" s="12"/>
    </row>
    <row r="30" spans="1:11" x14ac:dyDescent="0.25">
      <c r="B30" s="12" t="s">
        <v>2</v>
      </c>
      <c r="C30" s="13">
        <f>MAY!E40</f>
        <v>6112.5</v>
      </c>
      <c r="D30" s="12"/>
      <c r="E30" s="12"/>
      <c r="F30" s="12" t="s">
        <v>2</v>
      </c>
      <c r="G30" s="13">
        <f>MAY!I40</f>
        <v>5712.5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9" t="s">
        <v>44</v>
      </c>
      <c r="C35" s="2"/>
      <c r="D35" s="2">
        <v>2000</v>
      </c>
      <c r="E35" s="2"/>
      <c r="F35" s="19" t="s">
        <v>44</v>
      </c>
      <c r="G35" s="2"/>
      <c r="H35" s="2">
        <v>2000</v>
      </c>
      <c r="I35" s="12"/>
    </row>
    <row r="36" spans="2:9" x14ac:dyDescent="0.25">
      <c r="B36" s="17" t="s">
        <v>93</v>
      </c>
      <c r="C36" s="12"/>
      <c r="D36" s="12">
        <v>20102</v>
      </c>
      <c r="E36" s="12"/>
      <c r="F36" s="17" t="s">
        <v>93</v>
      </c>
      <c r="G36" s="12"/>
      <c r="H36" s="12">
        <v>20102</v>
      </c>
      <c r="I36" s="12"/>
    </row>
    <row r="37" spans="2:9" x14ac:dyDescent="0.25">
      <c r="B37" s="2" t="s">
        <v>97</v>
      </c>
      <c r="C37" s="2"/>
      <c r="D37" s="2">
        <v>1023</v>
      </c>
      <c r="E37" s="2"/>
      <c r="F37" s="2" t="s">
        <v>97</v>
      </c>
      <c r="G37" s="2"/>
      <c r="H37" s="2">
        <v>1023</v>
      </c>
      <c r="I37" s="12"/>
    </row>
    <row r="38" spans="2:9" x14ac:dyDescent="0.25">
      <c r="B38" s="17"/>
      <c r="C38" s="12"/>
      <c r="D38" s="12"/>
      <c r="E38" s="12"/>
      <c r="F38" s="16"/>
      <c r="G38" s="2"/>
      <c r="H38" s="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29287.5</v>
      </c>
      <c r="D40" s="26">
        <f>SUM(D35:D39)</f>
        <v>23125</v>
      </c>
      <c r="E40" s="24">
        <f>C40-D40</f>
        <v>6162.5</v>
      </c>
      <c r="F40" s="25" t="s">
        <v>54</v>
      </c>
      <c r="G40" s="24">
        <f>G29+G30+G31+G32-H33</f>
        <v>27787.5</v>
      </c>
      <c r="H40" s="24">
        <f>SUM(H35:H39)</f>
        <v>23125</v>
      </c>
      <c r="I40" s="24">
        <f>G40-H40</f>
        <v>4662.5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38" sqref="J38"/>
    </sheetView>
  </sheetViews>
  <sheetFormatPr defaultRowHeight="15" x14ac:dyDescent="0.25"/>
  <cols>
    <col min="1" max="1" width="3.85546875" customWidth="1"/>
    <col min="2" max="2" width="17.85546875" customWidth="1"/>
    <col min="3" max="3" width="8" customWidth="1"/>
    <col min="4" max="4" width="9.5703125" customWidth="1"/>
    <col min="5" max="5" width="7.42578125" customWidth="1"/>
    <col min="6" max="6" width="9.42578125" customWidth="1"/>
    <col min="7" max="7" width="6.5703125" customWidth="1"/>
    <col min="8" max="8" width="7.42578125" customWidth="1"/>
    <col min="9" max="9" width="7" customWidth="1"/>
    <col min="10" max="10" width="7.28515625" customWidth="1"/>
  </cols>
  <sheetData>
    <row r="1" spans="1:12" x14ac:dyDescent="0.25">
      <c r="D1" s="3" t="s">
        <v>7</v>
      </c>
      <c r="E1" s="3"/>
      <c r="F1" s="3"/>
      <c r="G1" s="3"/>
      <c r="I1" s="3"/>
    </row>
    <row r="2" spans="1:12" x14ac:dyDescent="0.25">
      <c r="D2" s="3" t="s">
        <v>8</v>
      </c>
      <c r="E2" s="3"/>
      <c r="F2" s="3"/>
      <c r="G2" s="3"/>
    </row>
    <row r="3" spans="1:12" x14ac:dyDescent="0.25">
      <c r="D3" s="3" t="s">
        <v>98</v>
      </c>
      <c r="E3" s="3"/>
      <c r="F3" s="3"/>
      <c r="G3" s="3"/>
    </row>
    <row r="4" spans="1:12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2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2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15" si="0">F6-G6</f>
        <v>0</v>
      </c>
      <c r="I6" s="2">
        <v>100</v>
      </c>
      <c r="J6" s="2">
        <v>200</v>
      </c>
    </row>
    <row r="7" spans="1:12" x14ac:dyDescent="0.25">
      <c r="A7" s="2">
        <v>3</v>
      </c>
      <c r="B7" s="2" t="s">
        <v>85</v>
      </c>
      <c r="C7" s="2"/>
      <c r="D7" s="2"/>
      <c r="E7" s="2">
        <v>2000</v>
      </c>
      <c r="F7" s="2">
        <f t="shared" ref="F7:F15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2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2" x14ac:dyDescent="0.25">
      <c r="A9" s="2">
        <v>5</v>
      </c>
      <c r="B9" s="2" t="s">
        <v>79</v>
      </c>
      <c r="C9" s="2">
        <v>2000</v>
      </c>
      <c r="D9" s="2"/>
      <c r="E9" s="2">
        <v>2000</v>
      </c>
      <c r="F9" s="2">
        <f t="shared" si="1"/>
        <v>4000</v>
      </c>
      <c r="G9" s="2">
        <f>2000+2000</f>
        <v>4000</v>
      </c>
      <c r="H9" s="2">
        <f t="shared" si="0"/>
        <v>0</v>
      </c>
      <c r="I9" s="2">
        <v>100</v>
      </c>
      <c r="J9" s="2">
        <v>200</v>
      </c>
      <c r="K9" t="s">
        <v>149</v>
      </c>
      <c r="L9" t="s">
        <v>151</v>
      </c>
    </row>
    <row r="10" spans="1:12" x14ac:dyDescent="0.25">
      <c r="A10" s="2">
        <v>6</v>
      </c>
      <c r="B10" s="2" t="s">
        <v>37</v>
      </c>
      <c r="C10" s="2"/>
      <c r="D10" s="2"/>
      <c r="E10" s="2">
        <v>2500</v>
      </c>
      <c r="F10" s="2">
        <f t="shared" si="1"/>
        <v>2500</v>
      </c>
      <c r="G10" s="2">
        <v>2500</v>
      </c>
      <c r="H10" s="2">
        <f t="shared" si="0"/>
        <v>0</v>
      </c>
      <c r="I10" s="2">
        <v>100</v>
      </c>
      <c r="J10" s="2">
        <v>200</v>
      </c>
    </row>
    <row r="11" spans="1:12" x14ac:dyDescent="0.25">
      <c r="A11" s="2">
        <v>7</v>
      </c>
      <c r="B11" s="2" t="s">
        <v>16</v>
      </c>
      <c r="C11" s="2">
        <v>500</v>
      </c>
      <c r="D11" s="2"/>
      <c r="E11" s="2">
        <v>2500</v>
      </c>
      <c r="F11" s="2">
        <f t="shared" si="1"/>
        <v>3000</v>
      </c>
      <c r="G11" s="2">
        <v>2500</v>
      </c>
      <c r="H11" s="2">
        <f t="shared" si="0"/>
        <v>500</v>
      </c>
      <c r="I11" s="2">
        <v>100</v>
      </c>
      <c r="J11" s="2">
        <v>200</v>
      </c>
    </row>
    <row r="12" spans="1:12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2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2" x14ac:dyDescent="0.25">
      <c r="A14" s="2">
        <v>10</v>
      </c>
      <c r="B14" s="2" t="s">
        <v>17</v>
      </c>
      <c r="C14" s="2">
        <v>500</v>
      </c>
      <c r="D14" s="2"/>
      <c r="E14" s="2">
        <v>2500</v>
      </c>
      <c r="F14" s="2">
        <f t="shared" si="1"/>
        <v>3000</v>
      </c>
      <c r="G14" s="2">
        <v>3000</v>
      </c>
      <c r="H14" s="2">
        <f t="shared" si="0"/>
        <v>0</v>
      </c>
      <c r="I14" s="2">
        <v>100</v>
      </c>
      <c r="J14" s="2">
        <v>200</v>
      </c>
    </row>
    <row r="15" spans="1:12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2" s="3" customFormat="1" x14ac:dyDescent="0.25">
      <c r="A16" s="1"/>
      <c r="B16" s="1" t="s">
        <v>46</v>
      </c>
      <c r="C16" s="1">
        <f t="shared" ref="C16:J16" si="2">SUM(C5:C15)</f>
        <v>3000</v>
      </c>
      <c r="D16" s="1">
        <f t="shared" si="2"/>
        <v>2000</v>
      </c>
      <c r="E16" s="1">
        <f t="shared" si="2"/>
        <v>19000</v>
      </c>
      <c r="F16" s="1">
        <f t="shared" si="2"/>
        <v>24000</v>
      </c>
      <c r="G16" s="1">
        <f t="shared" si="2"/>
        <v>21500</v>
      </c>
      <c r="H16" s="1">
        <f t="shared" si="2"/>
        <v>2500</v>
      </c>
      <c r="I16" s="1">
        <f t="shared" si="2"/>
        <v>900</v>
      </c>
      <c r="J16" s="1">
        <f t="shared" si="2"/>
        <v>1800</v>
      </c>
    </row>
    <row r="17" spans="2:11" x14ac:dyDescent="0.25">
      <c r="B17" s="4" t="s">
        <v>20</v>
      </c>
      <c r="C17" s="5"/>
      <c r="D17" s="6"/>
      <c r="E17" s="7"/>
      <c r="F17" s="8"/>
      <c r="G17" s="9"/>
      <c r="H17" s="8"/>
    </row>
    <row r="18" spans="2:11" x14ac:dyDescent="0.25">
      <c r="B18" s="3" t="s">
        <v>21</v>
      </c>
      <c r="C18" s="3"/>
      <c r="D18" s="3"/>
      <c r="E18" s="10"/>
      <c r="F18" s="3" t="s">
        <v>22</v>
      </c>
      <c r="G18" s="11"/>
      <c r="H18" s="11"/>
      <c r="I18" s="11"/>
    </row>
    <row r="19" spans="2:11" x14ac:dyDescent="0.25"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23</v>
      </c>
      <c r="G19" s="1" t="s">
        <v>24</v>
      </c>
      <c r="H19" s="1" t="s">
        <v>25</v>
      </c>
      <c r="I19" s="1" t="s">
        <v>26</v>
      </c>
      <c r="K19" s="27"/>
    </row>
    <row r="20" spans="2:11" x14ac:dyDescent="0.25">
      <c r="B20" s="12" t="s">
        <v>99</v>
      </c>
      <c r="C20" s="13">
        <f>E16+D16</f>
        <v>21000</v>
      </c>
      <c r="D20" s="12"/>
      <c r="E20" s="12"/>
      <c r="F20" s="12" t="s">
        <v>99</v>
      </c>
      <c r="G20" s="13">
        <f>G16</f>
        <v>21500</v>
      </c>
      <c r="H20" s="12"/>
      <c r="I20" s="12"/>
    </row>
    <row r="21" spans="2:11" x14ac:dyDescent="0.25">
      <c r="B21" s="12" t="s">
        <v>2</v>
      </c>
      <c r="C21" s="13">
        <f>'JUNE '!E40</f>
        <v>6162.5</v>
      </c>
      <c r="D21" s="12"/>
      <c r="E21" s="12"/>
      <c r="F21" s="12" t="s">
        <v>2</v>
      </c>
      <c r="G21" s="13">
        <f>'JUNE '!I40</f>
        <v>4662.5</v>
      </c>
      <c r="H21" s="12"/>
      <c r="I21" s="12"/>
    </row>
    <row r="22" spans="2:11" x14ac:dyDescent="0.25">
      <c r="B22" s="20" t="s">
        <v>53</v>
      </c>
      <c r="C22" s="2">
        <f>J16</f>
        <v>1800</v>
      </c>
      <c r="D22" s="2"/>
      <c r="E22" s="2"/>
      <c r="F22" s="20" t="s">
        <v>53</v>
      </c>
      <c r="G22" s="2">
        <f>C22</f>
        <v>1800</v>
      </c>
      <c r="H22" s="12"/>
      <c r="I22" s="12"/>
    </row>
    <row r="23" spans="2:11" x14ac:dyDescent="0.25">
      <c r="B23" s="20" t="s">
        <v>44</v>
      </c>
      <c r="C23" s="2">
        <f>I16</f>
        <v>900</v>
      </c>
      <c r="D23" s="2"/>
      <c r="E23" s="2"/>
      <c r="F23" s="20" t="s">
        <v>44</v>
      </c>
      <c r="G23" s="2">
        <f>C23</f>
        <v>900</v>
      </c>
      <c r="H23" s="12"/>
      <c r="I23" s="12"/>
    </row>
    <row r="24" spans="2:11" x14ac:dyDescent="0.25">
      <c r="B24" s="12" t="s">
        <v>28</v>
      </c>
      <c r="C24" s="14">
        <v>0.05</v>
      </c>
      <c r="D24" s="13">
        <f>C24*MARCH!C29</f>
        <v>1025</v>
      </c>
      <c r="E24" s="12"/>
      <c r="F24" s="12" t="s">
        <v>28</v>
      </c>
      <c r="G24" s="14">
        <v>0.05</v>
      </c>
      <c r="H24" s="13">
        <f>D24</f>
        <v>1025</v>
      </c>
      <c r="I24" s="12"/>
    </row>
    <row r="25" spans="2:11" x14ac:dyDescent="0.25">
      <c r="B25" s="28" t="s">
        <v>29</v>
      </c>
      <c r="C25" s="1" t="s">
        <v>30</v>
      </c>
      <c r="D25" s="1"/>
      <c r="E25" s="1"/>
      <c r="F25" s="28" t="s">
        <v>29</v>
      </c>
      <c r="G25" s="24"/>
      <c r="H25" s="1"/>
      <c r="I25" s="12"/>
    </row>
    <row r="26" spans="2:11" x14ac:dyDescent="0.25">
      <c r="B26" s="19" t="s">
        <v>100</v>
      </c>
      <c r="C26" s="2"/>
      <c r="D26" s="2">
        <v>1000</v>
      </c>
      <c r="E26" s="2"/>
      <c r="F26" s="19" t="s">
        <v>100</v>
      </c>
      <c r="G26" s="2"/>
      <c r="H26" s="2">
        <v>1000</v>
      </c>
      <c r="I26" s="12"/>
    </row>
    <row r="27" spans="2:11" x14ac:dyDescent="0.25">
      <c r="B27" s="17" t="s">
        <v>101</v>
      </c>
      <c r="C27" s="12"/>
      <c r="D27" s="12">
        <v>20102</v>
      </c>
      <c r="E27" s="12"/>
      <c r="F27" s="17" t="s">
        <v>101</v>
      </c>
      <c r="G27" s="12"/>
      <c r="H27" s="12">
        <v>20102</v>
      </c>
      <c r="I27" s="12"/>
    </row>
    <row r="28" spans="2:11" x14ac:dyDescent="0.25">
      <c r="B28" s="2" t="s">
        <v>102</v>
      </c>
      <c r="C28" s="2"/>
      <c r="D28" s="2">
        <v>4360</v>
      </c>
      <c r="E28" s="2"/>
      <c r="F28" s="2" t="s">
        <v>102</v>
      </c>
      <c r="G28" s="2"/>
      <c r="H28" s="2">
        <v>4360</v>
      </c>
      <c r="I28" s="12"/>
    </row>
    <row r="29" spans="2:11" x14ac:dyDescent="0.25">
      <c r="B29" s="17" t="s">
        <v>103</v>
      </c>
      <c r="C29" s="12"/>
      <c r="D29" s="12">
        <v>1023</v>
      </c>
      <c r="E29" s="12"/>
      <c r="F29" s="17" t="s">
        <v>103</v>
      </c>
      <c r="G29" s="12"/>
      <c r="H29" s="12">
        <v>1023</v>
      </c>
      <c r="I29" s="12"/>
    </row>
    <row r="30" spans="2:11" x14ac:dyDescent="0.25">
      <c r="B30" s="17" t="s">
        <v>107</v>
      </c>
      <c r="C30" s="12"/>
      <c r="D30" s="12">
        <v>2270</v>
      </c>
      <c r="E30" s="12"/>
      <c r="F30" s="17" t="s">
        <v>106</v>
      </c>
      <c r="G30" s="12"/>
      <c r="H30" s="12">
        <v>2270</v>
      </c>
      <c r="I30" s="12"/>
    </row>
    <row r="31" spans="2:11" x14ac:dyDescent="0.25">
      <c r="B31" s="17" t="s">
        <v>105</v>
      </c>
      <c r="C31" s="12"/>
      <c r="D31" s="12">
        <v>5061</v>
      </c>
      <c r="E31" s="12"/>
      <c r="F31" s="17" t="s">
        <v>104</v>
      </c>
      <c r="G31" s="12"/>
      <c r="H31" s="12">
        <v>5061</v>
      </c>
      <c r="I31" s="12"/>
    </row>
    <row r="32" spans="2:11" x14ac:dyDescent="0.25">
      <c r="B32" s="17" t="s">
        <v>108</v>
      </c>
      <c r="C32" s="12"/>
      <c r="D32" s="12">
        <v>341</v>
      </c>
      <c r="E32" s="12"/>
      <c r="F32" s="17" t="s">
        <v>108</v>
      </c>
      <c r="G32" s="12"/>
      <c r="H32" s="12">
        <v>341</v>
      </c>
      <c r="I32" s="12"/>
    </row>
    <row r="33" spans="2:9" x14ac:dyDescent="0.25">
      <c r="B33" s="17" t="s">
        <v>105</v>
      </c>
      <c r="C33" s="12"/>
      <c r="D33" s="12">
        <v>645</v>
      </c>
      <c r="E33" s="12"/>
      <c r="F33" s="17" t="s">
        <v>105</v>
      </c>
      <c r="G33" s="12"/>
      <c r="H33" s="12">
        <v>645</v>
      </c>
      <c r="I33" s="12"/>
    </row>
    <row r="34" spans="2:9" x14ac:dyDescent="0.25">
      <c r="B34" s="17" t="s">
        <v>111</v>
      </c>
      <c r="C34" s="12"/>
      <c r="D34" s="12">
        <v>2510</v>
      </c>
      <c r="E34" s="12"/>
      <c r="F34" s="17" t="s">
        <v>111</v>
      </c>
      <c r="G34" s="12"/>
      <c r="H34" s="12">
        <v>2510</v>
      </c>
      <c r="I34" s="12"/>
    </row>
    <row r="35" spans="2:9" x14ac:dyDescent="0.25">
      <c r="B35" s="17" t="s">
        <v>105</v>
      </c>
      <c r="C35" s="12"/>
      <c r="D35" s="12">
        <v>5540</v>
      </c>
      <c r="E35" s="12"/>
      <c r="F35" s="17" t="s">
        <v>105</v>
      </c>
      <c r="G35" s="12"/>
      <c r="H35" s="12">
        <v>5540</v>
      </c>
      <c r="I35" s="12"/>
    </row>
    <row r="36" spans="2:9" x14ac:dyDescent="0.25">
      <c r="B36" s="17" t="s">
        <v>112</v>
      </c>
      <c r="C36" s="12"/>
      <c r="D36" s="12">
        <v>545</v>
      </c>
      <c r="E36" s="12"/>
      <c r="F36" s="17" t="s">
        <v>112</v>
      </c>
      <c r="G36" s="12"/>
      <c r="H36" s="12">
        <v>545</v>
      </c>
      <c r="I36" s="12"/>
    </row>
    <row r="37" spans="2:9" x14ac:dyDescent="0.25">
      <c r="B37" s="17" t="s">
        <v>123</v>
      </c>
      <c r="C37" s="12"/>
      <c r="D37" s="12">
        <v>1920</v>
      </c>
      <c r="E37" s="12"/>
      <c r="F37" s="17" t="s">
        <v>123</v>
      </c>
      <c r="G37" s="12"/>
      <c r="H37" s="12">
        <v>1920</v>
      </c>
      <c r="I37" s="12"/>
    </row>
    <row r="38" spans="2:9" x14ac:dyDescent="0.25">
      <c r="B38" s="17" t="s">
        <v>79</v>
      </c>
      <c r="C38" s="12"/>
      <c r="D38" s="12">
        <v>2000</v>
      </c>
      <c r="E38" s="12"/>
      <c r="F38" s="17" t="s">
        <v>150</v>
      </c>
      <c r="G38" s="12"/>
      <c r="H38" s="12">
        <v>2000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17"/>
      <c r="F40" s="12"/>
      <c r="G40" s="12"/>
      <c r="H40" s="2"/>
      <c r="I40" s="12"/>
    </row>
    <row r="41" spans="2:9" x14ac:dyDescent="0.25">
      <c r="B41" s="25" t="s">
        <v>54</v>
      </c>
      <c r="C41" s="24">
        <f>C20+C21+C22+C23-D24</f>
        <v>28837.5</v>
      </c>
      <c r="D41" s="26">
        <f>SUM(D26:D40)</f>
        <v>47317</v>
      </c>
      <c r="E41" s="24">
        <f>C41-D41</f>
        <v>-18479.5</v>
      </c>
      <c r="F41" s="25" t="s">
        <v>54</v>
      </c>
      <c r="G41" s="24">
        <f>G20+G21+G22+G23-H24</f>
        <v>27837.5</v>
      </c>
      <c r="H41" s="24">
        <f>SUM(H26:H40)</f>
        <v>47317</v>
      </c>
      <c r="I41" s="24">
        <f>G41-H41</f>
        <v>-19479.5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O28" sqref="O28"/>
    </sheetView>
  </sheetViews>
  <sheetFormatPr defaultRowHeight="15" x14ac:dyDescent="0.25"/>
  <cols>
    <col min="1" max="1" width="6.85546875" customWidth="1"/>
    <col min="2" max="2" width="17.140625" customWidth="1"/>
    <col min="3" max="3" width="7" customWidth="1"/>
    <col min="4" max="4" width="7.42578125" customWidth="1"/>
    <col min="5" max="5" width="8" customWidth="1"/>
    <col min="6" max="6" width="7.28515625" customWidth="1"/>
    <col min="7" max="7" width="7.5703125" customWidth="1"/>
    <col min="9" max="9" width="7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98</v>
      </c>
      <c r="E3" s="3"/>
      <c r="F3" s="29">
        <v>43678</v>
      </c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/>
      <c r="J5" s="2"/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121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/>
      <c r="D8" s="2">
        <v>2500</v>
      </c>
      <c r="E8" s="2">
        <v>2500</v>
      </c>
      <c r="F8" s="2">
        <f t="shared" si="0"/>
        <v>5000</v>
      </c>
      <c r="G8" s="2">
        <v>3000</v>
      </c>
      <c r="H8" s="2">
        <f t="shared" si="1"/>
        <v>2000</v>
      </c>
      <c r="I8" s="2">
        <v>100</v>
      </c>
      <c r="J8" s="2">
        <v>200</v>
      </c>
    </row>
    <row r="9" spans="1:10" x14ac:dyDescent="0.25">
      <c r="A9" s="2">
        <v>5</v>
      </c>
      <c r="B9" s="2" t="s">
        <v>126</v>
      </c>
      <c r="C9" s="2"/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/>
      <c r="D10" s="2"/>
      <c r="E10" s="2">
        <v>2500</v>
      </c>
      <c r="F10" s="2">
        <f t="shared" si="0"/>
        <v>2500</v>
      </c>
      <c r="G10" s="2"/>
      <c r="H10" s="2">
        <f t="shared" si="1"/>
        <v>2500</v>
      </c>
      <c r="I10" s="2"/>
      <c r="J10" s="2"/>
    </row>
    <row r="11" spans="1:10" x14ac:dyDescent="0.25">
      <c r="A11" s="2">
        <v>7</v>
      </c>
      <c r="B11" s="2" t="s">
        <v>16</v>
      </c>
      <c r="C11" s="2">
        <v>500</v>
      </c>
      <c r="D11" s="2"/>
      <c r="E11" s="2">
        <v>2500</v>
      </c>
      <c r="F11" s="2">
        <f t="shared" si="0"/>
        <v>3000</v>
      </c>
      <c r="G11" s="2">
        <v>3000</v>
      </c>
      <c r="H11" s="2">
        <f t="shared" si="1"/>
        <v>0</v>
      </c>
      <c r="I11" s="2">
        <v>100</v>
      </c>
      <c r="J11" s="2">
        <v>200</v>
      </c>
    </row>
    <row r="12" spans="1:10" x14ac:dyDescent="0.25">
      <c r="A12" s="2">
        <v>8</v>
      </c>
      <c r="B12" s="32"/>
      <c r="C12" s="2"/>
      <c r="D12" s="2"/>
      <c r="E12" s="2"/>
      <c r="F12" s="2"/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116</v>
      </c>
      <c r="C16" s="2"/>
      <c r="D16" s="2">
        <v>3500</v>
      </c>
      <c r="E16" s="2"/>
      <c r="F16" s="2">
        <f t="shared" si="0"/>
        <v>3500</v>
      </c>
      <c r="G16" s="2">
        <v>1000</v>
      </c>
      <c r="H16" s="2">
        <f>F16-G16</f>
        <v>2500</v>
      </c>
      <c r="I16" s="2"/>
      <c r="J16" s="2"/>
    </row>
    <row r="17" spans="1:12" x14ac:dyDescent="0.25">
      <c r="A17" s="2">
        <v>13</v>
      </c>
      <c r="B17" s="2"/>
      <c r="C17" s="2"/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2" x14ac:dyDescent="0.25">
      <c r="A18" s="2">
        <v>14</v>
      </c>
      <c r="C18" s="2"/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/>
      <c r="D20" s="2">
        <v>2000</v>
      </c>
      <c r="E20" s="2">
        <v>2000</v>
      </c>
      <c r="F20" s="2">
        <f t="shared" si="0"/>
        <v>4000</v>
      </c>
      <c r="G20" s="2">
        <v>3000</v>
      </c>
      <c r="H20" s="2">
        <f t="shared" si="1"/>
        <v>1000</v>
      </c>
      <c r="I20" s="2">
        <v>100</v>
      </c>
      <c r="J20" s="2">
        <v>200</v>
      </c>
    </row>
    <row r="21" spans="1:12" x14ac:dyDescent="0.25">
      <c r="A21" s="2">
        <v>17</v>
      </c>
      <c r="B21" s="2"/>
      <c r="C21" s="2"/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1">
        <f>SUM(C5:C22)</f>
        <v>2500</v>
      </c>
      <c r="D23" s="1">
        <f>SUM(D5:D22)</f>
        <v>8000</v>
      </c>
      <c r="E23" s="1">
        <f>SUM(E5:E22)</f>
        <v>23500</v>
      </c>
      <c r="F23" s="2">
        <f>C23+D23+E23</f>
        <v>34000</v>
      </c>
      <c r="G23" s="1">
        <f>SUM(G5:G22)</f>
        <v>24000</v>
      </c>
      <c r="H23" s="2">
        <f t="shared" si="1"/>
        <v>10000</v>
      </c>
      <c r="I23" s="1">
        <f>SUM(I5:I22)</f>
        <v>700</v>
      </c>
      <c r="J23" s="1">
        <f>SUM(J5:J22)</f>
        <v>1400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29100</v>
      </c>
    </row>
    <row r="27" spans="1:12" x14ac:dyDescent="0.25">
      <c r="B27" s="12" t="s">
        <v>114</v>
      </c>
      <c r="C27" s="13">
        <f>E23</f>
        <v>23500</v>
      </c>
      <c r="D27" s="12"/>
      <c r="E27" s="12"/>
      <c r="F27" s="12" t="s">
        <v>114</v>
      </c>
      <c r="G27" s="13">
        <f>G23</f>
        <v>24000</v>
      </c>
      <c r="H27" s="12"/>
      <c r="I27" s="12"/>
    </row>
    <row r="28" spans="1:12" x14ac:dyDescent="0.25">
      <c r="B28" s="12" t="s">
        <v>2</v>
      </c>
      <c r="C28" s="13">
        <f>'JULY '!E41</f>
        <v>-18479.5</v>
      </c>
      <c r="D28" s="12"/>
      <c r="E28" s="12"/>
      <c r="F28" s="12" t="s">
        <v>2</v>
      </c>
      <c r="G28" s="13">
        <f>'JULY '!I41</f>
        <v>-19479.5</v>
      </c>
      <c r="H28" s="12"/>
      <c r="I28" s="12"/>
    </row>
    <row r="29" spans="1:12" x14ac:dyDescent="0.25">
      <c r="B29" s="20" t="s">
        <v>41</v>
      </c>
      <c r="C29" s="2">
        <f>1000+1000+500</f>
        <v>2500</v>
      </c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>
        <f>J23</f>
        <v>1400</v>
      </c>
      <c r="D30" s="2"/>
      <c r="E30" s="2"/>
      <c r="F30" s="20" t="s">
        <v>124</v>
      </c>
      <c r="G30" s="2">
        <f>C30</f>
        <v>1400</v>
      </c>
      <c r="H30" s="12"/>
      <c r="I30" s="12"/>
    </row>
    <row r="31" spans="1:12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1175</v>
      </c>
      <c r="E32" s="12"/>
      <c r="F32" s="12" t="s">
        <v>28</v>
      </c>
      <c r="G32" s="14">
        <v>0.05</v>
      </c>
      <c r="H32" s="13">
        <f>D32</f>
        <v>1175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110</v>
      </c>
      <c r="C34" s="30">
        <v>0.3</v>
      </c>
      <c r="D34" s="2">
        <f>E8*C34</f>
        <v>750</v>
      </c>
      <c r="E34" s="2"/>
      <c r="F34" s="19" t="s">
        <v>110</v>
      </c>
      <c r="G34" s="30">
        <v>0.3</v>
      </c>
      <c r="H34" s="2">
        <f>D34</f>
        <v>750</v>
      </c>
      <c r="I34" s="12"/>
    </row>
    <row r="35" spans="2:9" x14ac:dyDescent="0.25">
      <c r="B35" s="17" t="s">
        <v>115</v>
      </c>
      <c r="C35" s="14">
        <v>0.3</v>
      </c>
      <c r="D35" s="12">
        <f>C35*E20</f>
        <v>600</v>
      </c>
      <c r="E35" s="12"/>
      <c r="F35" s="17" t="s">
        <v>115</v>
      </c>
      <c r="G35" s="14">
        <v>0.3</v>
      </c>
      <c r="H35" s="12">
        <f>D35</f>
        <v>600</v>
      </c>
      <c r="I35" s="12"/>
    </row>
    <row r="36" spans="2:9" x14ac:dyDescent="0.25">
      <c r="B36" s="2" t="s">
        <v>115</v>
      </c>
      <c r="C36" s="30">
        <v>0.3</v>
      </c>
      <c r="D36" s="2">
        <f>C36*E16</f>
        <v>0</v>
      </c>
      <c r="E36" s="2"/>
      <c r="F36" s="2" t="s">
        <v>115</v>
      </c>
      <c r="G36" s="30">
        <v>0.3</v>
      </c>
      <c r="H36" s="2">
        <f>D36</f>
        <v>0</v>
      </c>
      <c r="I36" s="12"/>
    </row>
    <row r="37" spans="2:9" x14ac:dyDescent="0.25">
      <c r="B37" s="17" t="s">
        <v>117</v>
      </c>
      <c r="C37" s="12"/>
      <c r="D37" s="12">
        <v>1023</v>
      </c>
      <c r="E37" s="12"/>
      <c r="F37" s="17" t="s">
        <v>117</v>
      </c>
      <c r="G37" s="12"/>
      <c r="H37" s="12">
        <v>1023</v>
      </c>
      <c r="I37" s="12"/>
    </row>
    <row r="38" spans="2:9" x14ac:dyDescent="0.25">
      <c r="B38" s="17" t="s">
        <v>118</v>
      </c>
      <c r="C38" s="12"/>
      <c r="D38" s="12">
        <v>545</v>
      </c>
      <c r="E38" s="12"/>
      <c r="F38" s="17" t="s">
        <v>118</v>
      </c>
      <c r="G38" s="12"/>
      <c r="H38" s="12">
        <v>545</v>
      </c>
      <c r="I38" s="12"/>
    </row>
    <row r="39" spans="2:9" x14ac:dyDescent="0.25">
      <c r="B39" s="17" t="s">
        <v>120</v>
      </c>
      <c r="C39" s="12"/>
      <c r="D39" s="12">
        <v>3410</v>
      </c>
      <c r="E39" s="12"/>
      <c r="F39" s="17" t="s">
        <v>119</v>
      </c>
      <c r="G39" s="12"/>
      <c r="H39" s="12">
        <v>3410</v>
      </c>
      <c r="I39" s="12"/>
    </row>
    <row r="40" spans="2:9" x14ac:dyDescent="0.25">
      <c r="B40" s="17" t="s">
        <v>44</v>
      </c>
      <c r="C40" s="12"/>
      <c r="D40" s="12">
        <v>4080</v>
      </c>
      <c r="E40" s="12"/>
      <c r="F40" s="17" t="s">
        <v>44</v>
      </c>
      <c r="G40" s="12"/>
      <c r="H40" s="12">
        <v>4080</v>
      </c>
      <c r="I40" s="12"/>
    </row>
    <row r="41" spans="2:9" x14ac:dyDescent="0.25">
      <c r="B41" s="17" t="s">
        <v>122</v>
      </c>
      <c r="C41" s="12"/>
      <c r="D41" s="12">
        <v>1023</v>
      </c>
      <c r="E41" s="12"/>
      <c r="F41" s="17" t="s">
        <v>122</v>
      </c>
      <c r="G41" s="12"/>
      <c r="H41" s="12">
        <v>1023</v>
      </c>
      <c r="I41" s="12"/>
    </row>
    <row r="42" spans="2:9" x14ac:dyDescent="0.25">
      <c r="B42" s="16" t="s">
        <v>127</v>
      </c>
      <c r="C42" s="2"/>
      <c r="D42" s="2">
        <v>1023</v>
      </c>
      <c r="E42" s="17"/>
      <c r="F42" s="16" t="s">
        <v>127</v>
      </c>
      <c r="G42" s="2"/>
      <c r="H42" s="2">
        <v>1023</v>
      </c>
      <c r="I42" s="12"/>
    </row>
    <row r="43" spans="2:9" x14ac:dyDescent="0.25">
      <c r="B43" s="17" t="s">
        <v>128</v>
      </c>
      <c r="C43" s="31">
        <v>43705</v>
      </c>
      <c r="D43" s="12">
        <v>1250</v>
      </c>
      <c r="E43" s="12"/>
      <c r="F43" s="17" t="s">
        <v>131</v>
      </c>
      <c r="G43" s="12"/>
      <c r="H43" s="12">
        <v>1250</v>
      </c>
      <c r="I43" s="12"/>
    </row>
    <row r="44" spans="2:9" x14ac:dyDescent="0.25">
      <c r="B44" s="17" t="s">
        <v>129</v>
      </c>
      <c r="C44" s="12"/>
      <c r="D44" s="12">
        <v>545</v>
      </c>
      <c r="E44" s="12"/>
      <c r="F44" s="17" t="s">
        <v>129</v>
      </c>
      <c r="G44" s="12"/>
      <c r="H44" s="12">
        <v>545</v>
      </c>
      <c r="I44" s="12"/>
    </row>
    <row r="45" spans="2:9" x14ac:dyDescent="0.25">
      <c r="B45" s="25" t="s">
        <v>54</v>
      </c>
      <c r="C45" s="24">
        <f>C27+C28+C29+C30+C31-D32</f>
        <v>8445.5</v>
      </c>
      <c r="D45" s="26">
        <f>SUM(D34:D44)</f>
        <v>14249</v>
      </c>
      <c r="E45" s="24">
        <f>C45-D45</f>
        <v>-5803.5</v>
      </c>
      <c r="F45" s="25" t="s">
        <v>54</v>
      </c>
      <c r="G45" s="24">
        <f>G27+G28+G29+G30+G31-H32</f>
        <v>5445.5</v>
      </c>
      <c r="H45" s="24">
        <f>SUM(H34:H44)</f>
        <v>14249</v>
      </c>
      <c r="I45" s="24">
        <f>G45-H45</f>
        <v>-8803.5</v>
      </c>
    </row>
    <row r="46" spans="2:9" x14ac:dyDescent="0.25">
      <c r="C46" t="s">
        <v>31</v>
      </c>
      <c r="E46" t="s">
        <v>32</v>
      </c>
      <c r="H46" t="s">
        <v>33</v>
      </c>
    </row>
    <row r="47" spans="2:9" x14ac:dyDescent="0.25">
      <c r="C47" t="s">
        <v>134</v>
      </c>
      <c r="E47" t="s">
        <v>35</v>
      </c>
      <c r="H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" workbookViewId="0">
      <selection activeCell="Q13" sqref="Q13"/>
    </sheetView>
  </sheetViews>
  <sheetFormatPr defaultRowHeight="15" x14ac:dyDescent="0.25"/>
  <cols>
    <col min="1" max="1" width="5.28515625" customWidth="1"/>
    <col min="2" max="2" width="19.140625" customWidth="1"/>
    <col min="3" max="3" width="7.7109375" customWidth="1"/>
    <col min="4" max="4" width="7.140625" customWidth="1"/>
    <col min="5" max="6" width="6.85546875" customWidth="1"/>
    <col min="8" max="8" width="7.42578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137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f>AUGUST!H5:H23</f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>
        <f>AUGUST!H6:H23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/>
      <c r="C7" s="2"/>
      <c r="D7" s="2"/>
      <c r="E7" s="2"/>
      <c r="F7" s="2"/>
      <c r="G7" s="2"/>
      <c r="H7" s="2">
        <f t="shared" si="1"/>
        <v>0</v>
      </c>
      <c r="I7" s="2"/>
      <c r="J7" s="2"/>
    </row>
    <row r="8" spans="1:10" x14ac:dyDescent="0.25">
      <c r="A8" s="2">
        <v>4</v>
      </c>
      <c r="B8" s="2" t="s">
        <v>109</v>
      </c>
      <c r="C8" s="2">
        <f>AUGUST!H8:H24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 t="shared" si="1"/>
        <v>2000</v>
      </c>
      <c r="I8" s="2">
        <v>100</v>
      </c>
      <c r="J8" s="2">
        <v>200</v>
      </c>
    </row>
    <row r="9" spans="1:10" x14ac:dyDescent="0.25">
      <c r="A9" s="2">
        <v>5</v>
      </c>
      <c r="B9" s="2" t="s">
        <v>126</v>
      </c>
      <c r="C9" s="2">
        <f>AUGUST!H9:H25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AUGUST!H10:H26</f>
        <v>2500</v>
      </c>
      <c r="D10" s="2"/>
      <c r="E10" s="2">
        <v>2500</v>
      </c>
      <c r="F10" s="2">
        <f t="shared" si="0"/>
        <v>5000</v>
      </c>
      <c r="G10" s="2">
        <v>5000</v>
      </c>
      <c r="H10" s="2">
        <f t="shared" si="1"/>
        <v>0</v>
      </c>
      <c r="I10" s="2">
        <v>200</v>
      </c>
      <c r="J10" s="2">
        <v>400</v>
      </c>
    </row>
    <row r="11" spans="1:10" x14ac:dyDescent="0.25">
      <c r="A11" s="2">
        <v>7</v>
      </c>
      <c r="B11" s="2" t="s">
        <v>16</v>
      </c>
      <c r="C11" s="2">
        <f>AUGUST!H11:H27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>
        <v>200</v>
      </c>
    </row>
    <row r="12" spans="1:10" x14ac:dyDescent="0.25">
      <c r="A12" s="2">
        <v>8</v>
      </c>
      <c r="B12" s="32" t="s">
        <v>121</v>
      </c>
      <c r="C12" s="2">
        <f>AUGUST!H12:H28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AUGUST!H13:H29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>
        <f>AUGUST!H14:H30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>
        <f>AUGUST!H15:H31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200</v>
      </c>
      <c r="J15" s="2">
        <v>400</v>
      </c>
    </row>
    <row r="16" spans="1:10" x14ac:dyDescent="0.25">
      <c r="A16" s="2">
        <v>12</v>
      </c>
      <c r="B16" s="2" t="s">
        <v>116</v>
      </c>
      <c r="C16" s="2">
        <f>AUGUST!H16:H32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/>
      <c r="J16" s="2"/>
    </row>
    <row r="17" spans="1:12" x14ac:dyDescent="0.25">
      <c r="A17" s="2">
        <v>13</v>
      </c>
      <c r="B17" s="2" t="s">
        <v>132</v>
      </c>
      <c r="C17" s="2"/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200</v>
      </c>
    </row>
    <row r="18" spans="1:12" x14ac:dyDescent="0.25">
      <c r="A18" s="2">
        <v>14</v>
      </c>
      <c r="C18" s="2">
        <f>AUGUST!H18:H34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>
        <f>AUGUST!H19:H35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>
        <f>AUGUST!H20:H36</f>
        <v>1000</v>
      </c>
      <c r="D20" s="2"/>
      <c r="E20" s="2">
        <v>2000</v>
      </c>
      <c r="F20" s="2">
        <f t="shared" si="0"/>
        <v>3000</v>
      </c>
      <c r="G20" s="2">
        <v>2000</v>
      </c>
      <c r="H20" s="2">
        <f t="shared" si="1"/>
        <v>1000</v>
      </c>
      <c r="I20" s="2">
        <v>100</v>
      </c>
      <c r="J20" s="2">
        <v>100</v>
      </c>
    </row>
    <row r="21" spans="1:12" x14ac:dyDescent="0.25">
      <c r="A21" s="2">
        <v>17</v>
      </c>
      <c r="B21" s="2"/>
      <c r="C21" s="2">
        <f>AUGUST!H21:H37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AUGUST!H22:H38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AUGUST!H23:H39</f>
        <v>10000</v>
      </c>
      <c r="D23" s="1">
        <f>SUM(D5:D22)</f>
        <v>0</v>
      </c>
      <c r="E23" s="1">
        <f>SUM(E5:E22)</f>
        <v>29500</v>
      </c>
      <c r="F23" s="2">
        <f>C23+D23+E23</f>
        <v>39500</v>
      </c>
      <c r="G23" s="1">
        <f>SUM(G5:G22)</f>
        <v>32000</v>
      </c>
      <c r="H23" s="2">
        <f t="shared" si="1"/>
        <v>7500</v>
      </c>
      <c r="I23" s="1">
        <f>SUM(I5:I22)</f>
        <v>1400</v>
      </c>
      <c r="J23" s="1">
        <f>SUM(J5:J22)</f>
        <v>2700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39100</v>
      </c>
    </row>
    <row r="27" spans="1:12" x14ac:dyDescent="0.25">
      <c r="B27" s="12" t="s">
        <v>136</v>
      </c>
      <c r="C27" s="13">
        <f>E23</f>
        <v>29500</v>
      </c>
      <c r="D27" s="12"/>
      <c r="E27" s="12"/>
      <c r="F27" s="12" t="s">
        <v>136</v>
      </c>
      <c r="G27" s="13">
        <f>G23</f>
        <v>32000</v>
      </c>
      <c r="H27" s="12"/>
      <c r="I27" s="12"/>
    </row>
    <row r="28" spans="1:12" x14ac:dyDescent="0.25">
      <c r="B28" s="12" t="s">
        <v>2</v>
      </c>
      <c r="C28" s="13">
        <f>AUGUST!E45</f>
        <v>-5803.5</v>
      </c>
      <c r="D28" s="12"/>
      <c r="E28" s="12"/>
      <c r="F28" s="12" t="s">
        <v>2</v>
      </c>
      <c r="G28" s="13">
        <f>AUGUST!I45</f>
        <v>-8803.5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1475</v>
      </c>
      <c r="E32" s="12"/>
      <c r="F32" s="12" t="s">
        <v>28</v>
      </c>
      <c r="G32" s="14">
        <v>0.05</v>
      </c>
      <c r="H32" s="13">
        <f>D32</f>
        <v>1475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110</v>
      </c>
      <c r="C34" s="30">
        <v>0.3</v>
      </c>
      <c r="D34" s="2">
        <f>C34*E9</f>
        <v>600</v>
      </c>
      <c r="E34" s="2"/>
      <c r="F34" s="19" t="s">
        <v>110</v>
      </c>
      <c r="G34" s="30">
        <v>0.3</v>
      </c>
      <c r="H34" s="2">
        <f>D34</f>
        <v>600</v>
      </c>
      <c r="I34" s="12"/>
    </row>
    <row r="35" spans="2:9" x14ac:dyDescent="0.25">
      <c r="B35" s="17" t="s">
        <v>130</v>
      </c>
      <c r="C35" s="14"/>
      <c r="D35" s="12">
        <v>500</v>
      </c>
      <c r="E35" s="12"/>
      <c r="F35" s="17" t="s">
        <v>130</v>
      </c>
      <c r="G35" s="14"/>
      <c r="H35" s="12">
        <v>500</v>
      </c>
      <c r="I35" s="12"/>
    </row>
    <row r="36" spans="2:9" x14ac:dyDescent="0.25">
      <c r="B36" s="2" t="s">
        <v>115</v>
      </c>
      <c r="C36" s="30">
        <v>0.3</v>
      </c>
      <c r="D36" s="2">
        <f>C36*E16</f>
        <v>1050</v>
      </c>
      <c r="E36" s="2"/>
      <c r="F36" s="2" t="s">
        <v>115</v>
      </c>
      <c r="G36" s="30">
        <v>0.3</v>
      </c>
      <c r="H36" s="2">
        <f>D36</f>
        <v>1050</v>
      </c>
      <c r="I36" s="12"/>
    </row>
    <row r="37" spans="2:9" x14ac:dyDescent="0.25">
      <c r="B37" s="17" t="s">
        <v>123</v>
      </c>
      <c r="C37" s="12"/>
      <c r="D37" s="12">
        <v>2640</v>
      </c>
      <c r="E37" s="12"/>
      <c r="F37" s="17" t="s">
        <v>123</v>
      </c>
      <c r="G37" s="12"/>
      <c r="H37" s="12">
        <v>2640</v>
      </c>
      <c r="I37" s="12"/>
    </row>
    <row r="38" spans="2:9" x14ac:dyDescent="0.25">
      <c r="B38" s="17" t="s">
        <v>133</v>
      </c>
      <c r="C38" s="12"/>
      <c r="D38" s="12">
        <v>2000</v>
      </c>
      <c r="E38" s="12"/>
      <c r="F38" s="17" t="s">
        <v>133</v>
      </c>
      <c r="G38" s="12"/>
      <c r="H38" s="12">
        <v>2000</v>
      </c>
      <c r="I38" s="12"/>
    </row>
    <row r="39" spans="2:9" x14ac:dyDescent="0.25">
      <c r="B39" s="17" t="s">
        <v>135</v>
      </c>
      <c r="C39" s="12"/>
      <c r="D39" s="12">
        <v>20102</v>
      </c>
      <c r="E39" s="12"/>
      <c r="F39" s="17" t="s">
        <v>135</v>
      </c>
      <c r="G39" s="12"/>
      <c r="H39" s="12">
        <v>20102</v>
      </c>
      <c r="I39" s="12"/>
    </row>
    <row r="40" spans="2:9" x14ac:dyDescent="0.25">
      <c r="B40" s="17" t="s">
        <v>55</v>
      </c>
      <c r="C40" s="12"/>
      <c r="D40" s="12">
        <v>69</v>
      </c>
      <c r="E40" s="12"/>
      <c r="F40" s="17" t="s">
        <v>55</v>
      </c>
      <c r="G40" s="12"/>
      <c r="H40" s="12">
        <v>69</v>
      </c>
      <c r="I40" s="12"/>
    </row>
    <row r="41" spans="2:9" x14ac:dyDescent="0.25">
      <c r="B41" s="17" t="s">
        <v>140</v>
      </c>
      <c r="C41" s="12"/>
      <c r="D41" s="12">
        <f>1600</f>
        <v>1600</v>
      </c>
      <c r="E41" s="12"/>
      <c r="F41" s="17" t="s">
        <v>139</v>
      </c>
      <c r="G41" s="12"/>
      <c r="H41" s="12">
        <f>1600</f>
        <v>1600</v>
      </c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23621.5</v>
      </c>
      <c r="D45" s="26">
        <f>SUM(D34:D44)</f>
        <v>28561</v>
      </c>
      <c r="E45" s="24">
        <f>C45-D45</f>
        <v>-4939.5</v>
      </c>
      <c r="F45" s="25" t="s">
        <v>54</v>
      </c>
      <c r="G45" s="24">
        <f>G27+G28+G29+G30+G31-H32</f>
        <v>23121.5</v>
      </c>
      <c r="H45" s="24">
        <f>SUM(H34:H44)</f>
        <v>28561</v>
      </c>
      <c r="I45" s="24">
        <f>G45-H45</f>
        <v>-5439.5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33" sqref="K33"/>
    </sheetView>
  </sheetViews>
  <sheetFormatPr defaultRowHeight="15" x14ac:dyDescent="0.25"/>
  <cols>
    <col min="1" max="1" width="4.28515625" customWidth="1"/>
    <col min="2" max="2" width="18.28515625" customWidth="1"/>
    <col min="3" max="3" width="7.5703125" customWidth="1"/>
    <col min="4" max="4" width="7.42578125" customWidth="1"/>
    <col min="5" max="7" width="7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138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f>'SEPT 19'!H5:H22</f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>
        <f>'SEPT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141</v>
      </c>
      <c r="C7" s="2">
        <f>'SEPT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>
        <f>'SEPT 19'!H8:H25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 t="shared" si="1"/>
        <v>2000</v>
      </c>
      <c r="I8" s="2">
        <v>100</v>
      </c>
      <c r="J8" s="2">
        <v>100</v>
      </c>
    </row>
    <row r="9" spans="1:10" x14ac:dyDescent="0.25">
      <c r="A9" s="2">
        <v>5</v>
      </c>
      <c r="B9" s="2" t="s">
        <v>126</v>
      </c>
      <c r="C9" s="2">
        <f>'SEPT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'SEPT 19'!H10:H27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 t="shared" si="1"/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'SEPT 19'!H11:H28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'SEPT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'SEPT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>
        <f>'SEPT 19'!H14:H31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>
        <f>'SEPT 19'!H15:H32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>
        <f>'SEPT 19'!H16:H33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400</v>
      </c>
    </row>
    <row r="17" spans="1:12" x14ac:dyDescent="0.25">
      <c r="A17" s="2">
        <v>13</v>
      </c>
      <c r="B17" s="2" t="s">
        <v>132</v>
      </c>
      <c r="C17" s="2">
        <f>'SEPT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100</v>
      </c>
    </row>
    <row r="18" spans="1:12" x14ac:dyDescent="0.25">
      <c r="A18" s="2">
        <v>14</v>
      </c>
      <c r="C18" s="2">
        <f>'SEPT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>
        <f>'SEPT 19'!H19:H36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>
        <f>'SEPT 19'!H20:H37</f>
        <v>1000</v>
      </c>
      <c r="D20" s="2"/>
      <c r="E20" s="2">
        <v>2000</v>
      </c>
      <c r="F20" s="2">
        <f t="shared" si="0"/>
        <v>3000</v>
      </c>
      <c r="G20" s="2">
        <v>2000</v>
      </c>
      <c r="H20" s="2">
        <f>F20-G20</f>
        <v>1000</v>
      </c>
      <c r="I20" s="2">
        <v>100</v>
      </c>
      <c r="J20" s="2">
        <v>200</v>
      </c>
    </row>
    <row r="21" spans="1:12" x14ac:dyDescent="0.25">
      <c r="A21" s="2">
        <v>17</v>
      </c>
      <c r="B21" s="2"/>
      <c r="C21" s="2">
        <f>'SEPT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'SEPT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'SEPT 19'!H23:H40</f>
        <v>7500</v>
      </c>
      <c r="D23" s="1">
        <f>SUM(D5:D22)</f>
        <v>0</v>
      </c>
      <c r="E23" s="1">
        <f>SUM(E5:E22)</f>
        <v>31000</v>
      </c>
      <c r="F23" s="2">
        <f>C23+D23+E23</f>
        <v>38500</v>
      </c>
      <c r="G23" s="1">
        <f>SUM(G5:G22)</f>
        <v>31000</v>
      </c>
      <c r="H23" s="2">
        <f t="shared" si="1"/>
        <v>7500</v>
      </c>
      <c r="I23" s="1">
        <f>SUM(I5:I22)</f>
        <v>1400</v>
      </c>
      <c r="J23" s="1">
        <f>SUM(J5:J22)</f>
        <v>2600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38000</v>
      </c>
    </row>
    <row r="27" spans="1:12" x14ac:dyDescent="0.25">
      <c r="B27" s="12" t="s">
        <v>43</v>
      </c>
      <c r="C27" s="13">
        <f>E23</f>
        <v>31000</v>
      </c>
      <c r="D27" s="12"/>
      <c r="E27" s="12"/>
      <c r="F27" s="12" t="s">
        <v>43</v>
      </c>
      <c r="G27" s="13">
        <f>G23</f>
        <v>31000</v>
      </c>
      <c r="H27" s="12"/>
      <c r="I27" s="12"/>
    </row>
    <row r="28" spans="1:12" x14ac:dyDescent="0.25">
      <c r="B28" s="12" t="s">
        <v>2</v>
      </c>
      <c r="C28" s="13">
        <f>'SEPT 19'!E45</f>
        <v>-4939.5</v>
      </c>
      <c r="D28" s="12"/>
      <c r="E28" s="12"/>
      <c r="F28" s="12" t="s">
        <v>2</v>
      </c>
      <c r="G28" s="13">
        <f>'SEPT 19'!I45</f>
        <v>-5439.5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/>
      <c r="C34" s="30"/>
      <c r="D34" s="2"/>
      <c r="E34" s="2"/>
      <c r="F34" s="19"/>
      <c r="G34" s="30"/>
      <c r="H34" s="2"/>
      <c r="I34" s="12"/>
    </row>
    <row r="35" spans="2:9" x14ac:dyDescent="0.25">
      <c r="B35" s="16" t="s">
        <v>143</v>
      </c>
      <c r="C35" s="2"/>
      <c r="D35" s="2">
        <v>200</v>
      </c>
      <c r="E35" s="17"/>
      <c r="F35" s="16" t="s">
        <v>143</v>
      </c>
      <c r="G35" s="2"/>
      <c r="H35" s="2">
        <v>200</v>
      </c>
      <c r="I35" s="12"/>
    </row>
    <row r="36" spans="2:9" x14ac:dyDescent="0.25">
      <c r="B36" s="2" t="s">
        <v>123</v>
      </c>
      <c r="C36" s="30"/>
      <c r="D36" s="2">
        <v>2760</v>
      </c>
      <c r="E36" s="2"/>
      <c r="F36" s="2" t="s">
        <v>123</v>
      </c>
      <c r="G36" s="30"/>
      <c r="H36" s="2">
        <v>2760</v>
      </c>
      <c r="I36" s="12"/>
    </row>
    <row r="37" spans="2:9" x14ac:dyDescent="0.25">
      <c r="B37" s="17" t="s">
        <v>142</v>
      </c>
      <c r="C37" s="12"/>
      <c r="D37" s="12">
        <v>25605</v>
      </c>
      <c r="E37" s="12"/>
      <c r="F37" s="17" t="s">
        <v>142</v>
      </c>
      <c r="G37" s="12"/>
      <c r="H37" s="12">
        <v>25605</v>
      </c>
      <c r="I37" s="12"/>
    </row>
    <row r="38" spans="2:9" x14ac:dyDescent="0.25">
      <c r="B38" s="17" t="s">
        <v>144</v>
      </c>
      <c r="C38" s="12" t="s">
        <v>145</v>
      </c>
      <c r="D38" s="12">
        <v>300</v>
      </c>
      <c r="E38" s="12"/>
      <c r="F38" s="17" t="s">
        <v>144</v>
      </c>
      <c r="G38" s="12" t="s">
        <v>145</v>
      </c>
      <c r="H38" s="12">
        <v>300</v>
      </c>
      <c r="I38" s="12"/>
    </row>
    <row r="39" spans="2:9" x14ac:dyDescent="0.25">
      <c r="B39" s="17" t="s">
        <v>146</v>
      </c>
      <c r="C39" s="12"/>
      <c r="D39" s="12">
        <v>520</v>
      </c>
      <c r="E39" s="12"/>
      <c r="F39" s="17" t="s">
        <v>146</v>
      </c>
      <c r="G39" s="12"/>
      <c r="H39" s="12">
        <v>520</v>
      </c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25910.5</v>
      </c>
      <c r="D45" s="26">
        <f>SUM(D34:D44)</f>
        <v>29385</v>
      </c>
      <c r="E45" s="24">
        <f>C45-D45</f>
        <v>-3474.5</v>
      </c>
      <c r="F45" s="25" t="s">
        <v>54</v>
      </c>
      <c r="G45" s="24">
        <f>G27+G28+G29+G30+G31-H32</f>
        <v>25410.5</v>
      </c>
      <c r="H45" s="24">
        <f>SUM(H34:H44)</f>
        <v>29385</v>
      </c>
      <c r="I45" s="24">
        <f>G45-H45</f>
        <v>-3974.5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3" workbookViewId="0">
      <selection activeCell="L26" sqref="L26"/>
    </sheetView>
  </sheetViews>
  <sheetFormatPr defaultRowHeight="15" x14ac:dyDescent="0.25"/>
  <cols>
    <col min="2" max="2" width="18.7109375" customWidth="1"/>
    <col min="4" max="4" width="11.8554687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148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154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1" x14ac:dyDescent="0.25">
      <c r="A6" s="2">
        <v>2</v>
      </c>
      <c r="B6" s="2" t="s">
        <v>78</v>
      </c>
      <c r="C6" s="2">
        <f>'OCTOBER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1" x14ac:dyDescent="0.25">
      <c r="A7" s="2">
        <v>3</v>
      </c>
      <c r="B7" s="2" t="s">
        <v>141</v>
      </c>
      <c r="C7" s="2">
        <f>'OCTOBER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1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2" t="s">
        <v>126</v>
      </c>
      <c r="C9" s="2">
        <f>'OCTOBER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/>
      <c r="J9" s="2"/>
      <c r="K9" t="s">
        <v>149</v>
      </c>
    </row>
    <row r="10" spans="1:11" x14ac:dyDescent="0.25">
      <c r="A10" s="2">
        <v>6</v>
      </c>
      <c r="B10" s="2" t="s">
        <v>37</v>
      </c>
      <c r="C10" s="2">
        <f>'OCTOBER 19'!H10:H27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1" x14ac:dyDescent="0.25">
      <c r="A11" s="2">
        <v>7</v>
      </c>
      <c r="B11" s="2" t="s">
        <v>16</v>
      </c>
      <c r="C11" s="2">
        <f>'OCTOBER 19'!H11:H28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1" x14ac:dyDescent="0.25">
      <c r="A12" s="2">
        <v>8</v>
      </c>
      <c r="B12" s="32" t="s">
        <v>121</v>
      </c>
      <c r="C12" s="2">
        <f>'OCTOBER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1" x14ac:dyDescent="0.25">
      <c r="A13" s="2">
        <v>9</v>
      </c>
      <c r="B13" s="2" t="s">
        <v>39</v>
      </c>
      <c r="C13" s="2">
        <f>'OCTOBER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17</v>
      </c>
      <c r="C14" s="2">
        <f>'OCTOBER 19'!H14:H31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/>
    </row>
    <row r="15" spans="1:11" x14ac:dyDescent="0.25">
      <c r="A15" s="2">
        <v>11</v>
      </c>
      <c r="B15" s="2" t="s">
        <v>18</v>
      </c>
      <c r="C15" s="2">
        <f>'OCTOBER 19'!H15:H32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1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/>
      <c r="J16" s="2"/>
    </row>
    <row r="17" spans="1:11" x14ac:dyDescent="0.25">
      <c r="A17" s="2">
        <v>13</v>
      </c>
      <c r="B17" s="2" t="s">
        <v>132</v>
      </c>
      <c r="C17" s="2">
        <f>'OCTOBER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1" x14ac:dyDescent="0.25">
      <c r="A18" s="2">
        <v>14</v>
      </c>
      <c r="C18" s="2">
        <f>'OCTOBER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1" x14ac:dyDescent="0.25">
      <c r="A19" s="2">
        <v>15</v>
      </c>
      <c r="B19" s="2"/>
      <c r="C19" s="2">
        <f>'OCTOBER 19'!H19:H36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1" x14ac:dyDescent="0.25">
      <c r="A20" s="2">
        <v>16</v>
      </c>
      <c r="B20" s="2" t="s">
        <v>113</v>
      </c>
      <c r="C20" s="2"/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/>
      <c r="J20" s="2"/>
      <c r="K20" t="s">
        <v>149</v>
      </c>
    </row>
    <row r="21" spans="1:11" x14ac:dyDescent="0.25">
      <c r="A21" s="2">
        <v>17</v>
      </c>
      <c r="B21" s="2"/>
      <c r="C21" s="2">
        <f>'OCTOBER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1" x14ac:dyDescent="0.25">
      <c r="A22" s="2">
        <v>18</v>
      </c>
      <c r="B22" s="2"/>
      <c r="C22" s="2">
        <f>'OCTOBER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x14ac:dyDescent="0.25">
      <c r="A23" s="1"/>
      <c r="B23" s="1" t="s">
        <v>46</v>
      </c>
      <c r="C23" s="2">
        <f>SUM(C5:C22)</f>
        <v>0</v>
      </c>
      <c r="D23" s="1">
        <f>SUM(D5:D22)</f>
        <v>6500</v>
      </c>
      <c r="E23" s="1">
        <f>SUM(E5:E22)</f>
        <v>31000</v>
      </c>
      <c r="F23" s="2">
        <f>C23+D23+E23</f>
        <v>37500</v>
      </c>
      <c r="G23" s="1">
        <f>SUM(G5:G22)</f>
        <v>31000</v>
      </c>
      <c r="H23" s="2">
        <f t="shared" si="1"/>
        <v>6500</v>
      </c>
      <c r="I23" s="1">
        <f>SUM(I5:I22)</f>
        <v>1100</v>
      </c>
      <c r="J23" s="1">
        <f>SUM(J5:J22)</f>
        <v>600</v>
      </c>
    </row>
    <row r="24" spans="1:11" x14ac:dyDescent="0.25">
      <c r="B24" s="4" t="s">
        <v>20</v>
      </c>
      <c r="C24" s="5"/>
      <c r="D24" s="6"/>
      <c r="E24" s="7"/>
      <c r="F24" s="8"/>
      <c r="G24" s="9"/>
      <c r="H24" s="8"/>
    </row>
    <row r="25" spans="1:11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1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1" x14ac:dyDescent="0.25">
      <c r="B27" s="12" t="s">
        <v>147</v>
      </c>
      <c r="C27" s="13">
        <f>E23</f>
        <v>31000</v>
      </c>
      <c r="D27" s="12"/>
      <c r="E27" s="12"/>
      <c r="F27" s="12" t="s">
        <v>58</v>
      </c>
      <c r="G27" s="13">
        <f>G23</f>
        <v>31000</v>
      </c>
      <c r="H27" s="12"/>
      <c r="I27" s="12"/>
    </row>
    <row r="28" spans="1:11" x14ac:dyDescent="0.25">
      <c r="B28" s="12" t="s">
        <v>2</v>
      </c>
      <c r="C28" s="13">
        <f>'OCTOBER 19'!E45</f>
        <v>-3474.5</v>
      </c>
      <c r="D28" s="12"/>
      <c r="E28" s="12"/>
      <c r="F28" s="12" t="s">
        <v>2</v>
      </c>
      <c r="G28" s="13">
        <f>'OCTOBER 19'!I45</f>
        <v>-3974.5</v>
      </c>
      <c r="H28" s="12"/>
      <c r="I28" s="12"/>
    </row>
    <row r="29" spans="1:11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1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1" x14ac:dyDescent="0.25">
      <c r="B31" s="20" t="s">
        <v>44</v>
      </c>
      <c r="C31" s="2">
        <f>I23</f>
        <v>1100</v>
      </c>
      <c r="D31" s="2"/>
      <c r="E31" s="2"/>
      <c r="F31" s="20" t="s">
        <v>44</v>
      </c>
      <c r="G31" s="2">
        <f>C31</f>
        <v>1100</v>
      </c>
      <c r="H31" s="12"/>
      <c r="I31" s="12"/>
    </row>
    <row r="32" spans="1:11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12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2" x14ac:dyDescent="0.25">
      <c r="B34" s="19" t="s">
        <v>123</v>
      </c>
      <c r="C34" s="30"/>
      <c r="D34" s="2">
        <v>2760</v>
      </c>
      <c r="E34" s="2"/>
      <c r="F34" s="19" t="s">
        <v>123</v>
      </c>
      <c r="G34" s="30"/>
      <c r="H34" s="2">
        <v>2760</v>
      </c>
      <c r="I34" s="12"/>
      <c r="L34" s="27"/>
    </row>
    <row r="35" spans="2:12" x14ac:dyDescent="0.25">
      <c r="B35" s="16" t="s">
        <v>152</v>
      </c>
      <c r="C35" s="2"/>
      <c r="D35" s="2">
        <v>23105</v>
      </c>
      <c r="E35" s="17"/>
      <c r="F35" s="16" t="s">
        <v>152</v>
      </c>
      <c r="G35" s="2"/>
      <c r="H35" s="2">
        <v>23105</v>
      </c>
      <c r="I35" s="12"/>
    </row>
    <row r="36" spans="2:12" x14ac:dyDescent="0.25">
      <c r="B36" s="2" t="s">
        <v>126</v>
      </c>
      <c r="C36" s="30"/>
      <c r="D36" s="2">
        <v>2000</v>
      </c>
      <c r="E36" s="2"/>
      <c r="F36" s="2" t="s">
        <v>126</v>
      </c>
      <c r="G36" s="30"/>
      <c r="H36" s="2">
        <v>2000</v>
      </c>
      <c r="I36" s="12"/>
    </row>
    <row r="37" spans="2:12" x14ac:dyDescent="0.25">
      <c r="B37" s="17" t="s">
        <v>153</v>
      </c>
      <c r="C37" s="12"/>
      <c r="D37" s="12">
        <v>300</v>
      </c>
      <c r="E37" s="12"/>
      <c r="F37" s="17" t="s">
        <v>153</v>
      </c>
      <c r="G37" s="12"/>
      <c r="H37" s="12">
        <v>300</v>
      </c>
      <c r="I37" s="12"/>
    </row>
    <row r="38" spans="2:12" x14ac:dyDescent="0.25">
      <c r="B38" s="17" t="s">
        <v>113</v>
      </c>
      <c r="C38" s="12"/>
      <c r="D38" s="12">
        <f>E20</f>
        <v>2000</v>
      </c>
      <c r="E38" s="12"/>
      <c r="F38" s="17" t="s">
        <v>113</v>
      </c>
      <c r="G38" s="12"/>
      <c r="H38" s="12">
        <f>D38</f>
        <v>2000</v>
      </c>
      <c r="I38" s="12"/>
    </row>
    <row r="39" spans="2:12" x14ac:dyDescent="0.25">
      <c r="B39" s="17" t="s">
        <v>157</v>
      </c>
      <c r="C39" s="31">
        <v>43788</v>
      </c>
      <c r="D39" s="12">
        <v>545</v>
      </c>
      <c r="E39" s="12"/>
      <c r="F39" s="17" t="s">
        <v>157</v>
      </c>
      <c r="G39" s="31">
        <v>43788</v>
      </c>
      <c r="H39" s="12">
        <v>545</v>
      </c>
      <c r="I39" s="12"/>
    </row>
    <row r="40" spans="2:12" x14ac:dyDescent="0.25">
      <c r="B40" s="17"/>
      <c r="C40" s="12"/>
      <c r="D40" s="12"/>
      <c r="E40" s="12"/>
      <c r="F40" s="17"/>
      <c r="G40" s="12"/>
      <c r="H40" s="12"/>
      <c r="I40" s="12"/>
    </row>
    <row r="41" spans="2:12" x14ac:dyDescent="0.25">
      <c r="B41" s="17"/>
      <c r="C41" s="12"/>
      <c r="D41" s="12"/>
      <c r="E41" s="12"/>
      <c r="F41" s="17"/>
      <c r="G41" s="12"/>
      <c r="H41" s="12"/>
      <c r="I41" s="12"/>
    </row>
    <row r="42" spans="2:12" x14ac:dyDescent="0.25">
      <c r="B42" s="16"/>
      <c r="C42" s="2"/>
      <c r="D42" s="2"/>
      <c r="E42" s="17"/>
      <c r="F42" s="16"/>
      <c r="G42" s="2"/>
      <c r="H42" s="2"/>
      <c r="I42" s="12"/>
    </row>
    <row r="43" spans="2:12" x14ac:dyDescent="0.25">
      <c r="B43" s="17"/>
      <c r="C43" s="12"/>
      <c r="D43" s="12"/>
      <c r="E43" s="12"/>
      <c r="F43" s="17"/>
      <c r="G43" s="12"/>
      <c r="H43" s="12"/>
      <c r="I43" s="12"/>
    </row>
    <row r="44" spans="2:12" x14ac:dyDescent="0.25">
      <c r="B44" s="17"/>
      <c r="C44" s="12"/>
      <c r="D44" s="12"/>
      <c r="E44" s="12"/>
      <c r="F44" s="17"/>
      <c r="G44" s="12"/>
      <c r="H44" s="12"/>
      <c r="I44" s="12"/>
    </row>
    <row r="45" spans="2:12" x14ac:dyDescent="0.25">
      <c r="B45" s="25" t="s">
        <v>54</v>
      </c>
      <c r="C45" s="24">
        <f>C27+C28+C29+C30+C31-D32</f>
        <v>27075.5</v>
      </c>
      <c r="D45" s="26">
        <f>SUM(D34:D44)</f>
        <v>30710</v>
      </c>
      <c r="E45" s="24">
        <f>C45-D45</f>
        <v>-3634.5</v>
      </c>
      <c r="F45" s="25" t="s">
        <v>54</v>
      </c>
      <c r="G45" s="24">
        <f>G27+G28+G29+G30+G31-H32</f>
        <v>26575.5</v>
      </c>
      <c r="H45" s="24">
        <f>SUM(H34:H44)</f>
        <v>30710</v>
      </c>
      <c r="I45" s="24">
        <f>G45-H45</f>
        <v>-4134.5</v>
      </c>
    </row>
    <row r="46" spans="2:12" x14ac:dyDescent="0.25">
      <c r="B46" t="s">
        <v>31</v>
      </c>
      <c r="D46" t="s">
        <v>32</v>
      </c>
      <c r="G46" t="s">
        <v>33</v>
      </c>
    </row>
    <row r="47" spans="2:12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L27" sqref="L27"/>
    </sheetView>
  </sheetViews>
  <sheetFormatPr defaultRowHeight="15" x14ac:dyDescent="0.25"/>
  <cols>
    <col min="1" max="1" width="5.42578125" customWidth="1"/>
    <col min="2" max="2" width="21.7109375" bestFit="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156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'NOVEMBER 19'!H6:H24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'NOVEMBER 19'!H7:H25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'NOVEMBER 19'!H9:H27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150</v>
      </c>
    </row>
    <row r="10" spans="1:10" x14ac:dyDescent="0.25">
      <c r="A10" s="2">
        <v>6</v>
      </c>
      <c r="B10" s="2" t="s">
        <v>37</v>
      </c>
      <c r="C10" s="2">
        <f>'NOVEMBER 19'!H10:H28</f>
        <v>0</v>
      </c>
      <c r="D10" s="2"/>
      <c r="E10" s="2">
        <v>2500</v>
      </c>
      <c r="F10" s="2">
        <f t="shared" si="0"/>
        <v>2500</v>
      </c>
      <c r="G10" s="2">
        <v>2000</v>
      </c>
      <c r="H10" s="2">
        <f>F10-G10</f>
        <v>500</v>
      </c>
      <c r="I10" s="2"/>
      <c r="J10" s="2"/>
    </row>
    <row r="11" spans="1:10" x14ac:dyDescent="0.25">
      <c r="A11" s="2">
        <v>7</v>
      </c>
      <c r="B11" s="2" t="s">
        <v>16</v>
      </c>
      <c r="C11" s="2">
        <f>'NOVEMBER 19'!H11:H29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121</v>
      </c>
      <c r="C12" s="2">
        <f>'NOVEMBER 19'!H12:H30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'NOVEMBER 19'!H13:H31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'NOVEMBER 19'!H14:H32</f>
        <v>0</v>
      </c>
      <c r="D14" s="2"/>
      <c r="E14" s="2">
        <v>2500</v>
      </c>
      <c r="F14" s="2">
        <f t="shared" si="0"/>
        <v>2500</v>
      </c>
      <c r="G14" s="2">
        <v>1800</v>
      </c>
      <c r="H14" s="2">
        <f t="shared" si="1"/>
        <v>700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'NOVEMBER 19'!H15:H33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200</v>
      </c>
      <c r="J16" s="2"/>
    </row>
    <row r="17" spans="1:10" x14ac:dyDescent="0.25">
      <c r="A17" s="2">
        <v>13</v>
      </c>
      <c r="B17" s="2" t="s">
        <v>132</v>
      </c>
      <c r="C17" s="2">
        <f>'NOVEMBER 19'!H17:H35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C18" s="2">
        <f>'NOVEMBER 19'!H18:H36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'NOVEMBER 19'!H19:H37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159</v>
      </c>
      <c r="C20" s="2">
        <f>'NOVEMBER 19'!H20:H38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>
        <f>'NOVEMBER 19'!H21:H39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'NOVEMBER 19'!H22:H40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0</v>
      </c>
      <c r="D23" s="1">
        <f>SUM(D5:D22)</f>
        <v>6500</v>
      </c>
      <c r="E23" s="1">
        <f>SUM(E5:E22)</f>
        <v>31000</v>
      </c>
      <c r="F23" s="2">
        <f>C23+D23+E23</f>
        <v>37500</v>
      </c>
      <c r="G23" s="1">
        <f>SUM(G5:G22)</f>
        <v>29800</v>
      </c>
      <c r="H23" s="2">
        <f t="shared" si="1"/>
        <v>7700</v>
      </c>
      <c r="I23" s="1">
        <f>SUM(I5:I22)</f>
        <v>1200</v>
      </c>
      <c r="J23" s="1">
        <f>SUM(J5:J22)</f>
        <v>750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1200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155</v>
      </c>
      <c r="C27" s="13">
        <f>E23</f>
        <v>31000</v>
      </c>
      <c r="D27" s="12"/>
      <c r="E27" s="12"/>
      <c r="F27" s="12" t="s">
        <v>155</v>
      </c>
      <c r="G27" s="13">
        <f>G23</f>
        <v>29800</v>
      </c>
      <c r="H27" s="12"/>
      <c r="I27" s="12"/>
    </row>
    <row r="28" spans="1:10" x14ac:dyDescent="0.25">
      <c r="B28" s="12" t="s">
        <v>2</v>
      </c>
      <c r="C28" s="13">
        <f>'NOVEMBER 19'!E45</f>
        <v>-3634.5</v>
      </c>
      <c r="D28" s="12"/>
      <c r="E28" s="12"/>
      <c r="F28" s="12" t="s">
        <v>2</v>
      </c>
      <c r="G28" s="13">
        <f>'NOVEMBER 19'!I45</f>
        <v>-4134.5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1200</v>
      </c>
      <c r="D31" s="2"/>
      <c r="E31" s="2"/>
      <c r="F31" s="20" t="s">
        <v>44</v>
      </c>
      <c r="G31" s="2">
        <f>C31</f>
        <v>1200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C34*E20+(C34*E9)</f>
        <v>1200</v>
      </c>
      <c r="E34" s="2"/>
      <c r="F34" s="19" t="s">
        <v>115</v>
      </c>
      <c r="G34" s="30">
        <v>0.3</v>
      </c>
      <c r="H34" s="2">
        <f>D34</f>
        <v>1200</v>
      </c>
      <c r="I34" s="12"/>
    </row>
    <row r="35" spans="2:9" x14ac:dyDescent="0.25">
      <c r="B35" s="16" t="s">
        <v>123</v>
      </c>
      <c r="C35" s="2"/>
      <c r="D35" s="2">
        <v>3240</v>
      </c>
      <c r="E35" s="17"/>
      <c r="F35" s="16" t="s">
        <v>123</v>
      </c>
      <c r="G35" s="2"/>
      <c r="H35" s="2">
        <v>3240</v>
      </c>
      <c r="I35" s="12"/>
    </row>
    <row r="36" spans="2:9" x14ac:dyDescent="0.25">
      <c r="B36" s="2" t="s">
        <v>160</v>
      </c>
      <c r="C36" s="30"/>
      <c r="D36" s="2">
        <v>23105</v>
      </c>
      <c r="E36" s="2"/>
      <c r="F36" s="2" t="s">
        <v>160</v>
      </c>
      <c r="G36" s="30"/>
      <c r="H36" s="2">
        <v>23105</v>
      </c>
      <c r="I36" s="12"/>
    </row>
    <row r="37" spans="2:9" x14ac:dyDescent="0.25">
      <c r="B37" s="17"/>
      <c r="C37" s="12"/>
      <c r="D37" s="12"/>
      <c r="E37" s="12"/>
      <c r="F37" s="17"/>
      <c r="G37" s="12"/>
      <c r="H37" s="12"/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27015.5</v>
      </c>
      <c r="D45" s="26">
        <f>SUM(D34:D44)</f>
        <v>27545</v>
      </c>
      <c r="E45" s="24">
        <f>C45-D45</f>
        <v>-529.5</v>
      </c>
      <c r="F45" s="25" t="s">
        <v>54</v>
      </c>
      <c r="G45" s="24">
        <f>G27+G28+G29+G30+G31-H32</f>
        <v>25315.5</v>
      </c>
      <c r="H45" s="24">
        <f>SUM(H34:H44)</f>
        <v>27545</v>
      </c>
      <c r="I45" s="24">
        <f>G45-H45</f>
        <v>-2229.5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4" workbookViewId="0">
      <selection activeCell="L4" sqref="L4"/>
    </sheetView>
  </sheetViews>
  <sheetFormatPr defaultRowHeight="15" x14ac:dyDescent="0.25"/>
  <cols>
    <col min="1" max="1" width="3.7109375" customWidth="1"/>
    <col min="2" max="2" width="17.5703125" customWidth="1"/>
    <col min="3" max="3" width="7.140625" customWidth="1"/>
    <col min="4" max="4" width="8.140625" customWidth="1"/>
    <col min="5" max="5" width="7.5703125" customWidth="1"/>
    <col min="6" max="6" width="10.5703125" customWidth="1"/>
    <col min="7" max="7" width="6.85546875" customWidth="1"/>
    <col min="8" max="8" width="7.28515625" customWidth="1"/>
  </cols>
  <sheetData>
    <row r="1" spans="1:10" x14ac:dyDescent="0.25">
      <c r="G1" s="3"/>
      <c r="I1" s="3"/>
    </row>
    <row r="2" spans="1:10" x14ac:dyDescent="0.25">
      <c r="F2" s="3"/>
      <c r="G2" s="3"/>
    </row>
    <row r="3" spans="1:10" x14ac:dyDescent="0.25">
      <c r="B3" s="3" t="s">
        <v>8</v>
      </c>
      <c r="C3" s="3"/>
      <c r="D3" s="3" t="s">
        <v>162</v>
      </c>
      <c r="E3" s="3"/>
      <c r="F3" s="29"/>
      <c r="G3" s="3"/>
      <c r="I3" s="3" t="s">
        <v>7</v>
      </c>
      <c r="J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'DECEMBER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'DECEMBER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'DECEMBER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'DECEMBER 19'!H10:H27</f>
        <v>500</v>
      </c>
      <c r="D10" s="2"/>
      <c r="E10" s="2">
        <v>2500</v>
      </c>
      <c r="F10" s="2">
        <f t="shared" si="0"/>
        <v>3000</v>
      </c>
      <c r="G10" s="2">
        <v>3000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'DECEMBER 19'!H11:H28</f>
        <v>0</v>
      </c>
      <c r="D11" s="2"/>
      <c r="E11" s="2">
        <v>2500</v>
      </c>
      <c r="F11" s="2">
        <f t="shared" si="0"/>
        <v>2500</v>
      </c>
      <c r="G11" s="2">
        <v>2000</v>
      </c>
      <c r="H11" s="2">
        <f t="shared" si="1"/>
        <v>500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'DECEMBER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'DECEMBER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'DECEMBER 19'!H14:H31</f>
        <v>700</v>
      </c>
      <c r="D14" s="2"/>
      <c r="E14" s="2">
        <v>2500</v>
      </c>
      <c r="F14" s="2">
        <f t="shared" si="0"/>
        <v>3200</v>
      </c>
      <c r="G14" s="2">
        <f>2000+800</f>
        <v>2800</v>
      </c>
      <c r="H14" s="2">
        <f t="shared" si="1"/>
        <v>400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'DECEMBER 19'!H15:H32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200</v>
      </c>
    </row>
    <row r="17" spans="1:10" x14ac:dyDescent="0.25">
      <c r="A17" s="2">
        <v>13</v>
      </c>
      <c r="B17" s="2" t="s">
        <v>132</v>
      </c>
      <c r="C17" s="2">
        <f>'DECEMBER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200</v>
      </c>
    </row>
    <row r="18" spans="1:10" x14ac:dyDescent="0.25">
      <c r="A18" s="2">
        <v>14</v>
      </c>
      <c r="C18" s="2">
        <f>'DECEMBER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'DECEMBER 19'!H19:H36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>
        <v>200</v>
      </c>
    </row>
    <row r="20" spans="1:10" x14ac:dyDescent="0.25">
      <c r="A20" s="2">
        <v>16</v>
      </c>
      <c r="B20" s="15" t="s">
        <v>159</v>
      </c>
      <c r="C20" s="2">
        <f>'DECEMBER 19'!H20:H37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>
        <f>'DECEMBER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'DECEMBER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1200</v>
      </c>
      <c r="D23" s="1">
        <f>SUM(D5:D22)</f>
        <v>4500</v>
      </c>
      <c r="E23" s="1">
        <f>SUM(E5:E22)</f>
        <v>34500</v>
      </c>
      <c r="F23" s="2">
        <f>C23+D23+E23</f>
        <v>40200</v>
      </c>
      <c r="G23" s="1">
        <f>SUM(G5:G22)</f>
        <v>34800</v>
      </c>
      <c r="H23" s="2">
        <f t="shared" si="1"/>
        <v>5400</v>
      </c>
      <c r="I23" s="1">
        <f>SUM(I5:I22)</f>
        <v>1400</v>
      </c>
      <c r="J23" s="1">
        <f>SUM(J5:J22)</f>
        <v>1600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400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161</v>
      </c>
      <c r="C27" s="13">
        <f>E23</f>
        <v>34500</v>
      </c>
      <c r="D27" s="12"/>
      <c r="E27" s="12"/>
      <c r="F27" s="12" t="s">
        <v>161</v>
      </c>
      <c r="G27" s="13">
        <f>G23</f>
        <v>34800</v>
      </c>
      <c r="H27" s="12"/>
      <c r="I27" s="12"/>
    </row>
    <row r="28" spans="1:10" x14ac:dyDescent="0.25">
      <c r="B28" s="12" t="s">
        <v>2</v>
      </c>
      <c r="C28" s="13">
        <f>'DECEMBER 19'!E45</f>
        <v>-529.5</v>
      </c>
      <c r="D28" s="12"/>
      <c r="E28" s="12"/>
      <c r="F28" s="12" t="s">
        <v>2</v>
      </c>
      <c r="G28" s="13">
        <f>'DECEMBER 19'!I45</f>
        <v>-2229.5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1725</v>
      </c>
      <c r="E32" s="12"/>
      <c r="F32" s="12" t="s">
        <v>28</v>
      </c>
      <c r="G32" s="14">
        <v>0.05</v>
      </c>
      <c r="H32" s="13">
        <f>D32</f>
        <v>1725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C34*E19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9" x14ac:dyDescent="0.25">
      <c r="B35" s="16" t="s">
        <v>123</v>
      </c>
      <c r="C35" s="2"/>
      <c r="D35" s="2">
        <v>3120</v>
      </c>
      <c r="E35" s="17"/>
      <c r="F35" s="16" t="s">
        <v>123</v>
      </c>
      <c r="G35" s="2"/>
      <c r="H35" s="2">
        <v>3120</v>
      </c>
      <c r="I35" s="12"/>
    </row>
    <row r="36" spans="2:9" x14ac:dyDescent="0.25">
      <c r="B36" s="2" t="s">
        <v>166</v>
      </c>
      <c r="C36" s="30"/>
      <c r="D36" s="2">
        <v>17102</v>
      </c>
      <c r="E36" s="2"/>
      <c r="F36" s="2" t="s">
        <v>166</v>
      </c>
      <c r="G36" s="30"/>
      <c r="H36" s="2">
        <v>17102</v>
      </c>
      <c r="I36" s="12"/>
    </row>
    <row r="37" spans="2:9" x14ac:dyDescent="0.25">
      <c r="B37" s="17" t="s">
        <v>166</v>
      </c>
      <c r="C37" s="12"/>
      <c r="D37" s="12">
        <v>3156</v>
      </c>
      <c r="E37" s="12"/>
      <c r="F37" s="17" t="s">
        <v>166</v>
      </c>
      <c r="G37" s="12"/>
      <c r="H37" s="12">
        <v>3156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33645.5</v>
      </c>
      <c r="D45" s="26">
        <f>SUM(D34:D44)</f>
        <v>23978</v>
      </c>
      <c r="E45" s="24">
        <f>C45-D45</f>
        <v>9667.5</v>
      </c>
      <c r="F45" s="25" t="s">
        <v>54</v>
      </c>
      <c r="G45" s="24">
        <f>G27+G28+G29+G30+G31-H32</f>
        <v>32245.5</v>
      </c>
      <c r="H45" s="24">
        <f>SUM(H34:H44)</f>
        <v>23978</v>
      </c>
      <c r="I45" s="24">
        <f>G45-H45</f>
        <v>8267.5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6" workbookViewId="0">
      <selection activeCell="L34" sqref="L34"/>
    </sheetView>
  </sheetViews>
  <sheetFormatPr defaultRowHeight="15" x14ac:dyDescent="0.25"/>
  <cols>
    <col min="2" max="2" width="20.140625" bestFit="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165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'JANUARY 20'!H6:H23</f>
        <v>0</v>
      </c>
      <c r="D6" s="2"/>
      <c r="E6" s="2">
        <v>1000</v>
      </c>
      <c r="F6" s="2">
        <f t="shared" ref="F6:F22" si="0">C6+D6+E6</f>
        <v>1000</v>
      </c>
      <c r="G6" s="2">
        <v>1000</v>
      </c>
      <c r="H6" s="2">
        <f t="shared" ref="H6:H22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'JANUARY 20'!H7:H24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'JANUARY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'JANUARY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'JANUARY 20'!H11:H28</f>
        <v>500</v>
      </c>
      <c r="D11" s="2"/>
      <c r="E11" s="2">
        <v>2500</v>
      </c>
      <c r="F11" s="2">
        <f t="shared" si="0"/>
        <v>3000</v>
      </c>
      <c r="G11" s="2">
        <v>2700</v>
      </c>
      <c r="H11" s="2">
        <f t="shared" si="1"/>
        <v>300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'JANUARY 20'!H12:H29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'JANUARY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'JANUARY 20'!H14:H31</f>
        <v>400</v>
      </c>
      <c r="D14" s="2"/>
      <c r="E14" s="2">
        <v>2500</v>
      </c>
      <c r="F14" s="2">
        <f t="shared" si="0"/>
        <v>2900</v>
      </c>
      <c r="G14" s="2">
        <f>1300+1500</f>
        <v>2800</v>
      </c>
      <c r="H14" s="2">
        <f t="shared" si="1"/>
        <v>100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'JANUARY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200</v>
      </c>
    </row>
    <row r="17" spans="1:10" x14ac:dyDescent="0.25">
      <c r="A17" s="2">
        <v>13</v>
      </c>
      <c r="B17" s="2" t="s">
        <v>132</v>
      </c>
      <c r="C17" s="2">
        <f>'JANUARY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'JANUARY 20'!H18:H35</f>
        <v>0</v>
      </c>
      <c r="D18" s="2">
        <v>2000</v>
      </c>
      <c r="E18" s="2">
        <v>2000</v>
      </c>
      <c r="F18" s="2">
        <f t="shared" si="0"/>
        <v>4000</v>
      </c>
      <c r="G18" s="2">
        <v>4000</v>
      </c>
      <c r="H18" s="2">
        <f t="shared" si="1"/>
        <v>0</v>
      </c>
      <c r="I18" s="2">
        <v>100</v>
      </c>
      <c r="J18" s="2">
        <v>200</v>
      </c>
    </row>
    <row r="19" spans="1:10" x14ac:dyDescent="0.25">
      <c r="A19" s="2">
        <v>15</v>
      </c>
      <c r="B19" s="2" t="s">
        <v>163</v>
      </c>
      <c r="C19" s="2">
        <f>'JANUARY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'JANUARY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'JANUARY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'JANUARY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900</v>
      </c>
      <c r="D23" s="1">
        <f>SUM(D5:D22)</f>
        <v>8500</v>
      </c>
      <c r="E23" s="1">
        <f>SUM(E5:E22)</f>
        <v>35500</v>
      </c>
      <c r="F23" s="2">
        <f>C23+D23+E23</f>
        <v>44900</v>
      </c>
      <c r="G23" s="1">
        <f>SUM(G5:G22)</f>
        <v>38000</v>
      </c>
      <c r="H23" s="2">
        <f>F23-G23</f>
        <v>6900</v>
      </c>
      <c r="I23" s="1">
        <f>SUM(I5:I22)</f>
        <v>1500</v>
      </c>
      <c r="J23" s="1">
        <f>SUM(J5:J22)</f>
        <v>600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164</v>
      </c>
      <c r="C27" s="13">
        <f>E23</f>
        <v>35500</v>
      </c>
      <c r="D27" s="12"/>
      <c r="E27" s="12"/>
      <c r="F27" s="12" t="s">
        <v>164</v>
      </c>
      <c r="G27" s="13">
        <f>G23</f>
        <v>38000</v>
      </c>
      <c r="H27" s="12"/>
      <c r="I27" s="12"/>
    </row>
    <row r="28" spans="1:10" x14ac:dyDescent="0.25">
      <c r="B28" s="12" t="s">
        <v>2</v>
      </c>
      <c r="C28" s="13">
        <f>'JANUARY 20'!E45</f>
        <v>9667.5</v>
      </c>
      <c r="D28" s="12"/>
      <c r="E28" s="12"/>
      <c r="F28" s="12" t="s">
        <v>2</v>
      </c>
      <c r="G28" s="13">
        <f>'JANUARY 20'!I45</f>
        <v>8267.5</v>
      </c>
      <c r="H28" s="12"/>
      <c r="I28" s="12"/>
    </row>
    <row r="29" spans="1:10" x14ac:dyDescent="0.25">
      <c r="B29" s="20" t="s">
        <v>41</v>
      </c>
      <c r="C29" s="2">
        <v>2000</v>
      </c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1500</v>
      </c>
      <c r="D31" s="2"/>
      <c r="E31" s="2"/>
      <c r="F31" s="20" t="s">
        <v>44</v>
      </c>
      <c r="G31" s="2">
        <f>C31</f>
        <v>1500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1775</v>
      </c>
      <c r="E32" s="12"/>
      <c r="F32" s="12" t="s">
        <v>28</v>
      </c>
      <c r="G32" s="14">
        <v>0.05</v>
      </c>
      <c r="H32" s="13">
        <f>D32</f>
        <v>1775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C34*E19+(C34*E18)</f>
        <v>1200</v>
      </c>
      <c r="E34" s="2"/>
      <c r="F34" s="19" t="s">
        <v>115</v>
      </c>
      <c r="G34" s="30">
        <v>0.3</v>
      </c>
      <c r="H34" s="2">
        <f>D34</f>
        <v>1200</v>
      </c>
      <c r="I34" s="12"/>
    </row>
    <row r="35" spans="2:9" x14ac:dyDescent="0.25">
      <c r="B35" s="16" t="s">
        <v>123</v>
      </c>
      <c r="C35" s="2"/>
      <c r="D35" s="2">
        <v>3840</v>
      </c>
      <c r="E35" s="17"/>
      <c r="F35" s="16" t="s">
        <v>123</v>
      </c>
      <c r="G35" s="2"/>
      <c r="H35" s="2">
        <v>3840</v>
      </c>
      <c r="I35" s="12"/>
    </row>
    <row r="36" spans="2:9" x14ac:dyDescent="0.25">
      <c r="B36" s="2" t="s">
        <v>168</v>
      </c>
      <c r="C36" s="30"/>
      <c r="D36" s="2">
        <v>15097</v>
      </c>
      <c r="E36" s="2"/>
      <c r="F36" s="2" t="s">
        <v>168</v>
      </c>
      <c r="G36" s="30"/>
      <c r="H36" s="2">
        <v>15097</v>
      </c>
      <c r="I36" s="12"/>
    </row>
    <row r="37" spans="2:9" x14ac:dyDescent="0.25">
      <c r="B37" s="17" t="s">
        <v>169</v>
      </c>
      <c r="C37" s="12"/>
      <c r="D37" s="12">
        <v>20102</v>
      </c>
      <c r="E37" s="12"/>
      <c r="F37" s="17" t="s">
        <v>169</v>
      </c>
      <c r="G37" s="12"/>
      <c r="H37" s="12">
        <v>20102</v>
      </c>
      <c r="I37" s="12"/>
    </row>
    <row r="38" spans="2:9" x14ac:dyDescent="0.25">
      <c r="B38" s="17" t="s">
        <v>170</v>
      </c>
      <c r="C38" s="12"/>
      <c r="D38" s="12">
        <v>150</v>
      </c>
      <c r="E38" s="12"/>
      <c r="F38" s="17" t="s">
        <v>170</v>
      </c>
      <c r="G38" s="12"/>
      <c r="H38" s="12">
        <v>150</v>
      </c>
      <c r="I38" s="12"/>
    </row>
    <row r="39" spans="2:9" x14ac:dyDescent="0.25">
      <c r="B39" s="17" t="s">
        <v>184</v>
      </c>
      <c r="C39" s="12"/>
      <c r="D39" s="12">
        <v>300</v>
      </c>
      <c r="E39" s="12"/>
      <c r="F39" s="17" t="s">
        <v>185</v>
      </c>
      <c r="G39" s="12"/>
      <c r="H39" s="12">
        <v>300</v>
      </c>
      <c r="I39" s="12"/>
    </row>
    <row r="40" spans="2:9" x14ac:dyDescent="0.25">
      <c r="B40" s="17" t="s">
        <v>172</v>
      </c>
      <c r="C40" s="12"/>
      <c r="D40" s="12">
        <v>2400</v>
      </c>
      <c r="E40" s="12"/>
      <c r="F40" s="17" t="s">
        <v>172</v>
      </c>
      <c r="G40" s="12"/>
      <c r="H40" s="12">
        <v>2400</v>
      </c>
      <c r="I40" s="12"/>
    </row>
    <row r="41" spans="2:9" x14ac:dyDescent="0.25">
      <c r="B41" s="17" t="s">
        <v>173</v>
      </c>
      <c r="C41" s="12"/>
      <c r="D41" s="12">
        <v>2250</v>
      </c>
      <c r="E41" s="12"/>
      <c r="F41" s="17" t="s">
        <v>173</v>
      </c>
      <c r="G41" s="12"/>
      <c r="H41" s="12">
        <v>2250</v>
      </c>
      <c r="I41" s="12"/>
    </row>
    <row r="42" spans="2:9" x14ac:dyDescent="0.25">
      <c r="B42" s="16" t="s">
        <v>174</v>
      </c>
      <c r="C42" s="2"/>
      <c r="D42" s="2">
        <v>2400</v>
      </c>
      <c r="E42" s="17"/>
      <c r="F42" s="16" t="s">
        <v>174</v>
      </c>
      <c r="G42" s="2"/>
      <c r="H42" s="2">
        <v>2400</v>
      </c>
      <c r="I42" s="12"/>
    </row>
    <row r="43" spans="2:9" x14ac:dyDescent="0.25">
      <c r="B43" s="17" t="s">
        <v>175</v>
      </c>
      <c r="C43" s="12"/>
      <c r="D43" s="12">
        <v>960</v>
      </c>
      <c r="E43" s="12"/>
      <c r="F43" s="17" t="s">
        <v>175</v>
      </c>
      <c r="G43" s="12"/>
      <c r="H43" s="12">
        <v>960</v>
      </c>
      <c r="I43" s="12"/>
    </row>
    <row r="44" spans="2:9" x14ac:dyDescent="0.25">
      <c r="B44" s="17" t="s">
        <v>176</v>
      </c>
      <c r="C44" s="12"/>
      <c r="D44" s="12">
        <v>1200</v>
      </c>
      <c r="E44" s="12"/>
      <c r="F44" s="17" t="s">
        <v>176</v>
      </c>
      <c r="G44" s="12"/>
      <c r="H44" s="12">
        <v>1200</v>
      </c>
      <c r="I44" s="12"/>
    </row>
    <row r="45" spans="2:9" x14ac:dyDescent="0.25">
      <c r="B45" s="25" t="s">
        <v>54</v>
      </c>
      <c r="C45" s="24">
        <f>C27+C28+C29+C30+C31-D32</f>
        <v>46892.5</v>
      </c>
      <c r="D45" s="26">
        <f>SUM(D34:D44)</f>
        <v>49899</v>
      </c>
      <c r="E45" s="24">
        <f>C45-D45</f>
        <v>-3006.5</v>
      </c>
      <c r="F45" s="25" t="s">
        <v>54</v>
      </c>
      <c r="G45" s="24">
        <f>G27+G28+G29+G30+G31-H32</f>
        <v>45992.5</v>
      </c>
      <c r="H45" s="24">
        <f>SUM(H34:H44)</f>
        <v>49899</v>
      </c>
      <c r="I45" s="24">
        <f>G45-H45</f>
        <v>-3906.5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  <row r="54" spans="5:5" x14ac:dyDescent="0.25">
      <c r="E54">
        <f>D40+D41+D42+D43+D44</f>
        <v>9210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" workbookViewId="0">
      <selection activeCell="Q12" sqref="Q12"/>
    </sheetView>
  </sheetViews>
  <sheetFormatPr defaultRowHeight="15" x14ac:dyDescent="0.25"/>
  <cols>
    <col min="2" max="2" width="18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171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'FEBRUARY 20'!H6:H23</f>
        <v>0</v>
      </c>
      <c r="D6" s="2"/>
      <c r="E6" s="2">
        <v>1000</v>
      </c>
      <c r="F6" s="2">
        <f t="shared" ref="F6:F22" si="0">C6+D6+E6</f>
        <v>1000</v>
      </c>
      <c r="G6" s="2">
        <v>1000</v>
      </c>
      <c r="H6" s="2">
        <f t="shared" ref="H6:H22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'FEBRUARY 20'!H7:H24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>
        <f>'FEBRUARY 20'!H8:H25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'FEBRUARY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'FEBRUARY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'FEBRUARY 20'!H11:H28</f>
        <v>300</v>
      </c>
      <c r="D11" s="2"/>
      <c r="E11" s="2">
        <v>2500</v>
      </c>
      <c r="F11" s="2">
        <f t="shared" si="0"/>
        <v>2800</v>
      </c>
      <c r="G11" s="2">
        <v>2700</v>
      </c>
      <c r="H11" s="2">
        <f t="shared" si="1"/>
        <v>100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'FEBRUARY 20'!H12:H29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'FEBRUARY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'FEBRUARY 20'!H14:H31</f>
        <v>100</v>
      </c>
      <c r="D14" s="2"/>
      <c r="E14" s="2">
        <v>2500</v>
      </c>
      <c r="F14" s="2">
        <f t="shared" si="0"/>
        <v>2600</v>
      </c>
      <c r="G14" s="2">
        <f>1000+1500</f>
        <v>2500</v>
      </c>
      <c r="H14" s="2">
        <f t="shared" si="1"/>
        <v>100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'FEBRUARY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116</v>
      </c>
      <c r="C16" s="2">
        <f>'FEBRUARY 20'!H16:H33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/>
    </row>
    <row r="17" spans="1:10" x14ac:dyDescent="0.25">
      <c r="A17" s="2">
        <v>13</v>
      </c>
      <c r="B17" s="2" t="s">
        <v>132</v>
      </c>
      <c r="C17" s="2">
        <f>'FEBRUARY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'FEBRUARY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'FEBRUARY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'FEBRUARY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'FEBRUARY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'FEBRUARY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4900</v>
      </c>
      <c r="D23" s="1">
        <f>SUM(D5:D22)</f>
        <v>0</v>
      </c>
      <c r="E23" s="1">
        <f>SUM(E5:E22)</f>
        <v>33500</v>
      </c>
      <c r="F23" s="2">
        <f>C23+D23+E23</f>
        <v>38400</v>
      </c>
      <c r="G23" s="1">
        <f>SUM(G5:G22)</f>
        <v>33700</v>
      </c>
      <c r="H23" s="2">
        <f>F23-G23</f>
        <v>4700</v>
      </c>
      <c r="I23" s="1">
        <f>SUM(I5:I22)</f>
        <v>1400</v>
      </c>
      <c r="J23" s="1">
        <f>SUM(J5:J22)</f>
        <v>400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75</v>
      </c>
      <c r="C27" s="13">
        <f>E23</f>
        <v>33500</v>
      </c>
      <c r="D27" s="12"/>
      <c r="E27" s="12"/>
      <c r="F27" s="12" t="s">
        <v>75</v>
      </c>
      <c r="G27" s="13">
        <f>G23</f>
        <v>33700</v>
      </c>
      <c r="H27" s="12"/>
      <c r="I27" s="12"/>
    </row>
    <row r="28" spans="1:10" x14ac:dyDescent="0.25">
      <c r="B28" s="12" t="s">
        <v>2</v>
      </c>
      <c r="C28" s="13">
        <f>'FEBRUARY 20'!E45</f>
        <v>-3006.5</v>
      </c>
      <c r="D28" s="12"/>
      <c r="E28" s="12"/>
      <c r="F28" s="12" t="s">
        <v>2</v>
      </c>
      <c r="G28" s="13">
        <f>'FEBRUARY 20'!I45</f>
        <v>-3906.5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1675</v>
      </c>
      <c r="E32" s="12"/>
      <c r="F32" s="12" t="s">
        <v>28</v>
      </c>
      <c r="G32" s="14">
        <v>0.05</v>
      </c>
      <c r="H32" s="13">
        <f>D32</f>
        <v>1675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/>
      <c r="C34" s="30"/>
      <c r="D34" s="2"/>
      <c r="E34" s="2"/>
      <c r="F34" s="19"/>
      <c r="G34" s="30"/>
      <c r="H34" s="2"/>
      <c r="I34" s="12"/>
    </row>
    <row r="35" spans="2:9" x14ac:dyDescent="0.25">
      <c r="B35" s="16" t="s">
        <v>123</v>
      </c>
      <c r="C35" s="2"/>
      <c r="D35" s="2">
        <v>3960</v>
      </c>
      <c r="E35" s="17"/>
      <c r="F35" s="16" t="s">
        <v>123</v>
      </c>
      <c r="G35" s="2"/>
      <c r="H35" s="2">
        <v>3960</v>
      </c>
      <c r="I35" s="12"/>
    </row>
    <row r="36" spans="2:9" x14ac:dyDescent="0.25">
      <c r="B36" s="2" t="s">
        <v>177</v>
      </c>
      <c r="C36" s="30"/>
      <c r="D36" s="2">
        <f>5700+200+800</f>
        <v>6700</v>
      </c>
      <c r="E36" s="2"/>
      <c r="F36" s="2" t="s">
        <v>177</v>
      </c>
      <c r="G36" s="30"/>
      <c r="H36" s="2">
        <f>5700+200+800</f>
        <v>6700</v>
      </c>
      <c r="I36" s="12"/>
    </row>
    <row r="37" spans="2:9" x14ac:dyDescent="0.25">
      <c r="B37" s="17"/>
      <c r="C37" s="12"/>
      <c r="D37" s="12"/>
      <c r="E37" s="12"/>
      <c r="F37" s="17"/>
      <c r="G37" s="12"/>
      <c r="H37" s="12"/>
      <c r="I37" s="12"/>
    </row>
    <row r="38" spans="2:9" x14ac:dyDescent="0.25">
      <c r="B38" s="17" t="s">
        <v>179</v>
      </c>
      <c r="C38" s="12"/>
      <c r="D38" s="12">
        <v>22105</v>
      </c>
      <c r="E38" s="12"/>
      <c r="F38" s="17" t="s">
        <v>179</v>
      </c>
      <c r="G38" s="12"/>
      <c r="H38" s="12">
        <v>22105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 t="s">
        <v>181</v>
      </c>
      <c r="C41" s="12"/>
      <c r="D41" s="12">
        <f>3150+200</f>
        <v>3350</v>
      </c>
      <c r="E41" s="12"/>
      <c r="F41" s="17" t="s">
        <v>181</v>
      </c>
      <c r="G41" s="12"/>
      <c r="H41" s="12">
        <f>3150+200</f>
        <v>3350</v>
      </c>
      <c r="I41" s="12"/>
    </row>
    <row r="42" spans="2:9" x14ac:dyDescent="0.25">
      <c r="B42" s="16" t="s">
        <v>182</v>
      </c>
      <c r="C42" s="2"/>
      <c r="D42" s="2">
        <v>1230</v>
      </c>
      <c r="E42" s="17"/>
      <c r="F42" s="16" t="s">
        <v>182</v>
      </c>
      <c r="G42" s="2"/>
      <c r="H42" s="2">
        <v>1230</v>
      </c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30218.5</v>
      </c>
      <c r="D45" s="26">
        <f>SUM(D34:D44)</f>
        <v>37345</v>
      </c>
      <c r="E45" s="24">
        <f>C45-D45</f>
        <v>-7126.5</v>
      </c>
      <c r="F45" s="25" t="s">
        <v>54</v>
      </c>
      <c r="G45" s="24">
        <f>G27+G28+G29+G30+G31-H32</f>
        <v>29518.5</v>
      </c>
      <c r="H45" s="24">
        <f>SUM(H34:H44)</f>
        <v>37345</v>
      </c>
      <c r="I45" s="24">
        <f>G45-H45</f>
        <v>-7826.5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29" sqref="C29"/>
    </sheetView>
  </sheetViews>
  <sheetFormatPr defaultRowHeight="15" x14ac:dyDescent="0.25"/>
  <cols>
    <col min="1" max="1" width="3.85546875" customWidth="1"/>
    <col min="2" max="2" width="18.5703125" customWidth="1"/>
    <col min="3" max="3" width="10" customWidth="1"/>
    <col min="6" max="6" width="10.5703125" customWidth="1"/>
  </cols>
  <sheetData>
    <row r="1" spans="1:10" x14ac:dyDescent="0.25">
      <c r="D1" s="3" t="s">
        <v>7</v>
      </c>
      <c r="E1" s="3"/>
      <c r="F1" s="3"/>
      <c r="G1" s="3"/>
      <c r="I1" s="3" t="s">
        <v>49</v>
      </c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42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10</v>
      </c>
      <c r="C6" s="2"/>
      <c r="D6" s="2"/>
      <c r="E6" s="2">
        <v>1800</v>
      </c>
      <c r="F6" s="2">
        <f t="shared" ref="F6:F22" si="0">C6+D6+E6</f>
        <v>1800</v>
      </c>
      <c r="G6" s="2">
        <v>1800</v>
      </c>
      <c r="H6" s="2">
        <f t="shared" ref="H6:H22" si="1">F6-G6</f>
        <v>0</v>
      </c>
      <c r="I6" s="2"/>
      <c r="J6" s="2" t="s">
        <v>48</v>
      </c>
    </row>
    <row r="7" spans="1:10" x14ac:dyDescent="0.25">
      <c r="A7" s="2">
        <v>3</v>
      </c>
      <c r="B7" s="2" t="s">
        <v>11</v>
      </c>
      <c r="C7" s="2">
        <v>3600</v>
      </c>
      <c r="D7" s="2"/>
      <c r="E7" s="2">
        <v>1800</v>
      </c>
      <c r="F7" s="2">
        <f t="shared" si="0"/>
        <v>5400</v>
      </c>
      <c r="G7" s="2">
        <v>1800</v>
      </c>
      <c r="H7" s="2">
        <f t="shared" si="1"/>
        <v>3600</v>
      </c>
      <c r="I7" s="2">
        <v>100</v>
      </c>
      <c r="J7" s="2">
        <v>200</v>
      </c>
    </row>
    <row r="8" spans="1:10" x14ac:dyDescent="0.25">
      <c r="A8" s="2">
        <v>4</v>
      </c>
      <c r="B8" s="2" t="s">
        <v>12</v>
      </c>
      <c r="C8" s="2">
        <v>3600</v>
      </c>
      <c r="D8" s="2"/>
      <c r="E8" s="2">
        <v>1800</v>
      </c>
      <c r="F8" s="2">
        <f t="shared" si="0"/>
        <v>5400</v>
      </c>
      <c r="G8" s="2">
        <v>1800</v>
      </c>
      <c r="H8" s="2">
        <f t="shared" si="1"/>
        <v>3600</v>
      </c>
      <c r="I8" s="2"/>
      <c r="J8" s="2" t="s">
        <v>48</v>
      </c>
    </row>
    <row r="9" spans="1:10" x14ac:dyDescent="0.25">
      <c r="A9" s="2">
        <v>5</v>
      </c>
      <c r="B9" s="2" t="s">
        <v>38</v>
      </c>
      <c r="C9" s="2"/>
      <c r="D9" s="2"/>
      <c r="E9" s="2">
        <v>1800</v>
      </c>
      <c r="F9" s="2">
        <f t="shared" si="0"/>
        <v>1800</v>
      </c>
      <c r="G9" s="2">
        <v>1800</v>
      </c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v>250</v>
      </c>
      <c r="D10" s="2"/>
      <c r="E10" s="2">
        <v>2500</v>
      </c>
      <c r="F10" s="2">
        <f t="shared" si="0"/>
        <v>2750</v>
      </c>
      <c r="G10" s="2">
        <v>2500</v>
      </c>
      <c r="H10" s="2">
        <f t="shared" si="1"/>
        <v>250</v>
      </c>
      <c r="I10" s="2"/>
      <c r="J10" s="2" t="s">
        <v>48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/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5000</v>
      </c>
      <c r="F13" s="2">
        <f t="shared" si="0"/>
        <v>5000</v>
      </c>
      <c r="G13" s="2">
        <v>5000</v>
      </c>
      <c r="H13" s="2">
        <f t="shared" si="1"/>
        <v>0</v>
      </c>
      <c r="I13" s="2">
        <v>100</v>
      </c>
      <c r="J13" s="2" t="s">
        <v>48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 t="s">
        <v>48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 t="s">
        <v>15</v>
      </c>
      <c r="C17" s="2">
        <v>4000</v>
      </c>
      <c r="D17" s="2"/>
      <c r="E17" s="2">
        <v>2000</v>
      </c>
      <c r="F17" s="2">
        <f t="shared" si="0"/>
        <v>6000</v>
      </c>
      <c r="G17" s="2">
        <v>2000</v>
      </c>
      <c r="H17" s="2">
        <f t="shared" si="1"/>
        <v>4000</v>
      </c>
      <c r="I17" s="2">
        <v>100</v>
      </c>
      <c r="J17" s="2">
        <v>200</v>
      </c>
    </row>
    <row r="18" spans="1:10" x14ac:dyDescent="0.25">
      <c r="A18" s="2">
        <v>14</v>
      </c>
      <c r="B18" s="2" t="s">
        <v>16</v>
      </c>
      <c r="C18" s="2"/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/>
      <c r="J18" s="2" t="s">
        <v>48</v>
      </c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 t="s">
        <v>40</v>
      </c>
      <c r="C20" s="2"/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/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 t="s">
        <v>19</v>
      </c>
      <c r="C22" s="2">
        <v>1000</v>
      </c>
      <c r="D22" s="2"/>
      <c r="E22" s="2">
        <v>2000</v>
      </c>
      <c r="F22" s="2">
        <f t="shared" si="0"/>
        <v>3000</v>
      </c>
      <c r="G22" s="2">
        <v>2000</v>
      </c>
      <c r="H22" s="2">
        <f t="shared" si="1"/>
        <v>1000</v>
      </c>
      <c r="I22" s="2"/>
      <c r="J22" s="2"/>
    </row>
    <row r="23" spans="1:10" s="3" customFormat="1" x14ac:dyDescent="0.25">
      <c r="A23" s="1"/>
      <c r="B23" s="1" t="s">
        <v>46</v>
      </c>
      <c r="C23" s="1">
        <f t="shared" ref="C23:J23" si="2">SUM(C5:C22)</f>
        <v>12450</v>
      </c>
      <c r="D23" s="1">
        <f t="shared" si="2"/>
        <v>0</v>
      </c>
      <c r="E23" s="1">
        <f>SUM(E5:E22)</f>
        <v>27700</v>
      </c>
      <c r="F23" s="1">
        <f t="shared" si="2"/>
        <v>40150</v>
      </c>
      <c r="G23" s="1">
        <f>SUM(G5:G22)</f>
        <v>27700</v>
      </c>
      <c r="H23" s="1">
        <f t="shared" si="2"/>
        <v>12450</v>
      </c>
      <c r="I23" s="1">
        <f t="shared" si="2"/>
        <v>600</v>
      </c>
      <c r="J23" s="1">
        <f t="shared" si="2"/>
        <v>800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43</v>
      </c>
      <c r="C29" s="13">
        <f>E23</f>
        <v>27700</v>
      </c>
      <c r="D29" s="12"/>
      <c r="E29" s="12"/>
      <c r="F29" s="12" t="s">
        <v>43</v>
      </c>
      <c r="G29" s="13">
        <f>G23</f>
        <v>27700</v>
      </c>
      <c r="H29" s="12"/>
      <c r="I29" s="12"/>
    </row>
    <row r="30" spans="1:10" x14ac:dyDescent="0.25">
      <c r="B30" s="12" t="s">
        <v>2</v>
      </c>
      <c r="C30" s="13">
        <f>SEPTEMBER!E37</f>
        <v>6716.5</v>
      </c>
      <c r="D30" s="12"/>
      <c r="E30" s="12"/>
      <c r="F30" s="12" t="s">
        <v>2</v>
      </c>
      <c r="G30" s="13">
        <f>SEPTEMBER!I37</f>
        <v>4466.5</v>
      </c>
      <c r="H30" s="12"/>
      <c r="I30" s="12"/>
    </row>
    <row r="31" spans="1:10" x14ac:dyDescent="0.25">
      <c r="B31" s="12" t="s">
        <v>41</v>
      </c>
      <c r="C31" s="13">
        <v>0</v>
      </c>
      <c r="D31" s="12"/>
      <c r="E31" s="12"/>
      <c r="F31" s="12" t="s">
        <v>41</v>
      </c>
      <c r="G31" s="13">
        <v>2500</v>
      </c>
      <c r="H31" s="12"/>
      <c r="I31" s="12"/>
    </row>
    <row r="32" spans="1:10" x14ac:dyDescent="0.25">
      <c r="B32" s="20" t="s">
        <v>53</v>
      </c>
      <c r="C32" s="2">
        <f>J23</f>
        <v>800</v>
      </c>
      <c r="D32" s="2"/>
      <c r="E32" s="2"/>
      <c r="F32" s="20" t="s">
        <v>53</v>
      </c>
      <c r="G32" s="2">
        <f>C32</f>
        <v>800</v>
      </c>
      <c r="H32" s="12"/>
      <c r="I32" s="12"/>
    </row>
    <row r="33" spans="2:9" x14ac:dyDescent="0.25">
      <c r="B33" s="20" t="s">
        <v>44</v>
      </c>
      <c r="C33" s="2">
        <f>I23</f>
        <v>600</v>
      </c>
      <c r="D33" s="2"/>
      <c r="E33" s="2"/>
      <c r="F33" s="20" t="s">
        <v>44</v>
      </c>
      <c r="G33" s="2">
        <f>C33</f>
        <v>600</v>
      </c>
      <c r="H33" s="12"/>
      <c r="I33" s="12"/>
    </row>
    <row r="34" spans="2:9" x14ac:dyDescent="0.25">
      <c r="B34" s="1" t="s">
        <v>54</v>
      </c>
      <c r="C34" s="24">
        <f>SUM(C29:C33)</f>
        <v>35816.5</v>
      </c>
      <c r="D34" s="1"/>
      <c r="E34" s="1"/>
      <c r="F34" s="1" t="s">
        <v>46</v>
      </c>
      <c r="G34" s="24">
        <f>SUM(G29:G33)</f>
        <v>36066.5</v>
      </c>
      <c r="H34" s="1"/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2" t="s">
        <v>28</v>
      </c>
      <c r="C36" s="14">
        <v>0.05</v>
      </c>
      <c r="D36" s="13">
        <f>C36*C29</f>
        <v>1385</v>
      </c>
      <c r="E36" s="12"/>
      <c r="F36" s="12" t="s">
        <v>28</v>
      </c>
      <c r="G36" s="14">
        <v>0.05</v>
      </c>
      <c r="H36" s="13">
        <f>D36</f>
        <v>1385</v>
      </c>
      <c r="I36" s="12"/>
    </row>
    <row r="37" spans="2:9" x14ac:dyDescent="0.25">
      <c r="B37" s="16" t="s">
        <v>47</v>
      </c>
      <c r="C37" s="2"/>
      <c r="D37" s="2">
        <v>1200</v>
      </c>
      <c r="E37" s="2"/>
      <c r="F37" s="16" t="s">
        <v>47</v>
      </c>
      <c r="G37" s="2"/>
      <c r="H37" s="2">
        <v>1200</v>
      </c>
      <c r="I37" s="12"/>
    </row>
    <row r="38" spans="2:9" x14ac:dyDescent="0.25">
      <c r="B38" s="19">
        <v>43385</v>
      </c>
      <c r="C38" s="2"/>
      <c r="D38" s="2">
        <v>21105</v>
      </c>
      <c r="E38" s="2"/>
      <c r="F38" s="19">
        <v>43385</v>
      </c>
      <c r="G38" s="2"/>
      <c r="H38" s="2">
        <v>21105</v>
      </c>
      <c r="I38" s="12"/>
    </row>
    <row r="39" spans="2:9" x14ac:dyDescent="0.25">
      <c r="B39" s="17">
        <v>43386</v>
      </c>
      <c r="C39" s="12"/>
      <c r="D39" s="12">
        <v>3661</v>
      </c>
      <c r="E39" s="12"/>
      <c r="F39" s="17">
        <v>43386</v>
      </c>
      <c r="G39" s="12"/>
      <c r="H39" s="12">
        <v>3661</v>
      </c>
      <c r="I39" s="12"/>
    </row>
    <row r="40" spans="2:9" x14ac:dyDescent="0.25">
      <c r="B40" s="17" t="s">
        <v>68</v>
      </c>
      <c r="C40" s="12"/>
      <c r="D40" s="12">
        <v>2500</v>
      </c>
      <c r="E40" s="12"/>
      <c r="F40" s="17" t="s">
        <v>69</v>
      </c>
      <c r="G40" s="12"/>
      <c r="H40" s="12">
        <v>2500</v>
      </c>
      <c r="I40" s="12"/>
    </row>
    <row r="41" spans="2:9" x14ac:dyDescent="0.25">
      <c r="B41" s="17" t="s">
        <v>55</v>
      </c>
      <c r="C41" s="12"/>
      <c r="D41" s="12">
        <v>523</v>
      </c>
      <c r="E41" s="12"/>
      <c r="F41" s="17" t="s">
        <v>55</v>
      </c>
      <c r="G41" s="12"/>
      <c r="H41" s="12">
        <v>523</v>
      </c>
      <c r="I41" s="12"/>
    </row>
    <row r="42" spans="2:9" x14ac:dyDescent="0.25">
      <c r="B42" s="19"/>
      <c r="C42" s="21">
        <f>C29+C30+C31</f>
        <v>34416.5</v>
      </c>
      <c r="D42" s="22">
        <f>SUM(D36:D41)</f>
        <v>30374</v>
      </c>
      <c r="E42" s="13">
        <f>C42-D42</f>
        <v>4042.5</v>
      </c>
      <c r="F42" s="2"/>
      <c r="G42" s="21">
        <f>G29+G30+G31</f>
        <v>34666.5</v>
      </c>
      <c r="H42" s="21">
        <f>SUM(H36:H41)</f>
        <v>30374</v>
      </c>
      <c r="I42" s="13">
        <f>G42-H42</f>
        <v>4292.5</v>
      </c>
    </row>
    <row r="44" spans="2:9" x14ac:dyDescent="0.25">
      <c r="B44" t="s">
        <v>31</v>
      </c>
      <c r="D44" t="s">
        <v>32</v>
      </c>
      <c r="G44" t="s">
        <v>33</v>
      </c>
    </row>
    <row r="46" spans="2:9" x14ac:dyDescent="0.25">
      <c r="B46" t="s">
        <v>34</v>
      </c>
      <c r="D46" t="s">
        <v>35</v>
      </c>
      <c r="G46" t="s">
        <v>36</v>
      </c>
    </row>
  </sheetData>
  <pageMargins left="0" right="0" top="0" bottom="0" header="0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25" sqref="H25"/>
    </sheetView>
  </sheetViews>
  <sheetFormatPr defaultRowHeight="15" x14ac:dyDescent="0.25"/>
  <cols>
    <col min="1" max="1" width="4.5703125" customWidth="1"/>
    <col min="2" max="2" width="19.8554687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180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'MARCH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'MARCH 20'!H6:H23</f>
        <v>0</v>
      </c>
      <c r="D6" s="2"/>
      <c r="E6" s="2">
        <v>1000</v>
      </c>
      <c r="F6" s="2">
        <f t="shared" ref="F6:F22" si="0">C6+D6+E6</f>
        <v>1000</v>
      </c>
      <c r="G6" s="2"/>
      <c r="H6" s="2">
        <f t="shared" ref="H6:H22" si="1">F6-G6</f>
        <v>1000</v>
      </c>
      <c r="I6" s="2"/>
      <c r="J6" s="2"/>
      <c r="K6" t="s">
        <v>187</v>
      </c>
    </row>
    <row r="7" spans="1:11" x14ac:dyDescent="0.25">
      <c r="A7" s="2">
        <v>3</v>
      </c>
      <c r="B7" s="2" t="s">
        <v>141</v>
      </c>
      <c r="C7" s="2">
        <f>'MARCH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>
        <f>'MARCH 20'!H8:H25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15" t="s">
        <v>158</v>
      </c>
      <c r="C9" s="2">
        <f>'MARCH 20'!H9:H26</f>
        <v>0</v>
      </c>
      <c r="D9" s="2"/>
      <c r="E9" s="2">
        <v>2000</v>
      </c>
      <c r="F9" s="2">
        <f t="shared" si="0"/>
        <v>2000</v>
      </c>
      <c r="G9" s="2"/>
      <c r="H9" s="2">
        <f t="shared" si="1"/>
        <v>2000</v>
      </c>
      <c r="I9" s="2"/>
      <c r="J9" s="2"/>
      <c r="K9" t="s">
        <v>187</v>
      </c>
    </row>
    <row r="10" spans="1:11" x14ac:dyDescent="0.25">
      <c r="A10" s="2">
        <v>6</v>
      </c>
      <c r="B10" s="2" t="s">
        <v>37</v>
      </c>
      <c r="C10" s="2">
        <f>'MARCH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/>
      <c r="J10" s="2">
        <v>200</v>
      </c>
    </row>
    <row r="11" spans="1:11" x14ac:dyDescent="0.25">
      <c r="A11" s="2">
        <v>7</v>
      </c>
      <c r="B11" s="2" t="s">
        <v>16</v>
      </c>
      <c r="C11" s="2">
        <f>'MARCH 20'!H11:H28</f>
        <v>100</v>
      </c>
      <c r="D11" s="2"/>
      <c r="E11" s="2">
        <v>2500</v>
      </c>
      <c r="F11" s="2">
        <f t="shared" si="0"/>
        <v>2600</v>
      </c>
      <c r="G11" s="2">
        <v>2600</v>
      </c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'MARCH 20'!H12:H29</f>
        <v>0</v>
      </c>
      <c r="D12" s="2"/>
      <c r="E12" s="2">
        <v>2000</v>
      </c>
      <c r="F12" s="2">
        <f t="shared" si="0"/>
        <v>2000</v>
      </c>
      <c r="G12" s="2"/>
      <c r="H12" s="2">
        <f t="shared" si="1"/>
        <v>2000</v>
      </c>
      <c r="I12" s="2"/>
      <c r="J12" s="2"/>
      <c r="K12" t="s">
        <v>190</v>
      </c>
    </row>
    <row r="13" spans="1:11" x14ac:dyDescent="0.25">
      <c r="A13" s="2">
        <v>9</v>
      </c>
      <c r="B13" s="2" t="s">
        <v>39</v>
      </c>
      <c r="C13" s="2">
        <f>'MARCH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17</v>
      </c>
      <c r="C14" s="2">
        <f>'MARCH 20'!H14:H31</f>
        <v>100</v>
      </c>
      <c r="D14" s="2"/>
      <c r="E14" s="2">
        <v>2500</v>
      </c>
      <c r="F14" s="2">
        <f t="shared" si="0"/>
        <v>2600</v>
      </c>
      <c r="G14" s="2">
        <f>500</f>
        <v>500</v>
      </c>
      <c r="H14" s="2">
        <f t="shared" si="1"/>
        <v>2100</v>
      </c>
      <c r="I14" s="2"/>
      <c r="J14" s="2"/>
      <c r="K14" t="s">
        <v>189</v>
      </c>
    </row>
    <row r="15" spans="1:11" x14ac:dyDescent="0.25">
      <c r="A15" s="2">
        <v>11</v>
      </c>
      <c r="B15" s="2" t="s">
        <v>18</v>
      </c>
      <c r="C15" s="2">
        <f>'MARCH 20'!H15:H32</f>
        <v>0</v>
      </c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  <c r="K15" t="s">
        <v>188</v>
      </c>
    </row>
    <row r="16" spans="1:11" x14ac:dyDescent="0.25">
      <c r="A16" s="2">
        <v>12</v>
      </c>
      <c r="B16" s="2" t="s">
        <v>116</v>
      </c>
      <c r="C16" s="2"/>
      <c r="D16" s="2"/>
      <c r="E16" s="2">
        <v>3500</v>
      </c>
      <c r="F16" s="2">
        <f t="shared" si="0"/>
        <v>3500</v>
      </c>
      <c r="G16" s="2">
        <v>3500</v>
      </c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132</v>
      </c>
      <c r="C17" s="2">
        <f>'MARCH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'MARCH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'MARCH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'MARCH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'MARCH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2200</v>
      </c>
      <c r="D23" s="1">
        <f>SUM(D5:D22)</f>
        <v>0</v>
      </c>
      <c r="E23" s="1">
        <f>SUM(E5:E22)</f>
        <v>31500</v>
      </c>
      <c r="F23" s="2">
        <f>C23+D23+E23</f>
        <v>33700</v>
      </c>
      <c r="G23" s="1">
        <f>SUM(G5:G22)</f>
        <v>22100</v>
      </c>
      <c r="H23" s="2">
        <f>F23-G23</f>
        <v>11600</v>
      </c>
      <c r="I23" s="1">
        <f>SUM(I5:I22)</f>
        <v>600</v>
      </c>
      <c r="J23" s="1">
        <f>SUM(J5:J22)</f>
        <v>200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H23-H8</f>
        <v>9600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84</v>
      </c>
      <c r="C27" s="13">
        <f>E23</f>
        <v>31500</v>
      </c>
      <c r="D27" s="12"/>
      <c r="E27" s="12"/>
      <c r="F27" s="12" t="s">
        <v>84</v>
      </c>
      <c r="G27" s="13">
        <f>G23</f>
        <v>22100</v>
      </c>
      <c r="H27" s="12"/>
      <c r="I27" s="12"/>
    </row>
    <row r="28" spans="1:10" x14ac:dyDescent="0.25">
      <c r="B28" s="12" t="s">
        <v>2</v>
      </c>
      <c r="C28" s="13">
        <f>'MARCH 20'!E45</f>
        <v>-7126.5</v>
      </c>
      <c r="D28" s="12"/>
      <c r="E28" s="12"/>
      <c r="F28" s="12" t="s">
        <v>2</v>
      </c>
      <c r="G28" s="13">
        <f>'MARCH 20'!I45</f>
        <v>-7826.5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600</v>
      </c>
      <c r="D31" s="2"/>
      <c r="E31" s="2"/>
      <c r="F31" s="20" t="s">
        <v>44</v>
      </c>
      <c r="G31" s="2">
        <f>C31</f>
        <v>600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1575</v>
      </c>
      <c r="E32" s="12"/>
      <c r="F32" s="12" t="s">
        <v>28</v>
      </c>
      <c r="G32" s="14">
        <v>0.05</v>
      </c>
      <c r="H32" s="13">
        <f>D32</f>
        <v>1575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3960</v>
      </c>
      <c r="E35" s="17"/>
      <c r="F35" s="16" t="s">
        <v>123</v>
      </c>
      <c r="G35" s="2"/>
      <c r="H35" s="2">
        <v>3960</v>
      </c>
      <c r="I35" s="12"/>
    </row>
    <row r="36" spans="2:9" x14ac:dyDescent="0.25">
      <c r="B36" s="2" t="s">
        <v>186</v>
      </c>
      <c r="D36" s="2">
        <v>7307</v>
      </c>
      <c r="E36" s="2"/>
      <c r="F36" s="2" t="s">
        <v>186</v>
      </c>
      <c r="H36" s="2">
        <v>7307</v>
      </c>
      <c r="I36" s="12"/>
    </row>
    <row r="37" spans="2:9" x14ac:dyDescent="0.25">
      <c r="B37" s="17"/>
      <c r="D37" s="30"/>
      <c r="E37" s="12"/>
      <c r="F37" s="17"/>
      <c r="G37" s="12"/>
      <c r="H37" s="12"/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23398.5</v>
      </c>
      <c r="D45" s="26">
        <f>SUM(D34:D44)</f>
        <v>11267</v>
      </c>
      <c r="E45" s="24">
        <f>C45-D45</f>
        <v>12131.5</v>
      </c>
      <c r="F45" s="25" t="s">
        <v>54</v>
      </c>
      <c r="G45" s="24">
        <f>G27+G28+G29+G30+G31-H32</f>
        <v>13298.5</v>
      </c>
      <c r="H45" s="24">
        <f>SUM(H34:H44)</f>
        <v>11267</v>
      </c>
      <c r="I45" s="24">
        <f>G45-H45</f>
        <v>2031.5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19" sqref="H19"/>
    </sheetView>
  </sheetViews>
  <sheetFormatPr defaultRowHeight="15" x14ac:dyDescent="0.25"/>
  <cols>
    <col min="1" max="1" width="4.85546875" bestFit="1" customWidth="1"/>
    <col min="2" max="2" width="20.140625" customWidth="1"/>
    <col min="6" max="6" width="11.140625" customWidth="1"/>
    <col min="7" max="7" width="9.1406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183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'APRIL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'APRIL 20'!H6:H23</f>
        <v>1000</v>
      </c>
      <c r="D6" s="2"/>
      <c r="E6" s="2">
        <v>1000</v>
      </c>
      <c r="F6" s="2">
        <f t="shared" ref="F6:F22" si="0">C6+D6+E6</f>
        <v>2000</v>
      </c>
      <c r="G6" s="2"/>
      <c r="H6" s="2">
        <f t="shared" ref="H6:H22" si="1">F6-G6</f>
        <v>2000</v>
      </c>
      <c r="I6" s="2"/>
      <c r="J6" s="2"/>
      <c r="K6" t="s">
        <v>187</v>
      </c>
    </row>
    <row r="7" spans="1:11" x14ac:dyDescent="0.25">
      <c r="A7" s="2">
        <v>3</v>
      </c>
      <c r="B7" s="2" t="s">
        <v>141</v>
      </c>
      <c r="C7" s="2">
        <f>'APRIL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15" t="s">
        <v>158</v>
      </c>
      <c r="C9" s="2">
        <f>'APRIL 20'!H9:H26</f>
        <v>2000</v>
      </c>
      <c r="D9" s="2"/>
      <c r="E9" s="2">
        <v>2000</v>
      </c>
      <c r="F9" s="2">
        <f t="shared" si="0"/>
        <v>4000</v>
      </c>
      <c r="G9" s="2"/>
      <c r="H9" s="2">
        <f t="shared" si="1"/>
        <v>4000</v>
      </c>
      <c r="I9" s="2"/>
      <c r="J9" s="2"/>
      <c r="K9" t="s">
        <v>187</v>
      </c>
    </row>
    <row r="10" spans="1:11" x14ac:dyDescent="0.25">
      <c r="A10" s="2">
        <v>6</v>
      </c>
      <c r="B10" s="2" t="s">
        <v>37</v>
      </c>
      <c r="C10" s="2">
        <f>'APRIL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250</v>
      </c>
      <c r="J10" s="2">
        <v>100</v>
      </c>
    </row>
    <row r="11" spans="1:11" x14ac:dyDescent="0.25">
      <c r="A11" s="2">
        <v>7</v>
      </c>
      <c r="B11" s="2" t="s">
        <v>16</v>
      </c>
      <c r="C11" s="2">
        <f>'APRIL 20'!H11:H28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1" x14ac:dyDescent="0.25">
      <c r="A12" s="2">
        <v>8</v>
      </c>
      <c r="B12" s="32" t="s">
        <v>121</v>
      </c>
      <c r="C12" s="2">
        <f>'APRIL 20'!H12:H29</f>
        <v>2000</v>
      </c>
      <c r="D12" s="2"/>
      <c r="E12" s="2">
        <v>2000</v>
      </c>
      <c r="F12" s="2">
        <f t="shared" si="0"/>
        <v>4000</v>
      </c>
      <c r="G12" s="2"/>
      <c r="H12" s="2">
        <f t="shared" si="1"/>
        <v>4000</v>
      </c>
      <c r="I12" s="2"/>
      <c r="J12" s="2"/>
      <c r="K12" t="s">
        <v>187</v>
      </c>
    </row>
    <row r="13" spans="1:11" x14ac:dyDescent="0.25">
      <c r="A13" s="2">
        <v>9</v>
      </c>
      <c r="B13" s="2" t="s">
        <v>39</v>
      </c>
      <c r="C13" s="2">
        <f>'APRIL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200</v>
      </c>
      <c r="J13" s="2"/>
    </row>
    <row r="14" spans="1:11" x14ac:dyDescent="0.25">
      <c r="A14" s="2">
        <v>10</v>
      </c>
      <c r="B14" s="2" t="s">
        <v>17</v>
      </c>
      <c r="C14" s="2">
        <f>'APRIL 20'!H14:H31</f>
        <v>2100</v>
      </c>
      <c r="D14" s="2"/>
      <c r="E14" s="2">
        <v>2500</v>
      </c>
      <c r="F14" s="2">
        <f t="shared" si="0"/>
        <v>4600</v>
      </c>
      <c r="G14" s="2">
        <f>1800</f>
        <v>1800</v>
      </c>
      <c r="H14" s="2">
        <f t="shared" si="1"/>
        <v>2800</v>
      </c>
      <c r="I14" s="2"/>
      <c r="J14" s="2"/>
      <c r="K14" t="s">
        <v>193</v>
      </c>
    </row>
    <row r="15" spans="1:11" x14ac:dyDescent="0.25">
      <c r="A15" s="2">
        <v>11</v>
      </c>
      <c r="B15" s="2" t="s">
        <v>18</v>
      </c>
      <c r="C15" s="2">
        <f>'APRIL 20'!H15:H32</f>
        <v>2500</v>
      </c>
      <c r="D15" s="2"/>
      <c r="E15" s="2">
        <v>2500</v>
      </c>
      <c r="F15" s="2">
        <f t="shared" si="0"/>
        <v>5000</v>
      </c>
      <c r="G15" s="2">
        <f>2500</f>
        <v>2500</v>
      </c>
      <c r="H15" s="2">
        <f t="shared" si="1"/>
        <v>2500</v>
      </c>
      <c r="I15" s="2">
        <f>100</f>
        <v>100</v>
      </c>
      <c r="J15" s="2"/>
      <c r="K15" t="s">
        <v>192</v>
      </c>
    </row>
    <row r="16" spans="1:11" x14ac:dyDescent="0.25">
      <c r="A16" s="2">
        <v>12</v>
      </c>
      <c r="B16" s="2" t="s">
        <v>178</v>
      </c>
      <c r="C16" s="2">
        <f>'APRIL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1" x14ac:dyDescent="0.25">
      <c r="A17" s="2">
        <v>13</v>
      </c>
      <c r="B17" s="2" t="s">
        <v>132</v>
      </c>
      <c r="C17" s="2">
        <f>'APRIL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250</v>
      </c>
      <c r="J17" s="2">
        <v>50</v>
      </c>
    </row>
    <row r="18" spans="1:11" x14ac:dyDescent="0.25">
      <c r="A18" s="2">
        <v>14</v>
      </c>
      <c r="B18" s="32" t="s">
        <v>167</v>
      </c>
      <c r="C18" s="2">
        <f>'APRIL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250</v>
      </c>
      <c r="J18" s="2">
        <v>150</v>
      </c>
    </row>
    <row r="19" spans="1:11" x14ac:dyDescent="0.25">
      <c r="A19" s="2">
        <v>15</v>
      </c>
      <c r="B19" s="2" t="s">
        <v>163</v>
      </c>
      <c r="C19" s="2">
        <f>'APRIL 20'!H19:H36</f>
        <v>0</v>
      </c>
      <c r="D19" s="2"/>
      <c r="E19" s="2">
        <v>2000</v>
      </c>
      <c r="F19" s="2">
        <f t="shared" si="0"/>
        <v>2000</v>
      </c>
      <c r="G19" s="2"/>
      <c r="H19" s="2">
        <f t="shared" si="1"/>
        <v>2000</v>
      </c>
      <c r="I19" s="2"/>
      <c r="J19" s="2"/>
      <c r="K19" t="s">
        <v>187</v>
      </c>
    </row>
    <row r="20" spans="1:11" x14ac:dyDescent="0.25">
      <c r="A20" s="2">
        <v>16</v>
      </c>
      <c r="B20" s="15" t="s">
        <v>159</v>
      </c>
      <c r="C20" s="2">
        <f>'APRIL 20'!H20:H37</f>
        <v>0</v>
      </c>
      <c r="D20" s="2"/>
      <c r="E20" s="2">
        <v>2000</v>
      </c>
      <c r="F20" s="2">
        <f t="shared" si="0"/>
        <v>2000</v>
      </c>
      <c r="G20" s="2">
        <v>1700</v>
      </c>
      <c r="H20" s="2">
        <f t="shared" si="1"/>
        <v>300</v>
      </c>
      <c r="I20" s="2"/>
      <c r="J20" s="2"/>
    </row>
    <row r="21" spans="1:11" x14ac:dyDescent="0.25">
      <c r="A21" s="2">
        <v>17</v>
      </c>
      <c r="B21" s="2"/>
      <c r="C21" s="2">
        <f>'APRIL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1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x14ac:dyDescent="0.25">
      <c r="A23" s="1"/>
      <c r="B23" s="1" t="s">
        <v>46</v>
      </c>
      <c r="C23" s="2">
        <f>SUM(C5:C22)</f>
        <v>9600</v>
      </c>
      <c r="D23" s="1">
        <f>SUM(D5:D22)</f>
        <v>2000</v>
      </c>
      <c r="E23" s="1">
        <f>SUM(E5:E22)</f>
        <v>28000</v>
      </c>
      <c r="F23" s="2">
        <f>C23+D23+E23</f>
        <v>39600</v>
      </c>
      <c r="G23" s="1">
        <f>SUM(G5:G22)</f>
        <v>20000</v>
      </c>
      <c r="H23" s="2">
        <f>F23-G23</f>
        <v>19600</v>
      </c>
      <c r="I23" s="1">
        <f>SUM(I5:I22)</f>
        <v>1250</v>
      </c>
      <c r="J23" s="1">
        <f>SUM(J5:J22)</f>
        <v>300</v>
      </c>
    </row>
    <row r="24" spans="1:11" x14ac:dyDescent="0.25">
      <c r="B24" s="4" t="s">
        <v>20</v>
      </c>
      <c r="C24" s="5"/>
      <c r="D24" s="6"/>
      <c r="E24" s="7"/>
      <c r="F24" s="8"/>
      <c r="G24" s="9"/>
      <c r="H24" s="8"/>
    </row>
    <row r="25" spans="1:11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1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1" x14ac:dyDescent="0.25">
      <c r="B27" s="12" t="s">
        <v>88</v>
      </c>
      <c r="C27" s="13">
        <f>E23</f>
        <v>28000</v>
      </c>
      <c r="D27" s="12"/>
      <c r="E27" s="12"/>
      <c r="F27" s="12" t="s">
        <v>88</v>
      </c>
      <c r="G27" s="13">
        <f>G23</f>
        <v>20000</v>
      </c>
      <c r="H27" s="12"/>
      <c r="I27" s="12"/>
    </row>
    <row r="28" spans="1:11" x14ac:dyDescent="0.25">
      <c r="B28" s="12" t="s">
        <v>2</v>
      </c>
      <c r="C28" s="13">
        <f>'APRIL 20'!E45</f>
        <v>12131.5</v>
      </c>
      <c r="D28" s="12"/>
      <c r="E28" s="12"/>
      <c r="F28" s="12" t="s">
        <v>2</v>
      </c>
      <c r="G28" s="13">
        <f>'APRIL 20'!I45</f>
        <v>2031.5</v>
      </c>
      <c r="H28" s="12"/>
      <c r="I28" s="12"/>
    </row>
    <row r="29" spans="1:11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1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1" x14ac:dyDescent="0.25">
      <c r="B31" s="20" t="s">
        <v>44</v>
      </c>
      <c r="C31" s="2">
        <f>I23</f>
        <v>1250</v>
      </c>
      <c r="D31" s="2"/>
      <c r="E31" s="2"/>
      <c r="F31" s="20" t="s">
        <v>44</v>
      </c>
      <c r="G31" s="2">
        <f>C31</f>
        <v>1250</v>
      </c>
      <c r="H31" s="12"/>
      <c r="I31" s="12"/>
    </row>
    <row r="32" spans="1:11" x14ac:dyDescent="0.25">
      <c r="B32" s="12" t="s">
        <v>28</v>
      </c>
      <c r="C32" s="14">
        <v>0.05</v>
      </c>
      <c r="D32" s="13">
        <f>C32*C27</f>
        <v>1400</v>
      </c>
      <c r="E32" s="12"/>
      <c r="F32" s="12" t="s">
        <v>28</v>
      </c>
      <c r="G32" s="14">
        <v>0.05</v>
      </c>
      <c r="H32" s="13">
        <f>D32</f>
        <v>1400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6480</v>
      </c>
      <c r="E35" s="17"/>
      <c r="F35" s="16" t="s">
        <v>123</v>
      </c>
      <c r="G35" s="2"/>
      <c r="H35" s="2">
        <v>6480</v>
      </c>
      <c r="I35" s="12"/>
    </row>
    <row r="36" spans="2:9" x14ac:dyDescent="0.25">
      <c r="B36" s="2" t="s">
        <v>191</v>
      </c>
      <c r="D36" s="2">
        <v>8381</v>
      </c>
      <c r="E36" s="2"/>
      <c r="F36" s="2" t="s">
        <v>191</v>
      </c>
      <c r="H36" s="2">
        <v>8381</v>
      </c>
      <c r="I36" s="12"/>
    </row>
    <row r="37" spans="2:9" x14ac:dyDescent="0.25">
      <c r="B37" s="17"/>
      <c r="D37" s="30"/>
      <c r="E37" s="12"/>
      <c r="F37" s="17"/>
      <c r="G37" s="12"/>
      <c r="H37" s="12"/>
      <c r="I37" s="12"/>
    </row>
    <row r="38" spans="2:9" x14ac:dyDescent="0.25">
      <c r="B38" s="17" t="s">
        <v>194</v>
      </c>
      <c r="C38" s="12"/>
      <c r="D38" s="12">
        <v>5277</v>
      </c>
      <c r="E38" s="12"/>
      <c r="F38" s="17" t="s">
        <v>194</v>
      </c>
      <c r="G38" s="12"/>
      <c r="H38" s="12">
        <v>5277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39981.5</v>
      </c>
      <c r="D45" s="26">
        <f>SUM(D34:D44)</f>
        <v>20138</v>
      </c>
      <c r="E45" s="24">
        <f>C45-D45</f>
        <v>19843.5</v>
      </c>
      <c r="F45" s="25" t="s">
        <v>54</v>
      </c>
      <c r="G45" s="24">
        <f>G27+G28+G29+G30+G31-H32</f>
        <v>21881.5</v>
      </c>
      <c r="H45" s="24">
        <f>SUM(H34:H44)</f>
        <v>20138</v>
      </c>
      <c r="I45" s="24">
        <f>G45-H45</f>
        <v>1743.5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" right="0" top="0" bottom="0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O1" sqref="O1"/>
    </sheetView>
  </sheetViews>
  <sheetFormatPr defaultRowHeight="15" x14ac:dyDescent="0.25"/>
  <cols>
    <col min="1" max="1" width="4.85546875" customWidth="1"/>
    <col min="2" max="2" width="20.140625" bestFit="1" customWidth="1"/>
    <col min="3" max="3" width="6.5703125" bestFit="1" customWidth="1"/>
    <col min="4" max="4" width="8" customWidth="1"/>
    <col min="5" max="5" width="6.5703125" bestFit="1" customWidth="1"/>
    <col min="6" max="6" width="10.42578125" customWidth="1"/>
    <col min="7" max="7" width="8.42578125" customWidth="1"/>
    <col min="8" max="8" width="8.285156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195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'MAY 20'!H5:H23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'MAY 20'!H6:H24</f>
        <v>2000</v>
      </c>
      <c r="D6" s="2"/>
      <c r="E6" s="2">
        <v>1000</v>
      </c>
      <c r="F6" s="2">
        <f t="shared" ref="F6:F22" si="0">C6+D6+E6</f>
        <v>3000</v>
      </c>
      <c r="G6" s="2"/>
      <c r="H6" s="2">
        <f t="shared" ref="H6:H22" si="1">F6-G6</f>
        <v>3000</v>
      </c>
      <c r="I6" s="2"/>
      <c r="J6" s="2"/>
      <c r="K6" t="s">
        <v>197</v>
      </c>
    </row>
    <row r="7" spans="1:11" x14ac:dyDescent="0.25">
      <c r="A7" s="2">
        <v>3</v>
      </c>
      <c r="B7" s="2"/>
      <c r="C7" s="2">
        <f>'MAY 20'!H7:H25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/>
      <c r="D8" s="2"/>
      <c r="E8" s="2">
        <v>2500</v>
      </c>
      <c r="F8" s="2">
        <f t="shared" si="0"/>
        <v>2500</v>
      </c>
      <c r="G8" s="2">
        <f>1000</f>
        <v>1000</v>
      </c>
      <c r="H8" s="2">
        <f>F8-G8</f>
        <v>1500</v>
      </c>
      <c r="I8" s="2"/>
      <c r="J8" s="2"/>
    </row>
    <row r="9" spans="1:11" x14ac:dyDescent="0.25">
      <c r="A9" s="2">
        <v>5</v>
      </c>
      <c r="B9" s="15" t="s">
        <v>158</v>
      </c>
      <c r="C9" s="2">
        <f>'MAY 20'!H9:H27</f>
        <v>4000</v>
      </c>
      <c r="D9" s="2"/>
      <c r="E9" s="2">
        <v>2000</v>
      </c>
      <c r="F9" s="2">
        <f t="shared" si="0"/>
        <v>6000</v>
      </c>
      <c r="G9" s="2"/>
      <c r="H9" s="2">
        <f t="shared" si="1"/>
        <v>6000</v>
      </c>
      <c r="I9" s="2"/>
      <c r="J9" s="2"/>
      <c r="K9" t="s">
        <v>197</v>
      </c>
    </row>
    <row r="10" spans="1:11" x14ac:dyDescent="0.25">
      <c r="A10" s="2">
        <v>6</v>
      </c>
      <c r="B10" s="2" t="s">
        <v>37</v>
      </c>
      <c r="C10" s="2">
        <f>'MAY 20'!H10:H28</f>
        <v>0</v>
      </c>
      <c r="D10" s="2"/>
      <c r="E10" s="2">
        <v>2500</v>
      </c>
      <c r="F10" s="2">
        <f t="shared" si="0"/>
        <v>2500</v>
      </c>
      <c r="G10" s="2"/>
      <c r="H10" s="2">
        <f>F10-G10</f>
        <v>2500</v>
      </c>
      <c r="I10" s="2"/>
      <c r="J10" s="2"/>
    </row>
    <row r="11" spans="1:11" x14ac:dyDescent="0.25">
      <c r="A11" s="2">
        <v>7</v>
      </c>
      <c r="B11" s="2" t="s">
        <v>16</v>
      </c>
      <c r="C11" s="2">
        <f>'MAY 20'!H11:H29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'MAY 20'!H12:H30</f>
        <v>4000</v>
      </c>
      <c r="D12" s="2"/>
      <c r="E12" s="2">
        <v>2000</v>
      </c>
      <c r="F12" s="2">
        <f t="shared" si="0"/>
        <v>6000</v>
      </c>
      <c r="G12" s="2"/>
      <c r="H12" s="2">
        <f t="shared" si="1"/>
        <v>6000</v>
      </c>
      <c r="I12" s="2"/>
      <c r="J12" s="2"/>
      <c r="K12" t="s">
        <v>197</v>
      </c>
    </row>
    <row r="13" spans="1:11" x14ac:dyDescent="0.25">
      <c r="A13" s="2">
        <v>9</v>
      </c>
      <c r="B13" s="2" t="s">
        <v>39</v>
      </c>
      <c r="C13" s="2">
        <f>'MAY 20'!H13:H31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200</v>
      </c>
      <c r="J13" s="2"/>
    </row>
    <row r="14" spans="1:11" x14ac:dyDescent="0.25">
      <c r="A14" s="2">
        <v>10</v>
      </c>
      <c r="B14" s="2" t="s">
        <v>17</v>
      </c>
      <c r="C14" s="2">
        <f>'MAY 20'!H14:H32</f>
        <v>2800</v>
      </c>
      <c r="D14" s="2"/>
      <c r="E14" s="2">
        <v>2500</v>
      </c>
      <c r="F14" s="2">
        <f t="shared" si="0"/>
        <v>5300</v>
      </c>
      <c r="G14" s="2">
        <f>2000</f>
        <v>2000</v>
      </c>
      <c r="H14" s="2">
        <f t="shared" si="1"/>
        <v>3300</v>
      </c>
      <c r="I14" s="2"/>
      <c r="J14" s="2"/>
    </row>
    <row r="15" spans="1:11" x14ac:dyDescent="0.25">
      <c r="A15" s="2">
        <v>11</v>
      </c>
      <c r="B15" s="2" t="s">
        <v>18</v>
      </c>
      <c r="C15" s="2">
        <f>'MAY 20'!H15:H33</f>
        <v>2500</v>
      </c>
      <c r="D15" s="2"/>
      <c r="E15" s="2">
        <v>2500</v>
      </c>
      <c r="F15" s="2">
        <f t="shared" si="0"/>
        <v>5000</v>
      </c>
      <c r="G15" s="2">
        <v>2500</v>
      </c>
      <c r="H15" s="2">
        <f t="shared" si="1"/>
        <v>2500</v>
      </c>
      <c r="I15" s="2">
        <v>250</v>
      </c>
      <c r="J15" s="2"/>
    </row>
    <row r="16" spans="1:11" x14ac:dyDescent="0.25">
      <c r="A16" s="2">
        <v>12</v>
      </c>
      <c r="B16" s="2" t="s">
        <v>178</v>
      </c>
      <c r="C16" s="2">
        <f>'MAY 20'!H16:H34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20" x14ac:dyDescent="0.25">
      <c r="A17" s="2">
        <v>13</v>
      </c>
      <c r="B17" s="2" t="s">
        <v>178</v>
      </c>
      <c r="C17" s="2">
        <f>'MAY 20'!H17:H35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20" x14ac:dyDescent="0.25">
      <c r="A18" s="2">
        <v>14</v>
      </c>
      <c r="B18" s="32" t="s">
        <v>167</v>
      </c>
      <c r="C18" s="2">
        <f>'MAY 20'!H18:H36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250</v>
      </c>
      <c r="J18" s="2"/>
    </row>
    <row r="19" spans="1:20" x14ac:dyDescent="0.25">
      <c r="A19" s="2">
        <v>15</v>
      </c>
      <c r="B19" s="2" t="s">
        <v>163</v>
      </c>
      <c r="C19" s="2">
        <f>'MAY 20'!H19:H37</f>
        <v>2000</v>
      </c>
      <c r="D19" s="2"/>
      <c r="E19" s="2">
        <v>2000</v>
      </c>
      <c r="F19" s="2">
        <f t="shared" si="0"/>
        <v>4000</v>
      </c>
      <c r="G19" s="2"/>
      <c r="H19" s="2">
        <f t="shared" si="1"/>
        <v>4000</v>
      </c>
      <c r="I19" s="2"/>
      <c r="J19" s="2"/>
      <c r="K19" t="s">
        <v>197</v>
      </c>
    </row>
    <row r="20" spans="1:20" x14ac:dyDescent="0.25">
      <c r="A20" s="2">
        <v>16</v>
      </c>
      <c r="B20" s="15" t="s">
        <v>159</v>
      </c>
      <c r="C20" s="2">
        <f>'MAY 20'!H20:H38</f>
        <v>300</v>
      </c>
      <c r="D20" s="2"/>
      <c r="E20" s="2">
        <v>2000</v>
      </c>
      <c r="F20" s="2">
        <f t="shared" si="0"/>
        <v>2300</v>
      </c>
      <c r="G20" s="2">
        <f>1900</f>
        <v>1900</v>
      </c>
      <c r="H20" s="2">
        <f t="shared" si="1"/>
        <v>400</v>
      </c>
      <c r="I20" s="2"/>
      <c r="J20" s="2"/>
      <c r="K20" t="s">
        <v>197</v>
      </c>
      <c r="T20" s="30">
        <v>15</v>
      </c>
    </row>
    <row r="21" spans="1:20" x14ac:dyDescent="0.25">
      <c r="A21" s="2">
        <v>17</v>
      </c>
      <c r="B21" s="2"/>
      <c r="C21" s="2">
        <f>'MAY 20'!H21:H39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2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20" x14ac:dyDescent="0.25">
      <c r="A23" s="1"/>
      <c r="B23" s="1" t="s">
        <v>46</v>
      </c>
      <c r="C23" s="2">
        <f>SUM(C5:C22)</f>
        <v>17600</v>
      </c>
      <c r="D23" s="1">
        <f>SUM(D5:D22)</f>
        <v>0</v>
      </c>
      <c r="E23" s="1">
        <f>SUM(E5:E22)</f>
        <v>26000</v>
      </c>
      <c r="F23" s="2">
        <f>C23+D23+E23</f>
        <v>43600</v>
      </c>
      <c r="G23" s="1">
        <f>SUM(G5:G22)</f>
        <v>11900</v>
      </c>
      <c r="H23" s="2">
        <f>F23-G23</f>
        <v>31700</v>
      </c>
      <c r="I23" s="1">
        <f>SUM(I5:I22)</f>
        <v>700</v>
      </c>
      <c r="J23" s="1">
        <f>SUM(J5:J22)</f>
        <v>0</v>
      </c>
    </row>
    <row r="24" spans="1:20" x14ac:dyDescent="0.25">
      <c r="B24" s="4" t="s">
        <v>20</v>
      </c>
      <c r="C24" s="5"/>
      <c r="D24" s="6"/>
      <c r="E24" s="7"/>
      <c r="F24" s="8"/>
      <c r="G24" s="9"/>
      <c r="H24" s="8"/>
    </row>
    <row r="25" spans="1:2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2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20" x14ac:dyDescent="0.25">
      <c r="B27" s="12" t="s">
        <v>196</v>
      </c>
      <c r="C27" s="13">
        <f>E23</f>
        <v>26000</v>
      </c>
      <c r="D27" s="12"/>
      <c r="E27" s="12"/>
      <c r="F27" s="12" t="s">
        <v>196</v>
      </c>
      <c r="G27" s="13">
        <f>G23</f>
        <v>11900</v>
      </c>
      <c r="H27" s="12"/>
      <c r="I27" s="12"/>
    </row>
    <row r="28" spans="1:20" x14ac:dyDescent="0.25">
      <c r="B28" s="12" t="s">
        <v>2</v>
      </c>
      <c r="C28" s="13">
        <f>'MAY 20'!E45</f>
        <v>19843.5</v>
      </c>
      <c r="D28" s="12"/>
      <c r="E28" s="12"/>
      <c r="F28" s="12" t="s">
        <v>2</v>
      </c>
      <c r="G28" s="13">
        <f>'MAY 20'!I45</f>
        <v>1743.5</v>
      </c>
      <c r="H28" s="12"/>
      <c r="I28" s="12"/>
    </row>
    <row r="29" spans="1:2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2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20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20" x14ac:dyDescent="0.25">
      <c r="B32" s="12" t="s">
        <v>28</v>
      </c>
      <c r="C32" s="14">
        <v>0.05</v>
      </c>
      <c r="D32" s="13">
        <f>C32*C27</f>
        <v>1300</v>
      </c>
      <c r="E32" s="12"/>
      <c r="F32" s="12" t="s">
        <v>28</v>
      </c>
      <c r="G32" s="14">
        <v>0.05</v>
      </c>
      <c r="H32" s="13">
        <f>D32</f>
        <v>1300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4440</v>
      </c>
      <c r="E35" s="17"/>
      <c r="F35" s="16" t="s">
        <v>123</v>
      </c>
      <c r="G35" s="2"/>
      <c r="H35" s="2">
        <v>4440</v>
      </c>
      <c r="I35" s="12"/>
    </row>
    <row r="36" spans="2:9" x14ac:dyDescent="0.25">
      <c r="B36" s="2" t="s">
        <v>198</v>
      </c>
      <c r="D36" s="2">
        <v>8587</v>
      </c>
      <c r="E36" s="2"/>
      <c r="F36" s="2" t="s">
        <v>198</v>
      </c>
      <c r="H36" s="2">
        <v>8587</v>
      </c>
      <c r="I36" s="12"/>
    </row>
    <row r="37" spans="2:9" x14ac:dyDescent="0.25">
      <c r="B37" s="17" t="s">
        <v>200</v>
      </c>
      <c r="D37">
        <v>1500</v>
      </c>
      <c r="E37" s="12"/>
      <c r="F37" s="17"/>
      <c r="G37" s="12"/>
      <c r="H37" s="12"/>
      <c r="I37" s="12"/>
    </row>
    <row r="38" spans="2:9" x14ac:dyDescent="0.25">
      <c r="B38" s="17" t="s">
        <v>201</v>
      </c>
      <c r="C38" s="12"/>
      <c r="D38" s="12">
        <f>E11</f>
        <v>2500</v>
      </c>
      <c r="E38" s="12"/>
      <c r="F38" s="17"/>
      <c r="G38" s="12"/>
      <c r="H38" s="12"/>
      <c r="I38" s="12"/>
    </row>
    <row r="39" spans="2:9" x14ac:dyDescent="0.25">
      <c r="B39" s="17" t="s">
        <v>202</v>
      </c>
      <c r="C39" s="12"/>
      <c r="D39" s="12">
        <f>3300</f>
        <v>3300</v>
      </c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45243.5</v>
      </c>
      <c r="D45" s="26">
        <f>SUM(D34:D44)</f>
        <v>20327</v>
      </c>
      <c r="E45" s="24">
        <f>C45-D45</f>
        <v>24916.5</v>
      </c>
      <c r="F45" s="25" t="s">
        <v>54</v>
      </c>
      <c r="G45" s="24">
        <f>G27+G28+G29+G30+G31-H32</f>
        <v>13043.5</v>
      </c>
      <c r="H45" s="24">
        <f>SUM(H34:H44)</f>
        <v>13027</v>
      </c>
      <c r="I45" s="24">
        <f>G45-H45</f>
        <v>16.5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G28" sqref="G28"/>
    </sheetView>
  </sheetViews>
  <sheetFormatPr defaultRowHeight="15" x14ac:dyDescent="0.25"/>
  <cols>
    <col min="1" max="1" width="5.140625" customWidth="1"/>
    <col min="2" max="2" width="20.140625" bestFit="1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199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'JUNE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'JUNE 20'!H6:H23</f>
        <v>3000</v>
      </c>
      <c r="D6" s="2"/>
      <c r="E6" s="2">
        <v>2000</v>
      </c>
      <c r="F6" s="2">
        <f t="shared" ref="F6:F22" si="0">C6+D6+E6</f>
        <v>5000</v>
      </c>
      <c r="G6" s="2"/>
      <c r="H6" s="2">
        <f t="shared" ref="H6:H22" si="1">F6-G6</f>
        <v>5000</v>
      </c>
      <c r="I6" s="2"/>
      <c r="J6" s="2"/>
      <c r="K6" t="s">
        <v>197</v>
      </c>
    </row>
    <row r="7" spans="1:11" x14ac:dyDescent="0.25">
      <c r="A7" s="2">
        <v>3</v>
      </c>
      <c r="B7" s="2"/>
      <c r="C7" s="2">
        <f>'JUNE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178</v>
      </c>
      <c r="C8" s="2"/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</row>
    <row r="9" spans="1:11" x14ac:dyDescent="0.25">
      <c r="A9" s="2">
        <v>5</v>
      </c>
      <c r="B9" s="15" t="s">
        <v>158</v>
      </c>
      <c r="C9" s="2">
        <f>'JUNE 20'!H9:H26</f>
        <v>6000</v>
      </c>
      <c r="D9" s="2"/>
      <c r="E9" s="2">
        <v>2000</v>
      </c>
      <c r="F9" s="2">
        <f t="shared" si="0"/>
        <v>8000</v>
      </c>
      <c r="G9" s="2"/>
      <c r="H9" s="2">
        <f t="shared" si="1"/>
        <v>8000</v>
      </c>
      <c r="I9" s="2"/>
      <c r="J9" s="2"/>
      <c r="K9" t="s">
        <v>197</v>
      </c>
    </row>
    <row r="10" spans="1:11" x14ac:dyDescent="0.25">
      <c r="A10" s="2">
        <v>6</v>
      </c>
      <c r="B10" s="2" t="s">
        <v>37</v>
      </c>
      <c r="C10" s="2">
        <f>'JUNE 20'!H10:H27</f>
        <v>2500</v>
      </c>
      <c r="D10" s="2"/>
      <c r="E10" s="2">
        <v>2500</v>
      </c>
      <c r="F10" s="2">
        <f t="shared" si="0"/>
        <v>5000</v>
      </c>
      <c r="G10" s="2">
        <v>2500</v>
      </c>
      <c r="H10" s="2">
        <f>F10-G10</f>
        <v>2500</v>
      </c>
      <c r="I10" s="2">
        <v>250</v>
      </c>
      <c r="J10" s="2"/>
    </row>
    <row r="11" spans="1:11" x14ac:dyDescent="0.25">
      <c r="A11" s="2">
        <v>7</v>
      </c>
      <c r="B11" s="2" t="s">
        <v>178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'JUNE 20'!H12:H29</f>
        <v>6000</v>
      </c>
      <c r="D12" s="2"/>
      <c r="E12" s="2">
        <v>2000</v>
      </c>
      <c r="F12" s="2">
        <f t="shared" si="0"/>
        <v>8000</v>
      </c>
      <c r="G12" s="2"/>
      <c r="H12" s="2">
        <f t="shared" si="1"/>
        <v>8000</v>
      </c>
      <c r="I12" s="2"/>
      <c r="J12" s="2"/>
      <c r="K12" t="s">
        <v>204</v>
      </c>
    </row>
    <row r="13" spans="1:11" x14ac:dyDescent="0.25">
      <c r="A13" s="2">
        <v>9</v>
      </c>
      <c r="B13" s="2" t="s">
        <v>39</v>
      </c>
      <c r="C13" s="2">
        <f>'JUNE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300</v>
      </c>
      <c r="J13" s="2"/>
    </row>
    <row r="14" spans="1:11" x14ac:dyDescent="0.25">
      <c r="A14" s="2">
        <v>10</v>
      </c>
      <c r="B14" s="2" t="s">
        <v>178</v>
      </c>
      <c r="C14" s="2"/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 t="s">
        <v>18</v>
      </c>
      <c r="C15" s="2">
        <f>'JUNE 20'!H15:H32</f>
        <v>2500</v>
      </c>
      <c r="D15" s="2"/>
      <c r="E15" s="2">
        <v>2500</v>
      </c>
      <c r="F15" s="2">
        <f t="shared" si="0"/>
        <v>5000</v>
      </c>
      <c r="G15" s="2">
        <f>2500</f>
        <v>2500</v>
      </c>
      <c r="H15" s="2">
        <f t="shared" si="1"/>
        <v>2500</v>
      </c>
      <c r="I15" s="2">
        <v>450</v>
      </c>
      <c r="J15" s="2"/>
      <c r="K15" t="s">
        <v>208</v>
      </c>
    </row>
    <row r="16" spans="1:11" x14ac:dyDescent="0.25">
      <c r="A16" s="2">
        <v>12</v>
      </c>
      <c r="B16" s="2" t="s">
        <v>178</v>
      </c>
      <c r="C16" s="2">
        <f>'JUNE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178</v>
      </c>
      <c r="C17" s="2">
        <f>'JUNE 20'!H17:H34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167</v>
      </c>
      <c r="C18" s="2">
        <f>'JUNE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'JUNE 20'!H19:H36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159</v>
      </c>
      <c r="C20" s="2">
        <f>'JUNE 20'!H20:H37</f>
        <v>400</v>
      </c>
      <c r="D20" s="2"/>
      <c r="E20" s="2">
        <v>2000</v>
      </c>
      <c r="F20" s="2">
        <f t="shared" si="0"/>
        <v>2400</v>
      </c>
      <c r="G20" s="2">
        <v>2100</v>
      </c>
      <c r="H20" s="2">
        <f t="shared" si="1"/>
        <v>300</v>
      </c>
      <c r="I20" s="2"/>
      <c r="J20" s="2"/>
    </row>
    <row r="21" spans="1:10" x14ac:dyDescent="0.25">
      <c r="A21" s="2">
        <v>17</v>
      </c>
      <c r="B21" s="2"/>
      <c r="C21" s="2">
        <f>'JUNE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24400</v>
      </c>
      <c r="D23" s="1">
        <f>SUM(D5:D22)</f>
        <v>0</v>
      </c>
      <c r="E23" s="1">
        <f>SUM(E5:E22)</f>
        <v>19500</v>
      </c>
      <c r="F23" s="2">
        <f>C23+D23+E23</f>
        <v>43900</v>
      </c>
      <c r="G23" s="1">
        <f>SUM(G5:G22)</f>
        <v>13600</v>
      </c>
      <c r="H23" s="2">
        <f>F23-G23</f>
        <v>30300</v>
      </c>
      <c r="I23" s="1">
        <f>SUM(I5:I22)</f>
        <v>1300</v>
      </c>
      <c r="J23" s="1">
        <f>SUM(J5:J22)</f>
        <v>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H23-H12-H9-H15</f>
        <v>11800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99</v>
      </c>
      <c r="C27" s="13">
        <f>E23</f>
        <v>19500</v>
      </c>
      <c r="D27" s="12"/>
      <c r="E27" s="12"/>
      <c r="F27" s="12" t="s">
        <v>99</v>
      </c>
      <c r="G27" s="13">
        <f>G23</f>
        <v>13600</v>
      </c>
      <c r="H27" s="12"/>
      <c r="I27" s="12"/>
    </row>
    <row r="28" spans="1:10" x14ac:dyDescent="0.25">
      <c r="B28" s="12" t="s">
        <v>2</v>
      </c>
      <c r="C28" s="13">
        <f>'JUNE 20'!E45</f>
        <v>24916.5</v>
      </c>
      <c r="D28" s="12"/>
      <c r="E28" s="12"/>
      <c r="F28" s="12" t="s">
        <v>2</v>
      </c>
      <c r="G28" s="13">
        <f>'JUNE 20'!I45</f>
        <v>16.5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1300</v>
      </c>
      <c r="D31" s="2"/>
      <c r="E31" s="2"/>
      <c r="F31" s="20" t="s">
        <v>44</v>
      </c>
      <c r="G31" s="2">
        <f>C31</f>
        <v>1300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975</v>
      </c>
      <c r="E32" s="12"/>
      <c r="F32" s="12" t="s">
        <v>28</v>
      </c>
      <c r="G32" s="14">
        <v>0.05</v>
      </c>
      <c r="H32" s="13">
        <f>D32</f>
        <v>975</v>
      </c>
      <c r="I32" s="12"/>
    </row>
    <row r="33" spans="2:17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7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17" x14ac:dyDescent="0.25">
      <c r="B35" s="16" t="s">
        <v>123</v>
      </c>
      <c r="C35" s="2"/>
      <c r="D35" s="2">
        <v>1440</v>
      </c>
      <c r="E35" s="17"/>
      <c r="F35" s="16" t="s">
        <v>123</v>
      </c>
      <c r="G35" s="2"/>
      <c r="H35" s="2">
        <v>1440</v>
      </c>
      <c r="I35" s="12"/>
    </row>
    <row r="36" spans="2:17" x14ac:dyDescent="0.25">
      <c r="B36" s="2" t="s">
        <v>203</v>
      </c>
      <c r="D36" s="2">
        <v>10497</v>
      </c>
      <c r="E36" s="2"/>
      <c r="F36" s="2" t="s">
        <v>203</v>
      </c>
      <c r="H36" s="2">
        <v>10497</v>
      </c>
      <c r="I36" s="12"/>
    </row>
    <row r="37" spans="2:17" x14ac:dyDescent="0.25">
      <c r="B37" s="17" t="s">
        <v>205</v>
      </c>
      <c r="D37">
        <v>8000</v>
      </c>
      <c r="E37" s="12"/>
      <c r="F37" s="17"/>
      <c r="G37" s="12"/>
      <c r="H37" s="12"/>
      <c r="I37" s="12"/>
    </row>
    <row r="38" spans="2:17" x14ac:dyDescent="0.25">
      <c r="B38" s="17" t="s">
        <v>206</v>
      </c>
      <c r="C38" s="12"/>
      <c r="D38" s="12">
        <f>8000</f>
        <v>8000</v>
      </c>
      <c r="E38" s="12"/>
      <c r="F38" s="17"/>
      <c r="G38" s="12"/>
      <c r="H38" s="12"/>
      <c r="I38" s="12"/>
    </row>
    <row r="39" spans="2:17" x14ac:dyDescent="0.25">
      <c r="B39" s="17" t="s">
        <v>209</v>
      </c>
      <c r="C39" s="12"/>
      <c r="D39" s="12">
        <f>2500</f>
        <v>2500</v>
      </c>
      <c r="E39" s="12"/>
      <c r="F39" s="17"/>
      <c r="G39" s="12"/>
      <c r="H39" s="12"/>
      <c r="I39" s="12"/>
      <c r="Q39" s="30">
        <v>80</v>
      </c>
    </row>
    <row r="40" spans="2:17" x14ac:dyDescent="0.25">
      <c r="B40" s="17"/>
      <c r="C40" s="12"/>
      <c r="D40" s="12"/>
      <c r="E40" s="12"/>
      <c r="F40" s="17"/>
      <c r="G40" s="12"/>
      <c r="H40" s="12"/>
      <c r="I40" s="12"/>
    </row>
    <row r="41" spans="2:17" x14ac:dyDescent="0.25">
      <c r="B41" s="17"/>
      <c r="C41" s="12"/>
      <c r="D41" s="12"/>
      <c r="E41" s="12"/>
      <c r="F41" s="17"/>
      <c r="G41" s="12"/>
      <c r="H41" s="12"/>
      <c r="I41" s="12"/>
    </row>
    <row r="42" spans="2:17" x14ac:dyDescent="0.25">
      <c r="B42" s="16"/>
      <c r="C42" s="2"/>
      <c r="D42" s="2"/>
      <c r="E42" s="17"/>
      <c r="F42" s="16"/>
      <c r="G42" s="2"/>
      <c r="H42" s="2"/>
      <c r="I42" s="12"/>
    </row>
    <row r="43" spans="2:17" x14ac:dyDescent="0.25">
      <c r="B43" s="17"/>
      <c r="C43" s="12"/>
      <c r="D43" s="12"/>
      <c r="E43" s="12"/>
      <c r="F43" s="17"/>
      <c r="G43" s="12"/>
      <c r="H43" s="12"/>
      <c r="I43" s="12"/>
      <c r="J43" s="27"/>
    </row>
    <row r="44" spans="2:17" x14ac:dyDescent="0.25">
      <c r="B44" s="17"/>
      <c r="C44" s="12"/>
      <c r="D44" s="12"/>
      <c r="E44" s="12"/>
      <c r="F44" s="17"/>
      <c r="G44" s="12"/>
      <c r="H44" s="12"/>
      <c r="I44" s="12"/>
    </row>
    <row r="45" spans="2:17" x14ac:dyDescent="0.25">
      <c r="B45" s="25" t="s">
        <v>54</v>
      </c>
      <c r="C45" s="24">
        <f>C27+C28+C29+C30+C31-D32</f>
        <v>44741.5</v>
      </c>
      <c r="D45" s="26">
        <f>SUM(D34:D44)</f>
        <v>30437</v>
      </c>
      <c r="E45" s="24">
        <f>C45-D45</f>
        <v>14304.5</v>
      </c>
      <c r="F45" s="25" t="s">
        <v>54</v>
      </c>
      <c r="G45" s="24">
        <f>G27+G28+G29+G30+G31-H32</f>
        <v>13941.5</v>
      </c>
      <c r="H45" s="24">
        <f>SUM(H34:H44)</f>
        <v>11937</v>
      </c>
      <c r="I45" s="24">
        <f>G45-H45</f>
        <v>2004.5</v>
      </c>
    </row>
    <row r="46" spans="2:17" x14ac:dyDescent="0.25">
      <c r="B46" t="s">
        <v>31</v>
      </c>
      <c r="D46" t="s">
        <v>32</v>
      </c>
      <c r="G46" t="s">
        <v>33</v>
      </c>
    </row>
    <row r="47" spans="2:17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" workbookViewId="0">
      <selection sqref="A1:J43"/>
    </sheetView>
  </sheetViews>
  <sheetFormatPr defaultRowHeight="15" x14ac:dyDescent="0.25"/>
  <cols>
    <col min="1" max="1" width="5.140625" customWidth="1"/>
    <col min="2" max="2" width="18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207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>
        <f>'JULY 20'!H5:H23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'JULY 20'!H6:H24</f>
        <v>5000</v>
      </c>
      <c r="D6" s="2"/>
      <c r="E6" s="2">
        <v>2000</v>
      </c>
      <c r="F6" s="2">
        <f t="shared" ref="F6:F22" si="0">C6+D6+E6</f>
        <v>7000</v>
      </c>
      <c r="G6" s="2"/>
      <c r="H6" s="2">
        <f t="shared" ref="H6:H22" si="1">F6-G6</f>
        <v>7000</v>
      </c>
      <c r="I6" s="2"/>
      <c r="J6" s="2"/>
    </row>
    <row r="7" spans="1:10" x14ac:dyDescent="0.25">
      <c r="A7" s="2">
        <v>3</v>
      </c>
      <c r="B7" s="2"/>
      <c r="C7" s="2">
        <f>'JULY 20'!H7:H25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'JULY 20'!H8:H26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250</v>
      </c>
      <c r="J8" s="2"/>
    </row>
    <row r="9" spans="1:10" x14ac:dyDescent="0.25">
      <c r="A9" s="2">
        <v>5</v>
      </c>
      <c r="B9" s="15" t="s">
        <v>178</v>
      </c>
      <c r="C9" s="2"/>
      <c r="D9" s="2"/>
      <c r="E9" s="2"/>
      <c r="F9" s="2">
        <f t="shared" si="0"/>
        <v>0</v>
      </c>
      <c r="G9" s="2"/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'JULY 20'!H10:H28</f>
        <v>2500</v>
      </c>
      <c r="D10" s="2"/>
      <c r="E10" s="2">
        <v>2500</v>
      </c>
      <c r="F10" s="2">
        <f t="shared" si="0"/>
        <v>5000</v>
      </c>
      <c r="G10" s="2">
        <v>5000</v>
      </c>
      <c r="H10" s="2">
        <f>F10-G10</f>
        <v>0</v>
      </c>
      <c r="I10" s="2">
        <v>500</v>
      </c>
      <c r="J10" s="2"/>
    </row>
    <row r="11" spans="1:10" x14ac:dyDescent="0.25">
      <c r="A11" s="2">
        <v>7</v>
      </c>
      <c r="B11" s="2" t="s">
        <v>178</v>
      </c>
      <c r="C11" s="2">
        <f>'JULY 20'!H11:H29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178</v>
      </c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/>
      <c r="C13" s="2">
        <f>'JULY 20'!H13:H31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'JULY 20'!H14:H32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/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'JULY 20'!H16:H34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211</v>
      </c>
      <c r="C17" s="2">
        <f>'JULY 20'!H17:H35</f>
        <v>0</v>
      </c>
      <c r="D17" s="2"/>
      <c r="E17" s="2">
        <v>1000</v>
      </c>
      <c r="F17" s="2">
        <f>C17+D17+E17</f>
        <v>1000</v>
      </c>
      <c r="G17" s="2">
        <v>1000</v>
      </c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'JULY 20'!H18:H36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'JULY 20'!H19:H37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159</v>
      </c>
      <c r="C20" s="2">
        <f>'JULY 20'!H20:H38</f>
        <v>300</v>
      </c>
      <c r="D20" s="2"/>
      <c r="E20" s="2">
        <v>2000</v>
      </c>
      <c r="F20" s="2">
        <f t="shared" si="0"/>
        <v>2300</v>
      </c>
      <c r="G20" s="2">
        <v>2000</v>
      </c>
      <c r="H20" s="2">
        <f t="shared" si="1"/>
        <v>300</v>
      </c>
      <c r="I20" s="2">
        <v>100</v>
      </c>
      <c r="J20" s="2"/>
    </row>
    <row r="21" spans="1:10" x14ac:dyDescent="0.25">
      <c r="A21" s="2">
        <v>17</v>
      </c>
      <c r="B21" s="2"/>
      <c r="C21" s="2">
        <f>'JULY 20'!H21:H39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'JULY 20'!H22:H40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11800</v>
      </c>
      <c r="D23" s="1">
        <f>SUM(D5:D22)</f>
        <v>0</v>
      </c>
      <c r="E23" s="1">
        <f>SUM(E5:E22)</f>
        <v>12000</v>
      </c>
      <c r="F23" s="2">
        <f>C23+D23+E23</f>
        <v>23800</v>
      </c>
      <c r="G23" s="1">
        <f>SUM(G5:G22)</f>
        <v>12500</v>
      </c>
      <c r="H23" s="2">
        <f>SUM(H5:H22)</f>
        <v>11300</v>
      </c>
      <c r="I23" s="1">
        <f>SUM(I5:I22)</f>
        <v>1150</v>
      </c>
      <c r="J23" s="1">
        <f>SUM(J5:J22)</f>
        <v>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/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114</v>
      </c>
      <c r="C27" s="13">
        <f>E23</f>
        <v>12000</v>
      </c>
      <c r="D27" s="12"/>
      <c r="E27" s="12"/>
      <c r="F27" s="12" t="s">
        <v>114</v>
      </c>
      <c r="G27" s="13">
        <f>G23</f>
        <v>12500</v>
      </c>
      <c r="H27" s="12"/>
      <c r="I27" s="12"/>
    </row>
    <row r="28" spans="1:10" x14ac:dyDescent="0.25">
      <c r="B28" s="12" t="s">
        <v>2</v>
      </c>
      <c r="C28" s="13">
        <f>'JULY 20'!E45</f>
        <v>14304.5</v>
      </c>
      <c r="D28" s="12"/>
      <c r="E28" s="12"/>
      <c r="F28" s="12" t="s">
        <v>2</v>
      </c>
      <c r="G28" s="13">
        <f>'JULY 20'!I45</f>
        <v>2004.5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1150</v>
      </c>
      <c r="D31" s="2"/>
      <c r="E31" s="2"/>
      <c r="F31" s="20" t="s">
        <v>44</v>
      </c>
      <c r="G31" s="2">
        <f>C31</f>
        <v>1150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600</v>
      </c>
      <c r="E32" s="12"/>
      <c r="F32" s="12" t="s">
        <v>28</v>
      </c>
      <c r="G32" s="14">
        <v>0.05</v>
      </c>
      <c r="H32" s="13">
        <f>D32</f>
        <v>600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11" x14ac:dyDescent="0.25">
      <c r="B35" s="16" t="s">
        <v>123</v>
      </c>
      <c r="C35" s="2"/>
      <c r="D35" s="2">
        <v>2160</v>
      </c>
      <c r="E35" s="17"/>
      <c r="F35" s="16" t="s">
        <v>123</v>
      </c>
      <c r="G35" s="2"/>
      <c r="H35" s="2">
        <v>2160</v>
      </c>
      <c r="I35" s="12"/>
    </row>
    <row r="36" spans="2:11" x14ac:dyDescent="0.25">
      <c r="B36" s="2" t="s">
        <v>210</v>
      </c>
      <c r="D36" s="2">
        <v>7077</v>
      </c>
      <c r="E36" s="2"/>
      <c r="F36" s="2" t="s">
        <v>210</v>
      </c>
      <c r="H36" s="2">
        <v>7077</v>
      </c>
      <c r="I36" s="12"/>
    </row>
    <row r="37" spans="2:11" x14ac:dyDescent="0.25">
      <c r="B37" s="17"/>
      <c r="E37" s="12"/>
      <c r="F37" s="17"/>
      <c r="G37" s="12"/>
      <c r="H37" s="12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25" t="s">
        <v>54</v>
      </c>
      <c r="C40" s="24">
        <f>C27+C28+C29+C30+C31-D32</f>
        <v>26854.5</v>
      </c>
      <c r="D40" s="26">
        <f>SUM(D34:D39)</f>
        <v>9237</v>
      </c>
      <c r="E40" s="24">
        <f>C40-D40</f>
        <v>17617.5</v>
      </c>
      <c r="F40" s="25" t="s">
        <v>54</v>
      </c>
      <c r="G40" s="24">
        <f>G27+G28+G29+G30+G31-H32</f>
        <v>15054.5</v>
      </c>
      <c r="H40" s="24">
        <f>SUM(H34:H39)</f>
        <v>9237</v>
      </c>
      <c r="I40" s="24">
        <f>G40-H40</f>
        <v>5817.5</v>
      </c>
      <c r="K40" s="27">
        <f>E40-I40</f>
        <v>11800</v>
      </c>
    </row>
    <row r="41" spans="2:11" x14ac:dyDescent="0.25">
      <c r="B41" t="s">
        <v>31</v>
      </c>
      <c r="D41" t="s">
        <v>32</v>
      </c>
      <c r="G41" t="s">
        <v>33</v>
      </c>
    </row>
    <row r="42" spans="2:11" x14ac:dyDescent="0.25">
      <c r="B42" t="s">
        <v>134</v>
      </c>
      <c r="D42" t="s">
        <v>35</v>
      </c>
      <c r="G42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7" workbookViewId="0">
      <selection sqref="A1:I50"/>
    </sheetView>
  </sheetViews>
  <sheetFormatPr defaultRowHeight="15" x14ac:dyDescent="0.25"/>
  <cols>
    <col min="1" max="1" width="3.85546875" customWidth="1"/>
    <col min="2" max="2" width="19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212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>
        <f>'AUGUST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'AUGUST 20'!H6:H23</f>
        <v>7000</v>
      </c>
      <c r="D6" s="2"/>
      <c r="E6" s="2">
        <v>2000</v>
      </c>
      <c r="F6" s="2">
        <f t="shared" ref="F6:F22" si="0">C6+D6+E6</f>
        <v>9000</v>
      </c>
      <c r="G6" s="2"/>
      <c r="H6" s="2">
        <f>F6-G6</f>
        <v>9000</v>
      </c>
      <c r="I6" s="2"/>
      <c r="J6" s="2"/>
    </row>
    <row r="7" spans="1:10" x14ac:dyDescent="0.25">
      <c r="A7" s="2">
        <v>3</v>
      </c>
      <c r="B7" s="2"/>
      <c r="C7" s="2">
        <f>'AUGUST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'AUGUST 20'!H8:H25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250</v>
      </c>
      <c r="J8" s="2"/>
    </row>
    <row r="9" spans="1:10" x14ac:dyDescent="0.25">
      <c r="A9" s="2">
        <v>5</v>
      </c>
      <c r="B9" s="15" t="s">
        <v>178</v>
      </c>
      <c r="C9" s="2">
        <f>'AUGUST 20'!H9:H26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'AUGUST 20'!H10:H27</f>
        <v>0</v>
      </c>
      <c r="D10" s="2"/>
      <c r="E10" s="2">
        <v>2500</v>
      </c>
      <c r="F10" s="2">
        <f t="shared" si="0"/>
        <v>2500</v>
      </c>
      <c r="G10" s="2">
        <f>2000</f>
        <v>2000</v>
      </c>
      <c r="H10" s="2">
        <f>F10-G10</f>
        <v>500</v>
      </c>
      <c r="I10" s="2"/>
      <c r="J10" s="2"/>
    </row>
    <row r="11" spans="1:10" x14ac:dyDescent="0.25">
      <c r="A11" s="2">
        <v>7</v>
      </c>
      <c r="B11" s="2" t="s">
        <v>178</v>
      </c>
      <c r="C11" s="2">
        <f>'AUGUST 20'!H11:H28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'AUGUST 20'!H12:H29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/>
      <c r="C13" s="2">
        <f>'AUGUST 20'!H13:H30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'AUGUST 20'!H14:H31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'AUGUST 20'!H15:H32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'AUGUST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6" x14ac:dyDescent="0.25">
      <c r="A17" s="2">
        <v>13</v>
      </c>
      <c r="B17" s="2" t="s">
        <v>216</v>
      </c>
      <c r="C17" s="2"/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250</v>
      </c>
      <c r="J17" s="2">
        <v>50</v>
      </c>
    </row>
    <row r="18" spans="1:16" x14ac:dyDescent="0.25">
      <c r="A18" s="2">
        <v>14</v>
      </c>
      <c r="B18" s="32" t="s">
        <v>214</v>
      </c>
      <c r="C18" s="2">
        <f>'AUGUST 20'!H18:H35</f>
        <v>0</v>
      </c>
      <c r="D18" s="2"/>
      <c r="E18" s="2">
        <v>1800</v>
      </c>
      <c r="F18" s="2">
        <f t="shared" si="0"/>
        <v>1800</v>
      </c>
      <c r="G18" s="2">
        <v>1800</v>
      </c>
      <c r="H18" s="2">
        <f t="shared" si="1"/>
        <v>0</v>
      </c>
      <c r="I18" s="2"/>
      <c r="J18" s="2"/>
    </row>
    <row r="19" spans="1:16" x14ac:dyDescent="0.25">
      <c r="A19" s="2">
        <v>15</v>
      </c>
      <c r="B19" s="2" t="s">
        <v>163</v>
      </c>
      <c r="C19" s="2">
        <f>'AUGUST 20'!H19:H36</f>
        <v>4000</v>
      </c>
      <c r="D19" s="2"/>
      <c r="E19" s="2">
        <v>2000</v>
      </c>
      <c r="F19" s="2">
        <f t="shared" si="0"/>
        <v>6000</v>
      </c>
      <c r="G19" s="2">
        <f>2000</f>
        <v>2000</v>
      </c>
      <c r="H19" s="2">
        <f>F19-G19</f>
        <v>4000</v>
      </c>
      <c r="I19" s="2">
        <v>300</v>
      </c>
      <c r="J19" s="2"/>
    </row>
    <row r="20" spans="1:16" x14ac:dyDescent="0.25">
      <c r="A20" s="2">
        <v>16</v>
      </c>
      <c r="B20" s="15" t="s">
        <v>159</v>
      </c>
      <c r="C20" s="2">
        <f>'AUGUST 20'!H20:H37</f>
        <v>300</v>
      </c>
      <c r="D20" s="2"/>
      <c r="E20" s="2">
        <v>2000</v>
      </c>
      <c r="F20" s="2">
        <f t="shared" si="0"/>
        <v>2300</v>
      </c>
      <c r="G20" s="2">
        <f>2000</f>
        <v>2000</v>
      </c>
      <c r="H20" s="2"/>
      <c r="I20" s="2">
        <v>100</v>
      </c>
      <c r="J20" s="2"/>
    </row>
    <row r="21" spans="1:16" x14ac:dyDescent="0.25">
      <c r="A21" s="2">
        <v>17</v>
      </c>
      <c r="B21" s="2"/>
      <c r="C21" s="2">
        <f>'AUGUST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6" x14ac:dyDescent="0.25">
      <c r="A22" s="2">
        <v>18</v>
      </c>
      <c r="B22" s="2"/>
      <c r="C22" s="2">
        <f>'AUGUST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6" x14ac:dyDescent="0.25">
      <c r="A23" s="1"/>
      <c r="B23" s="1" t="s">
        <v>46</v>
      </c>
      <c r="C23" s="2">
        <f>'AUGUST 20'!H23:H39</f>
        <v>11300</v>
      </c>
      <c r="D23" s="1">
        <f t="shared" ref="D23:J23" si="2">SUM(D5:D22)</f>
        <v>0</v>
      </c>
      <c r="E23" s="1">
        <f t="shared" si="2"/>
        <v>17300</v>
      </c>
      <c r="F23" s="2">
        <f t="shared" si="2"/>
        <v>28600</v>
      </c>
      <c r="G23" s="1">
        <f t="shared" si="2"/>
        <v>14800</v>
      </c>
      <c r="H23" s="2">
        <f t="shared" si="2"/>
        <v>13500</v>
      </c>
      <c r="I23" s="1">
        <f t="shared" si="2"/>
        <v>1000</v>
      </c>
      <c r="J23" s="1">
        <f t="shared" si="2"/>
        <v>50</v>
      </c>
    </row>
    <row r="24" spans="1:16" x14ac:dyDescent="0.25">
      <c r="B24" s="4" t="s">
        <v>20</v>
      </c>
      <c r="C24" s="2"/>
      <c r="D24" s="6"/>
      <c r="E24" s="7"/>
      <c r="F24" s="8"/>
      <c r="G24" s="9"/>
      <c r="H24" s="8"/>
    </row>
    <row r="25" spans="1:16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6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6" x14ac:dyDescent="0.25">
      <c r="B27" s="12" t="s">
        <v>213</v>
      </c>
      <c r="C27" s="13">
        <f>E23</f>
        <v>17300</v>
      </c>
      <c r="D27" s="12"/>
      <c r="E27" s="12"/>
      <c r="F27" s="12" t="s">
        <v>213</v>
      </c>
      <c r="G27" s="13">
        <f>G23</f>
        <v>14800</v>
      </c>
      <c r="H27" s="12"/>
      <c r="I27" s="12"/>
    </row>
    <row r="28" spans="1:16" x14ac:dyDescent="0.25">
      <c r="B28" s="12" t="s">
        <v>2</v>
      </c>
      <c r="C28" s="13">
        <f>'AUGUST 20'!E40</f>
        <v>17617.5</v>
      </c>
      <c r="D28" s="12"/>
      <c r="E28" s="12"/>
      <c r="F28" s="12" t="s">
        <v>2</v>
      </c>
      <c r="G28" s="13">
        <f>'AUGUST 20'!I40</f>
        <v>5817.5</v>
      </c>
      <c r="H28" s="12"/>
      <c r="I28" s="12"/>
    </row>
    <row r="29" spans="1:16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6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6" x14ac:dyDescent="0.25">
      <c r="B31" s="20" t="s">
        <v>44</v>
      </c>
      <c r="C31" s="2">
        <f>I23</f>
        <v>1000</v>
      </c>
      <c r="D31" s="2"/>
      <c r="E31" s="2"/>
      <c r="F31" s="20" t="s">
        <v>44</v>
      </c>
      <c r="G31" s="2">
        <f>C31</f>
        <v>1000</v>
      </c>
      <c r="H31" s="12"/>
      <c r="I31" s="12"/>
    </row>
    <row r="32" spans="1:16" x14ac:dyDescent="0.25">
      <c r="B32" s="12" t="s">
        <v>28</v>
      </c>
      <c r="C32" s="14">
        <v>0.05</v>
      </c>
      <c r="D32" s="13">
        <f>C32*C27</f>
        <v>865</v>
      </c>
      <c r="E32" s="12"/>
      <c r="F32" s="12" t="s">
        <v>28</v>
      </c>
      <c r="G32" s="14">
        <v>0.05</v>
      </c>
      <c r="H32" s="13">
        <f>D32</f>
        <v>865</v>
      </c>
      <c r="I32" s="12"/>
      <c r="P32">
        <f>2500/30</f>
        <v>83.333333333333329</v>
      </c>
    </row>
    <row r="33" spans="2:16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  <c r="P33">
        <f>P32*8</f>
        <v>666.66666666666663</v>
      </c>
    </row>
    <row r="34" spans="2:16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6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6" x14ac:dyDescent="0.25">
      <c r="D36" s="2"/>
      <c r="E36" s="2"/>
      <c r="F36" s="2"/>
      <c r="H36" s="2"/>
      <c r="I36" s="12"/>
    </row>
    <row r="37" spans="2:16" x14ac:dyDescent="0.25">
      <c r="B37" s="17" t="s">
        <v>219</v>
      </c>
      <c r="D37">
        <v>17502</v>
      </c>
      <c r="E37" s="12"/>
      <c r="F37" s="17" t="s">
        <v>219</v>
      </c>
      <c r="H37">
        <v>17502</v>
      </c>
      <c r="I37" s="12"/>
    </row>
    <row r="38" spans="2:16" x14ac:dyDescent="0.25">
      <c r="B38" s="17" t="s">
        <v>220</v>
      </c>
      <c r="C38" s="12"/>
      <c r="D38" s="12">
        <v>300</v>
      </c>
      <c r="E38" s="12"/>
      <c r="F38" s="17"/>
      <c r="G38" s="12"/>
      <c r="H38" s="12"/>
      <c r="I38" s="12"/>
    </row>
    <row r="39" spans="2:16" x14ac:dyDescent="0.25">
      <c r="B39" s="17"/>
      <c r="C39" s="12"/>
      <c r="D39" s="12"/>
      <c r="E39" s="12"/>
      <c r="F39" s="17"/>
      <c r="G39" s="12"/>
      <c r="H39" s="12"/>
      <c r="I39" s="12"/>
    </row>
    <row r="40" spans="2:16" x14ac:dyDescent="0.25">
      <c r="B40" s="17"/>
      <c r="C40" s="12"/>
      <c r="D40" s="12"/>
      <c r="E40" s="12"/>
      <c r="F40" s="17"/>
      <c r="G40" s="12"/>
      <c r="H40" s="12"/>
      <c r="I40" s="12"/>
    </row>
    <row r="41" spans="2:16" x14ac:dyDescent="0.25">
      <c r="B41" s="17"/>
      <c r="C41" s="12"/>
      <c r="D41" s="12"/>
      <c r="E41" s="12"/>
      <c r="F41" s="17"/>
      <c r="G41" s="12"/>
      <c r="H41" s="12"/>
      <c r="I41" s="12"/>
    </row>
    <row r="42" spans="2:16" x14ac:dyDescent="0.25">
      <c r="B42" s="16"/>
      <c r="C42" s="2"/>
      <c r="D42" s="2"/>
      <c r="E42" s="17"/>
      <c r="F42" s="16"/>
      <c r="G42" s="2"/>
      <c r="H42" s="2"/>
      <c r="I42" s="12"/>
    </row>
    <row r="43" spans="2:16" x14ac:dyDescent="0.25">
      <c r="B43" s="17"/>
      <c r="C43" s="12"/>
      <c r="D43" s="12"/>
      <c r="E43" s="12"/>
      <c r="F43" s="17"/>
      <c r="G43" s="12"/>
      <c r="H43" s="12"/>
      <c r="I43" s="12"/>
    </row>
    <row r="44" spans="2:16" x14ac:dyDescent="0.25">
      <c r="B44" s="17"/>
      <c r="C44" s="12"/>
      <c r="D44" s="12"/>
      <c r="E44" s="12"/>
      <c r="F44" s="17"/>
      <c r="G44" s="12"/>
      <c r="H44" s="12"/>
      <c r="I44" s="12"/>
    </row>
    <row r="45" spans="2:16" x14ac:dyDescent="0.25">
      <c r="B45" s="25" t="s">
        <v>54</v>
      </c>
      <c r="C45" s="24">
        <f>C27+C28+C29+C30+C31-D32</f>
        <v>35052.5</v>
      </c>
      <c r="D45" s="26">
        <f>SUM(D34:D44)</f>
        <v>20892</v>
      </c>
      <c r="E45" s="24">
        <f>C45-D45</f>
        <v>14160.5</v>
      </c>
      <c r="F45" s="25" t="s">
        <v>54</v>
      </c>
      <c r="G45" s="24">
        <f>G27+G28+G29+G30+G31-H32</f>
        <v>20752.5</v>
      </c>
      <c r="H45" s="24">
        <f>SUM(H34:H44)</f>
        <v>20592</v>
      </c>
      <c r="I45" s="24">
        <f>G45-H45</f>
        <v>160.5</v>
      </c>
      <c r="J45" s="27"/>
    </row>
    <row r="46" spans="2:16" x14ac:dyDescent="0.25">
      <c r="B46" t="s">
        <v>31</v>
      </c>
      <c r="D46" t="s">
        <v>32</v>
      </c>
      <c r="G46" t="s">
        <v>33</v>
      </c>
      <c r="J46" s="27"/>
    </row>
    <row r="47" spans="2:16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sqref="A1:K49"/>
    </sheetView>
  </sheetViews>
  <sheetFormatPr defaultRowHeight="15" x14ac:dyDescent="0.25"/>
  <cols>
    <col min="1" max="1" width="4" customWidth="1"/>
    <col min="2" max="2" width="18.140625" customWidth="1"/>
    <col min="11" max="11" width="10" bestFit="1" customWidth="1"/>
    <col min="14" max="14" width="10" bestFit="1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217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1" x14ac:dyDescent="0.25">
      <c r="A5" s="2">
        <v>1</v>
      </c>
      <c r="B5" s="2"/>
      <c r="C5" s="2">
        <f>SEPTEMBER20!H5:H22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SEPTEMBER20!H6:H23</f>
        <v>9000</v>
      </c>
      <c r="D6" s="2"/>
      <c r="E6" s="2">
        <v>2000</v>
      </c>
      <c r="F6" s="2">
        <f t="shared" ref="F6:F22" si="0">C6+D6+E6</f>
        <v>11000</v>
      </c>
      <c r="G6" s="2"/>
      <c r="H6" s="2"/>
      <c r="I6" s="2"/>
      <c r="J6" s="2"/>
      <c r="K6" t="s">
        <v>149</v>
      </c>
    </row>
    <row r="7" spans="1:11" x14ac:dyDescent="0.25">
      <c r="A7" s="2">
        <v>3</v>
      </c>
      <c r="B7" s="2"/>
      <c r="C7" s="2">
        <f>SEPTEMBER20!H7:H24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167</v>
      </c>
      <c r="C8" s="2">
        <f>SEPTEMBER20!H8:H25</f>
        <v>0</v>
      </c>
      <c r="D8" s="2"/>
      <c r="E8" s="2">
        <v>2500</v>
      </c>
      <c r="F8" s="2">
        <f t="shared" si="0"/>
        <v>2500</v>
      </c>
      <c r="G8" s="2">
        <f>2500</f>
        <v>2500</v>
      </c>
      <c r="H8" s="2">
        <f>F8-G8</f>
        <v>0</v>
      </c>
      <c r="I8" s="2">
        <v>100</v>
      </c>
      <c r="J8" s="2"/>
    </row>
    <row r="9" spans="1:11" x14ac:dyDescent="0.25">
      <c r="A9" s="2">
        <v>5</v>
      </c>
      <c r="B9" s="15" t="s">
        <v>178</v>
      </c>
      <c r="C9" s="2">
        <f>SEPTEMBER20!H9:H26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1" x14ac:dyDescent="0.25">
      <c r="A10" s="2">
        <v>6</v>
      </c>
      <c r="B10" s="2" t="s">
        <v>37</v>
      </c>
      <c r="C10" s="2">
        <f>SEPTEMBER20!H10:H27</f>
        <v>500</v>
      </c>
      <c r="D10" s="2"/>
      <c r="E10" s="2">
        <v>2500</v>
      </c>
      <c r="F10" s="2">
        <f t="shared" si="0"/>
        <v>3000</v>
      </c>
      <c r="G10" s="2">
        <v>3000</v>
      </c>
      <c r="H10" s="2">
        <f>F10-G10</f>
        <v>0</v>
      </c>
      <c r="I10" s="2">
        <v>250</v>
      </c>
      <c r="J10" s="2"/>
    </row>
    <row r="11" spans="1:11" x14ac:dyDescent="0.25">
      <c r="A11" s="2">
        <v>7</v>
      </c>
      <c r="B11" s="2" t="s">
        <v>178</v>
      </c>
      <c r="C11" s="2">
        <f>SEPTEMBER20!H11:H28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215</v>
      </c>
      <c r="C12" s="2">
        <f>SEPTEMBER20!H12:H29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1" x14ac:dyDescent="0.25">
      <c r="A13" s="2">
        <v>9</v>
      </c>
      <c r="B13" s="2"/>
      <c r="C13" s="2">
        <f>SEPTEMBER20!H13:H30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1" x14ac:dyDescent="0.25">
      <c r="A14" s="2">
        <v>10</v>
      </c>
      <c r="B14" s="2" t="s">
        <v>178</v>
      </c>
      <c r="C14" s="2">
        <f>SEPTEMBER20!H14:H31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/>
      <c r="C15" s="2">
        <f>SEPTEMBER20!H15:H32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1" x14ac:dyDescent="0.25">
      <c r="A16" s="2">
        <v>12</v>
      </c>
      <c r="B16" s="2" t="s">
        <v>178</v>
      </c>
      <c r="C16" s="2">
        <f>SEPTEMBER20!H16:H33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216</v>
      </c>
      <c r="C17" s="2">
        <f>SEPTEMBER20!H17:H34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214</v>
      </c>
      <c r="C18" s="2">
        <f>SEPTEMBER20!H18:H35</f>
        <v>0</v>
      </c>
      <c r="D18" s="2"/>
      <c r="E18" s="2">
        <v>1800</v>
      </c>
      <c r="F18" s="2">
        <f t="shared" si="0"/>
        <v>1800</v>
      </c>
      <c r="G18" s="2">
        <f>1800</f>
        <v>1800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SEPTEMBER20!H19:H36</f>
        <v>4000</v>
      </c>
      <c r="D19" s="2"/>
      <c r="E19" s="2">
        <v>2000</v>
      </c>
      <c r="F19" s="2">
        <f t="shared" si="0"/>
        <v>6000</v>
      </c>
      <c r="G19" s="2">
        <f>2000</f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178</v>
      </c>
      <c r="C20" s="2"/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SEPTEMBER20!H21:H38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SEPTEMBER20!H22:H39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13500</v>
      </c>
      <c r="D23" s="1">
        <f>SUM(D5:D22)</f>
        <v>0</v>
      </c>
      <c r="E23" s="1">
        <f>SUM(E5:E22)</f>
        <v>13300</v>
      </c>
      <c r="F23" s="2">
        <f>C23+D23+E23</f>
        <v>26800</v>
      </c>
      <c r="G23" s="1">
        <f>SUM(G5:G22)</f>
        <v>11800</v>
      </c>
      <c r="H23" s="2">
        <f>SUM(H5:H22)</f>
        <v>4000</v>
      </c>
      <c r="I23" s="1">
        <f>SUM(I5:I22)</f>
        <v>850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218</v>
      </c>
      <c r="C27" s="13">
        <f>E23</f>
        <v>13300</v>
      </c>
      <c r="D27" s="12"/>
      <c r="E27" s="12"/>
      <c r="F27" s="12" t="s">
        <v>218</v>
      </c>
      <c r="G27" s="13">
        <f>G23</f>
        <v>11800</v>
      </c>
      <c r="H27" s="12"/>
      <c r="I27" s="12"/>
    </row>
    <row r="28" spans="1:10" x14ac:dyDescent="0.25">
      <c r="B28" s="12" t="s">
        <v>2</v>
      </c>
      <c r="C28" s="13">
        <f>SEPTEMBER20!E45</f>
        <v>14160.5</v>
      </c>
      <c r="D28" s="12"/>
      <c r="E28" s="12"/>
      <c r="F28" s="12" t="s">
        <v>2</v>
      </c>
      <c r="G28" s="13">
        <f>SEPTEMBER20!I45</f>
        <v>160.5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850</v>
      </c>
      <c r="D31" s="2"/>
      <c r="E31" s="2"/>
      <c r="F31" s="20" t="s">
        <v>44</v>
      </c>
      <c r="G31" s="2">
        <f>C31</f>
        <v>850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665</v>
      </c>
      <c r="E32" s="12"/>
      <c r="F32" s="12" t="s">
        <v>28</v>
      </c>
      <c r="G32" s="14">
        <v>0.05</v>
      </c>
      <c r="H32" s="13">
        <f>D32</f>
        <v>665</v>
      </c>
      <c r="I32" s="12"/>
    </row>
    <row r="33" spans="2:14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4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4" x14ac:dyDescent="0.25">
      <c r="B35" s="16" t="s">
        <v>123</v>
      </c>
      <c r="C35" s="2"/>
      <c r="D35" s="2">
        <v>2040</v>
      </c>
      <c r="E35" s="17"/>
      <c r="F35" s="16" t="s">
        <v>123</v>
      </c>
      <c r="G35" s="2"/>
      <c r="H35" s="2">
        <v>2040</v>
      </c>
      <c r="I35" s="12"/>
    </row>
    <row r="36" spans="2:14" x14ac:dyDescent="0.25">
      <c r="B36" t="s">
        <v>223</v>
      </c>
      <c r="D36" s="2">
        <v>8787</v>
      </c>
      <c r="E36" s="2"/>
      <c r="F36" t="s">
        <v>223</v>
      </c>
      <c r="H36" s="2">
        <v>8787</v>
      </c>
      <c r="I36" s="12"/>
    </row>
    <row r="37" spans="2:14" x14ac:dyDescent="0.25">
      <c r="B37" s="17" t="s">
        <v>225</v>
      </c>
      <c r="D37">
        <f>11000</f>
        <v>11000</v>
      </c>
      <c r="E37" s="12"/>
      <c r="F37" s="17"/>
      <c r="G37" s="12"/>
      <c r="H37" s="2"/>
      <c r="I37" s="12"/>
    </row>
    <row r="38" spans="2:14" x14ac:dyDescent="0.25">
      <c r="B38" s="17"/>
      <c r="C38" s="12"/>
      <c r="D38" s="12"/>
      <c r="E38" s="12"/>
      <c r="F38" s="17"/>
      <c r="G38" s="12"/>
      <c r="H38" s="12"/>
      <c r="I38" s="12"/>
    </row>
    <row r="39" spans="2:14" x14ac:dyDescent="0.25">
      <c r="B39" s="17"/>
      <c r="C39" s="12"/>
      <c r="D39" s="12"/>
      <c r="E39" s="12"/>
      <c r="F39" s="17"/>
      <c r="G39" s="12"/>
      <c r="H39" s="12"/>
      <c r="I39" s="12"/>
    </row>
    <row r="40" spans="2:14" x14ac:dyDescent="0.25">
      <c r="B40" s="17"/>
      <c r="C40" s="12"/>
      <c r="D40" s="12"/>
      <c r="E40" s="12"/>
      <c r="F40" s="17"/>
      <c r="G40" s="12"/>
      <c r="H40" s="12"/>
      <c r="I40" s="12"/>
    </row>
    <row r="41" spans="2:14" x14ac:dyDescent="0.25">
      <c r="B41" s="17"/>
      <c r="C41" s="12"/>
      <c r="D41" s="12"/>
      <c r="E41" s="12"/>
      <c r="F41" s="17"/>
      <c r="G41" s="12"/>
      <c r="H41" s="12"/>
      <c r="I41" s="12"/>
      <c r="K41" s="27"/>
      <c r="N41">
        <v>722277449</v>
      </c>
    </row>
    <row r="42" spans="2:14" x14ac:dyDescent="0.25">
      <c r="B42" s="16"/>
      <c r="C42" s="2"/>
      <c r="D42" s="2"/>
      <c r="E42" s="17"/>
      <c r="F42" s="16"/>
      <c r="G42" s="2"/>
      <c r="H42" s="2"/>
      <c r="I42" s="12"/>
    </row>
    <row r="43" spans="2:14" x14ac:dyDescent="0.25">
      <c r="B43" s="17"/>
      <c r="C43" s="12"/>
      <c r="D43" s="12"/>
      <c r="E43" s="12"/>
      <c r="F43" s="17"/>
      <c r="G43" s="12"/>
      <c r="H43" s="12"/>
      <c r="I43" s="12"/>
    </row>
    <row r="44" spans="2:14" x14ac:dyDescent="0.25">
      <c r="B44" s="17"/>
      <c r="C44" s="12"/>
      <c r="D44" s="12"/>
      <c r="E44" s="12"/>
      <c r="F44" s="17"/>
      <c r="G44" s="12"/>
      <c r="H44" s="12"/>
      <c r="I44" s="12"/>
    </row>
    <row r="45" spans="2:14" x14ac:dyDescent="0.25">
      <c r="B45" s="25" t="s">
        <v>54</v>
      </c>
      <c r="C45" s="24">
        <f>C27+C28+C29+C30+C31-D32</f>
        <v>27645.5</v>
      </c>
      <c r="D45" s="26">
        <f>SUM(D34:D44)</f>
        <v>23117</v>
      </c>
      <c r="E45" s="24">
        <f>C45-D45</f>
        <v>4528.5</v>
      </c>
      <c r="F45" s="25" t="s">
        <v>54</v>
      </c>
      <c r="G45" s="24">
        <f>G27+G28+G29+G30+G31-H32</f>
        <v>12145.5</v>
      </c>
      <c r="H45" s="24">
        <f>SUM(H34:H44)</f>
        <v>12117</v>
      </c>
      <c r="I45" s="24">
        <f>G45-H45</f>
        <v>28.5</v>
      </c>
    </row>
    <row r="46" spans="2:14" x14ac:dyDescent="0.25">
      <c r="B46" t="s">
        <v>31</v>
      </c>
      <c r="D46" t="s">
        <v>32</v>
      </c>
      <c r="G46" t="s">
        <v>33</v>
      </c>
    </row>
    <row r="47" spans="2:14" x14ac:dyDescent="0.25">
      <c r="B47" t="s">
        <v>134</v>
      </c>
      <c r="D47" t="s">
        <v>35</v>
      </c>
      <c r="G47" t="s">
        <v>36</v>
      </c>
    </row>
    <row r="49" spans="10:10" x14ac:dyDescent="0.25">
      <c r="J49" s="27"/>
    </row>
  </sheetData>
  <pageMargins left="0" right="0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0" workbookViewId="0">
      <selection activeCell="B46" sqref="B46"/>
    </sheetView>
  </sheetViews>
  <sheetFormatPr defaultRowHeight="15" x14ac:dyDescent="0.25"/>
  <cols>
    <col min="2" max="2" width="18.42578125" bestFit="1" customWidth="1"/>
    <col min="3" max="3" width="15.42578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221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OCTOBER20!H5:H22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/>
      <c r="C6" s="2">
        <f>OCTOBER20!H6:H23</f>
        <v>0</v>
      </c>
      <c r="D6" s="2"/>
      <c r="E6" s="2"/>
      <c r="F6" s="2">
        <f t="shared" ref="F6:F22" si="0">C6+D6+E6</f>
        <v>0</v>
      </c>
      <c r="G6" s="2"/>
      <c r="H6" s="2"/>
      <c r="I6" s="2"/>
      <c r="J6" s="2"/>
    </row>
    <row r="7" spans="1:10" x14ac:dyDescent="0.25">
      <c r="A7" s="2">
        <v>3</v>
      </c>
      <c r="B7" s="2" t="s">
        <v>229</v>
      </c>
      <c r="C7" s="2">
        <f>OCTOBER20!H7:H24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200</v>
      </c>
      <c r="J7" s="2"/>
    </row>
    <row r="8" spans="1:10" x14ac:dyDescent="0.25">
      <c r="A8" s="2">
        <v>4</v>
      </c>
      <c r="B8" s="2" t="s">
        <v>167</v>
      </c>
      <c r="C8" s="2">
        <f>OCTOBER20!H8:H25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100</v>
      </c>
      <c r="J8" s="2"/>
    </row>
    <row r="9" spans="1:10" x14ac:dyDescent="0.25">
      <c r="A9" s="2">
        <v>5</v>
      </c>
      <c r="B9" s="15" t="s">
        <v>178</v>
      </c>
      <c r="C9" s="2">
        <f>OCTOBER20!H9:H26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OCTOBER20!H10:H27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250</v>
      </c>
      <c r="J10" s="2"/>
    </row>
    <row r="11" spans="1:10" x14ac:dyDescent="0.25">
      <c r="A11" s="2">
        <v>7</v>
      </c>
      <c r="B11" s="2" t="s">
        <v>178</v>
      </c>
      <c r="C11" s="2">
        <f>OCTOBER20!H11:H28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OCTOBER20!H12:H29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222</v>
      </c>
      <c r="C13" s="2">
        <f>OCTOBER20!H13:H30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178</v>
      </c>
      <c r="C14" s="2">
        <f>OCTOBER20!H14:H31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OCTOBER20!H15:H32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OCTOBER20!H16:H33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216</v>
      </c>
      <c r="C17" s="2">
        <f>OCTOBER20!H17:H34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214</v>
      </c>
      <c r="C18" s="2">
        <f>OCTOBER20!H18:H35</f>
        <v>0</v>
      </c>
      <c r="D18" s="2"/>
      <c r="E18" s="2">
        <v>1800</v>
      </c>
      <c r="F18" s="2">
        <f t="shared" si="0"/>
        <v>1800</v>
      </c>
      <c r="G18" s="2">
        <v>1800</v>
      </c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OCTOBER20!H19:H36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178</v>
      </c>
      <c r="C20" s="2">
        <f>OCTOBER20!H20:H37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OCTOBER20!H21:H38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OCTOBER20!H22:H39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ht="11.25" customHeight="1" x14ac:dyDescent="0.25">
      <c r="A23" s="1"/>
      <c r="B23" s="1" t="s">
        <v>46</v>
      </c>
      <c r="C23" s="2">
        <f>OCTOBER20!H23:H40</f>
        <v>4000</v>
      </c>
      <c r="D23" s="1">
        <f>SUM(D5:D22)</f>
        <v>0</v>
      </c>
      <c r="E23" s="1">
        <f>SUM(E5:E22)</f>
        <v>17800</v>
      </c>
      <c r="F23" s="2">
        <f>C23+D23+E23</f>
        <v>21800</v>
      </c>
      <c r="G23" s="1">
        <f>SUM(G5:G22)</f>
        <v>17800</v>
      </c>
      <c r="H23" s="2">
        <f>SUM(H5:H22)</f>
        <v>4000</v>
      </c>
      <c r="I23" s="1">
        <f>SUM(I5:I22)</f>
        <v>1250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147</v>
      </c>
      <c r="C27" s="13">
        <f>E23</f>
        <v>17800</v>
      </c>
      <c r="D27" s="12"/>
      <c r="E27" s="12"/>
      <c r="F27" s="12" t="s">
        <v>147</v>
      </c>
      <c r="G27" s="13">
        <f>G23</f>
        <v>17800</v>
      </c>
      <c r="H27" s="12"/>
      <c r="I27" s="12"/>
    </row>
    <row r="28" spans="1:10" x14ac:dyDescent="0.25">
      <c r="B28" s="12" t="s">
        <v>2</v>
      </c>
      <c r="C28" s="13">
        <f>OCTOBER20!E45</f>
        <v>4528.5</v>
      </c>
      <c r="D28" s="12"/>
      <c r="E28" s="12"/>
      <c r="F28" s="12" t="s">
        <v>2</v>
      </c>
      <c r="G28" s="13">
        <f>OCTOBER20!I45</f>
        <v>28.5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1250</v>
      </c>
      <c r="D31" s="2"/>
      <c r="E31" s="2"/>
      <c r="F31" s="20" t="s">
        <v>44</v>
      </c>
      <c r="G31" s="2">
        <f>C31</f>
        <v>1250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890</v>
      </c>
      <c r="E32" s="12"/>
      <c r="F32" s="12" t="s">
        <v>28</v>
      </c>
      <c r="G32" s="14">
        <v>0.05</v>
      </c>
      <c r="H32" s="13">
        <f>D32</f>
        <v>890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1" x14ac:dyDescent="0.25">
      <c r="B35" s="16" t="s">
        <v>123</v>
      </c>
      <c r="C35" s="2"/>
      <c r="D35" s="2">
        <v>1680</v>
      </c>
      <c r="E35" s="17"/>
      <c r="F35" s="16" t="s">
        <v>123</v>
      </c>
      <c r="G35" s="2"/>
      <c r="H35" s="2">
        <v>1680</v>
      </c>
      <c r="I35" s="12"/>
    </row>
    <row r="36" spans="2:11" x14ac:dyDescent="0.25">
      <c r="D36" s="2"/>
      <c r="E36" s="2"/>
      <c r="F36" s="2"/>
      <c r="H36" s="2"/>
      <c r="I36" s="12"/>
    </row>
    <row r="37" spans="2:11" x14ac:dyDescent="0.25">
      <c r="B37" s="17" t="s">
        <v>226</v>
      </c>
      <c r="D37">
        <v>13097</v>
      </c>
      <c r="E37" s="12"/>
      <c r="F37" s="17" t="s">
        <v>226</v>
      </c>
      <c r="H37">
        <v>13097</v>
      </c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  <c r="K44" s="27"/>
    </row>
    <row r="45" spans="2:11" x14ac:dyDescent="0.25">
      <c r="B45" s="25" t="s">
        <v>54</v>
      </c>
      <c r="C45" s="24">
        <f>C27+C28+C29+C30+C31-D32</f>
        <v>22688.5</v>
      </c>
      <c r="D45" s="26">
        <f>SUM(D34:D44)</f>
        <v>16067</v>
      </c>
      <c r="E45" s="24">
        <f>C45-D45</f>
        <v>6621.5</v>
      </c>
      <c r="F45" s="25" t="s">
        <v>54</v>
      </c>
      <c r="G45" s="24">
        <f>G27+G28+G29+G30+G31-H32</f>
        <v>18188.5</v>
      </c>
      <c r="H45" s="24">
        <f>SUM(H34:H44)</f>
        <v>16067</v>
      </c>
      <c r="I45" s="24">
        <f>G45-H45</f>
        <v>2121.5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48" spans="2:11" x14ac:dyDescent="0.25">
      <c r="J48" s="27"/>
    </row>
  </sheetData>
  <pageMargins left="0" right="0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N19" sqref="N19:N20"/>
    </sheetView>
  </sheetViews>
  <sheetFormatPr defaultRowHeight="15" x14ac:dyDescent="0.25"/>
  <cols>
    <col min="1" max="1" width="5" customWidth="1"/>
    <col min="2" max="2" width="17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227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0" x14ac:dyDescent="0.25">
      <c r="A5" s="2">
        <v>1</v>
      </c>
      <c r="B5" s="2" t="s">
        <v>224</v>
      </c>
      <c r="C5" s="2">
        <f>NOVEMBER20!H5:H22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 t="s">
        <v>228</v>
      </c>
      <c r="C6" s="2">
        <f>NOVEMBER20!H6:H23</f>
        <v>0</v>
      </c>
      <c r="D6" s="2"/>
      <c r="E6" s="2">
        <v>2000</v>
      </c>
      <c r="F6" s="2">
        <f t="shared" ref="F6:F22" si="0">C6+D6+E6</f>
        <v>2000</v>
      </c>
      <c r="G6" s="2">
        <f>1000</f>
        <v>1000</v>
      </c>
      <c r="H6" s="2">
        <f>F6-G6</f>
        <v>1000</v>
      </c>
      <c r="I6" s="2"/>
      <c r="J6" s="2"/>
    </row>
    <row r="7" spans="1:10" x14ac:dyDescent="0.25">
      <c r="A7" s="2">
        <v>3</v>
      </c>
      <c r="B7" s="2" t="s">
        <v>229</v>
      </c>
      <c r="C7" s="2">
        <f>NOVEMBER20!H7:H24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250</v>
      </c>
      <c r="J7" s="2"/>
    </row>
    <row r="8" spans="1:10" x14ac:dyDescent="0.25">
      <c r="A8" s="2">
        <v>4</v>
      </c>
      <c r="B8" s="2" t="s">
        <v>167</v>
      </c>
      <c r="C8" s="2">
        <f>NOVEMBER20!H8:H25</f>
        <v>0</v>
      </c>
      <c r="D8" s="2"/>
      <c r="E8" s="2">
        <v>2500</v>
      </c>
      <c r="F8" s="2">
        <f t="shared" si="0"/>
        <v>2500</v>
      </c>
      <c r="G8" s="2"/>
      <c r="H8" s="2">
        <f>F8-G8</f>
        <v>2500</v>
      </c>
      <c r="I8" s="2"/>
      <c r="J8" s="2"/>
    </row>
    <row r="9" spans="1:10" x14ac:dyDescent="0.25">
      <c r="A9" s="2">
        <v>5</v>
      </c>
      <c r="B9" s="15" t="s">
        <v>178</v>
      </c>
      <c r="C9" s="2">
        <f>NOVEMBER20!H9:H26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NOVEMBER20!H10:H27</f>
        <v>0</v>
      </c>
      <c r="D10" s="2"/>
      <c r="E10" s="2">
        <v>2500</v>
      </c>
      <c r="F10" s="2">
        <f t="shared" si="0"/>
        <v>2500</v>
      </c>
      <c r="G10" s="2">
        <f>2500</f>
        <v>2500</v>
      </c>
      <c r="H10" s="2">
        <f>F10-G10</f>
        <v>0</v>
      </c>
      <c r="I10" s="2">
        <v>250</v>
      </c>
      <c r="J10" s="2"/>
    </row>
    <row r="11" spans="1:10" x14ac:dyDescent="0.25">
      <c r="A11" s="2">
        <v>7</v>
      </c>
      <c r="B11" s="2" t="s">
        <v>178</v>
      </c>
      <c r="C11" s="2">
        <f>NOVEMBER20!H11:H28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NOVEMBER20!H12:H29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</row>
    <row r="13" spans="1:10" x14ac:dyDescent="0.25">
      <c r="A13" s="2">
        <v>9</v>
      </c>
      <c r="B13" s="2"/>
      <c r="C13" s="2">
        <f>NOVEMBER20!H13:H30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NOVEMBER20!H14:H31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NOVEMBER20!H15:H32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NOVEMBER20!H16:H33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/>
      <c r="C17" s="2">
        <f>NOVEMBER20!H17:H34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NOVEMBER20!H18:H35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247</v>
      </c>
      <c r="C19" s="2">
        <v>4000</v>
      </c>
      <c r="D19" s="2"/>
      <c r="E19" s="2"/>
      <c r="F19" s="2">
        <f t="shared" si="0"/>
        <v>4000</v>
      </c>
      <c r="G19" s="2"/>
      <c r="H19" s="2"/>
      <c r="I19" s="2"/>
      <c r="J19" s="2"/>
    </row>
    <row r="20" spans="1:10" x14ac:dyDescent="0.25">
      <c r="A20" s="2">
        <v>16</v>
      </c>
      <c r="B20" s="15" t="s">
        <v>178</v>
      </c>
      <c r="C20" s="2">
        <f>NOVEMBER20!H20:H37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NOVEMBER20!H21:H38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NOVEMBER20!H22:H39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NOVEMBER20!H23:H40</f>
        <v>4000</v>
      </c>
      <c r="D23" s="1">
        <f t="shared" ref="D23:J23" si="2">SUM(D5:D22)</f>
        <v>0</v>
      </c>
      <c r="E23" s="1">
        <f t="shared" si="2"/>
        <v>13500</v>
      </c>
      <c r="F23" s="2">
        <f t="shared" si="2"/>
        <v>17500</v>
      </c>
      <c r="G23" s="1">
        <f t="shared" si="2"/>
        <v>7500</v>
      </c>
      <c r="H23" s="2">
        <f t="shared" si="2"/>
        <v>6000</v>
      </c>
      <c r="I23" s="1">
        <f t="shared" si="2"/>
        <v>700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155</v>
      </c>
      <c r="C27" s="13">
        <f>E23</f>
        <v>13500</v>
      </c>
      <c r="D27" s="12"/>
      <c r="E27" s="12"/>
      <c r="F27" s="12" t="s">
        <v>155</v>
      </c>
      <c r="G27" s="13">
        <f>G23</f>
        <v>7500</v>
      </c>
      <c r="H27" s="12"/>
      <c r="I27" s="12"/>
    </row>
    <row r="28" spans="1:10" x14ac:dyDescent="0.25">
      <c r="B28" s="12" t="s">
        <v>2</v>
      </c>
      <c r="C28" s="13">
        <f>NOVEMBER20!E45</f>
        <v>6621.5</v>
      </c>
      <c r="D28" s="12"/>
      <c r="E28" s="12"/>
      <c r="F28" s="12" t="s">
        <v>2</v>
      </c>
      <c r="G28" s="13">
        <f>NOVEMBER20!I45</f>
        <v>2121.5</v>
      </c>
      <c r="H28" s="12"/>
      <c r="I28" s="12"/>
      <c r="J28">
        <f>G23+H23</f>
        <v>13500</v>
      </c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675</v>
      </c>
      <c r="E32" s="12"/>
      <c r="F32" s="12" t="s">
        <v>28</v>
      </c>
      <c r="G32" s="14">
        <v>0.05</v>
      </c>
      <c r="H32" s="13">
        <f>D32</f>
        <v>675</v>
      </c>
      <c r="I32" s="12"/>
    </row>
    <row r="33" spans="2:13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3" x14ac:dyDescent="0.25">
      <c r="B34" s="19" t="s">
        <v>115</v>
      </c>
      <c r="C34" s="30">
        <v>0.3</v>
      </c>
      <c r="D34" s="2">
        <f>C34*E6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13" x14ac:dyDescent="0.25">
      <c r="B35" s="16" t="s">
        <v>123</v>
      </c>
      <c r="C35" s="2"/>
      <c r="D35" s="2">
        <v>1560</v>
      </c>
      <c r="E35" s="17"/>
      <c r="F35" s="16" t="s">
        <v>123</v>
      </c>
      <c r="G35" s="2"/>
      <c r="H35" s="2">
        <v>1560</v>
      </c>
      <c r="I35" s="12"/>
    </row>
    <row r="36" spans="2:13" x14ac:dyDescent="0.25">
      <c r="B36" t="s">
        <v>231</v>
      </c>
      <c r="D36" s="2">
        <v>5061</v>
      </c>
      <c r="E36" s="2"/>
      <c r="F36" t="s">
        <v>231</v>
      </c>
      <c r="H36" s="2">
        <v>5061</v>
      </c>
      <c r="I36" s="12"/>
    </row>
    <row r="37" spans="2:13" x14ac:dyDescent="0.25">
      <c r="B37" s="17" t="s">
        <v>232</v>
      </c>
      <c r="D37">
        <f>4000</f>
        <v>4000</v>
      </c>
      <c r="E37" s="12"/>
      <c r="F37" s="17"/>
      <c r="I37" s="12"/>
    </row>
    <row r="38" spans="2:13" x14ac:dyDescent="0.25">
      <c r="B38" s="17"/>
      <c r="C38" s="12"/>
      <c r="D38" s="12"/>
      <c r="E38" s="12"/>
      <c r="F38" s="17"/>
      <c r="G38" s="12"/>
      <c r="H38" s="12"/>
      <c r="I38" s="12"/>
    </row>
    <row r="39" spans="2:13" x14ac:dyDescent="0.25">
      <c r="B39" s="17"/>
      <c r="C39" s="12"/>
      <c r="D39" s="12"/>
      <c r="E39" s="12"/>
      <c r="F39" s="17"/>
      <c r="G39" s="12"/>
      <c r="H39" s="12"/>
      <c r="I39" s="12"/>
    </row>
    <row r="40" spans="2:13" x14ac:dyDescent="0.25">
      <c r="B40" s="17"/>
      <c r="C40" s="12"/>
      <c r="D40" s="12"/>
      <c r="E40" s="12"/>
      <c r="F40" s="17"/>
      <c r="G40" s="12"/>
      <c r="H40" s="12"/>
      <c r="I40" s="12"/>
      <c r="L40">
        <f>1560+1680</f>
        <v>3240</v>
      </c>
      <c r="M40">
        <f>240+1920</f>
        <v>2160</v>
      </c>
    </row>
    <row r="41" spans="2:13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3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3" x14ac:dyDescent="0.25">
      <c r="B43" s="17"/>
      <c r="C43" s="12"/>
      <c r="D43" s="12"/>
      <c r="E43" s="12"/>
      <c r="F43" s="17"/>
      <c r="G43" s="12"/>
      <c r="H43" s="12"/>
      <c r="I43" s="12"/>
    </row>
    <row r="44" spans="2:13" x14ac:dyDescent="0.25">
      <c r="B44" s="17"/>
      <c r="C44" s="12"/>
      <c r="D44" s="12"/>
      <c r="E44" s="12"/>
      <c r="F44" s="17"/>
      <c r="G44" s="12"/>
      <c r="H44" s="12"/>
      <c r="I44" s="12"/>
    </row>
    <row r="45" spans="2:13" x14ac:dyDescent="0.25">
      <c r="B45" s="25" t="s">
        <v>54</v>
      </c>
      <c r="C45" s="24">
        <f>C27+C28+C29+C30+C31-D32</f>
        <v>20146.5</v>
      </c>
      <c r="D45" s="26">
        <f>SUM(D34:D44)</f>
        <v>11221</v>
      </c>
      <c r="E45" s="24">
        <f>C45-D45</f>
        <v>8925.5</v>
      </c>
      <c r="F45" s="25" t="s">
        <v>54</v>
      </c>
      <c r="G45" s="24">
        <f>G27+G28+G29+G30+G31-H32</f>
        <v>9646.5</v>
      </c>
      <c r="H45" s="24">
        <f>SUM(H34:H44)</f>
        <v>7221</v>
      </c>
      <c r="I45" s="24">
        <f>G45-H45</f>
        <v>2425.5</v>
      </c>
      <c r="K45" s="27"/>
    </row>
    <row r="46" spans="2:13" x14ac:dyDescent="0.25">
      <c r="B46" t="s">
        <v>31</v>
      </c>
      <c r="D46" t="s">
        <v>32</v>
      </c>
      <c r="G46" t="s">
        <v>33</v>
      </c>
    </row>
    <row r="47" spans="2:13" x14ac:dyDescent="0.25">
      <c r="B47" t="s">
        <v>134</v>
      </c>
      <c r="D47" t="s">
        <v>35</v>
      </c>
      <c r="G47" t="s">
        <v>36</v>
      </c>
      <c r="J47" s="27"/>
      <c r="K47" s="27"/>
    </row>
  </sheetData>
  <pageMargins left="0" right="0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39" sqref="K39"/>
    </sheetView>
  </sheetViews>
  <sheetFormatPr defaultRowHeight="15" x14ac:dyDescent="0.25"/>
  <cols>
    <col min="1" max="1" width="4.85546875" customWidth="1"/>
    <col min="2" max="2" width="18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230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'DECEMBER 20'!H5:H22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>
        <v>100</v>
      </c>
    </row>
    <row r="6" spans="1:10" x14ac:dyDescent="0.25">
      <c r="A6" s="2">
        <v>2</v>
      </c>
      <c r="B6" s="2" t="s">
        <v>228</v>
      </c>
      <c r="C6" s="2">
        <f>'DECEMBER 20'!H6:H23</f>
        <v>1000</v>
      </c>
      <c r="D6" s="2"/>
      <c r="E6" s="2">
        <v>2000</v>
      </c>
      <c r="F6" s="2">
        <f t="shared" ref="F6:F22" si="0">C6+D6+E6</f>
        <v>3000</v>
      </c>
      <c r="G6" s="2">
        <f>1300+700</f>
        <v>2000</v>
      </c>
      <c r="H6" s="2">
        <f>F6-G6</f>
        <v>1000</v>
      </c>
      <c r="I6" s="2"/>
      <c r="J6" s="2">
        <v>200</v>
      </c>
    </row>
    <row r="7" spans="1:10" x14ac:dyDescent="0.25">
      <c r="A7" s="2">
        <v>3</v>
      </c>
      <c r="B7" s="2" t="s">
        <v>229</v>
      </c>
      <c r="C7" s="2">
        <f>'DECEMBER 20'!H7:H24</f>
        <v>0</v>
      </c>
      <c r="D7" s="2"/>
      <c r="E7" s="2">
        <v>2000</v>
      </c>
      <c r="F7" s="2">
        <f t="shared" si="0"/>
        <v>2000</v>
      </c>
      <c r="G7" s="2">
        <f>1000+1000</f>
        <v>2000</v>
      </c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'DECEMBER 20'!H8:H25</f>
        <v>2500</v>
      </c>
      <c r="D8" s="2"/>
      <c r="E8" s="2">
        <v>2500</v>
      </c>
      <c r="F8" s="2">
        <f t="shared" si="0"/>
        <v>5000</v>
      </c>
      <c r="G8" s="2">
        <f>2600</f>
        <v>2600</v>
      </c>
      <c r="H8" s="2">
        <f>F8-G8</f>
        <v>2400</v>
      </c>
      <c r="I8" s="2">
        <v>100</v>
      </c>
      <c r="J8" s="2">
        <v>200</v>
      </c>
    </row>
    <row r="9" spans="1:10" x14ac:dyDescent="0.25">
      <c r="A9" s="2">
        <v>5</v>
      </c>
      <c r="B9" s="33" t="s">
        <v>238</v>
      </c>
      <c r="C9" s="2">
        <f>'DECEMBER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ref="H9:H22" si="1">F9-G9</f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'DECEMBER 20'!H10:H27</f>
        <v>0</v>
      </c>
      <c r="D10" s="2"/>
      <c r="E10" s="2">
        <v>2500</v>
      </c>
      <c r="F10" s="2">
        <f t="shared" si="0"/>
        <v>2500</v>
      </c>
      <c r="G10" s="2">
        <f>2295</f>
        <v>2295</v>
      </c>
      <c r="H10" s="2">
        <f>F10-G10</f>
        <v>205</v>
      </c>
      <c r="I10" s="2"/>
      <c r="J10" s="2"/>
    </row>
    <row r="11" spans="1:10" x14ac:dyDescent="0.25">
      <c r="A11" s="2">
        <v>7</v>
      </c>
      <c r="B11" s="2" t="s">
        <v>239</v>
      </c>
      <c r="C11" s="2">
        <f>'DECEMBER 20'!H11:H28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0" x14ac:dyDescent="0.25">
      <c r="A12" s="2">
        <v>8</v>
      </c>
      <c r="B12" s="32" t="s">
        <v>237</v>
      </c>
      <c r="C12" s="2">
        <f>'DECEMBER 20'!H12:H29</f>
        <v>2500</v>
      </c>
      <c r="D12" s="2"/>
      <c r="E12" s="2">
        <v>2500</v>
      </c>
      <c r="F12" s="2">
        <f t="shared" si="0"/>
        <v>5000</v>
      </c>
      <c r="G12" s="2">
        <f>3650</f>
        <v>3650</v>
      </c>
      <c r="H12" s="2">
        <f t="shared" si="1"/>
        <v>1350</v>
      </c>
      <c r="I12" s="2"/>
      <c r="J12" s="2"/>
    </row>
    <row r="13" spans="1:10" x14ac:dyDescent="0.25">
      <c r="A13" s="2">
        <v>9</v>
      </c>
      <c r="B13" s="2" t="s">
        <v>236</v>
      </c>
      <c r="C13" s="2">
        <f>'DECEMBER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235</v>
      </c>
      <c r="C14" s="2">
        <f>'DECEMBER 20'!H14:H31</f>
        <v>0</v>
      </c>
      <c r="D14" s="2"/>
      <c r="E14" s="2">
        <v>2500</v>
      </c>
      <c r="F14" s="2">
        <f t="shared" si="0"/>
        <v>2500</v>
      </c>
      <c r="G14" s="2">
        <f>2200+300</f>
        <v>2500</v>
      </c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234</v>
      </c>
      <c r="C15" s="2">
        <f>'DECEMBER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178</v>
      </c>
      <c r="C16" s="2">
        <f>'DECEMBER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233</v>
      </c>
      <c r="C17" s="2">
        <f>'DECEMBER 20'!H17:H34</f>
        <v>0</v>
      </c>
      <c r="D17" s="2"/>
      <c r="E17" s="2">
        <v>2000</v>
      </c>
      <c r="F17" s="2">
        <f t="shared" si="0"/>
        <v>2000</v>
      </c>
      <c r="G17" s="2">
        <v>2000</v>
      </c>
      <c r="H17" s="2">
        <f t="shared" si="1"/>
        <v>0</v>
      </c>
      <c r="I17" s="2">
        <v>200</v>
      </c>
      <c r="J17" s="2"/>
    </row>
    <row r="18" spans="1:10" x14ac:dyDescent="0.25">
      <c r="A18" s="2">
        <v>14</v>
      </c>
      <c r="B18" s="32"/>
      <c r="C18" s="2">
        <f>'DECEMBER 20'!H18:H35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'DECEMBER 20'!H19:H36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NOVEMBER20!H20:H37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NOVEMBER20!H21:H38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NOVEMBER20!H22:H39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6000</v>
      </c>
      <c r="D23" s="1">
        <f>SUM(D5:D22)</f>
        <v>0</v>
      </c>
      <c r="E23" s="1">
        <f>SUM(E5:E22)</f>
        <v>27500</v>
      </c>
      <c r="F23" s="2">
        <f>C23+D23+E23</f>
        <v>33500</v>
      </c>
      <c r="G23" s="1">
        <f>SUM(G5:G22)</f>
        <v>28545</v>
      </c>
      <c r="H23" s="2">
        <f>SUM(H5:H22)</f>
        <v>4955</v>
      </c>
      <c r="I23" s="1">
        <f>SUM(I5:I22)</f>
        <v>800</v>
      </c>
      <c r="J23" s="1">
        <f>SUM(J5:J22)</f>
        <v>700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161</v>
      </c>
      <c r="C27" s="13">
        <f>E23</f>
        <v>27500</v>
      </c>
      <c r="D27" s="12"/>
      <c r="E27" s="12"/>
      <c r="F27" s="12" t="s">
        <v>161</v>
      </c>
      <c r="G27" s="13">
        <f>G23</f>
        <v>28545</v>
      </c>
      <c r="H27" s="12"/>
      <c r="I27" s="12"/>
    </row>
    <row r="28" spans="1:10" x14ac:dyDescent="0.25">
      <c r="B28" s="12" t="s">
        <v>2</v>
      </c>
      <c r="C28" s="13">
        <f>'DECEMBER 20'!E45</f>
        <v>8925.5</v>
      </c>
      <c r="D28" s="12"/>
      <c r="E28" s="12"/>
      <c r="F28" s="12" t="s">
        <v>2</v>
      </c>
      <c r="G28" s="13">
        <f>'DECEMBER 20'!I45</f>
        <v>2425.5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800</v>
      </c>
      <c r="D31" s="2"/>
      <c r="E31" s="2"/>
      <c r="F31" s="20" t="s">
        <v>44</v>
      </c>
      <c r="G31" s="2">
        <f>C31</f>
        <v>800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1375</v>
      </c>
      <c r="E32" s="12"/>
      <c r="F32" s="12" t="s">
        <v>28</v>
      </c>
      <c r="G32" s="14">
        <v>0.05</v>
      </c>
      <c r="H32" s="13">
        <f>D32</f>
        <v>1375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C34*E15+(C34*E13)</f>
        <v>1500</v>
      </c>
      <c r="E34" s="2"/>
      <c r="F34" s="19" t="s">
        <v>115</v>
      </c>
      <c r="G34" s="30">
        <v>0.3</v>
      </c>
      <c r="H34" s="2">
        <f>D34</f>
        <v>1500</v>
      </c>
      <c r="I34" s="12"/>
    </row>
    <row r="35" spans="2:11" x14ac:dyDescent="0.25">
      <c r="B35" s="16" t="s">
        <v>123</v>
      </c>
      <c r="C35" s="2"/>
      <c r="D35" s="2">
        <v>1920</v>
      </c>
      <c r="E35" s="17"/>
      <c r="F35" s="16" t="s">
        <v>123</v>
      </c>
      <c r="G35" s="2"/>
      <c r="H35" s="2">
        <v>1920</v>
      </c>
      <c r="I35" s="12"/>
    </row>
    <row r="36" spans="2:11" x14ac:dyDescent="0.25">
      <c r="B36" t="s">
        <v>241</v>
      </c>
      <c r="D36" s="2">
        <v>26105</v>
      </c>
      <c r="E36" s="2"/>
      <c r="F36" t="s">
        <v>241</v>
      </c>
      <c r="H36" s="2">
        <v>26105</v>
      </c>
      <c r="I36" s="12"/>
    </row>
    <row r="37" spans="2:11" x14ac:dyDescent="0.25">
      <c r="B37" s="17"/>
      <c r="E37" s="12"/>
      <c r="F37" s="17"/>
      <c r="I37" s="12"/>
      <c r="K37" s="27">
        <f>H23+I45</f>
        <v>5825.5</v>
      </c>
    </row>
    <row r="38" spans="2:11" x14ac:dyDescent="0.25">
      <c r="B38" s="17"/>
      <c r="C38" s="12"/>
      <c r="D38" s="12"/>
      <c r="E38" s="12"/>
      <c r="F38" s="17"/>
      <c r="G38" s="12"/>
      <c r="H38" s="12"/>
      <c r="I38" s="12"/>
      <c r="K38" s="27">
        <f>E45-K37</f>
        <v>500</v>
      </c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35850.5</v>
      </c>
      <c r="D45" s="26">
        <f>SUM(D34:D44)</f>
        <v>29525</v>
      </c>
      <c r="E45" s="24">
        <f>C45-D45</f>
        <v>6325.5</v>
      </c>
      <c r="F45" s="25" t="s">
        <v>54</v>
      </c>
      <c r="G45" s="24">
        <f>G27+G28+G29+G30+G31-H32</f>
        <v>30395.5</v>
      </c>
      <c r="H45" s="24">
        <f>SUM(H34:H44)</f>
        <v>29525</v>
      </c>
      <c r="I45" s="24">
        <f>G45-H45</f>
        <v>870.5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50" spans="13:13" x14ac:dyDescent="0.25">
      <c r="M50">
        <f>33770+15000</f>
        <v>48770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M20" sqref="M20"/>
    </sheetView>
  </sheetViews>
  <sheetFormatPr defaultRowHeight="15" x14ac:dyDescent="0.25"/>
  <cols>
    <col min="1" max="1" width="3.85546875" customWidth="1"/>
    <col min="2" max="2" width="18.42578125" customWidth="1"/>
    <col min="3" max="3" width="8" customWidth="1"/>
    <col min="6" max="6" width="10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50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1000</v>
      </c>
      <c r="F7" s="2">
        <f t="shared" si="0"/>
        <v>1000</v>
      </c>
      <c r="G7" s="2">
        <v>1000</v>
      </c>
      <c r="H7" s="2">
        <f t="shared" si="1"/>
        <v>0</v>
      </c>
      <c r="I7" s="2"/>
      <c r="J7" s="2"/>
    </row>
    <row r="8" spans="1:10" x14ac:dyDescent="0.25">
      <c r="A8" s="2">
        <v>4</v>
      </c>
      <c r="B8" s="2"/>
      <c r="C8" s="2"/>
      <c r="D8" s="2"/>
      <c r="E8" s="2"/>
      <c r="F8" s="2">
        <f t="shared" si="0"/>
        <v>0</v>
      </c>
      <c r="G8" s="2"/>
      <c r="H8" s="2">
        <f t="shared" si="1"/>
        <v>0</v>
      </c>
      <c r="I8" s="2"/>
      <c r="J8" s="2"/>
    </row>
    <row r="9" spans="1:10" x14ac:dyDescent="0.25">
      <c r="A9" s="2">
        <v>5</v>
      </c>
      <c r="B9" s="2"/>
      <c r="C9" s="2"/>
      <c r="D9" s="2"/>
      <c r="E9" s="2"/>
      <c r="F9" s="2">
        <f t="shared" si="0"/>
        <v>0</v>
      </c>
      <c r="G9" s="2"/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v>250</v>
      </c>
      <c r="D10" s="2"/>
      <c r="E10" s="2">
        <v>2500</v>
      </c>
      <c r="F10" s="2">
        <f t="shared" si="0"/>
        <v>2750</v>
      </c>
      <c r="G10" s="2">
        <v>2400</v>
      </c>
      <c r="H10" s="2">
        <f t="shared" si="1"/>
        <v>350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0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s="3" customFormat="1" x14ac:dyDescent="0.25">
      <c r="A23" s="1"/>
      <c r="B23" s="1" t="s">
        <v>46</v>
      </c>
      <c r="C23" s="1">
        <f t="shared" ref="C23:J23" si="2">SUM(C5:C22)</f>
        <v>250</v>
      </c>
      <c r="D23" s="1">
        <f t="shared" si="2"/>
        <v>0</v>
      </c>
      <c r="E23" s="1">
        <f>SUM(E5:E22)</f>
        <v>15500</v>
      </c>
      <c r="F23" s="1">
        <f t="shared" si="2"/>
        <v>15750</v>
      </c>
      <c r="G23" s="1">
        <f>SUM(G5:G22)</f>
        <v>15400</v>
      </c>
      <c r="H23" s="1">
        <f t="shared" si="2"/>
        <v>350</v>
      </c>
      <c r="I23" s="1">
        <f t="shared" si="2"/>
        <v>400</v>
      </c>
      <c r="J23" s="1">
        <f t="shared" si="2"/>
        <v>1000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58</v>
      </c>
      <c r="C29" s="13">
        <f>E23</f>
        <v>15500</v>
      </c>
      <c r="D29" s="12"/>
      <c r="E29" s="12"/>
      <c r="F29" s="12" t="s">
        <v>58</v>
      </c>
      <c r="G29" s="13">
        <f>G23</f>
        <v>15400</v>
      </c>
      <c r="H29" s="12"/>
      <c r="I29" s="12"/>
    </row>
    <row r="30" spans="1:10" x14ac:dyDescent="0.25">
      <c r="B30" s="12" t="s">
        <v>2</v>
      </c>
      <c r="C30" s="13">
        <f>OCTOBER!E42</f>
        <v>4042.5</v>
      </c>
      <c r="D30" s="12"/>
      <c r="E30" s="12"/>
      <c r="F30" s="12" t="s">
        <v>2</v>
      </c>
      <c r="G30" s="13">
        <f>OCTOBER!I42</f>
        <v>4292.5</v>
      </c>
      <c r="H30" s="12"/>
      <c r="I30" s="12"/>
    </row>
    <row r="31" spans="1:10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0" x14ac:dyDescent="0.25">
      <c r="B32" s="20" t="s">
        <v>53</v>
      </c>
      <c r="C32" s="2">
        <f>J23</f>
        <v>1000</v>
      </c>
      <c r="D32" s="2"/>
      <c r="E32" s="2"/>
      <c r="F32" s="20" t="s">
        <v>53</v>
      </c>
      <c r="G32" s="2">
        <f>C32</f>
        <v>1000</v>
      </c>
      <c r="H32" s="12"/>
      <c r="I32" s="12"/>
    </row>
    <row r="33" spans="2:9" x14ac:dyDescent="0.25">
      <c r="B33" s="20" t="s">
        <v>44</v>
      </c>
      <c r="C33" s="2">
        <f>I23</f>
        <v>400</v>
      </c>
      <c r="D33" s="2"/>
      <c r="E33" s="2"/>
      <c r="F33" s="20" t="s">
        <v>44</v>
      </c>
      <c r="G33" s="2">
        <f>C33</f>
        <v>400</v>
      </c>
      <c r="H33" s="12"/>
      <c r="I33" s="12"/>
    </row>
    <row r="34" spans="2:9" x14ac:dyDescent="0.25">
      <c r="B34" s="1" t="s">
        <v>54</v>
      </c>
      <c r="C34" s="24">
        <f>SUM(C29:C33)</f>
        <v>20942.5</v>
      </c>
      <c r="D34" s="1"/>
      <c r="E34" s="1"/>
      <c r="F34" s="1" t="s">
        <v>46</v>
      </c>
      <c r="G34" s="24">
        <f>SUM(G29:G33)</f>
        <v>21092.5</v>
      </c>
      <c r="H34" s="1"/>
      <c r="I34" s="12"/>
    </row>
    <row r="35" spans="2:9" x14ac:dyDescent="0.25">
      <c r="B35" s="12" t="s">
        <v>28</v>
      </c>
      <c r="C35" s="14">
        <v>0.05</v>
      </c>
      <c r="D35" s="13">
        <f>C35*C29</f>
        <v>775</v>
      </c>
      <c r="E35" s="12"/>
      <c r="F35" s="12" t="s">
        <v>28</v>
      </c>
      <c r="G35" s="14">
        <v>0.05</v>
      </c>
      <c r="H35" s="13">
        <f>D35</f>
        <v>775</v>
      </c>
      <c r="I35" s="12"/>
    </row>
    <row r="36" spans="2:9" x14ac:dyDescent="0.25">
      <c r="B36" s="15" t="s">
        <v>29</v>
      </c>
      <c r="C36" s="12" t="s">
        <v>30</v>
      </c>
      <c r="D36" s="12"/>
      <c r="E36" s="12"/>
      <c r="F36" s="15" t="s">
        <v>29</v>
      </c>
      <c r="G36" s="24"/>
      <c r="H36" s="1"/>
      <c r="I36" s="12"/>
    </row>
    <row r="37" spans="2:9" x14ac:dyDescent="0.25">
      <c r="B37" s="16" t="s">
        <v>51</v>
      </c>
      <c r="C37" s="2"/>
      <c r="D37" s="2">
        <v>450</v>
      </c>
      <c r="E37" s="2"/>
      <c r="F37" s="16" t="s">
        <v>51</v>
      </c>
      <c r="G37" s="2"/>
      <c r="H37" s="2">
        <v>450</v>
      </c>
      <c r="I37" s="12"/>
    </row>
    <row r="38" spans="2:9" x14ac:dyDescent="0.25">
      <c r="B38" s="19">
        <v>43407</v>
      </c>
      <c r="C38" s="2"/>
      <c r="D38" s="2">
        <v>4461</v>
      </c>
      <c r="E38" s="2"/>
      <c r="F38" s="19">
        <v>43407</v>
      </c>
      <c r="G38" s="2"/>
      <c r="H38" s="2">
        <v>4461</v>
      </c>
      <c r="I38" s="12"/>
    </row>
    <row r="39" spans="2:9" x14ac:dyDescent="0.25">
      <c r="B39" s="17" t="s">
        <v>57</v>
      </c>
      <c r="C39" s="12"/>
      <c r="D39" s="12">
        <v>300</v>
      </c>
      <c r="E39" s="12"/>
      <c r="F39" s="17" t="s">
        <v>57</v>
      </c>
      <c r="G39" s="12"/>
      <c r="H39" s="12">
        <v>300</v>
      </c>
      <c r="I39" s="12"/>
    </row>
    <row r="40" spans="2:9" x14ac:dyDescent="0.25">
      <c r="B40" s="17">
        <v>43421</v>
      </c>
      <c r="C40" s="12"/>
      <c r="D40" s="12">
        <v>16102</v>
      </c>
      <c r="E40" s="12"/>
      <c r="F40" s="17">
        <v>43421</v>
      </c>
      <c r="G40" s="12"/>
      <c r="H40" s="12">
        <v>16102</v>
      </c>
      <c r="I40" s="12"/>
    </row>
    <row r="41" spans="2:9" x14ac:dyDescent="0.25">
      <c r="B41" s="16" t="s">
        <v>56</v>
      </c>
      <c r="C41" s="2"/>
      <c r="D41" s="2">
        <v>700</v>
      </c>
      <c r="E41" s="2"/>
      <c r="F41" s="16" t="s">
        <v>56</v>
      </c>
      <c r="G41" s="2"/>
      <c r="H41" s="2">
        <v>700</v>
      </c>
      <c r="I41" s="12"/>
    </row>
    <row r="42" spans="2:9" x14ac:dyDescent="0.25">
      <c r="B42" s="25" t="s">
        <v>54</v>
      </c>
      <c r="C42" s="24">
        <f>C29+C30+C31+C32+C33-D35</f>
        <v>20167.5</v>
      </c>
      <c r="D42" s="26">
        <f>SUM(D37:D41)</f>
        <v>22013</v>
      </c>
      <c r="E42" s="24">
        <f>C42-D42</f>
        <v>-1845.5</v>
      </c>
      <c r="F42" s="25" t="s">
        <v>54</v>
      </c>
      <c r="G42" s="24">
        <f>G29+G30+G31+G32+G33-H35</f>
        <v>20317.5</v>
      </c>
      <c r="H42" s="24">
        <f>SUM(H37:H41)</f>
        <v>22013</v>
      </c>
      <c r="I42" s="24">
        <f>G42-H42</f>
        <v>-1695.5</v>
      </c>
    </row>
    <row r="44" spans="2:9" x14ac:dyDescent="0.25">
      <c r="B44" t="s">
        <v>31</v>
      </c>
      <c r="D44" t="s">
        <v>32</v>
      </c>
      <c r="G44" t="s">
        <v>33</v>
      </c>
    </row>
    <row r="46" spans="2:9" x14ac:dyDescent="0.25">
      <c r="B46" t="s">
        <v>34</v>
      </c>
      <c r="D46" t="s">
        <v>35</v>
      </c>
      <c r="G46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2" workbookViewId="0">
      <selection activeCell="H19" sqref="H19"/>
    </sheetView>
  </sheetViews>
  <sheetFormatPr defaultRowHeight="15" x14ac:dyDescent="0.25"/>
  <cols>
    <col min="1" max="1" width="4" customWidth="1"/>
    <col min="2" max="2" width="21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240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0" x14ac:dyDescent="0.25">
      <c r="A5" s="2">
        <v>1</v>
      </c>
      <c r="B5" s="2" t="s">
        <v>224</v>
      </c>
      <c r="C5" s="2">
        <f>'JANUARY 21'!H5:H23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 t="s">
        <v>228</v>
      </c>
      <c r="C6" s="2">
        <f>'JANUARY 21'!H6:H24</f>
        <v>1000</v>
      </c>
      <c r="D6" s="2"/>
      <c r="E6" s="2">
        <v>2000</v>
      </c>
      <c r="F6" s="2">
        <f t="shared" ref="F6:F22" si="0">C6+D6+E6</f>
        <v>3000</v>
      </c>
      <c r="G6" s="2"/>
      <c r="H6" s="2">
        <f>F6-G6</f>
        <v>3000</v>
      </c>
      <c r="I6" s="2"/>
      <c r="J6" s="2"/>
    </row>
    <row r="7" spans="1:10" x14ac:dyDescent="0.25">
      <c r="A7" s="2">
        <v>3</v>
      </c>
      <c r="B7" s="2" t="s">
        <v>229</v>
      </c>
      <c r="C7" s="2">
        <f>'JANUARY 21'!H7:H25</f>
        <v>0</v>
      </c>
      <c r="D7" s="2"/>
      <c r="E7" s="2">
        <v>2000</v>
      </c>
      <c r="F7" s="2">
        <f t="shared" si="0"/>
        <v>2000</v>
      </c>
      <c r="G7" s="2"/>
      <c r="H7" s="2">
        <f>F7-G7</f>
        <v>2000</v>
      </c>
      <c r="I7" s="2"/>
      <c r="J7" s="2"/>
    </row>
    <row r="8" spans="1:10" x14ac:dyDescent="0.25">
      <c r="A8" s="2">
        <v>4</v>
      </c>
      <c r="B8" s="2" t="s">
        <v>167</v>
      </c>
      <c r="C8" s="2">
        <f>'JANUARY 21'!H8:H26</f>
        <v>2400</v>
      </c>
      <c r="D8" s="2"/>
      <c r="E8" s="2">
        <v>2500</v>
      </c>
      <c r="F8" s="2">
        <f t="shared" si="0"/>
        <v>4900</v>
      </c>
      <c r="G8" s="2">
        <f>2500</f>
        <v>2500</v>
      </c>
      <c r="H8" s="2">
        <f>F8-G8</f>
        <v>2400</v>
      </c>
      <c r="I8" s="2"/>
      <c r="J8" s="2"/>
    </row>
    <row r="9" spans="1:10" x14ac:dyDescent="0.25">
      <c r="A9" s="2">
        <v>5</v>
      </c>
      <c r="B9" s="33" t="s">
        <v>238</v>
      </c>
      <c r="C9" s="2">
        <f>'JANUARY 21'!H9:H27</f>
        <v>0</v>
      </c>
      <c r="D9" s="2"/>
      <c r="E9" s="2">
        <v>2000</v>
      </c>
      <c r="F9" s="2">
        <f t="shared" si="0"/>
        <v>2000</v>
      </c>
      <c r="G9" s="2"/>
      <c r="H9" s="2">
        <f t="shared" ref="H9:H22" si="1">F9-G9</f>
        <v>2000</v>
      </c>
      <c r="I9" s="2"/>
      <c r="J9" s="2"/>
    </row>
    <row r="10" spans="1:10" x14ac:dyDescent="0.25">
      <c r="A10" s="2">
        <v>6</v>
      </c>
      <c r="B10" s="2" t="s">
        <v>37</v>
      </c>
      <c r="C10" s="2">
        <f>'JANUARY 21'!H10:H28</f>
        <v>205</v>
      </c>
      <c r="D10" s="2"/>
      <c r="E10" s="2">
        <v>2500</v>
      </c>
      <c r="F10" s="2">
        <f t="shared" si="0"/>
        <v>2705</v>
      </c>
      <c r="G10" s="2"/>
      <c r="H10" s="2">
        <f>F10-G10</f>
        <v>2705</v>
      </c>
      <c r="I10" s="2"/>
      <c r="J10" s="2"/>
    </row>
    <row r="11" spans="1:10" x14ac:dyDescent="0.25">
      <c r="A11" s="2">
        <v>7</v>
      </c>
      <c r="B11" s="2" t="s">
        <v>239</v>
      </c>
      <c r="C11" s="2">
        <f>'JANUARY 21'!H11:H29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0" x14ac:dyDescent="0.25">
      <c r="A12" s="2">
        <v>8</v>
      </c>
      <c r="B12" s="32" t="s">
        <v>237</v>
      </c>
      <c r="C12" s="2">
        <f>'JANUARY 21'!H12:H30</f>
        <v>1350</v>
      </c>
      <c r="D12" s="2"/>
      <c r="E12" s="2"/>
      <c r="F12" s="2">
        <f t="shared" si="0"/>
        <v>1350</v>
      </c>
      <c r="G12" s="2"/>
      <c r="H12" s="2"/>
      <c r="I12" s="2"/>
      <c r="J12" s="2" t="s">
        <v>149</v>
      </c>
    </row>
    <row r="13" spans="1:10" x14ac:dyDescent="0.25">
      <c r="A13" s="2">
        <v>9</v>
      </c>
      <c r="B13" s="2" t="s">
        <v>236</v>
      </c>
      <c r="C13" s="2">
        <f>'JANUARY 21'!H13:H31</f>
        <v>0</v>
      </c>
      <c r="D13" s="2"/>
      <c r="E13" s="2">
        <v>2500</v>
      </c>
      <c r="F13" s="2">
        <f t="shared" si="0"/>
        <v>2500</v>
      </c>
      <c r="G13" s="2">
        <f>2500</f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235</v>
      </c>
      <c r="C14" s="2">
        <f>'JANUARY 21'!H14:H32</f>
        <v>0</v>
      </c>
      <c r="D14" s="2"/>
      <c r="E14" s="2">
        <v>2500</v>
      </c>
      <c r="F14" s="2">
        <f t="shared" si="0"/>
        <v>2500</v>
      </c>
      <c r="G14" s="2">
        <f>2500</f>
        <v>2500</v>
      </c>
      <c r="H14" s="2">
        <f t="shared" si="1"/>
        <v>0</v>
      </c>
      <c r="I14" s="2">
        <v>100</v>
      </c>
      <c r="J14" s="2"/>
    </row>
    <row r="15" spans="1:10" x14ac:dyDescent="0.25">
      <c r="A15" s="2">
        <v>11</v>
      </c>
      <c r="B15" s="2" t="s">
        <v>242</v>
      </c>
      <c r="C15" s="2">
        <f>'JANUARY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178</v>
      </c>
      <c r="C16" s="2">
        <f>'JANUARY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244</v>
      </c>
      <c r="C17" s="2">
        <f>'JANUARY 21'!H17:H35</f>
        <v>0</v>
      </c>
      <c r="D17" s="2"/>
      <c r="E17" s="2">
        <v>2000</v>
      </c>
      <c r="F17" s="2">
        <f t="shared" si="0"/>
        <v>2000</v>
      </c>
      <c r="G17" s="2">
        <v>2000</v>
      </c>
      <c r="H17" s="2">
        <f t="shared" si="1"/>
        <v>0</v>
      </c>
      <c r="I17" s="2">
        <v>200</v>
      </c>
      <c r="J17" s="2"/>
    </row>
    <row r="18" spans="1:10" x14ac:dyDescent="0.25">
      <c r="A18" s="2">
        <v>14</v>
      </c>
      <c r="B18" s="32" t="s">
        <v>233</v>
      </c>
      <c r="C18" s="2">
        <f>'JANUARY 21'!H18:H36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200</v>
      </c>
      <c r="J18" s="2"/>
    </row>
    <row r="19" spans="1:10" x14ac:dyDescent="0.25">
      <c r="A19" s="2">
        <v>15</v>
      </c>
      <c r="B19" s="2" t="s">
        <v>243</v>
      </c>
      <c r="C19" s="2">
        <f>'JANUARY 21'!H19:H37</f>
        <v>0</v>
      </c>
      <c r="D19" s="2"/>
      <c r="E19" s="2">
        <v>2000</v>
      </c>
      <c r="F19" s="2">
        <f t="shared" si="0"/>
        <v>2000</v>
      </c>
      <c r="G19" s="2">
        <f>2000</f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178</v>
      </c>
      <c r="C20" s="2">
        <f>'JANUARY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'JANUARY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'JANUARY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'JANUARY 21'!H23:H41</f>
        <v>4955</v>
      </c>
      <c r="D23" s="1">
        <f>SUM(D5:D22)</f>
        <v>0</v>
      </c>
      <c r="E23" s="1">
        <f>SUM(E5:E22)</f>
        <v>29000</v>
      </c>
      <c r="F23" s="2">
        <f>C23+D23+E23</f>
        <v>33955</v>
      </c>
      <c r="G23" s="1">
        <f>SUM(G5:G22)</f>
        <v>18000</v>
      </c>
      <c r="H23" s="2">
        <f>SUM(H5:H22)</f>
        <v>14605</v>
      </c>
      <c r="I23" s="1">
        <f>SUM(I5:I22)</f>
        <v>1000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164</v>
      </c>
      <c r="C27" s="13">
        <f>E23</f>
        <v>29000</v>
      </c>
      <c r="D27" s="12"/>
      <c r="E27" s="12"/>
      <c r="F27" s="12" t="s">
        <v>164</v>
      </c>
      <c r="G27" s="13">
        <f>G23</f>
        <v>18000</v>
      </c>
      <c r="H27" s="12"/>
      <c r="I27" s="12"/>
    </row>
    <row r="28" spans="1:10" x14ac:dyDescent="0.25">
      <c r="B28" s="12" t="s">
        <v>2</v>
      </c>
      <c r="C28" s="13">
        <f>'JANUARY 21'!E45</f>
        <v>6325.5</v>
      </c>
      <c r="D28" s="12"/>
      <c r="E28" s="12"/>
      <c r="F28" s="12" t="s">
        <v>2</v>
      </c>
      <c r="G28" s="13">
        <f>'JANUARY 21'!I45</f>
        <v>870.5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1000</v>
      </c>
      <c r="D31" s="2"/>
      <c r="E31" s="2"/>
      <c r="F31" s="20" t="s">
        <v>44</v>
      </c>
      <c r="G31" s="2">
        <f>C31</f>
        <v>1000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1450</v>
      </c>
      <c r="E32" s="12"/>
      <c r="F32" s="12" t="s">
        <v>28</v>
      </c>
      <c r="G32" s="14">
        <v>0.05</v>
      </c>
      <c r="H32" s="13">
        <f>D32</f>
        <v>1450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>
        <f>C34*E18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10" x14ac:dyDescent="0.25">
      <c r="B35" s="16" t="s">
        <v>123</v>
      </c>
      <c r="C35" s="2"/>
      <c r="D35" s="2">
        <v>2040</v>
      </c>
      <c r="E35" s="17"/>
      <c r="F35" s="16" t="s">
        <v>123</v>
      </c>
      <c r="G35" s="2"/>
      <c r="H35" s="2">
        <v>2040</v>
      </c>
      <c r="I35" s="12"/>
    </row>
    <row r="36" spans="2:10" x14ac:dyDescent="0.25">
      <c r="B36" t="s">
        <v>245</v>
      </c>
      <c r="D36" s="2">
        <v>1350</v>
      </c>
      <c r="E36" s="2"/>
      <c r="F36" s="2"/>
      <c r="H36" s="2"/>
      <c r="I36" s="12"/>
    </row>
    <row r="37" spans="2:10" x14ac:dyDescent="0.25">
      <c r="B37" s="17"/>
      <c r="E37" s="12"/>
      <c r="F37" s="17"/>
      <c r="I37" s="12"/>
    </row>
    <row r="38" spans="2:10" x14ac:dyDescent="0.25">
      <c r="B38" s="17"/>
      <c r="C38" s="12"/>
      <c r="D38" s="12"/>
      <c r="E38" s="12"/>
      <c r="F38" s="17"/>
      <c r="G38" s="12"/>
      <c r="H38" s="12"/>
      <c r="I38" s="12"/>
    </row>
    <row r="39" spans="2:10" x14ac:dyDescent="0.25">
      <c r="B39" s="25" t="s">
        <v>54</v>
      </c>
      <c r="C39" s="24">
        <f>C27+C28+C29+C30+C31-D32</f>
        <v>34875.5</v>
      </c>
      <c r="D39" s="26">
        <f>SUM(D34:D38)</f>
        <v>3990</v>
      </c>
      <c r="E39" s="24">
        <f>C39-D39</f>
        <v>30885.5</v>
      </c>
      <c r="F39" s="25" t="s">
        <v>54</v>
      </c>
      <c r="G39" s="24">
        <f>G27+G28+G29+G30+G31-H32</f>
        <v>18420.5</v>
      </c>
      <c r="H39" s="24">
        <f>SUM(H34:H38)</f>
        <v>2640</v>
      </c>
      <c r="I39" s="24">
        <f>G39-H39</f>
        <v>15780.5</v>
      </c>
    </row>
    <row r="40" spans="2:10" x14ac:dyDescent="0.25">
      <c r="B40" t="s">
        <v>31</v>
      </c>
      <c r="D40" t="s">
        <v>32</v>
      </c>
      <c r="G40" t="s">
        <v>33</v>
      </c>
    </row>
    <row r="41" spans="2:10" x14ac:dyDescent="0.25">
      <c r="B41" t="s">
        <v>134</v>
      </c>
      <c r="D41" t="s">
        <v>35</v>
      </c>
      <c r="G41" t="s">
        <v>36</v>
      </c>
      <c r="J41" s="27">
        <f>H23+I39</f>
        <v>30385.5</v>
      </c>
    </row>
    <row r="42" spans="2:10" x14ac:dyDescent="0.25">
      <c r="J42" s="27">
        <f>E39-J41</f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0" workbookViewId="0">
      <selection activeCell="K40" sqref="K40"/>
    </sheetView>
  </sheetViews>
  <sheetFormatPr defaultRowHeight="15" x14ac:dyDescent="0.25"/>
  <cols>
    <col min="1" max="1" width="4.42578125" customWidth="1"/>
    <col min="2" max="2" width="19.57031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246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224</v>
      </c>
      <c r="C5" s="2">
        <f>FEBRUARY21!H5:H23</f>
        <v>0</v>
      </c>
      <c r="D5" s="2"/>
      <c r="E5" s="2">
        <v>2000</v>
      </c>
      <c r="F5" s="2">
        <f>C5+D5+E5</f>
        <v>2000</v>
      </c>
      <c r="G5" s="2">
        <f>1300</f>
        <v>1300</v>
      </c>
      <c r="H5" s="2">
        <f>F5-G5</f>
        <v>700</v>
      </c>
      <c r="I5" s="2"/>
      <c r="J5" s="2"/>
    </row>
    <row r="6" spans="1:11" x14ac:dyDescent="0.25">
      <c r="A6" s="2">
        <v>2</v>
      </c>
      <c r="B6" s="2" t="s">
        <v>228</v>
      </c>
      <c r="C6" s="2">
        <f>FEBRUARY21!H6:H24</f>
        <v>3000</v>
      </c>
      <c r="D6" s="2"/>
      <c r="E6" s="2">
        <v>2000</v>
      </c>
      <c r="F6" s="2">
        <f t="shared" ref="F6:F22" si="0">C6+D6+E6</f>
        <v>5000</v>
      </c>
      <c r="G6" s="2">
        <f>1300+1000</f>
        <v>2300</v>
      </c>
      <c r="H6" s="2">
        <f>F6-G6</f>
        <v>2700</v>
      </c>
      <c r="I6" s="2"/>
      <c r="J6" s="2"/>
    </row>
    <row r="7" spans="1:11" x14ac:dyDescent="0.25">
      <c r="A7" s="2">
        <v>3</v>
      </c>
      <c r="B7" s="2" t="s">
        <v>229</v>
      </c>
      <c r="C7" s="2">
        <f>FEBRUARY21!H7:H25</f>
        <v>2000</v>
      </c>
      <c r="D7" s="2"/>
      <c r="E7" s="2">
        <v>2000</v>
      </c>
      <c r="F7" s="2">
        <f t="shared" si="0"/>
        <v>4000</v>
      </c>
      <c r="G7" s="2">
        <f>2000</f>
        <v>2000</v>
      </c>
      <c r="H7" s="2">
        <f>F7-G7</f>
        <v>2000</v>
      </c>
      <c r="I7" s="2"/>
      <c r="J7" s="2"/>
    </row>
    <row r="8" spans="1:11" x14ac:dyDescent="0.25">
      <c r="A8" s="2">
        <v>4</v>
      </c>
      <c r="B8" s="2" t="s">
        <v>167</v>
      </c>
      <c r="C8" s="2">
        <f>FEBRUARY21!H8:H26</f>
        <v>2400</v>
      </c>
      <c r="D8" s="2"/>
      <c r="E8" s="2"/>
      <c r="F8" s="2">
        <f t="shared" si="0"/>
        <v>2400</v>
      </c>
      <c r="G8" s="2"/>
      <c r="H8" s="2"/>
      <c r="I8" s="2"/>
      <c r="J8" s="2"/>
      <c r="K8" t="s">
        <v>149</v>
      </c>
    </row>
    <row r="9" spans="1:11" x14ac:dyDescent="0.25">
      <c r="A9" s="2">
        <v>5</v>
      </c>
      <c r="B9" s="15" t="s">
        <v>238</v>
      </c>
      <c r="C9" s="2">
        <f>FEBRUARY21!H9:H27</f>
        <v>2000</v>
      </c>
      <c r="D9" s="2"/>
      <c r="E9" s="2"/>
      <c r="F9" s="2">
        <f t="shared" si="0"/>
        <v>2000</v>
      </c>
      <c r="G9" s="2"/>
      <c r="H9" s="2"/>
      <c r="I9" s="2"/>
      <c r="J9" s="2"/>
      <c r="K9" t="s">
        <v>149</v>
      </c>
    </row>
    <row r="10" spans="1:11" x14ac:dyDescent="0.25">
      <c r="A10" s="2">
        <v>6</v>
      </c>
      <c r="B10" s="2" t="s">
        <v>37</v>
      </c>
      <c r="C10" s="2">
        <f>FEBRUARY21!H10:H28</f>
        <v>2705</v>
      </c>
      <c r="D10" s="2"/>
      <c r="E10" s="2">
        <v>2500</v>
      </c>
      <c r="F10" s="2">
        <f t="shared" si="0"/>
        <v>5205</v>
      </c>
      <c r="G10" s="2">
        <f>3000</f>
        <v>3000</v>
      </c>
      <c r="H10" s="2">
        <f>F10-G10</f>
        <v>2205</v>
      </c>
      <c r="I10" s="2"/>
      <c r="J10" s="2"/>
    </row>
    <row r="11" spans="1:11" x14ac:dyDescent="0.25">
      <c r="A11" s="2">
        <v>7</v>
      </c>
      <c r="B11" s="2" t="s">
        <v>239</v>
      </c>
      <c r="C11" s="2">
        <f>FEBRUARY21!H11:H29</f>
        <v>2500</v>
      </c>
      <c r="D11" s="2"/>
      <c r="E11" s="2"/>
      <c r="F11" s="2">
        <f t="shared" si="0"/>
        <v>2500</v>
      </c>
      <c r="G11" s="2"/>
      <c r="H11" s="2"/>
      <c r="I11" s="2"/>
      <c r="J11" s="2"/>
      <c r="K11" t="s">
        <v>149</v>
      </c>
    </row>
    <row r="12" spans="1:11" x14ac:dyDescent="0.25">
      <c r="A12" s="2">
        <v>8</v>
      </c>
      <c r="B12" s="32"/>
      <c r="C12" s="2"/>
      <c r="D12" s="2"/>
      <c r="E12" s="2"/>
      <c r="F12" s="2">
        <f t="shared" si="0"/>
        <v>0</v>
      </c>
      <c r="G12" s="2"/>
      <c r="H12" s="2">
        <f t="shared" ref="H12:H22" si="1">F12-G12</f>
        <v>0</v>
      </c>
      <c r="I12" s="2"/>
      <c r="J12" s="2"/>
    </row>
    <row r="13" spans="1:11" x14ac:dyDescent="0.25">
      <c r="A13" s="2">
        <v>9</v>
      </c>
      <c r="B13" s="2" t="s">
        <v>236</v>
      </c>
      <c r="C13" s="2">
        <f>FEBRUARY21!H13:H31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235</v>
      </c>
      <c r="C14" s="2">
        <f>FEBRUARY21!H14:H32</f>
        <v>0</v>
      </c>
      <c r="D14" s="2"/>
      <c r="E14" s="2">
        <v>2500</v>
      </c>
      <c r="F14" s="2">
        <f t="shared" si="0"/>
        <v>2500</v>
      </c>
      <c r="G14" s="2"/>
      <c r="H14" s="2"/>
      <c r="I14" s="2"/>
      <c r="J14" s="2"/>
    </row>
    <row r="15" spans="1:11" x14ac:dyDescent="0.25">
      <c r="A15" s="2">
        <v>11</v>
      </c>
      <c r="B15" s="2" t="s">
        <v>242</v>
      </c>
      <c r="C15" s="2">
        <f>FEBRUARY21!H15:H33</f>
        <v>0</v>
      </c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</row>
    <row r="16" spans="1:11" x14ac:dyDescent="0.25">
      <c r="A16" s="2">
        <v>12</v>
      </c>
      <c r="B16" s="2" t="s">
        <v>178</v>
      </c>
      <c r="C16" s="2">
        <f>FEBRUARY21!H16:H34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178</v>
      </c>
      <c r="C17" s="2">
        <f>FEBRUARY21!H17:H35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178</v>
      </c>
      <c r="C18" s="2">
        <f>FEBRUARY21!H18:H36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FEBRUARY21!H19:H37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FEBRUARY21!H20:H38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FEBRUARY21!H21:H38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FEBRUARY21!H22:H38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14605</v>
      </c>
      <c r="D23" s="1">
        <f>SUM(D5:D22)</f>
        <v>0</v>
      </c>
      <c r="E23" s="1">
        <f>SUM(E5:E22)</f>
        <v>16000</v>
      </c>
      <c r="F23" s="2">
        <f>C23+D23+E23</f>
        <v>30605</v>
      </c>
      <c r="G23" s="1">
        <f>SUM(G5:G22)</f>
        <v>11100</v>
      </c>
      <c r="H23" s="2">
        <f>SUM(H5:H22)</f>
        <v>10105</v>
      </c>
      <c r="I23" s="1">
        <f>SUM(I5:I22)</f>
        <v>100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>
        <f>H23-H14-H11-H9-H8</f>
        <v>10105</v>
      </c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>
        <f>H5+H6+H7+H10+H15</f>
        <v>10105</v>
      </c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75</v>
      </c>
      <c r="C27" s="13">
        <f>E23</f>
        <v>16000</v>
      </c>
      <c r="D27" s="12"/>
      <c r="E27" s="12"/>
      <c r="F27" s="12" t="s">
        <v>75</v>
      </c>
      <c r="G27" s="13">
        <f>G23</f>
        <v>11100</v>
      </c>
      <c r="H27" s="12"/>
      <c r="I27" s="12"/>
    </row>
    <row r="28" spans="1:10" x14ac:dyDescent="0.25">
      <c r="B28" s="12" t="s">
        <v>2</v>
      </c>
      <c r="C28" s="13">
        <f>FEBRUARY21!E39</f>
        <v>30885.5</v>
      </c>
      <c r="D28" s="12"/>
      <c r="E28" s="12"/>
      <c r="F28" s="12" t="s">
        <v>2</v>
      </c>
      <c r="G28" s="13">
        <f>FEBRUARY21!I39</f>
        <v>15780.5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</v>
      </c>
      <c r="D31" s="2"/>
      <c r="E31" s="2"/>
      <c r="F31" s="20" t="s">
        <v>44</v>
      </c>
      <c r="G31" s="2">
        <f>C31</f>
        <v>100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800</v>
      </c>
      <c r="E32" s="12"/>
      <c r="F32" s="12" t="s">
        <v>28</v>
      </c>
      <c r="G32" s="14">
        <v>0.05</v>
      </c>
      <c r="H32" s="13">
        <f>D32</f>
        <v>800</v>
      </c>
      <c r="I32" s="12"/>
    </row>
    <row r="33" spans="2:12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2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2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2" x14ac:dyDescent="0.25">
      <c r="B36" t="s">
        <v>248</v>
      </c>
      <c r="D36" s="2">
        <v>14597</v>
      </c>
      <c r="E36" s="2"/>
      <c r="F36" t="s">
        <v>248</v>
      </c>
      <c r="H36" s="2">
        <v>14597</v>
      </c>
      <c r="I36" s="2"/>
    </row>
    <row r="37" spans="2:12" x14ac:dyDescent="0.25">
      <c r="B37" s="17" t="s">
        <v>249</v>
      </c>
      <c r="D37">
        <v>2000</v>
      </c>
      <c r="E37" s="12"/>
      <c r="F37" s="17"/>
      <c r="I37" s="12"/>
    </row>
    <row r="38" spans="2:12" x14ac:dyDescent="0.25">
      <c r="B38" s="17" t="s">
        <v>252</v>
      </c>
      <c r="C38" s="12"/>
      <c r="D38" s="12">
        <v>2400</v>
      </c>
      <c r="E38" s="12"/>
      <c r="F38" s="17"/>
      <c r="G38" s="12"/>
      <c r="H38" s="12"/>
      <c r="I38" s="12"/>
      <c r="K38" s="35">
        <f>H24+I45</f>
        <v>19888.5</v>
      </c>
    </row>
    <row r="39" spans="2:12" x14ac:dyDescent="0.25">
      <c r="B39" s="17" t="s">
        <v>253</v>
      </c>
      <c r="C39" s="12"/>
      <c r="D39" s="12">
        <v>2500</v>
      </c>
      <c r="E39" s="12"/>
      <c r="F39" s="17"/>
      <c r="G39" s="12"/>
      <c r="H39" s="12"/>
      <c r="I39" s="12"/>
      <c r="K39" s="35">
        <f>E45-K38</f>
        <v>500</v>
      </c>
    </row>
    <row r="40" spans="2:12" x14ac:dyDescent="0.25">
      <c r="B40" s="17" t="s">
        <v>255</v>
      </c>
      <c r="C40" s="12"/>
      <c r="D40" s="12">
        <f>E14</f>
        <v>2500</v>
      </c>
      <c r="E40" s="12"/>
      <c r="F40" s="17"/>
      <c r="G40" s="12"/>
      <c r="H40" s="12"/>
      <c r="I40" s="12"/>
    </row>
    <row r="41" spans="2:12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2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2" x14ac:dyDescent="0.25">
      <c r="B43" s="17"/>
      <c r="C43" s="12"/>
      <c r="D43" s="12"/>
      <c r="E43" s="12"/>
      <c r="F43" s="17"/>
      <c r="G43" s="12"/>
      <c r="H43" s="12"/>
      <c r="I43" s="12"/>
    </row>
    <row r="44" spans="2:12" x14ac:dyDescent="0.25">
      <c r="B44" s="17"/>
      <c r="C44" s="12"/>
      <c r="D44" s="12"/>
      <c r="E44" s="12"/>
      <c r="F44" s="17"/>
      <c r="G44" s="12"/>
      <c r="H44" s="12"/>
      <c r="I44" s="12"/>
    </row>
    <row r="45" spans="2:12" x14ac:dyDescent="0.25">
      <c r="B45" s="25" t="s">
        <v>54</v>
      </c>
      <c r="C45" s="24">
        <f>C27+C28+C29+C30+C31-D32</f>
        <v>46185.5</v>
      </c>
      <c r="D45" s="26">
        <f>SUM(D34:D44)</f>
        <v>25797</v>
      </c>
      <c r="E45" s="24">
        <f>C45-D45</f>
        <v>20388.5</v>
      </c>
      <c r="F45" s="25" t="s">
        <v>54</v>
      </c>
      <c r="G45" s="24">
        <f>G27+G28+G29+G30+G31-H32</f>
        <v>26180.5</v>
      </c>
      <c r="H45" s="24">
        <f>SUM(H34:H44)</f>
        <v>16397</v>
      </c>
      <c r="I45" s="24">
        <f>G45-H45</f>
        <v>9783.5</v>
      </c>
    </row>
    <row r="46" spans="2:12" x14ac:dyDescent="0.25">
      <c r="B46" t="s">
        <v>31</v>
      </c>
      <c r="D46" t="s">
        <v>32</v>
      </c>
      <c r="G46" t="s">
        <v>33</v>
      </c>
    </row>
    <row r="47" spans="2:12" x14ac:dyDescent="0.25">
      <c r="B47" t="s">
        <v>134</v>
      </c>
      <c r="D47" t="s">
        <v>35</v>
      </c>
      <c r="G47" t="s">
        <v>36</v>
      </c>
      <c r="J47" s="35"/>
      <c r="L47" s="35"/>
    </row>
    <row r="49" spans="7:10" x14ac:dyDescent="0.25">
      <c r="G49" s="27">
        <f>E45-I45</f>
        <v>10605</v>
      </c>
      <c r="J49" s="27"/>
    </row>
    <row r="50" spans="7:10" x14ac:dyDescent="0.25">
      <c r="I50" s="27"/>
      <c r="J50" s="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K43" sqref="K43"/>
    </sheetView>
  </sheetViews>
  <sheetFormatPr defaultRowHeight="15" x14ac:dyDescent="0.25"/>
  <cols>
    <col min="1" max="1" width="3.85546875" customWidth="1"/>
    <col min="2" max="2" width="18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250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'MARCH 21'!H5:H22</f>
        <v>700</v>
      </c>
      <c r="D5" s="2"/>
      <c r="E5" s="2">
        <v>2000</v>
      </c>
      <c r="F5" s="2">
        <f>C5+D5+E5</f>
        <v>2700</v>
      </c>
      <c r="G5" s="2"/>
      <c r="H5" s="2"/>
      <c r="I5" s="2"/>
      <c r="J5" s="2"/>
    </row>
    <row r="6" spans="1:10" x14ac:dyDescent="0.25">
      <c r="A6" s="2">
        <v>2</v>
      </c>
      <c r="B6" s="2" t="s">
        <v>228</v>
      </c>
      <c r="C6" s="2">
        <f>'MARCH 21'!H6:H23</f>
        <v>2700</v>
      </c>
      <c r="D6" s="2"/>
      <c r="E6" s="2">
        <v>2000</v>
      </c>
      <c r="F6" s="2">
        <f t="shared" ref="F6:F22" si="0">C6+D6+E6</f>
        <v>4700</v>
      </c>
      <c r="G6" s="2">
        <f>3000</f>
        <v>3000</v>
      </c>
      <c r="H6" s="2"/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'MARCH 21'!H7:H24</f>
        <v>2000</v>
      </c>
      <c r="D7" s="2"/>
      <c r="E7" s="2">
        <v>2000</v>
      </c>
      <c r="F7" s="2">
        <f t="shared" si="0"/>
        <v>4000</v>
      </c>
      <c r="G7" s="2"/>
      <c r="H7" s="2">
        <f>F7-G7</f>
        <v>4000</v>
      </c>
      <c r="I7" s="2"/>
      <c r="J7" s="2"/>
    </row>
    <row r="8" spans="1:10" x14ac:dyDescent="0.25">
      <c r="A8" s="2">
        <v>4</v>
      </c>
      <c r="B8" s="2" t="s">
        <v>256</v>
      </c>
      <c r="C8" s="2"/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200</v>
      </c>
      <c r="J8" s="2"/>
    </row>
    <row r="9" spans="1:10" x14ac:dyDescent="0.25">
      <c r="A9" s="2">
        <v>5</v>
      </c>
      <c r="B9" s="15" t="s">
        <v>178</v>
      </c>
      <c r="C9" s="2"/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'MARCH 21'!H10:H27</f>
        <v>2205</v>
      </c>
      <c r="D10" s="2"/>
      <c r="E10" s="2">
        <v>2500</v>
      </c>
      <c r="F10" s="2">
        <f t="shared" si="0"/>
        <v>4705</v>
      </c>
      <c r="G10" s="2"/>
      <c r="H10" s="2">
        <f>F10-G10</f>
        <v>4705</v>
      </c>
      <c r="I10" s="2"/>
      <c r="J10" s="2"/>
    </row>
    <row r="11" spans="1:10" x14ac:dyDescent="0.25">
      <c r="A11" s="2">
        <v>7</v>
      </c>
      <c r="B11" s="34" t="s">
        <v>257</v>
      </c>
      <c r="C11" s="2"/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/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15" t="s">
        <v>178</v>
      </c>
      <c r="C13" s="2">
        <f>'MARCH 21'!H13:H30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/>
      <c r="C14" s="2"/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236</v>
      </c>
      <c r="C15" s="2"/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'MARCH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'MARCH 21'!H17:H34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/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v>2500</v>
      </c>
      <c r="D19" s="2"/>
      <c r="E19" s="2">
        <v>2500</v>
      </c>
      <c r="F19" s="2">
        <f t="shared" si="0"/>
        <v>5000</v>
      </c>
      <c r="G19" s="2">
        <f>2000</f>
        <v>2000</v>
      </c>
      <c r="H19" s="2">
        <f t="shared" si="1"/>
        <v>3000</v>
      </c>
      <c r="I19" s="2"/>
      <c r="J19" s="2"/>
    </row>
    <row r="20" spans="1:10" x14ac:dyDescent="0.25">
      <c r="A20" s="2">
        <v>16</v>
      </c>
      <c r="B20" s="15" t="s">
        <v>178</v>
      </c>
      <c r="C20" s="2"/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'MARCH 21'!H21:H38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21'!H22:H39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10105</v>
      </c>
      <c r="D23" s="1">
        <f>SUM(D5:D22)</f>
        <v>0</v>
      </c>
      <c r="E23" s="1">
        <f>SUM(E5:E22)</f>
        <v>18000</v>
      </c>
      <c r="F23" s="2">
        <f>C23+D23+E23</f>
        <v>28105</v>
      </c>
      <c r="G23" s="1">
        <f>SUM(G5:G22)</f>
        <v>9500</v>
      </c>
      <c r="H23" s="2">
        <f>SUM(H5:H22)</f>
        <v>14205</v>
      </c>
      <c r="I23" s="1">
        <f>SUM(I5:I22)</f>
        <v>200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84</v>
      </c>
      <c r="C27" s="13">
        <f>E23</f>
        <v>18000</v>
      </c>
      <c r="D27" s="12"/>
      <c r="E27" s="12"/>
      <c r="F27" s="12" t="s">
        <v>84</v>
      </c>
      <c r="G27" s="13">
        <f>G23</f>
        <v>9500</v>
      </c>
      <c r="H27" s="12"/>
      <c r="I27" s="12"/>
    </row>
    <row r="28" spans="1:10" x14ac:dyDescent="0.25">
      <c r="B28" s="12" t="s">
        <v>2</v>
      </c>
      <c r="C28" s="13">
        <f>'MARCH 21'!E45</f>
        <v>20388.5</v>
      </c>
      <c r="D28" s="12"/>
      <c r="E28" s="12"/>
      <c r="F28" s="12" t="s">
        <v>2</v>
      </c>
      <c r="G28" s="13">
        <f>'MARCH 21'!I45</f>
        <v>9783.5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200</v>
      </c>
      <c r="D31" s="2"/>
      <c r="E31" s="2"/>
      <c r="F31" s="20" t="s">
        <v>44</v>
      </c>
      <c r="G31" s="2">
        <f>C31</f>
        <v>200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900</v>
      </c>
      <c r="E32" s="12"/>
      <c r="F32" s="12" t="s">
        <v>28</v>
      </c>
      <c r="G32" s="14">
        <v>0.05</v>
      </c>
      <c r="H32" s="13">
        <f>D32</f>
        <v>900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1" x14ac:dyDescent="0.25">
      <c r="B36" t="s">
        <v>254</v>
      </c>
      <c r="D36" s="2">
        <v>9687</v>
      </c>
      <c r="E36" s="2"/>
      <c r="F36" t="s">
        <v>254</v>
      </c>
      <c r="H36" s="2">
        <v>9687</v>
      </c>
      <c r="I36" s="2"/>
    </row>
    <row r="37" spans="2:11" x14ac:dyDescent="0.25">
      <c r="B37" s="17" t="s">
        <v>259</v>
      </c>
      <c r="D37">
        <f>F5</f>
        <v>2700</v>
      </c>
      <c r="E37" s="12"/>
      <c r="F37" s="17"/>
      <c r="I37" s="12"/>
    </row>
    <row r="38" spans="2:11" x14ac:dyDescent="0.25">
      <c r="B38" s="17" t="s">
        <v>260</v>
      </c>
      <c r="C38" s="12"/>
      <c r="D38" s="12">
        <f>1700</f>
        <v>1700</v>
      </c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>
        <f>H23+I45</f>
        <v>21301.5</v>
      </c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  <c r="K44" s="27"/>
    </row>
    <row r="45" spans="2:11" x14ac:dyDescent="0.25">
      <c r="B45" s="25" t="s">
        <v>54</v>
      </c>
      <c r="C45" s="24">
        <f>C27+C28+C29+C30+C31-D32</f>
        <v>37688.5</v>
      </c>
      <c r="D45" s="26">
        <f>SUM(D34:D44)</f>
        <v>15887</v>
      </c>
      <c r="E45" s="24">
        <f>C45-D45</f>
        <v>21801.5</v>
      </c>
      <c r="F45" s="25" t="s">
        <v>54</v>
      </c>
      <c r="G45" s="24">
        <f>G27+G28+G29+G30+G31-H32</f>
        <v>18583.5</v>
      </c>
      <c r="H45" s="24">
        <f>SUM(H34:H44)</f>
        <v>11487</v>
      </c>
      <c r="I45" s="24">
        <f>G45-H45</f>
        <v>7096.5</v>
      </c>
      <c r="K45" s="27"/>
    </row>
    <row r="46" spans="2:11" x14ac:dyDescent="0.25">
      <c r="B46" t="s">
        <v>31</v>
      </c>
      <c r="D46" t="s">
        <v>32</v>
      </c>
      <c r="G46" t="s">
        <v>33</v>
      </c>
      <c r="J46" s="27"/>
    </row>
    <row r="47" spans="2:11" x14ac:dyDescent="0.25">
      <c r="B47" t="s">
        <v>134</v>
      </c>
      <c r="D47" t="s">
        <v>35</v>
      </c>
      <c r="G47" t="s">
        <v>36</v>
      </c>
      <c r="J47" s="27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0" workbookViewId="0">
      <selection activeCell="J46" sqref="J46"/>
    </sheetView>
  </sheetViews>
  <sheetFormatPr defaultRowHeight="15" x14ac:dyDescent="0.25"/>
  <cols>
    <col min="2" max="2" width="20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258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 t="s">
        <v>265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/>
    </row>
    <row r="6" spans="1:10" x14ac:dyDescent="0.25">
      <c r="A6" s="2">
        <v>2</v>
      </c>
      <c r="B6" s="15" t="s">
        <v>178</v>
      </c>
      <c r="C6" s="2"/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'APRIL 21'!H7:H25</f>
        <v>4000</v>
      </c>
      <c r="D7" s="2"/>
      <c r="E7" s="2">
        <v>2000</v>
      </c>
      <c r="F7" s="2">
        <f t="shared" si="0"/>
        <v>6000</v>
      </c>
      <c r="G7" s="2"/>
      <c r="H7" s="2">
        <f>F7-G7</f>
        <v>6000</v>
      </c>
      <c r="I7" s="2"/>
      <c r="J7" s="2"/>
    </row>
    <row r="8" spans="1:10" x14ac:dyDescent="0.25">
      <c r="A8" s="2">
        <v>4</v>
      </c>
      <c r="B8" s="2" t="s">
        <v>256</v>
      </c>
      <c r="C8" s="2">
        <f>'APRIL 21'!H8:H26</f>
        <v>0</v>
      </c>
      <c r="D8" s="2"/>
      <c r="E8" s="2">
        <v>2000</v>
      </c>
      <c r="F8" s="2">
        <f t="shared" si="0"/>
        <v>2000</v>
      </c>
      <c r="G8" s="2"/>
      <c r="H8" s="2">
        <f>F8-G8</f>
        <v>2000</v>
      </c>
      <c r="I8" s="2"/>
      <c r="J8" s="2"/>
    </row>
    <row r="9" spans="1:10" x14ac:dyDescent="0.25">
      <c r="A9" s="2">
        <v>5</v>
      </c>
      <c r="B9" s="15" t="s">
        <v>178</v>
      </c>
      <c r="C9" s="2">
        <f>'APRIL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'APRIL 21'!H10:H28</f>
        <v>4705</v>
      </c>
      <c r="D10" s="2"/>
      <c r="E10" s="2">
        <v>2500</v>
      </c>
      <c r="F10" s="2">
        <f t="shared" si="0"/>
        <v>7205</v>
      </c>
      <c r="G10" s="2"/>
      <c r="H10" s="2">
        <f>F10-G10</f>
        <v>7205</v>
      </c>
      <c r="I10" s="2"/>
      <c r="J10" s="2"/>
    </row>
    <row r="11" spans="1:10" x14ac:dyDescent="0.25">
      <c r="A11" s="2">
        <v>7</v>
      </c>
      <c r="B11" s="34" t="s">
        <v>263</v>
      </c>
      <c r="C11" s="2">
        <f>'APRIL 21'!H11:H29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/>
      <c r="C12" s="2">
        <f>'APRIL 21'!H12:H30</f>
        <v>0</v>
      </c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'APRIL 21'!H13:H31</f>
        <v>0</v>
      </c>
      <c r="D13" s="2"/>
      <c r="E13" s="2">
        <v>2500</v>
      </c>
      <c r="F13" s="2">
        <f t="shared" si="0"/>
        <v>2500</v>
      </c>
      <c r="G13" s="2">
        <f>2000+500</f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261</v>
      </c>
      <c r="C14" s="2">
        <f>'APRIL 21'!H14:H32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236</v>
      </c>
      <c r="C15" s="2">
        <f>'APRIL 21'!H15:H33</f>
        <v>2500</v>
      </c>
      <c r="D15" s="2"/>
      <c r="E15" s="2">
        <v>2500</v>
      </c>
      <c r="F15" s="2">
        <f t="shared" si="0"/>
        <v>5000</v>
      </c>
      <c r="G15" s="2"/>
      <c r="H15" s="2"/>
      <c r="I15" s="2"/>
      <c r="J15" s="2"/>
    </row>
    <row r="16" spans="1:10" x14ac:dyDescent="0.25">
      <c r="A16" s="2">
        <v>12</v>
      </c>
      <c r="B16" s="15" t="s">
        <v>251</v>
      </c>
      <c r="C16" s="2">
        <f>'APRIL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'APRIL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'APRIL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'APRIL 21'!H19:H37</f>
        <v>3000</v>
      </c>
      <c r="D19" s="2"/>
      <c r="E19" s="2">
        <v>2500</v>
      </c>
      <c r="F19" s="2">
        <f t="shared" si="0"/>
        <v>5500</v>
      </c>
      <c r="G19" s="2">
        <f>1500+500</f>
        <v>2000</v>
      </c>
      <c r="H19" s="2">
        <f t="shared" si="1"/>
        <v>3500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'APRIL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'APRIL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'APRIL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'APRIL 21'!H23:H41</f>
        <v>14205</v>
      </c>
      <c r="D23" s="1">
        <f>SUM(D5:D22)</f>
        <v>0</v>
      </c>
      <c r="E23" s="1">
        <f>SUM(E5:E22)</f>
        <v>21000</v>
      </c>
      <c r="F23" s="2">
        <f>C23+D23+E23</f>
        <v>35205</v>
      </c>
      <c r="G23" s="1">
        <f>SUM(G5:G22)</f>
        <v>11500</v>
      </c>
      <c r="H23" s="2">
        <f>SUM(H5:H22)</f>
        <v>18705</v>
      </c>
      <c r="I23" s="1">
        <f>SUM(I5:I22)</f>
        <v>100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88</v>
      </c>
      <c r="C27" s="13">
        <f>E23</f>
        <v>21000</v>
      </c>
      <c r="D27" s="12"/>
      <c r="E27" s="12"/>
      <c r="F27" s="12" t="s">
        <v>88</v>
      </c>
      <c r="G27" s="13">
        <f>G23</f>
        <v>11500</v>
      </c>
      <c r="H27" s="12"/>
      <c r="I27" s="12"/>
    </row>
    <row r="28" spans="1:10" x14ac:dyDescent="0.25">
      <c r="B28" s="12" t="s">
        <v>2</v>
      </c>
      <c r="C28" s="13">
        <f>'APRIL 21'!E45</f>
        <v>21801.5</v>
      </c>
      <c r="D28" s="12"/>
      <c r="E28" s="12"/>
      <c r="F28" s="12" t="s">
        <v>2</v>
      </c>
      <c r="G28" s="13">
        <f>'APRIL 21'!I45</f>
        <v>7096.5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</v>
      </c>
      <c r="D31" s="2"/>
      <c r="E31" s="2"/>
      <c r="F31" s="20" t="s">
        <v>44</v>
      </c>
      <c r="G31" s="2">
        <f>C31</f>
        <v>100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1050</v>
      </c>
      <c r="E32" s="12"/>
      <c r="F32" s="12" t="s">
        <v>28</v>
      </c>
      <c r="G32" s="14">
        <v>0.05</v>
      </c>
      <c r="H32" s="13">
        <f>D32</f>
        <v>1050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0" x14ac:dyDescent="0.25">
      <c r="B35" s="16" t="s">
        <v>123</v>
      </c>
      <c r="C35" s="2"/>
      <c r="D35" s="2">
        <v>1590</v>
      </c>
      <c r="E35" s="17"/>
      <c r="F35" s="16" t="s">
        <v>123</v>
      </c>
      <c r="G35" s="2"/>
      <c r="H35" s="2">
        <v>1590</v>
      </c>
      <c r="I35" s="12"/>
    </row>
    <row r="36" spans="2:10" x14ac:dyDescent="0.25">
      <c r="D36" s="2"/>
      <c r="E36" s="2"/>
      <c r="H36" s="2"/>
      <c r="I36" s="2"/>
    </row>
    <row r="37" spans="2:10" x14ac:dyDescent="0.25">
      <c r="B37" s="17" t="s">
        <v>262</v>
      </c>
      <c r="D37">
        <v>7075</v>
      </c>
      <c r="E37" s="12"/>
      <c r="F37" s="17" t="s">
        <v>262</v>
      </c>
      <c r="H37">
        <v>7075</v>
      </c>
      <c r="I37" s="12"/>
    </row>
    <row r="38" spans="2:10" x14ac:dyDescent="0.25">
      <c r="B38" s="17" t="s">
        <v>270</v>
      </c>
      <c r="C38" s="12"/>
      <c r="D38" s="12">
        <v>5000</v>
      </c>
      <c r="E38" s="12"/>
      <c r="F38" s="17"/>
      <c r="G38" s="12"/>
      <c r="H38" s="12"/>
      <c r="I38" s="12"/>
    </row>
    <row r="39" spans="2:10" x14ac:dyDescent="0.25">
      <c r="B39" s="17"/>
      <c r="C39" s="12"/>
      <c r="D39" s="12"/>
      <c r="E39" s="12"/>
      <c r="F39" s="17"/>
      <c r="G39" s="12"/>
      <c r="H39" s="12"/>
      <c r="I39" s="12"/>
    </row>
    <row r="40" spans="2:10" x14ac:dyDescent="0.25">
      <c r="B40" s="17"/>
      <c r="C40" s="12"/>
      <c r="D40" s="12"/>
      <c r="E40" s="12"/>
      <c r="F40" s="17"/>
      <c r="G40" s="12"/>
      <c r="H40" s="12"/>
      <c r="I40" s="12"/>
    </row>
    <row r="41" spans="2:10" x14ac:dyDescent="0.25">
      <c r="B41" s="17"/>
      <c r="C41" s="12"/>
      <c r="D41" s="12"/>
      <c r="E41" s="12"/>
      <c r="F41" s="17"/>
      <c r="G41" s="12"/>
      <c r="H41" s="12"/>
      <c r="I41" s="12"/>
    </row>
    <row r="42" spans="2:10" x14ac:dyDescent="0.25">
      <c r="B42" s="16"/>
      <c r="C42" s="2"/>
      <c r="D42" s="2"/>
      <c r="E42" s="17"/>
      <c r="F42" s="16"/>
      <c r="G42" s="2"/>
      <c r="H42" s="2"/>
      <c r="I42" s="12"/>
    </row>
    <row r="43" spans="2:10" x14ac:dyDescent="0.25">
      <c r="B43" s="17"/>
      <c r="C43" s="12"/>
      <c r="D43" s="12"/>
      <c r="E43" s="12"/>
      <c r="F43" s="17"/>
      <c r="G43" s="12"/>
      <c r="H43" s="12"/>
      <c r="I43" s="12"/>
    </row>
    <row r="44" spans="2:10" x14ac:dyDescent="0.25">
      <c r="B44" s="17"/>
      <c r="C44" s="12"/>
      <c r="D44" s="12"/>
      <c r="E44" s="12"/>
      <c r="F44" s="17"/>
      <c r="G44" s="12"/>
      <c r="H44" s="12"/>
      <c r="I44" s="12"/>
    </row>
    <row r="45" spans="2:10" x14ac:dyDescent="0.25">
      <c r="B45" s="25" t="s">
        <v>54</v>
      </c>
      <c r="C45" s="24">
        <f>C27+C28+C29+C30+C31-D32</f>
        <v>41851.5</v>
      </c>
      <c r="D45" s="26">
        <f>SUM(D34:D44)</f>
        <v>13665</v>
      </c>
      <c r="E45" s="24">
        <f>C45-D45</f>
        <v>28186.5</v>
      </c>
      <c r="F45" s="25" t="s">
        <v>54</v>
      </c>
      <c r="G45" s="24">
        <f>G27+G28+G29+G30+G31-H32</f>
        <v>17646.5</v>
      </c>
      <c r="H45" s="24">
        <f>SUM(H34:H44)</f>
        <v>8665</v>
      </c>
      <c r="I45" s="24">
        <f>G45-H45</f>
        <v>8981.5</v>
      </c>
      <c r="J45" s="27">
        <f>H23+I45</f>
        <v>27686.5</v>
      </c>
    </row>
    <row r="46" spans="2:10" x14ac:dyDescent="0.25">
      <c r="B46" t="s">
        <v>31</v>
      </c>
      <c r="D46" t="s">
        <v>32</v>
      </c>
      <c r="G46" t="s">
        <v>33</v>
      </c>
      <c r="J46" s="27">
        <f>E45-J45</f>
        <v>500</v>
      </c>
    </row>
    <row r="47" spans="2:10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4" workbookViewId="0">
      <selection activeCell="C13" sqref="C13"/>
    </sheetView>
  </sheetViews>
  <sheetFormatPr defaultRowHeight="15" x14ac:dyDescent="0.25"/>
  <cols>
    <col min="2" max="2" width="16.42578125" customWidth="1"/>
    <col min="3" max="3" width="15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264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 t="s">
        <v>265</v>
      </c>
      <c r="C5" s="2">
        <f>'MAY 21'!H5:H23</f>
        <v>0</v>
      </c>
      <c r="D5" s="2"/>
      <c r="E5" s="2">
        <v>2000</v>
      </c>
      <c r="F5" s="2">
        <f>C5+D5+E5</f>
        <v>2000</v>
      </c>
      <c r="G5" s="2"/>
      <c r="H5" s="2">
        <f>F5-G5</f>
        <v>2000</v>
      </c>
      <c r="I5" s="2"/>
      <c r="J5" s="2"/>
    </row>
    <row r="6" spans="1:10" x14ac:dyDescent="0.25">
      <c r="A6" s="2">
        <v>2</v>
      </c>
      <c r="B6" s="15" t="s">
        <v>178</v>
      </c>
      <c r="C6" s="2">
        <f>'MAY 21'!H6:H24</f>
        <v>0</v>
      </c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'MAY 21'!H7:H25</f>
        <v>6000</v>
      </c>
      <c r="D7" s="2"/>
      <c r="E7" s="2">
        <v>2000</v>
      </c>
      <c r="F7" s="2">
        <f t="shared" si="0"/>
        <v>8000</v>
      </c>
      <c r="G7" s="2"/>
      <c r="H7" s="2">
        <f>F7-G7</f>
        <v>8000</v>
      </c>
      <c r="I7" s="2"/>
      <c r="J7" s="2"/>
    </row>
    <row r="8" spans="1:10" x14ac:dyDescent="0.25">
      <c r="A8" s="2">
        <v>4</v>
      </c>
      <c r="B8" s="2" t="s">
        <v>256</v>
      </c>
      <c r="C8" s="2">
        <f>'MAY 21'!H8:H26</f>
        <v>2000</v>
      </c>
      <c r="D8" s="2"/>
      <c r="E8" s="2">
        <v>2000</v>
      </c>
      <c r="F8" s="2">
        <f t="shared" si="0"/>
        <v>4000</v>
      </c>
      <c r="G8" s="2"/>
      <c r="H8" s="2">
        <f>F8-G8</f>
        <v>4000</v>
      </c>
      <c r="I8" s="2"/>
      <c r="J8" s="2"/>
    </row>
    <row r="9" spans="1:10" x14ac:dyDescent="0.25">
      <c r="A9" s="2">
        <v>5</v>
      </c>
      <c r="B9" s="15" t="s">
        <v>178</v>
      </c>
      <c r="C9" s="2">
        <f>'MAY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'MAY 21'!H10:H28</f>
        <v>7205</v>
      </c>
      <c r="D10" s="2"/>
      <c r="E10" s="2">
        <v>2500</v>
      </c>
      <c r="F10" s="2">
        <f t="shared" si="0"/>
        <v>9705</v>
      </c>
      <c r="G10" s="2"/>
      <c r="H10" s="2">
        <f>F10-G10</f>
        <v>9705</v>
      </c>
      <c r="I10" s="2"/>
      <c r="J10" s="2"/>
    </row>
    <row r="11" spans="1:10" x14ac:dyDescent="0.25">
      <c r="A11" s="2">
        <v>7</v>
      </c>
      <c r="B11" s="34" t="s">
        <v>263</v>
      </c>
      <c r="C11" s="2">
        <f>'MAY 21'!H11:H29</f>
        <v>0</v>
      </c>
      <c r="D11" s="2"/>
      <c r="E11" s="2">
        <v>2500</v>
      </c>
      <c r="F11" s="2">
        <f t="shared" si="0"/>
        <v>2500</v>
      </c>
      <c r="G11" s="2">
        <f>1800</f>
        <v>1800</v>
      </c>
      <c r="H11" s="2">
        <f t="shared" si="1"/>
        <v>700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'MAY 21'!H12:H30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'MAY 21'!H13:H31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/>
      <c r="C14" s="2">
        <f>'MAY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/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'MAY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'MAY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'MAY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'MAY 21'!H19:H37</f>
        <v>3500</v>
      </c>
      <c r="D19" s="2"/>
      <c r="E19" s="2"/>
      <c r="F19" s="2">
        <f t="shared" si="0"/>
        <v>3500</v>
      </c>
      <c r="G19" s="2">
        <f>2000</f>
        <v>2000</v>
      </c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'MAY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'MAY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'MAY 21'!H23:H41</f>
        <v>18705</v>
      </c>
      <c r="D23" s="1">
        <f>SUM(D5:D22)</f>
        <v>0</v>
      </c>
      <c r="E23" s="1">
        <f>SUM(E5:E22)</f>
        <v>16000</v>
      </c>
      <c r="F23" s="2">
        <f>C23+D23+E23</f>
        <v>34705</v>
      </c>
      <c r="G23" s="1">
        <f>SUM(G5:G22)</f>
        <v>8800</v>
      </c>
      <c r="H23" s="2">
        <f>F23-G23</f>
        <v>25905</v>
      </c>
      <c r="I23" s="1">
        <f>SUM(I5:I22)</f>
        <v>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196</v>
      </c>
      <c r="C27" s="13">
        <f>E23</f>
        <v>16000</v>
      </c>
      <c r="D27" s="12"/>
      <c r="E27" s="12"/>
      <c r="F27" s="12" t="s">
        <v>196</v>
      </c>
      <c r="G27" s="13">
        <f>G23</f>
        <v>8800</v>
      </c>
      <c r="H27" s="12"/>
      <c r="I27" s="12"/>
    </row>
    <row r="28" spans="1:10" x14ac:dyDescent="0.25">
      <c r="B28" s="12" t="s">
        <v>2</v>
      </c>
      <c r="C28" s="13">
        <f>'MAY 21'!E45</f>
        <v>28186.5</v>
      </c>
      <c r="D28" s="12"/>
      <c r="E28" s="12"/>
      <c r="F28" s="12" t="s">
        <v>2</v>
      </c>
      <c r="G28" s="13">
        <f>'MAY 21'!I45</f>
        <v>8981.5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0</v>
      </c>
      <c r="D31" s="2"/>
      <c r="E31" s="2"/>
      <c r="F31" s="20" t="s">
        <v>44</v>
      </c>
      <c r="G31" s="2">
        <f>C31</f>
        <v>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800</v>
      </c>
      <c r="E32" s="12"/>
      <c r="F32" s="12" t="s">
        <v>28</v>
      </c>
      <c r="G32" s="14">
        <v>0.05</v>
      </c>
      <c r="H32" s="13">
        <f>D32</f>
        <v>800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9" x14ac:dyDescent="0.25">
      <c r="B35" s="16" t="s">
        <v>123</v>
      </c>
      <c r="C35" s="2"/>
      <c r="D35" s="2">
        <v>1560</v>
      </c>
      <c r="E35" s="17"/>
      <c r="F35" s="16" t="s">
        <v>123</v>
      </c>
      <c r="G35" s="2"/>
      <c r="H35" s="2">
        <v>1560</v>
      </c>
      <c r="I35" s="12"/>
    </row>
    <row r="36" spans="2:9" x14ac:dyDescent="0.25">
      <c r="D36" s="2"/>
      <c r="E36" s="2"/>
      <c r="H36" s="2"/>
      <c r="I36" s="2"/>
    </row>
    <row r="37" spans="2:9" x14ac:dyDescent="0.25">
      <c r="B37" s="17" t="s">
        <v>266</v>
      </c>
      <c r="D37">
        <v>9087</v>
      </c>
      <c r="E37" s="12"/>
      <c r="F37" s="17" t="s">
        <v>266</v>
      </c>
      <c r="H37">
        <v>9087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43386.5</v>
      </c>
      <c r="D45" s="26">
        <f>SUM(D34:D44)</f>
        <v>10647</v>
      </c>
      <c r="E45" s="24">
        <f>C45-D45</f>
        <v>32739.5</v>
      </c>
      <c r="F45" s="25" t="s">
        <v>54</v>
      </c>
      <c r="G45" s="24">
        <f>G27+G28+G29+G30+G31-H32</f>
        <v>16981.5</v>
      </c>
      <c r="H45" s="24">
        <f>SUM(H34:H44)</f>
        <v>10647</v>
      </c>
      <c r="I45" s="24">
        <f>G45-H45</f>
        <v>6334.5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  <row r="48" spans="2:9" x14ac:dyDescent="0.25">
      <c r="I48" s="27">
        <f>I45+H23</f>
        <v>32239.5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7" workbookViewId="0">
      <selection activeCell="J25" sqref="J25"/>
    </sheetView>
  </sheetViews>
  <sheetFormatPr defaultRowHeight="15" x14ac:dyDescent="0.25"/>
  <cols>
    <col min="2" max="2" width="20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268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33" t="s">
        <v>265</v>
      </c>
      <c r="C5" s="2">
        <f>'JUNE 21'!H5:H23</f>
        <v>2000</v>
      </c>
      <c r="D5" s="2"/>
      <c r="E5" s="2">
        <v>2000</v>
      </c>
      <c r="F5" s="2">
        <f>C5+D5+E5</f>
        <v>4000</v>
      </c>
      <c r="G5" s="2"/>
      <c r="H5" s="2"/>
      <c r="I5" s="2"/>
      <c r="J5" s="2"/>
      <c r="K5" t="s">
        <v>149</v>
      </c>
    </row>
    <row r="6" spans="1:11" x14ac:dyDescent="0.25">
      <c r="A6" s="2">
        <v>2</v>
      </c>
      <c r="B6" s="15" t="s">
        <v>178</v>
      </c>
      <c r="C6" s="2">
        <f>'JUNE 21'!H6:H24</f>
        <v>0</v>
      </c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1" x14ac:dyDescent="0.25">
      <c r="A7" s="2">
        <v>3</v>
      </c>
      <c r="B7" s="15" t="s">
        <v>269</v>
      </c>
      <c r="C7" s="2">
        <f>'JUNE 21'!H7:H25</f>
        <v>8000</v>
      </c>
      <c r="D7" s="2"/>
      <c r="E7" s="2">
        <v>2000</v>
      </c>
      <c r="F7" s="2">
        <f t="shared" si="0"/>
        <v>10000</v>
      </c>
      <c r="G7" s="2">
        <v>2000</v>
      </c>
      <c r="H7" s="2">
        <f>F7-G7</f>
        <v>8000</v>
      </c>
      <c r="I7" s="2"/>
      <c r="J7" s="2"/>
    </row>
    <row r="8" spans="1:11" x14ac:dyDescent="0.25">
      <c r="A8" s="2">
        <v>4</v>
      </c>
      <c r="B8" s="2" t="s">
        <v>256</v>
      </c>
      <c r="C8" s="2">
        <f>'JUNE 21'!H8:H26</f>
        <v>4000</v>
      </c>
      <c r="D8" s="2"/>
      <c r="E8" s="2"/>
      <c r="F8" s="2">
        <f t="shared" si="0"/>
        <v>4000</v>
      </c>
      <c r="G8" s="2"/>
      <c r="H8" s="2"/>
      <c r="I8" s="2"/>
      <c r="J8" s="2"/>
      <c r="K8" t="s">
        <v>149</v>
      </c>
    </row>
    <row r="9" spans="1:11" x14ac:dyDescent="0.25">
      <c r="A9" s="2">
        <v>5</v>
      </c>
      <c r="B9" s="15" t="s">
        <v>178</v>
      </c>
      <c r="C9" s="2">
        <f>'JUNE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1" x14ac:dyDescent="0.25">
      <c r="A10" s="2">
        <v>6</v>
      </c>
      <c r="B10" s="2" t="s">
        <v>37</v>
      </c>
      <c r="C10" s="2">
        <f>'JUNE 21'!H10:H28</f>
        <v>9705</v>
      </c>
      <c r="D10" s="2"/>
      <c r="E10" s="2">
        <v>2500</v>
      </c>
      <c r="F10" s="2">
        <f t="shared" si="0"/>
        <v>12205</v>
      </c>
      <c r="G10" s="2">
        <f>2450</f>
        <v>2450</v>
      </c>
      <c r="H10" s="2">
        <f>F10-G10</f>
        <v>9755</v>
      </c>
      <c r="I10" s="2"/>
      <c r="J10" s="2"/>
      <c r="K10" t="s">
        <v>204</v>
      </c>
    </row>
    <row r="11" spans="1:11" x14ac:dyDescent="0.25">
      <c r="A11" s="2">
        <v>7</v>
      </c>
      <c r="B11" s="34" t="s">
        <v>263</v>
      </c>
      <c r="C11" s="2">
        <f>'JUNE 21'!H11:H29</f>
        <v>700</v>
      </c>
      <c r="D11" s="2"/>
      <c r="E11" s="2">
        <v>2500</v>
      </c>
      <c r="F11" s="2">
        <f t="shared" si="0"/>
        <v>3200</v>
      </c>
      <c r="G11" s="2">
        <v>3200</v>
      </c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267</v>
      </c>
      <c r="C12" s="2">
        <f>'JUNE 21'!H12:H30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</row>
    <row r="13" spans="1:11" x14ac:dyDescent="0.25">
      <c r="A13" s="2">
        <v>9</v>
      </c>
      <c r="B13" s="33" t="s">
        <v>257</v>
      </c>
      <c r="C13" s="2">
        <f>'JUNE 21'!H13:H31</f>
        <v>0</v>
      </c>
      <c r="D13" s="2"/>
      <c r="E13" s="2">
        <v>2500</v>
      </c>
      <c r="F13" s="2">
        <f t="shared" si="0"/>
        <v>2500</v>
      </c>
      <c r="G13" s="2">
        <f>1500</f>
        <v>1500</v>
      </c>
      <c r="H13" s="2">
        <f t="shared" si="1"/>
        <v>1000</v>
      </c>
      <c r="I13" s="2"/>
      <c r="J13" s="2"/>
    </row>
    <row r="14" spans="1:11" x14ac:dyDescent="0.25">
      <c r="A14" s="2">
        <v>10</v>
      </c>
      <c r="B14" s="2"/>
      <c r="C14" s="2">
        <f>'JUNE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/>
      <c r="C15" s="2">
        <f>'JUNE 21'!H15:H33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1" x14ac:dyDescent="0.25">
      <c r="A16" s="2">
        <v>12</v>
      </c>
      <c r="B16" s="15" t="s">
        <v>251</v>
      </c>
      <c r="C16" s="2">
        <f>'JUNE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'JUNE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'JUNE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'JUNE 21'!H19:H37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'JUNE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'JUNE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'JUNE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25905</v>
      </c>
      <c r="D23" s="1">
        <f>SUM(D5:D22)</f>
        <v>0</v>
      </c>
      <c r="E23" s="1">
        <f>SUM(E5:E22)</f>
        <v>14000</v>
      </c>
      <c r="F23" s="2">
        <f>C23+D23+E23</f>
        <v>39905</v>
      </c>
      <c r="G23" s="1">
        <f>SUM(G5:G22)</f>
        <v>9150</v>
      </c>
      <c r="H23" s="2">
        <f>SUM(H5:H22)</f>
        <v>22755</v>
      </c>
      <c r="I23" s="1">
        <f>SUM(I5:I22)</f>
        <v>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99</v>
      </c>
      <c r="C27" s="13">
        <f>E23</f>
        <v>14000</v>
      </c>
      <c r="D27" s="12"/>
      <c r="E27" s="12"/>
      <c r="F27" s="12" t="s">
        <v>99</v>
      </c>
      <c r="G27" s="13">
        <f>G23</f>
        <v>9150</v>
      </c>
      <c r="H27" s="12"/>
      <c r="I27" s="12"/>
    </row>
    <row r="28" spans="1:10" x14ac:dyDescent="0.25">
      <c r="B28" s="12" t="s">
        <v>2</v>
      </c>
      <c r="C28" s="13">
        <f>'JUNE 21'!E45</f>
        <v>32739.5</v>
      </c>
      <c r="D28" s="12"/>
      <c r="E28" s="12"/>
      <c r="F28" s="12" t="s">
        <v>2</v>
      </c>
      <c r="G28" s="13">
        <f>'JUNE 21'!I45</f>
        <v>6334.5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0</v>
      </c>
      <c r="D31" s="2"/>
      <c r="E31" s="2"/>
      <c r="F31" s="20" t="s">
        <v>44</v>
      </c>
      <c r="G31" s="2">
        <f>C31</f>
        <v>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700</v>
      </c>
      <c r="E32" s="12"/>
      <c r="F32" s="12" t="s">
        <v>28</v>
      </c>
      <c r="G32" s="14">
        <v>0.05</v>
      </c>
      <c r="H32" s="13">
        <f>D32</f>
        <v>700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1440</v>
      </c>
      <c r="E35" s="17"/>
      <c r="F35" s="16" t="s">
        <v>123</v>
      </c>
      <c r="G35" s="2"/>
      <c r="H35" s="2">
        <v>1440</v>
      </c>
      <c r="I35" s="12"/>
    </row>
    <row r="36" spans="2:11" x14ac:dyDescent="0.25">
      <c r="D36" s="2"/>
      <c r="E36" s="2"/>
      <c r="H36" s="2"/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 t="s">
        <v>272</v>
      </c>
      <c r="C38" s="12"/>
      <c r="D38" s="12">
        <v>4000</v>
      </c>
      <c r="E38" s="12"/>
      <c r="F38" s="17"/>
      <c r="G38" s="12"/>
      <c r="H38" s="12"/>
      <c r="I38" s="12"/>
    </row>
    <row r="39" spans="2:11" x14ac:dyDescent="0.25">
      <c r="B39" s="17" t="s">
        <v>273</v>
      </c>
      <c r="C39" s="12"/>
      <c r="D39" s="12">
        <v>4000</v>
      </c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46039.5</v>
      </c>
      <c r="D45" s="26">
        <f>SUM(D34:D44)</f>
        <v>9440</v>
      </c>
      <c r="E45" s="24">
        <f>C45-D45</f>
        <v>36599.5</v>
      </c>
      <c r="F45" s="25" t="s">
        <v>54</v>
      </c>
      <c r="G45" s="24">
        <f>G27+G28+G29+G30+G31-H32</f>
        <v>14784.5</v>
      </c>
      <c r="H45" s="24">
        <f>SUM(H34:H44)</f>
        <v>1440</v>
      </c>
      <c r="I45" s="24">
        <f>G45-H45</f>
        <v>13344.5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49" spans="10:10" x14ac:dyDescent="0.25">
      <c r="J49" s="27">
        <f>I45+H23</f>
        <v>36099.5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3" workbookViewId="0">
      <selection activeCell="K43" sqref="K43"/>
    </sheetView>
  </sheetViews>
  <sheetFormatPr defaultRowHeight="15" x14ac:dyDescent="0.25"/>
  <cols>
    <col min="2" max="2" width="19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271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12" t="s">
        <v>276</v>
      </c>
      <c r="C6" s="2">
        <f>'JULY 21'!H6:H24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100</v>
      </c>
      <c r="J6" s="2"/>
    </row>
    <row r="7" spans="1:10" x14ac:dyDescent="0.25">
      <c r="A7" s="2">
        <v>3</v>
      </c>
      <c r="B7" s="12" t="s">
        <v>269</v>
      </c>
      <c r="C7" s="2">
        <f>'JULY 21'!H7:H25</f>
        <v>8000</v>
      </c>
      <c r="D7" s="2"/>
      <c r="E7" s="2">
        <v>2000</v>
      </c>
      <c r="F7" s="2">
        <f t="shared" si="0"/>
        <v>10000</v>
      </c>
      <c r="G7" s="2">
        <f>2000</f>
        <v>2000</v>
      </c>
      <c r="H7" s="2">
        <f>F7-G7</f>
        <v>8000</v>
      </c>
      <c r="I7" s="2"/>
      <c r="J7" s="2"/>
    </row>
    <row r="8" spans="1:10" x14ac:dyDescent="0.25">
      <c r="A8" s="2">
        <v>4</v>
      </c>
      <c r="B8" s="2"/>
      <c r="C8" s="2"/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</row>
    <row r="9" spans="1:10" x14ac:dyDescent="0.25">
      <c r="A9" s="2">
        <v>5</v>
      </c>
      <c r="B9" s="15" t="s">
        <v>178</v>
      </c>
      <c r="C9" s="2">
        <f>'JULY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/>
      <c r="C10" s="2"/>
      <c r="D10" s="2"/>
      <c r="E10" s="2"/>
      <c r="F10" s="2">
        <f t="shared" si="0"/>
        <v>0</v>
      </c>
      <c r="G10" s="2"/>
      <c r="H10" s="2">
        <f>F10-G10</f>
        <v>0</v>
      </c>
      <c r="I10" s="2"/>
      <c r="J10" s="2"/>
    </row>
    <row r="11" spans="1:10" x14ac:dyDescent="0.25">
      <c r="A11" s="2">
        <v>7</v>
      </c>
      <c r="B11" s="34" t="s">
        <v>263</v>
      </c>
      <c r="C11" s="2">
        <f>'JULY 21'!H11:H29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'JULY 21'!H12:H30</f>
        <v>2500</v>
      </c>
      <c r="D12" s="2"/>
      <c r="E12" s="2">
        <v>2500</v>
      </c>
      <c r="F12" s="2">
        <f t="shared" si="0"/>
        <v>5000</v>
      </c>
      <c r="G12" s="2">
        <f>3000</f>
        <v>3000</v>
      </c>
      <c r="H12" s="2">
        <f t="shared" si="1"/>
        <v>2000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'JULY 21'!H13:H31</f>
        <v>1000</v>
      </c>
      <c r="D13" s="2"/>
      <c r="E13" s="2">
        <v>2500</v>
      </c>
      <c r="F13" s="2">
        <f t="shared" si="0"/>
        <v>3500</v>
      </c>
      <c r="G13" s="2">
        <f>2000</f>
        <v>2000</v>
      </c>
      <c r="H13" s="2">
        <f t="shared" si="1"/>
        <v>1500</v>
      </c>
      <c r="I13" s="2"/>
      <c r="J13" s="2"/>
    </row>
    <row r="14" spans="1:10" x14ac:dyDescent="0.25">
      <c r="A14" s="2">
        <v>10</v>
      </c>
      <c r="B14" s="2"/>
      <c r="C14" s="2">
        <f>'JULY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275</v>
      </c>
      <c r="C15" s="2">
        <f>'JULY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'JULY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2" x14ac:dyDescent="0.25">
      <c r="A17" s="2">
        <v>13</v>
      </c>
      <c r="B17" s="33" t="s">
        <v>274</v>
      </c>
      <c r="C17" s="2">
        <f>'JULY 21'!H17:H35</f>
        <v>0</v>
      </c>
      <c r="D17" s="2"/>
      <c r="E17" s="2">
        <v>2500</v>
      </c>
      <c r="F17" s="2">
        <f t="shared" si="0"/>
        <v>2500</v>
      </c>
      <c r="G17" s="2">
        <v>2500</v>
      </c>
      <c r="H17" s="2">
        <f t="shared" si="1"/>
        <v>0</v>
      </c>
      <c r="I17" s="2">
        <v>100</v>
      </c>
      <c r="J17" s="2"/>
    </row>
    <row r="18" spans="1:12" x14ac:dyDescent="0.25">
      <c r="A18" s="2">
        <v>14</v>
      </c>
      <c r="B18" s="32"/>
      <c r="C18" s="2">
        <f>'JULY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L18">
        <f>2000+2500</f>
        <v>4500</v>
      </c>
    </row>
    <row r="19" spans="1:12" x14ac:dyDescent="0.25">
      <c r="A19" s="2">
        <v>15</v>
      </c>
      <c r="B19" s="2" t="s">
        <v>242</v>
      </c>
      <c r="C19" s="2">
        <f>'JULY 21'!H19:H37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L19">
        <v>500</v>
      </c>
    </row>
    <row r="20" spans="1:12" x14ac:dyDescent="0.25">
      <c r="A20" s="2">
        <v>16</v>
      </c>
      <c r="B20" s="15" t="s">
        <v>178</v>
      </c>
      <c r="C20" s="2">
        <f>'JULY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2" x14ac:dyDescent="0.25">
      <c r="A21" s="2">
        <v>17</v>
      </c>
      <c r="B21" s="15" t="s">
        <v>178</v>
      </c>
      <c r="C21" s="2">
        <f>'JULY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'JULY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'JULY 21'!H23:H41</f>
        <v>22755</v>
      </c>
      <c r="D23" s="1">
        <f>SUM(D5:D22)</f>
        <v>0</v>
      </c>
      <c r="E23" s="1">
        <f>SUM(E5:E22)</f>
        <v>16500</v>
      </c>
      <c r="F23" s="2">
        <f>C23+D23+E23</f>
        <v>39255</v>
      </c>
      <c r="G23" s="1">
        <f>SUM(G5:G22)</f>
        <v>14000</v>
      </c>
      <c r="H23" s="2">
        <f>F23-G23</f>
        <v>25255</v>
      </c>
      <c r="I23" s="1">
        <f>SUM(I5:I22)</f>
        <v>200</v>
      </c>
      <c r="J23" s="1">
        <f>SUM(J5:J22)</f>
        <v>0</v>
      </c>
    </row>
    <row r="24" spans="1:12" x14ac:dyDescent="0.25">
      <c r="B24" s="4" t="s">
        <v>20</v>
      </c>
      <c r="C24" s="2"/>
      <c r="D24" s="6"/>
      <c r="E24" s="7"/>
      <c r="F24" s="8"/>
      <c r="G24" s="9"/>
      <c r="H24" s="8"/>
    </row>
    <row r="25" spans="1:12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2" x14ac:dyDescent="0.25">
      <c r="B27" s="12" t="s">
        <v>114</v>
      </c>
      <c r="C27" s="13">
        <f>E23</f>
        <v>16500</v>
      </c>
      <c r="D27" s="12"/>
      <c r="E27" s="12"/>
      <c r="F27" s="12" t="s">
        <v>114</v>
      </c>
      <c r="G27" s="13">
        <f>G23</f>
        <v>14000</v>
      </c>
      <c r="H27" s="12"/>
      <c r="I27" s="12"/>
    </row>
    <row r="28" spans="1:12" x14ac:dyDescent="0.25">
      <c r="B28" s="12" t="s">
        <v>2</v>
      </c>
      <c r="C28" s="13">
        <f>'JULY 21'!E45</f>
        <v>36599.5</v>
      </c>
      <c r="D28" s="12"/>
      <c r="E28" s="12"/>
      <c r="F28" s="12" t="s">
        <v>2</v>
      </c>
      <c r="G28" s="13">
        <f>'JULY 21'!I45</f>
        <v>13344.5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200</v>
      </c>
      <c r="D31" s="2"/>
      <c r="E31" s="2"/>
      <c r="F31" s="20" t="s">
        <v>44</v>
      </c>
      <c r="G31" s="2">
        <f>C31</f>
        <v>200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825</v>
      </c>
      <c r="E32" s="12"/>
      <c r="F32" s="12" t="s">
        <v>28</v>
      </c>
      <c r="G32" s="14">
        <v>0.05</v>
      </c>
      <c r="H32" s="13">
        <f>D32</f>
        <v>825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1200</v>
      </c>
      <c r="E35" s="17"/>
      <c r="F35" s="16" t="s">
        <v>123</v>
      </c>
      <c r="G35" s="2"/>
      <c r="H35" s="2">
        <v>1200</v>
      </c>
      <c r="I35" s="12"/>
    </row>
    <row r="36" spans="2:11" x14ac:dyDescent="0.25">
      <c r="B36" t="s">
        <v>277</v>
      </c>
      <c r="D36" s="2">
        <v>12097</v>
      </c>
      <c r="E36" s="2"/>
      <c r="F36" t="s">
        <v>277</v>
      </c>
      <c r="H36" s="2">
        <v>12097</v>
      </c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>
        <f>I45+H23</f>
        <v>38677.5</v>
      </c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52474.5</v>
      </c>
      <c r="D45" s="26">
        <f>SUM(D34:D44)</f>
        <v>13297</v>
      </c>
      <c r="E45" s="24">
        <f>C45-D45</f>
        <v>39177.5</v>
      </c>
      <c r="F45" s="25" t="s">
        <v>54</v>
      </c>
      <c r="G45" s="24">
        <f>G27+G28+G29+G30+G31-H32</f>
        <v>26719.5</v>
      </c>
      <c r="H45" s="24">
        <f>SUM(H34:H44)</f>
        <v>13297</v>
      </c>
      <c r="I45" s="24">
        <f>G45-H45</f>
        <v>13422.5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7" workbookViewId="0">
      <selection activeCell="B10" sqref="B10"/>
    </sheetView>
  </sheetViews>
  <sheetFormatPr defaultRowHeight="15" x14ac:dyDescent="0.25"/>
  <cols>
    <col min="2" max="2" width="18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278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/>
      <c r="C5" s="2">
        <f>'AUGUST 21'!H5:H22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12" t="s">
        <v>276</v>
      </c>
      <c r="C6" s="2">
        <f>'AUGUST 21'!H6:H23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/>
      <c r="J6" s="2"/>
    </row>
    <row r="7" spans="1:10" x14ac:dyDescent="0.25">
      <c r="A7" s="2">
        <v>3</v>
      </c>
      <c r="B7" s="12" t="s">
        <v>269</v>
      </c>
      <c r="C7" s="2">
        <f>'AUGUST 21'!H7:H24</f>
        <v>8000</v>
      </c>
      <c r="D7" s="2"/>
      <c r="E7" s="2">
        <v>2000</v>
      </c>
      <c r="F7" s="2">
        <f t="shared" si="0"/>
        <v>10000</v>
      </c>
      <c r="G7" s="2">
        <f>2000</f>
        <v>2000</v>
      </c>
      <c r="H7" s="2">
        <f>F7-G7</f>
        <v>8000</v>
      </c>
      <c r="I7" s="2"/>
      <c r="J7" s="2"/>
    </row>
    <row r="8" spans="1:10" x14ac:dyDescent="0.25">
      <c r="A8" s="2">
        <v>4</v>
      </c>
      <c r="B8" s="2" t="s">
        <v>279</v>
      </c>
      <c r="C8" s="2">
        <f>'AUGUST 21'!H8:H25</f>
        <v>0</v>
      </c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300</v>
      </c>
      <c r="J8" s="2"/>
    </row>
    <row r="9" spans="1:10" x14ac:dyDescent="0.25">
      <c r="A9" s="2">
        <v>5</v>
      </c>
      <c r="B9" s="15" t="s">
        <v>280</v>
      </c>
      <c r="C9" s="2">
        <f>'AUGUST 21'!H9:H26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281</v>
      </c>
      <c r="C10" s="2">
        <f>'AUGUST 21'!H10:H27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/>
    </row>
    <row r="11" spans="1:10" x14ac:dyDescent="0.25">
      <c r="A11" s="2">
        <v>7</v>
      </c>
      <c r="B11" s="34" t="s">
        <v>263</v>
      </c>
      <c r="C11" s="2">
        <f>'AUGUST 21'!H11:H28</f>
        <v>2500</v>
      </c>
      <c r="D11" s="2"/>
      <c r="E11" s="2">
        <v>2500</v>
      </c>
      <c r="F11" s="2">
        <f t="shared" si="0"/>
        <v>5000</v>
      </c>
      <c r="G11" s="2">
        <v>5000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'AUGUST 21'!H12:H29</f>
        <v>2000</v>
      </c>
      <c r="D12" s="2"/>
      <c r="E12" s="2">
        <v>2500</v>
      </c>
      <c r="F12" s="2">
        <f t="shared" si="0"/>
        <v>4500</v>
      </c>
      <c r="G12" s="2">
        <f>2000+2500</f>
        <v>4500</v>
      </c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'AUGUST 21'!H13:H30</f>
        <v>1500</v>
      </c>
      <c r="D13" s="2"/>
      <c r="E13" s="2">
        <v>2500</v>
      </c>
      <c r="F13" s="2">
        <f t="shared" si="0"/>
        <v>4000</v>
      </c>
      <c r="G13" s="2"/>
      <c r="H13" s="2">
        <f t="shared" si="1"/>
        <v>4000</v>
      </c>
      <c r="I13" s="2"/>
      <c r="J13" s="2"/>
    </row>
    <row r="14" spans="1:10" x14ac:dyDescent="0.25">
      <c r="A14" s="2">
        <v>10</v>
      </c>
      <c r="B14" s="2" t="s">
        <v>274</v>
      </c>
      <c r="C14" s="2">
        <f>'AUGUST 21'!H14:H31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/>
    </row>
    <row r="15" spans="1:10" x14ac:dyDescent="0.25">
      <c r="A15" s="2">
        <v>11</v>
      </c>
      <c r="B15" s="2" t="s">
        <v>275</v>
      </c>
      <c r="C15" s="2">
        <f>'AUGUST 21'!H15:H32</f>
        <v>0</v>
      </c>
      <c r="D15" s="2"/>
      <c r="E15" s="2">
        <v>2500</v>
      </c>
      <c r="F15" s="2">
        <f t="shared" si="0"/>
        <v>2500</v>
      </c>
      <c r="G15" s="2">
        <f>2500</f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15" t="s">
        <v>251</v>
      </c>
      <c r="C16" s="2">
        <f>'AUGUST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33" t="s">
        <v>282</v>
      </c>
      <c r="C17" s="2">
        <f>'AUGUST 21'!H17:H34</f>
        <v>0</v>
      </c>
      <c r="D17" s="2">
        <v>1000</v>
      </c>
      <c r="E17" s="2">
        <v>4500</v>
      </c>
      <c r="F17" s="2">
        <f t="shared" si="0"/>
        <v>5500</v>
      </c>
      <c r="G17" s="2">
        <v>5500</v>
      </c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'AUGUST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'AUGUST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'AUGUST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'AUGUST 21'!H21:H38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'AUGUST 21'!H22:H39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 t="shared" ref="C23:J23" si="2">SUM(C5:C22)</f>
        <v>15500</v>
      </c>
      <c r="D23" s="1">
        <f t="shared" si="2"/>
        <v>1000</v>
      </c>
      <c r="E23" s="1">
        <f t="shared" si="2"/>
        <v>27500</v>
      </c>
      <c r="F23" s="2">
        <f t="shared" si="2"/>
        <v>44000</v>
      </c>
      <c r="G23" s="1">
        <f t="shared" si="2"/>
        <v>30500</v>
      </c>
      <c r="H23" s="2">
        <f t="shared" si="2"/>
        <v>13500</v>
      </c>
      <c r="I23" s="1">
        <f t="shared" si="2"/>
        <v>600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213</v>
      </c>
      <c r="C27" s="13">
        <f>E23</f>
        <v>27500</v>
      </c>
      <c r="D27" s="12"/>
      <c r="E27" s="12"/>
      <c r="F27" s="12" t="s">
        <v>213</v>
      </c>
      <c r="G27" s="13">
        <f>G23</f>
        <v>30500</v>
      </c>
      <c r="H27" s="12"/>
      <c r="I27" s="12"/>
    </row>
    <row r="28" spans="1:10" x14ac:dyDescent="0.25">
      <c r="B28" s="12" t="s">
        <v>2</v>
      </c>
      <c r="C28" s="13">
        <f>'AUGUST 21'!E45</f>
        <v>39177.5</v>
      </c>
      <c r="D28" s="12"/>
      <c r="E28" s="12"/>
      <c r="F28" s="12" t="s">
        <v>2</v>
      </c>
      <c r="G28" s="13">
        <f>'AUGUST 21'!I45</f>
        <v>13422.5</v>
      </c>
      <c r="H28" s="12"/>
      <c r="I28" s="12"/>
    </row>
    <row r="29" spans="1:10" x14ac:dyDescent="0.25">
      <c r="B29" s="20" t="s">
        <v>41</v>
      </c>
      <c r="C29" s="2">
        <v>1000</v>
      </c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600</v>
      </c>
      <c r="D31" s="2"/>
      <c r="E31" s="2"/>
      <c r="F31" s="20" t="s">
        <v>44</v>
      </c>
      <c r="G31" s="2">
        <f>C31</f>
        <v>600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1375</v>
      </c>
      <c r="E32" s="12"/>
      <c r="F32" s="12" t="s">
        <v>28</v>
      </c>
      <c r="G32" s="14">
        <v>0.05</v>
      </c>
      <c r="H32" s="13">
        <f>D32</f>
        <v>1375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C34*E17</f>
        <v>1350</v>
      </c>
      <c r="E34" s="2"/>
      <c r="F34" s="19" t="s">
        <v>115</v>
      </c>
      <c r="G34" s="30">
        <v>0.3</v>
      </c>
      <c r="H34" s="2">
        <f>G34*E17</f>
        <v>1350</v>
      </c>
      <c r="I34" s="12"/>
    </row>
    <row r="35" spans="2:11" x14ac:dyDescent="0.25">
      <c r="B35" s="16" t="s">
        <v>123</v>
      </c>
      <c r="C35" s="2"/>
      <c r="D35" s="2">
        <v>1080</v>
      </c>
      <c r="E35" s="17"/>
      <c r="F35" s="16" t="s">
        <v>123</v>
      </c>
      <c r="G35" s="2"/>
      <c r="H35" s="2">
        <v>1080</v>
      </c>
      <c r="I35" s="12"/>
      <c r="K35" s="27"/>
    </row>
    <row r="36" spans="2:11" x14ac:dyDescent="0.25">
      <c r="B36" t="s">
        <v>283</v>
      </c>
      <c r="D36" s="2">
        <v>13097</v>
      </c>
      <c r="E36" s="2"/>
      <c r="F36" t="s">
        <v>283</v>
      </c>
      <c r="H36" s="2">
        <v>13097</v>
      </c>
      <c r="I36" s="2"/>
    </row>
    <row r="37" spans="2:11" x14ac:dyDescent="0.25">
      <c r="B37" s="17" t="s">
        <v>139</v>
      </c>
      <c r="D37">
        <v>500</v>
      </c>
      <c r="E37" s="12"/>
      <c r="F37" s="17" t="s">
        <v>139</v>
      </c>
      <c r="H37">
        <v>500</v>
      </c>
      <c r="I37" s="12"/>
    </row>
    <row r="38" spans="2:11" x14ac:dyDescent="0.25">
      <c r="B38" s="17" t="s">
        <v>285</v>
      </c>
      <c r="C38" s="12"/>
      <c r="D38" s="12">
        <v>2650</v>
      </c>
      <c r="E38" s="12"/>
      <c r="F38" s="17" t="s">
        <v>285</v>
      </c>
      <c r="G38" s="12"/>
      <c r="H38" s="12">
        <v>2650</v>
      </c>
      <c r="I38" s="12"/>
    </row>
    <row r="39" spans="2:11" x14ac:dyDescent="0.25">
      <c r="B39" s="17" t="s">
        <v>104</v>
      </c>
      <c r="C39" s="12"/>
      <c r="D39" s="12">
        <v>1000</v>
      </c>
      <c r="E39" s="12"/>
      <c r="F39" s="17" t="s">
        <v>104</v>
      </c>
      <c r="G39" s="12"/>
      <c r="H39" s="12">
        <v>1000</v>
      </c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66902.5</v>
      </c>
      <c r="D45" s="26">
        <f>SUM(D34:D44)</f>
        <v>19677</v>
      </c>
      <c r="E45" s="24">
        <f>C45-D45</f>
        <v>47225.5</v>
      </c>
      <c r="F45" s="25" t="s">
        <v>54</v>
      </c>
      <c r="G45" s="24">
        <f>G27+G28+G29+G30+G31-H32</f>
        <v>43147.5</v>
      </c>
      <c r="H45" s="24">
        <f>SUM(H34:H44)</f>
        <v>19677</v>
      </c>
      <c r="I45" s="24">
        <f>G45-H45</f>
        <v>23470.5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11" sqref="A11:XFD11"/>
    </sheetView>
  </sheetViews>
  <sheetFormatPr defaultRowHeight="15" x14ac:dyDescent="0.25"/>
  <cols>
    <col min="2" max="2" width="25.5703125" customWidth="1"/>
  </cols>
  <sheetData>
    <row r="1" spans="1:15" x14ac:dyDescent="0.25">
      <c r="D1" s="3" t="s">
        <v>7</v>
      </c>
      <c r="E1" s="3"/>
      <c r="F1" s="3"/>
      <c r="G1" s="3"/>
      <c r="I1" s="3"/>
    </row>
    <row r="2" spans="1:15" x14ac:dyDescent="0.25">
      <c r="D2" s="3" t="s">
        <v>8</v>
      </c>
      <c r="E2" s="3"/>
      <c r="F2" s="3"/>
      <c r="G2" s="3"/>
    </row>
    <row r="3" spans="1:15" x14ac:dyDescent="0.25">
      <c r="D3" s="3" t="s">
        <v>284</v>
      </c>
      <c r="E3" s="3"/>
      <c r="F3" s="29"/>
      <c r="G3" s="3"/>
    </row>
    <row r="4" spans="1:15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5" x14ac:dyDescent="0.25">
      <c r="A5" s="2">
        <v>1</v>
      </c>
      <c r="B5" s="33" t="s">
        <v>286</v>
      </c>
      <c r="C5" s="2">
        <f>'SEPT 21'!H5:H23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300</v>
      </c>
      <c r="J5" s="2"/>
    </row>
    <row r="6" spans="1:15" x14ac:dyDescent="0.25">
      <c r="A6" s="2">
        <v>2</v>
      </c>
      <c r="B6" s="2" t="s">
        <v>287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300</v>
      </c>
      <c r="J6" s="2"/>
      <c r="O6" s="12"/>
    </row>
    <row r="7" spans="1:15" x14ac:dyDescent="0.25">
      <c r="A7" s="2">
        <v>3</v>
      </c>
      <c r="B7" s="12" t="s">
        <v>276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/>
      <c r="J7" s="2"/>
      <c r="O7" s="12"/>
    </row>
    <row r="8" spans="1:15" x14ac:dyDescent="0.25">
      <c r="A8" s="2">
        <v>4</v>
      </c>
      <c r="B8" s="2"/>
      <c r="C8" s="2">
        <f>'SEPT 21'!H8:H26</f>
        <v>0</v>
      </c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  <c r="O8" s="2"/>
    </row>
    <row r="9" spans="1:15" x14ac:dyDescent="0.25">
      <c r="A9" s="2">
        <v>5</v>
      </c>
      <c r="B9" s="12" t="s">
        <v>269</v>
      </c>
      <c r="C9">
        <v>8000</v>
      </c>
      <c r="E9" s="2">
        <v>2000</v>
      </c>
      <c r="F9" s="2">
        <f t="shared" si="0"/>
        <v>10000</v>
      </c>
      <c r="G9" s="2"/>
      <c r="H9" s="2">
        <f t="shared" ref="H9:H22" si="1">F9-G9</f>
        <v>10000</v>
      </c>
      <c r="I9" s="2"/>
      <c r="J9" s="2"/>
      <c r="O9" s="15"/>
    </row>
    <row r="10" spans="1:15" x14ac:dyDescent="0.25">
      <c r="A10" s="2">
        <v>6</v>
      </c>
      <c r="B10" s="2" t="s">
        <v>275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300</v>
      </c>
      <c r="J10" s="2"/>
      <c r="O10" s="2"/>
    </row>
    <row r="11" spans="1:15" x14ac:dyDescent="0.25">
      <c r="A11" s="2">
        <v>7</v>
      </c>
      <c r="B11" s="2" t="s">
        <v>274</v>
      </c>
      <c r="D11" s="2"/>
      <c r="E11" s="2">
        <v>2500</v>
      </c>
      <c r="F11" s="2">
        <f t="shared" si="0"/>
        <v>2500</v>
      </c>
      <c r="G11" s="2">
        <v>2500</v>
      </c>
      <c r="H11" s="2">
        <f>F11-G11</f>
        <v>0</v>
      </c>
      <c r="I11" s="2">
        <v>100</v>
      </c>
      <c r="J11" s="2"/>
      <c r="O11" s="34"/>
    </row>
    <row r="12" spans="1:15" x14ac:dyDescent="0.25">
      <c r="A12" s="2">
        <v>8</v>
      </c>
      <c r="B12" s="34" t="s">
        <v>263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300</v>
      </c>
      <c r="J12" s="2"/>
      <c r="O12" s="32"/>
    </row>
    <row r="13" spans="1:15" x14ac:dyDescent="0.25">
      <c r="A13" s="2">
        <v>9</v>
      </c>
      <c r="B13" s="33" t="s">
        <v>257</v>
      </c>
      <c r="C13">
        <v>4000</v>
      </c>
      <c r="D13" s="2"/>
      <c r="E13" s="2">
        <v>2500</v>
      </c>
      <c r="F13" s="2">
        <f t="shared" si="0"/>
        <v>6500</v>
      </c>
      <c r="G13" s="2"/>
      <c r="H13" s="2">
        <f t="shared" si="1"/>
        <v>6500</v>
      </c>
      <c r="I13" s="2"/>
      <c r="J13" s="2"/>
      <c r="O13" s="33"/>
    </row>
    <row r="14" spans="1:15" x14ac:dyDescent="0.25">
      <c r="A14" s="2">
        <v>10</v>
      </c>
      <c r="B14" s="15" t="s">
        <v>280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300</v>
      </c>
      <c r="J14" s="2"/>
      <c r="O14" s="2"/>
    </row>
    <row r="15" spans="1:15" x14ac:dyDescent="0.25">
      <c r="A15" s="2">
        <v>11</v>
      </c>
      <c r="B15" s="2" t="s">
        <v>281</v>
      </c>
      <c r="C15" s="2">
        <f>'SEPT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300</v>
      </c>
      <c r="J15" s="2"/>
      <c r="O15" s="2"/>
    </row>
    <row r="16" spans="1:15" x14ac:dyDescent="0.25">
      <c r="A16" s="2">
        <v>12</v>
      </c>
      <c r="B16" s="15"/>
      <c r="C16" s="2">
        <f>'SEPT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  <c r="O16" s="15"/>
    </row>
    <row r="17" spans="1:15" x14ac:dyDescent="0.25">
      <c r="A17" s="2">
        <v>13</v>
      </c>
      <c r="B17" s="33" t="s">
        <v>282</v>
      </c>
      <c r="D17" s="2"/>
      <c r="E17" s="2">
        <v>4500</v>
      </c>
      <c r="F17" s="2">
        <f t="shared" si="0"/>
        <v>4500</v>
      </c>
      <c r="G17" s="2">
        <v>4500</v>
      </c>
      <c r="H17" s="2">
        <f t="shared" si="1"/>
        <v>0</v>
      </c>
      <c r="I17" s="2">
        <v>300</v>
      </c>
      <c r="J17" s="2"/>
      <c r="O17" s="33"/>
    </row>
    <row r="18" spans="1:15" x14ac:dyDescent="0.25">
      <c r="A18" s="2">
        <v>14</v>
      </c>
      <c r="B18" s="32" t="s">
        <v>289</v>
      </c>
      <c r="C18" s="2">
        <f>'SEPT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O18" s="32"/>
    </row>
    <row r="19" spans="1:15" x14ac:dyDescent="0.25">
      <c r="A19" s="2">
        <v>15</v>
      </c>
      <c r="B19" s="2" t="s">
        <v>242</v>
      </c>
      <c r="C19"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O19" s="2"/>
    </row>
    <row r="20" spans="1:15" x14ac:dyDescent="0.25">
      <c r="A20" s="2">
        <v>16</v>
      </c>
      <c r="B20" s="32" t="s">
        <v>267</v>
      </c>
      <c r="D20" s="2"/>
      <c r="E20" s="2">
        <v>2500</v>
      </c>
      <c r="F20" s="2">
        <f t="shared" si="0"/>
        <v>2500</v>
      </c>
      <c r="G20" s="2">
        <v>2500</v>
      </c>
      <c r="H20" s="2">
        <f>F20-G20</f>
        <v>0</v>
      </c>
      <c r="I20" s="2">
        <v>100</v>
      </c>
      <c r="J20" s="2"/>
      <c r="O20" s="15"/>
    </row>
    <row r="21" spans="1:15" x14ac:dyDescent="0.25">
      <c r="A21" s="2">
        <v>17</v>
      </c>
      <c r="B21" s="33" t="s">
        <v>37</v>
      </c>
      <c r="C21" s="2">
        <f>9755+2500</f>
        <v>12255</v>
      </c>
      <c r="D21" s="2"/>
      <c r="E21" s="2">
        <v>2500</v>
      </c>
      <c r="F21" s="2">
        <f t="shared" si="0"/>
        <v>14755</v>
      </c>
      <c r="G21" s="2"/>
      <c r="H21" s="2">
        <f t="shared" si="1"/>
        <v>14755</v>
      </c>
      <c r="I21" s="2"/>
      <c r="J21" s="2"/>
      <c r="O21" s="15"/>
    </row>
    <row r="22" spans="1:15" x14ac:dyDescent="0.25">
      <c r="A22" s="2">
        <v>18</v>
      </c>
      <c r="B22" s="2" t="s">
        <v>288</v>
      </c>
      <c r="C22" s="2">
        <f>'SEPT 21'!H22:H40</f>
        <v>0</v>
      </c>
      <c r="D22" s="2"/>
      <c r="E22" s="2">
        <v>2500</v>
      </c>
      <c r="F22" s="2">
        <f t="shared" si="0"/>
        <v>2500</v>
      </c>
      <c r="G22" s="2">
        <v>2500</v>
      </c>
      <c r="H22" s="2">
        <f t="shared" si="1"/>
        <v>0</v>
      </c>
      <c r="I22" s="2">
        <v>100</v>
      </c>
      <c r="J22" s="2"/>
    </row>
    <row r="23" spans="1:15" x14ac:dyDescent="0.25">
      <c r="A23" s="1"/>
      <c r="B23" s="1" t="s">
        <v>46</v>
      </c>
      <c r="C23" s="2">
        <f>'SEPT 21'!H23:H41</f>
        <v>13500</v>
      </c>
      <c r="D23" s="1">
        <f t="shared" ref="D23:J23" si="2">SUM(D5:D22)</f>
        <v>0</v>
      </c>
      <c r="E23" s="1">
        <f t="shared" si="2"/>
        <v>35000</v>
      </c>
      <c r="F23" s="2">
        <f t="shared" si="2"/>
        <v>60755</v>
      </c>
      <c r="G23" s="1">
        <f t="shared" si="2"/>
        <v>28000</v>
      </c>
      <c r="H23" s="2">
        <f>SUM(H5:H22)</f>
        <v>32755</v>
      </c>
      <c r="I23" s="1">
        <f t="shared" si="2"/>
        <v>2400</v>
      </c>
      <c r="J23" s="1">
        <f t="shared" si="2"/>
        <v>0</v>
      </c>
    </row>
    <row r="24" spans="1:15" x14ac:dyDescent="0.25">
      <c r="B24" s="4" t="s">
        <v>20</v>
      </c>
      <c r="C24" s="2"/>
      <c r="D24" s="6"/>
      <c r="E24" s="7"/>
      <c r="F24" s="8"/>
      <c r="G24" s="9"/>
      <c r="H24" s="8"/>
    </row>
    <row r="25" spans="1:15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5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5" x14ac:dyDescent="0.25">
      <c r="B27" s="12" t="s">
        <v>58</v>
      </c>
      <c r="C27" s="13">
        <f>E23</f>
        <v>35000</v>
      </c>
      <c r="D27" s="12"/>
      <c r="E27" s="12"/>
      <c r="F27" s="12" t="s">
        <v>58</v>
      </c>
      <c r="G27" s="13">
        <f>G23</f>
        <v>28000</v>
      </c>
      <c r="H27" s="12"/>
      <c r="I27" s="12"/>
    </row>
    <row r="28" spans="1:15" x14ac:dyDescent="0.25">
      <c r="B28" s="12" t="s">
        <v>2</v>
      </c>
      <c r="C28" s="13">
        <f>'SEPT 21'!E45</f>
        <v>47225.5</v>
      </c>
      <c r="D28" s="12"/>
      <c r="E28" s="12"/>
      <c r="F28" s="12" t="s">
        <v>2</v>
      </c>
      <c r="G28" s="13">
        <f>'SEPT 21'!I45</f>
        <v>23470.5</v>
      </c>
      <c r="H28" s="12"/>
      <c r="I28" s="12"/>
    </row>
    <row r="29" spans="1:15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5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  <c r="J30" s="27"/>
    </row>
    <row r="31" spans="1:15" x14ac:dyDescent="0.25">
      <c r="B31" s="20" t="s">
        <v>44</v>
      </c>
      <c r="C31" s="2">
        <f>I23</f>
        <v>2400</v>
      </c>
      <c r="D31" s="2"/>
      <c r="E31" s="2"/>
      <c r="F31" s="20" t="s">
        <v>44</v>
      </c>
      <c r="G31" s="2">
        <f>C31</f>
        <v>2400</v>
      </c>
      <c r="H31" s="12"/>
      <c r="I31" s="12"/>
    </row>
    <row r="32" spans="1:15" x14ac:dyDescent="0.25">
      <c r="B32" s="12" t="s">
        <v>28</v>
      </c>
      <c r="C32" s="14">
        <v>0.05</v>
      </c>
      <c r="D32" s="13">
        <f>C32*C27</f>
        <v>1750</v>
      </c>
      <c r="E32" s="12"/>
      <c r="F32" s="12" t="s">
        <v>28</v>
      </c>
      <c r="G32" s="14">
        <v>0.05</v>
      </c>
      <c r="H32" s="13">
        <f>D32</f>
        <v>1750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0" x14ac:dyDescent="0.25">
      <c r="B35" s="16" t="s">
        <v>123</v>
      </c>
      <c r="C35" s="2"/>
      <c r="D35" s="2">
        <v>2280</v>
      </c>
      <c r="E35" s="17"/>
      <c r="F35" s="16" t="s">
        <v>123</v>
      </c>
      <c r="G35" s="2"/>
      <c r="H35" s="2">
        <v>2280</v>
      </c>
      <c r="I35" s="12"/>
    </row>
    <row r="36" spans="2:10" x14ac:dyDescent="0.25">
      <c r="B36" t="s">
        <v>291</v>
      </c>
      <c r="D36" s="2">
        <v>43105</v>
      </c>
      <c r="E36" s="2"/>
      <c r="F36" t="s">
        <v>291</v>
      </c>
      <c r="H36" s="2">
        <v>43105</v>
      </c>
      <c r="I36" s="2"/>
    </row>
    <row r="37" spans="2:10" x14ac:dyDescent="0.25">
      <c r="B37" s="17"/>
      <c r="E37" s="12"/>
      <c r="F37" s="17"/>
      <c r="I37" s="12"/>
    </row>
    <row r="38" spans="2:10" x14ac:dyDescent="0.25">
      <c r="B38" s="17"/>
      <c r="C38" s="12"/>
      <c r="D38" s="12"/>
      <c r="E38" s="12"/>
      <c r="F38" s="17"/>
      <c r="G38" s="12"/>
      <c r="H38" s="12"/>
      <c r="I38" s="12"/>
      <c r="J38" s="27">
        <f>I45+H23</f>
        <v>39490.5</v>
      </c>
    </row>
    <row r="39" spans="2:10" x14ac:dyDescent="0.25">
      <c r="B39" s="17"/>
      <c r="C39" s="12"/>
      <c r="D39" s="12"/>
      <c r="E39" s="12"/>
      <c r="F39" s="17"/>
      <c r="G39" s="12"/>
      <c r="H39" s="12"/>
      <c r="I39" s="12"/>
    </row>
    <row r="40" spans="2:10" x14ac:dyDescent="0.25">
      <c r="B40" s="17"/>
      <c r="C40" s="12"/>
      <c r="D40" s="12"/>
      <c r="E40" s="12"/>
      <c r="F40" s="17"/>
      <c r="G40" s="12"/>
      <c r="H40" s="12"/>
      <c r="I40" s="12"/>
    </row>
    <row r="41" spans="2:10" x14ac:dyDescent="0.25">
      <c r="B41" s="17"/>
      <c r="C41" s="12"/>
      <c r="D41" s="12"/>
      <c r="E41" s="12"/>
      <c r="F41" s="17"/>
      <c r="G41" s="12"/>
      <c r="H41" s="12"/>
      <c r="I41" s="12"/>
    </row>
    <row r="42" spans="2:10" x14ac:dyDescent="0.25">
      <c r="B42" s="16"/>
      <c r="C42" s="2"/>
      <c r="D42" s="2"/>
      <c r="E42" s="17"/>
      <c r="F42" s="16"/>
      <c r="G42" s="2"/>
      <c r="H42" s="2"/>
      <c r="I42" s="12"/>
    </row>
    <row r="43" spans="2:10" x14ac:dyDescent="0.25">
      <c r="B43" s="17"/>
      <c r="C43" s="12"/>
      <c r="D43" s="12"/>
      <c r="E43" s="12"/>
      <c r="F43" s="17"/>
      <c r="G43" s="12"/>
      <c r="H43" s="12"/>
      <c r="I43" s="12"/>
    </row>
    <row r="44" spans="2:10" x14ac:dyDescent="0.25">
      <c r="B44" s="17"/>
      <c r="C44" s="12"/>
      <c r="D44" s="12"/>
      <c r="E44" s="12"/>
      <c r="F44" s="17"/>
      <c r="G44" s="12"/>
      <c r="H44" s="12"/>
      <c r="I44" s="12"/>
    </row>
    <row r="45" spans="2:10" x14ac:dyDescent="0.25">
      <c r="B45" s="25" t="s">
        <v>54</v>
      </c>
      <c r="C45" s="24">
        <f>C27+C28+C29+C30+C31-D32</f>
        <v>82875.5</v>
      </c>
      <c r="D45" s="26">
        <f>SUM(D34:D44)</f>
        <v>45385</v>
      </c>
      <c r="E45" s="24">
        <f>C45-D45</f>
        <v>37490.5</v>
      </c>
      <c r="F45" s="25" t="s">
        <v>54</v>
      </c>
      <c r="G45" s="24">
        <f>G27+G28+G29+G30+G31-H32</f>
        <v>52120.5</v>
      </c>
      <c r="H45" s="24">
        <f>SUM(H34:H44)</f>
        <v>45385</v>
      </c>
      <c r="I45" s="24">
        <f>G45-H45</f>
        <v>6735.5</v>
      </c>
    </row>
    <row r="46" spans="2:10" x14ac:dyDescent="0.25">
      <c r="B46" t="s">
        <v>31</v>
      </c>
      <c r="D46" t="s">
        <v>32</v>
      </c>
      <c r="G46" t="s">
        <v>33</v>
      </c>
    </row>
    <row r="47" spans="2:10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6" workbookViewId="0">
      <selection activeCell="G12" sqref="G12"/>
    </sheetView>
  </sheetViews>
  <sheetFormatPr defaultRowHeight="15" x14ac:dyDescent="0.25"/>
  <cols>
    <col min="2" max="2" width="25.5703125" customWidth="1"/>
    <col min="7" max="7" width="13.85546875" customWidth="1"/>
  </cols>
  <sheetData>
    <row r="1" spans="1:15" x14ac:dyDescent="0.25">
      <c r="D1" s="3" t="s">
        <v>7</v>
      </c>
      <c r="E1" s="3"/>
      <c r="F1" s="3"/>
      <c r="G1" s="3"/>
      <c r="I1" s="3"/>
    </row>
    <row r="2" spans="1:15" x14ac:dyDescent="0.25">
      <c r="D2" s="3" t="s">
        <v>8</v>
      </c>
      <c r="E2" s="3"/>
      <c r="F2" s="3"/>
      <c r="G2" s="3"/>
    </row>
    <row r="3" spans="1:15" x14ac:dyDescent="0.25">
      <c r="D3" s="3" t="s">
        <v>290</v>
      </c>
      <c r="E3" s="3"/>
      <c r="F3" s="29"/>
      <c r="G3" s="3"/>
    </row>
    <row r="4" spans="1:15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5" x14ac:dyDescent="0.25">
      <c r="A5" s="2">
        <v>1</v>
      </c>
      <c r="B5" s="33" t="s">
        <v>286</v>
      </c>
      <c r="C5" s="2">
        <f>'OCTOBER 21'!H5:H22</f>
        <v>0</v>
      </c>
      <c r="D5" s="2"/>
      <c r="E5" s="2">
        <v>2000</v>
      </c>
      <c r="F5" s="2">
        <f>C5+D5+E5</f>
        <v>2000</v>
      </c>
      <c r="G5" s="2"/>
      <c r="H5" s="2">
        <f>F5-G5</f>
        <v>2000</v>
      </c>
      <c r="I5" s="2"/>
      <c r="J5" s="2"/>
    </row>
    <row r="6" spans="1:15" x14ac:dyDescent="0.25">
      <c r="A6" s="2">
        <v>2</v>
      </c>
      <c r="B6" s="2" t="s">
        <v>287</v>
      </c>
      <c r="C6" s="2">
        <f>'OCTOBER 21'!H6:H23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300</v>
      </c>
      <c r="J6" s="2"/>
      <c r="O6" s="12"/>
    </row>
    <row r="7" spans="1:15" x14ac:dyDescent="0.25">
      <c r="A7" s="2">
        <v>3</v>
      </c>
      <c r="B7" s="12" t="s">
        <v>276</v>
      </c>
      <c r="C7" s="2">
        <f>'OCTOBER 21'!H7:H24</f>
        <v>0</v>
      </c>
      <c r="D7" s="2"/>
      <c r="E7" s="2">
        <v>2000</v>
      </c>
      <c r="F7" s="2">
        <f t="shared" si="0"/>
        <v>2000</v>
      </c>
      <c r="G7" s="2"/>
      <c r="H7" s="2">
        <f>F7-G7</f>
        <v>2000</v>
      </c>
      <c r="I7" s="2"/>
      <c r="J7" s="2"/>
      <c r="O7" s="12"/>
    </row>
    <row r="8" spans="1:15" x14ac:dyDescent="0.25">
      <c r="A8" s="2">
        <v>4</v>
      </c>
      <c r="B8" s="15" t="s">
        <v>178</v>
      </c>
      <c r="C8" s="2">
        <f>'OCTOBER 21'!H8:H25</f>
        <v>0</v>
      </c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  <c r="O8" s="2"/>
    </row>
    <row r="9" spans="1:15" x14ac:dyDescent="0.25">
      <c r="A9" s="2">
        <v>5</v>
      </c>
      <c r="B9" s="12" t="s">
        <v>269</v>
      </c>
      <c r="C9" s="2">
        <f>'OCTOBER 21'!H9:H26</f>
        <v>10000</v>
      </c>
      <c r="E9" s="2">
        <v>2000</v>
      </c>
      <c r="F9" s="2">
        <f t="shared" si="0"/>
        <v>12000</v>
      </c>
      <c r="G9" s="2">
        <v>2000</v>
      </c>
      <c r="H9" s="2">
        <f t="shared" ref="H9:H22" si="1">F9-G9</f>
        <v>10000</v>
      </c>
      <c r="I9" s="2">
        <v>300</v>
      </c>
      <c r="J9" s="2"/>
      <c r="O9" s="15"/>
    </row>
    <row r="10" spans="1:15" x14ac:dyDescent="0.25">
      <c r="A10" s="2">
        <v>6</v>
      </c>
      <c r="B10" s="2" t="s">
        <v>275</v>
      </c>
      <c r="C10" s="2">
        <f>'OCTOBER 21'!H10:H27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300</v>
      </c>
      <c r="J10" s="2"/>
      <c r="O10" s="2"/>
    </row>
    <row r="11" spans="1:15" x14ac:dyDescent="0.25">
      <c r="A11" s="2">
        <v>7</v>
      </c>
      <c r="B11" s="2" t="s">
        <v>274</v>
      </c>
      <c r="C11" s="2">
        <f>'OCTOBER 21'!H11:H28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>F11-G11</f>
        <v>0</v>
      </c>
      <c r="I11" s="2">
        <v>500</v>
      </c>
      <c r="J11" s="2"/>
      <c r="O11" s="34"/>
    </row>
    <row r="12" spans="1:15" x14ac:dyDescent="0.25">
      <c r="A12" s="2">
        <v>8</v>
      </c>
      <c r="B12" s="34" t="s">
        <v>263</v>
      </c>
      <c r="C12" s="2">
        <f>'OCTOBER 21'!H12:H29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  <c r="O12" s="32"/>
    </row>
    <row r="13" spans="1:15" x14ac:dyDescent="0.25">
      <c r="A13" s="2">
        <v>9</v>
      </c>
      <c r="B13" s="33" t="s">
        <v>293</v>
      </c>
      <c r="C13" s="2">
        <f>'OCTOBER 21'!H13:H30</f>
        <v>6500</v>
      </c>
      <c r="D13" s="2"/>
      <c r="E13" s="2"/>
      <c r="F13" s="2">
        <f t="shared" si="0"/>
        <v>6500</v>
      </c>
      <c r="G13" s="2"/>
      <c r="H13" s="2">
        <f t="shared" si="1"/>
        <v>6500</v>
      </c>
      <c r="I13" s="2"/>
      <c r="J13" s="2"/>
      <c r="K13" t="s">
        <v>204</v>
      </c>
      <c r="O13" s="33"/>
    </row>
    <row r="14" spans="1:15" x14ac:dyDescent="0.25">
      <c r="A14" s="2">
        <v>10</v>
      </c>
      <c r="B14" s="33" t="s">
        <v>280</v>
      </c>
      <c r="C14" s="2">
        <f>'OCTOBER 21'!H14:H31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200</v>
      </c>
      <c r="J14" s="2"/>
      <c r="O14" s="2"/>
    </row>
    <row r="15" spans="1:15" x14ac:dyDescent="0.25">
      <c r="A15" s="2">
        <v>11</v>
      </c>
      <c r="B15" s="2" t="s">
        <v>281</v>
      </c>
      <c r="C15" s="2">
        <f>'OCTOBER 21'!H15:H32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200</v>
      </c>
      <c r="J15" s="2"/>
      <c r="O15" s="2"/>
    </row>
    <row r="16" spans="1:15" x14ac:dyDescent="0.25">
      <c r="A16" s="2">
        <v>12</v>
      </c>
      <c r="B16" s="15" t="s">
        <v>178</v>
      </c>
      <c r="C16" s="2">
        <f>'OCTOBER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  <c r="O16" s="15"/>
    </row>
    <row r="17" spans="1:15" x14ac:dyDescent="0.25">
      <c r="A17" s="2">
        <v>13</v>
      </c>
      <c r="B17" s="33" t="s">
        <v>282</v>
      </c>
      <c r="C17" s="2">
        <f>'OCTOBER 21'!H17:H34</f>
        <v>0</v>
      </c>
      <c r="D17" s="2"/>
      <c r="E17" s="2">
        <v>4500</v>
      </c>
      <c r="F17" s="2">
        <f t="shared" si="0"/>
        <v>4500</v>
      </c>
      <c r="G17" s="2">
        <v>4500</v>
      </c>
      <c r="H17" s="2">
        <f t="shared" si="1"/>
        <v>0</v>
      </c>
      <c r="I17" s="2">
        <v>300</v>
      </c>
      <c r="J17" s="2"/>
      <c r="O17" s="33"/>
    </row>
    <row r="18" spans="1:15" x14ac:dyDescent="0.25">
      <c r="A18" s="2">
        <v>14</v>
      </c>
      <c r="B18" s="32" t="s">
        <v>289</v>
      </c>
      <c r="C18" s="2">
        <f>'OCTOBER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O18" s="32"/>
    </row>
    <row r="19" spans="1:15" x14ac:dyDescent="0.25">
      <c r="A19" s="2">
        <v>15</v>
      </c>
      <c r="B19" s="2" t="s">
        <v>242</v>
      </c>
      <c r="C19" s="2">
        <f>'OCTOBER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O19" s="2"/>
    </row>
    <row r="20" spans="1:15" x14ac:dyDescent="0.25">
      <c r="A20" s="2">
        <v>16</v>
      </c>
      <c r="B20" s="36" t="s">
        <v>178</v>
      </c>
      <c r="C20" s="2">
        <f>'OCTOBER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  <c r="O20" s="15"/>
    </row>
    <row r="21" spans="1:15" x14ac:dyDescent="0.25">
      <c r="A21" s="2">
        <v>17</v>
      </c>
      <c r="B21" s="33" t="s">
        <v>37</v>
      </c>
      <c r="C21" s="2">
        <f>'OCTOBER 21'!H21:H38</f>
        <v>14755</v>
      </c>
      <c r="D21" s="2"/>
      <c r="E21" s="2">
        <v>2500</v>
      </c>
      <c r="F21" s="2">
        <f t="shared" si="0"/>
        <v>17255</v>
      </c>
      <c r="G21" s="2"/>
      <c r="H21" s="2">
        <f t="shared" si="1"/>
        <v>17255</v>
      </c>
      <c r="I21" s="2"/>
      <c r="J21" s="2"/>
      <c r="O21" s="15"/>
    </row>
    <row r="22" spans="1:15" x14ac:dyDescent="0.25">
      <c r="A22" s="2">
        <v>18</v>
      </c>
      <c r="B22" s="2" t="s">
        <v>288</v>
      </c>
      <c r="C22" s="2">
        <f>'OCTOBER 21'!H22:H39</f>
        <v>0</v>
      </c>
      <c r="D22" s="2"/>
      <c r="E22" s="2">
        <v>2500</v>
      </c>
      <c r="F22" s="2">
        <f t="shared" si="0"/>
        <v>2500</v>
      </c>
      <c r="G22" s="2">
        <v>2500</v>
      </c>
      <c r="H22" s="2">
        <f t="shared" si="1"/>
        <v>0</v>
      </c>
      <c r="I22" s="2">
        <v>200</v>
      </c>
      <c r="J22" s="2"/>
    </row>
    <row r="23" spans="1:15" x14ac:dyDescent="0.25">
      <c r="A23" s="1"/>
      <c r="B23" s="1" t="s">
        <v>46</v>
      </c>
      <c r="C23" s="2">
        <f>SUM(C5:C22)</f>
        <v>32755</v>
      </c>
      <c r="D23" s="1">
        <f t="shared" ref="D23:J23" si="2">SUM(D5:D22)</f>
        <v>0</v>
      </c>
      <c r="E23" s="1">
        <f t="shared" si="2"/>
        <v>30000</v>
      </c>
      <c r="F23" s="2">
        <f t="shared" si="2"/>
        <v>62755</v>
      </c>
      <c r="G23" s="1">
        <f t="shared" si="2"/>
        <v>21000</v>
      </c>
      <c r="H23" s="2">
        <f t="shared" si="2"/>
        <v>41755</v>
      </c>
      <c r="I23" s="1">
        <f t="shared" si="2"/>
        <v>2300</v>
      </c>
      <c r="J23" s="1">
        <f t="shared" si="2"/>
        <v>0</v>
      </c>
    </row>
    <row r="24" spans="1:15" x14ac:dyDescent="0.25">
      <c r="B24" s="4" t="s">
        <v>20</v>
      </c>
      <c r="C24" s="2"/>
      <c r="D24" s="6"/>
      <c r="E24" s="7"/>
      <c r="F24" s="8"/>
      <c r="G24" s="9"/>
      <c r="H24" s="8"/>
    </row>
    <row r="25" spans="1:15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5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5" x14ac:dyDescent="0.25">
      <c r="B27" s="12" t="s">
        <v>294</v>
      </c>
      <c r="C27" s="13">
        <f>E23</f>
        <v>30000</v>
      </c>
      <c r="D27" s="12"/>
      <c r="E27" s="12"/>
      <c r="F27" s="12" t="s">
        <v>294</v>
      </c>
      <c r="G27" s="13">
        <f>G23</f>
        <v>21000</v>
      </c>
      <c r="H27" s="12"/>
      <c r="I27" s="12"/>
    </row>
    <row r="28" spans="1:15" x14ac:dyDescent="0.25">
      <c r="B28" s="12" t="s">
        <v>2</v>
      </c>
      <c r="C28" s="13">
        <f>'OCTOBER 21'!E45</f>
        <v>37490.5</v>
      </c>
      <c r="D28" s="12"/>
      <c r="E28" s="12"/>
      <c r="F28" s="12" t="s">
        <v>2</v>
      </c>
      <c r="G28" s="13">
        <f>'OCTOBER 21'!I45</f>
        <v>6735.5</v>
      </c>
      <c r="H28" s="12"/>
      <c r="I28" s="12"/>
    </row>
    <row r="29" spans="1:15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5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5" x14ac:dyDescent="0.25">
      <c r="B31" s="20" t="s">
        <v>44</v>
      </c>
      <c r="C31" s="2">
        <f>I23</f>
        <v>2300</v>
      </c>
      <c r="D31" s="2"/>
      <c r="E31" s="2"/>
      <c r="F31" s="20" t="s">
        <v>44</v>
      </c>
      <c r="G31" s="2">
        <f>C31</f>
        <v>2300</v>
      </c>
      <c r="H31" s="12"/>
      <c r="I31" s="12"/>
    </row>
    <row r="32" spans="1:15" x14ac:dyDescent="0.25">
      <c r="B32" s="12" t="s">
        <v>28</v>
      </c>
      <c r="C32" s="14">
        <v>0.05</v>
      </c>
      <c r="D32" s="13">
        <f>C32*C27</f>
        <v>1500</v>
      </c>
      <c r="E32" s="12"/>
      <c r="F32" s="12" t="s">
        <v>28</v>
      </c>
      <c r="G32" s="14">
        <v>0.05</v>
      </c>
      <c r="H32" s="13">
        <f>D32</f>
        <v>1500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2520</v>
      </c>
      <c r="E35" s="17"/>
      <c r="F35" s="16" t="s">
        <v>123</v>
      </c>
      <c r="G35" s="2"/>
      <c r="H35" s="2">
        <v>2520</v>
      </c>
      <c r="I35" s="12"/>
    </row>
    <row r="36" spans="2:11" x14ac:dyDescent="0.25">
      <c r="B36" t="s">
        <v>292</v>
      </c>
      <c r="D36" s="2">
        <f>C13</f>
        <v>6500</v>
      </c>
      <c r="E36" s="2"/>
      <c r="H36" s="2"/>
      <c r="I36" s="2"/>
    </row>
    <row r="37" spans="2:11" x14ac:dyDescent="0.25">
      <c r="B37" s="17" t="s">
        <v>297</v>
      </c>
      <c r="D37">
        <v>23000</v>
      </c>
      <c r="E37" s="12"/>
      <c r="F37" s="17" t="s">
        <v>297</v>
      </c>
      <c r="H37">
        <v>23000</v>
      </c>
      <c r="I37" s="12"/>
    </row>
    <row r="38" spans="2:11" x14ac:dyDescent="0.25">
      <c r="B38" s="17" t="s">
        <v>295</v>
      </c>
      <c r="C38" s="12"/>
      <c r="D38" s="12">
        <v>250</v>
      </c>
      <c r="E38" s="12"/>
      <c r="F38" s="17" t="s">
        <v>295</v>
      </c>
      <c r="G38" s="12"/>
      <c r="H38" s="12">
        <v>250</v>
      </c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  <c r="K39" s="27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  <c r="K40" s="27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68290.5</v>
      </c>
      <c r="D45" s="26">
        <f>SUM(D34:D44)</f>
        <v>32270</v>
      </c>
      <c r="E45" s="24">
        <f>C45-D45</f>
        <v>36020.5</v>
      </c>
      <c r="F45" s="25" t="s">
        <v>54</v>
      </c>
      <c r="G45" s="24">
        <f>G27+G28+G29+G30+G31-H32</f>
        <v>28535.5</v>
      </c>
      <c r="H45" s="24">
        <f>SUM(H34:H44)</f>
        <v>25770</v>
      </c>
      <c r="I45" s="24">
        <f>G45-H45</f>
        <v>2765.5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K37" sqref="K37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59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62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/>
      <c r="J6" s="2"/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 t="s">
        <v>61</v>
      </c>
      <c r="C9" s="2"/>
      <c r="D9" s="2"/>
      <c r="E9" s="2">
        <v>2000</v>
      </c>
      <c r="F9" s="2">
        <f>C9+D9+E9</f>
        <v>2000</v>
      </c>
      <c r="G9" s="2">
        <v>2000</v>
      </c>
      <c r="H9" s="2">
        <f>F9-G9</f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350</v>
      </c>
      <c r="D10" s="2"/>
      <c r="E10" s="2">
        <v>2500</v>
      </c>
      <c r="F10" s="2">
        <f t="shared" si="0"/>
        <v>2850</v>
      </c>
      <c r="G10" s="2">
        <v>350</v>
      </c>
      <c r="H10" s="2">
        <f t="shared" si="1"/>
        <v>2500</v>
      </c>
      <c r="I10" s="2">
        <v>200</v>
      </c>
      <c r="J10" s="2">
        <v>200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300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0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s="3" customFormat="1" x14ac:dyDescent="0.25">
      <c r="A23" s="1"/>
      <c r="B23" s="1" t="s">
        <v>46</v>
      </c>
      <c r="C23" s="1">
        <f>SUM(C5:C22)</f>
        <v>350</v>
      </c>
      <c r="D23" s="1">
        <f>SUM(D5:D22)</f>
        <v>0</v>
      </c>
      <c r="E23" s="1">
        <f t="shared" ref="E23:J23" si="2">SUM(E5:E22)</f>
        <v>20500</v>
      </c>
      <c r="F23" s="1">
        <f t="shared" si="2"/>
        <v>20850</v>
      </c>
      <c r="G23" s="1">
        <f t="shared" si="2"/>
        <v>18350</v>
      </c>
      <c r="H23" s="1">
        <f t="shared" si="2"/>
        <v>2500</v>
      </c>
      <c r="I23" s="1">
        <f t="shared" si="2"/>
        <v>1100</v>
      </c>
      <c r="J23" s="1">
        <f t="shared" si="2"/>
        <v>1600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60</v>
      </c>
      <c r="C29" s="13">
        <f>E23</f>
        <v>20500</v>
      </c>
      <c r="D29" s="12"/>
      <c r="E29" s="12"/>
      <c r="F29" s="12" t="s">
        <v>60</v>
      </c>
      <c r="G29" s="13">
        <f>G23</f>
        <v>18350</v>
      </c>
      <c r="H29" s="12"/>
      <c r="I29" s="12"/>
    </row>
    <row r="30" spans="1:10" x14ac:dyDescent="0.25">
      <c r="B30" s="12" t="s">
        <v>2</v>
      </c>
      <c r="C30" s="13">
        <f>NOVEMBER!E42</f>
        <v>-1845.5</v>
      </c>
      <c r="D30" s="12"/>
      <c r="E30" s="12"/>
      <c r="F30" s="12" t="s">
        <v>2</v>
      </c>
      <c r="G30" s="13">
        <f>NOVEMBER!I42</f>
        <v>-1695.5</v>
      </c>
      <c r="H30" s="12"/>
      <c r="I30" s="12"/>
    </row>
    <row r="31" spans="1:10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0" x14ac:dyDescent="0.25">
      <c r="B32" s="20" t="s">
        <v>53</v>
      </c>
      <c r="C32" s="2">
        <f>J23</f>
        <v>1600</v>
      </c>
      <c r="D32" s="2"/>
      <c r="E32" s="2"/>
      <c r="F32" s="20" t="s">
        <v>53</v>
      </c>
      <c r="G32" s="2">
        <f>C32</f>
        <v>1600</v>
      </c>
      <c r="H32" s="12"/>
      <c r="I32" s="12"/>
    </row>
    <row r="33" spans="2:9" x14ac:dyDescent="0.25">
      <c r="B33" s="20" t="s">
        <v>44</v>
      </c>
      <c r="C33" s="2">
        <f>I23</f>
        <v>1100</v>
      </c>
      <c r="D33" s="2"/>
      <c r="E33" s="2"/>
      <c r="F33" s="20" t="s">
        <v>44</v>
      </c>
      <c r="G33" s="2">
        <f>C33</f>
        <v>1100</v>
      </c>
      <c r="H33" s="12"/>
      <c r="I33" s="12"/>
    </row>
    <row r="34" spans="2:9" x14ac:dyDescent="0.25">
      <c r="B34" s="12" t="s">
        <v>28</v>
      </c>
      <c r="C34" s="14">
        <v>0.05</v>
      </c>
      <c r="D34" s="13">
        <f>C34*C29</f>
        <v>1025</v>
      </c>
      <c r="E34" s="12"/>
      <c r="F34" s="12" t="s">
        <v>28</v>
      </c>
      <c r="G34" s="14">
        <v>0.05</v>
      </c>
      <c r="H34" s="13">
        <f>D34</f>
        <v>1025</v>
      </c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6" t="s">
        <v>63</v>
      </c>
      <c r="C36" s="2"/>
      <c r="D36" s="2">
        <v>9800</v>
      </c>
      <c r="E36" s="2"/>
      <c r="F36" s="16" t="s">
        <v>63</v>
      </c>
      <c r="G36" s="2"/>
      <c r="H36" s="2">
        <v>9800</v>
      </c>
      <c r="I36" s="12"/>
    </row>
    <row r="37" spans="2:9" x14ac:dyDescent="0.25">
      <c r="B37" s="19" t="s">
        <v>55</v>
      </c>
      <c r="C37" s="2"/>
      <c r="D37" s="2">
        <v>1000</v>
      </c>
      <c r="E37" s="2"/>
      <c r="F37" s="19" t="s">
        <v>55</v>
      </c>
      <c r="G37" s="2"/>
      <c r="H37" s="2">
        <v>1000</v>
      </c>
      <c r="I37" s="12"/>
    </row>
    <row r="38" spans="2:9" x14ac:dyDescent="0.25">
      <c r="B38" s="17" t="s">
        <v>64</v>
      </c>
      <c r="C38" s="12"/>
      <c r="D38" s="12">
        <v>8187</v>
      </c>
      <c r="E38" s="12"/>
      <c r="F38" s="17" t="s">
        <v>64</v>
      </c>
      <c r="G38" s="12"/>
      <c r="H38" s="12">
        <v>8187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2"/>
      <c r="F40" s="16"/>
      <c r="G40" s="2"/>
      <c r="H40" s="2"/>
      <c r="I40" s="12"/>
    </row>
    <row r="41" spans="2:9" x14ac:dyDescent="0.25">
      <c r="B41" s="25" t="s">
        <v>54</v>
      </c>
      <c r="C41" s="24">
        <f>C29+C30+C31+C32+C33-D34</f>
        <v>20329.5</v>
      </c>
      <c r="D41" s="26">
        <f>SUM(D36:D40)</f>
        <v>18987</v>
      </c>
      <c r="E41" s="24">
        <f>C41-D41</f>
        <v>1342.5</v>
      </c>
      <c r="F41" s="25" t="s">
        <v>54</v>
      </c>
      <c r="G41" s="24">
        <f>G29+G30+G31+G32+G33-H34</f>
        <v>18329.5</v>
      </c>
      <c r="H41" s="24">
        <f>SUM(H36:H40)</f>
        <v>18987</v>
      </c>
      <c r="I41" s="24">
        <f>G41-H41</f>
        <v>-657.5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4" workbookViewId="0">
      <selection activeCell="G15" sqref="G15"/>
    </sheetView>
  </sheetViews>
  <sheetFormatPr defaultRowHeight="15" x14ac:dyDescent="0.25"/>
  <cols>
    <col min="2" max="2" width="21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296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 t="s">
        <v>286</v>
      </c>
      <c r="C5" s="2">
        <f>'NOVEMBER 21'!H5:H22</f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300</v>
      </c>
      <c r="J5" s="2"/>
    </row>
    <row r="6" spans="1:10" x14ac:dyDescent="0.25">
      <c r="A6" s="2">
        <v>2</v>
      </c>
      <c r="B6" s="2" t="s">
        <v>287</v>
      </c>
      <c r="C6" s="2">
        <f>'NOVEMBER 21'!H6:H23</f>
        <v>0</v>
      </c>
      <c r="D6" s="2"/>
      <c r="E6" s="2">
        <v>2000</v>
      </c>
      <c r="F6" s="2">
        <f t="shared" ref="F6:F22" si="0">C6+D6+E6</f>
        <v>2000</v>
      </c>
      <c r="G6" s="2"/>
      <c r="H6" s="2">
        <f>F6-G6</f>
        <v>2000</v>
      </c>
      <c r="I6" s="2"/>
      <c r="J6" s="2"/>
    </row>
    <row r="7" spans="1:10" x14ac:dyDescent="0.25">
      <c r="A7" s="2">
        <v>3</v>
      </c>
      <c r="B7" s="12" t="s">
        <v>276</v>
      </c>
      <c r="C7" s="2">
        <f>'NOVEMBER 21'!H7:H24</f>
        <v>2000</v>
      </c>
      <c r="D7" s="2"/>
      <c r="E7" s="2">
        <v>2000</v>
      </c>
      <c r="F7" s="2">
        <f t="shared" si="0"/>
        <v>4000</v>
      </c>
      <c r="G7" s="2"/>
      <c r="H7" s="2">
        <f>F7-G7</f>
        <v>4000</v>
      </c>
      <c r="I7" s="2"/>
      <c r="J7" s="2"/>
    </row>
    <row r="8" spans="1:10" x14ac:dyDescent="0.25">
      <c r="A8" s="2">
        <v>4</v>
      </c>
      <c r="B8" s="15" t="s">
        <v>298</v>
      </c>
      <c r="C8" s="2">
        <f>'NOVEMBER 21'!H8:H25</f>
        <v>0</v>
      </c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300</v>
      </c>
      <c r="J8" s="2"/>
    </row>
    <row r="9" spans="1:10" x14ac:dyDescent="0.25">
      <c r="A9" s="2">
        <v>5</v>
      </c>
      <c r="B9" s="12" t="s">
        <v>269</v>
      </c>
      <c r="C9" s="2">
        <f>'NOVEMBER 21'!H9:H26</f>
        <v>10000</v>
      </c>
      <c r="E9" s="2">
        <v>2000</v>
      </c>
      <c r="F9" s="2">
        <f t="shared" si="0"/>
        <v>12000</v>
      </c>
      <c r="G9" s="2"/>
      <c r="H9" s="2">
        <f t="shared" ref="H9:H22" si="1">F9-G9</f>
        <v>12000</v>
      </c>
      <c r="I9" s="2"/>
      <c r="J9" s="2"/>
    </row>
    <row r="10" spans="1:10" x14ac:dyDescent="0.25">
      <c r="A10" s="2">
        <v>6</v>
      </c>
      <c r="B10" s="2" t="s">
        <v>275</v>
      </c>
      <c r="C10" s="2">
        <f>'NOVEMBER 21'!H10:H27</f>
        <v>0</v>
      </c>
      <c r="D10" s="2"/>
      <c r="E10" s="2">
        <v>2500</v>
      </c>
      <c r="F10" s="2">
        <f t="shared" si="0"/>
        <v>2500</v>
      </c>
      <c r="G10" s="2"/>
      <c r="H10" s="2">
        <f>F10-G10</f>
        <v>2500</v>
      </c>
      <c r="I10" s="2"/>
      <c r="J10" s="2"/>
    </row>
    <row r="11" spans="1:10" x14ac:dyDescent="0.25">
      <c r="A11" s="2">
        <v>7</v>
      </c>
      <c r="B11" s="2" t="s">
        <v>274</v>
      </c>
      <c r="C11" s="2">
        <f>'NOVEMBER 21'!H11:H28</f>
        <v>0</v>
      </c>
      <c r="D11" s="2"/>
      <c r="E11" s="2">
        <v>2500</v>
      </c>
      <c r="F11" s="2">
        <f t="shared" si="0"/>
        <v>2500</v>
      </c>
      <c r="G11" s="2"/>
      <c r="H11" s="2">
        <f>F11-G11</f>
        <v>2500</v>
      </c>
      <c r="I11" s="2"/>
      <c r="J11" s="2"/>
    </row>
    <row r="12" spans="1:10" x14ac:dyDescent="0.25">
      <c r="A12" s="2">
        <v>8</v>
      </c>
      <c r="B12" s="34" t="s">
        <v>263</v>
      </c>
      <c r="C12" s="2">
        <f>'NOVEMBER 21'!H12:H29</f>
        <v>2500</v>
      </c>
      <c r="D12" s="2"/>
      <c r="E12" s="2">
        <v>2500</v>
      </c>
      <c r="F12" s="2">
        <f t="shared" si="0"/>
        <v>5000</v>
      </c>
      <c r="G12" s="2"/>
      <c r="H12" s="2">
        <f t="shared" si="1"/>
        <v>5000</v>
      </c>
      <c r="I12" s="2"/>
      <c r="J12" s="2"/>
    </row>
    <row r="13" spans="1:10" x14ac:dyDescent="0.25">
      <c r="A13" s="2">
        <v>9</v>
      </c>
      <c r="B13" s="33"/>
      <c r="C13" s="2"/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33" t="s">
        <v>280</v>
      </c>
      <c r="C14" s="2">
        <f>'NOVEMBER 21'!H14:H31</f>
        <v>0</v>
      </c>
      <c r="D14" s="2"/>
      <c r="E14" s="2">
        <v>2500</v>
      </c>
      <c r="F14" s="2">
        <f t="shared" si="0"/>
        <v>2500</v>
      </c>
      <c r="G14" s="2">
        <f>1400+500</f>
        <v>1900</v>
      </c>
      <c r="H14" s="2">
        <f t="shared" si="1"/>
        <v>600</v>
      </c>
      <c r="I14" s="2"/>
      <c r="J14" s="2"/>
    </row>
    <row r="15" spans="1:10" x14ac:dyDescent="0.25">
      <c r="A15" s="2">
        <v>11</v>
      </c>
      <c r="B15" s="2" t="s">
        <v>281</v>
      </c>
      <c r="C15" s="2">
        <f>'NOVEMBER 21'!H15:H32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/>
      <c r="J15" s="2"/>
    </row>
    <row r="16" spans="1:10" x14ac:dyDescent="0.25">
      <c r="A16" s="2">
        <v>12</v>
      </c>
      <c r="B16" s="15" t="s">
        <v>178</v>
      </c>
      <c r="C16" s="2">
        <f>'NOVEMBER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33" t="s">
        <v>282</v>
      </c>
      <c r="C17" s="2">
        <f>'NOVEMBER 21'!H17:H34</f>
        <v>0</v>
      </c>
      <c r="D17" s="2"/>
      <c r="E17" s="2">
        <v>4500</v>
      </c>
      <c r="F17" s="2">
        <f t="shared" si="0"/>
        <v>4500</v>
      </c>
      <c r="G17" s="2"/>
      <c r="H17" s="2">
        <f t="shared" si="1"/>
        <v>4500</v>
      </c>
      <c r="I17" s="2"/>
      <c r="J17" s="2"/>
    </row>
    <row r="18" spans="1:10" x14ac:dyDescent="0.25">
      <c r="A18" s="2">
        <v>14</v>
      </c>
      <c r="B18" s="32" t="s">
        <v>289</v>
      </c>
      <c r="C18" s="2">
        <f>'NOVEMBER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'NOVEMBER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36" t="s">
        <v>178</v>
      </c>
      <c r="C20" s="2">
        <f>'NOVEMBER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33" t="s">
        <v>37</v>
      </c>
      <c r="C21" s="2">
        <f>'NOVEMBER 21'!H21:H38</f>
        <v>17255</v>
      </c>
      <c r="D21" s="2"/>
      <c r="E21" s="2"/>
      <c r="F21" s="2">
        <f t="shared" si="0"/>
        <v>17255</v>
      </c>
      <c r="G21" s="2"/>
      <c r="H21" s="2">
        <f t="shared" si="1"/>
        <v>17255</v>
      </c>
      <c r="I21" s="2"/>
      <c r="J21" s="2"/>
    </row>
    <row r="22" spans="1:10" x14ac:dyDescent="0.25">
      <c r="A22" s="2">
        <v>18</v>
      </c>
      <c r="B22" s="2" t="s">
        <v>288</v>
      </c>
      <c r="C22" s="2">
        <f>'NOVEMBER 21'!H22:H39</f>
        <v>0</v>
      </c>
      <c r="D22" s="2"/>
      <c r="E22" s="2">
        <v>2500</v>
      </c>
      <c r="F22" s="2">
        <f t="shared" si="0"/>
        <v>2500</v>
      </c>
      <c r="G22" s="2">
        <v>2500</v>
      </c>
      <c r="H22" s="2">
        <f t="shared" si="1"/>
        <v>0</v>
      </c>
      <c r="I22" s="2">
        <v>300</v>
      </c>
      <c r="J22" s="2"/>
    </row>
    <row r="23" spans="1:10" x14ac:dyDescent="0.25">
      <c r="A23" s="1"/>
      <c r="B23" s="1" t="s">
        <v>46</v>
      </c>
      <c r="C23" s="2">
        <f>SUM(C5:C22)</f>
        <v>35255</v>
      </c>
      <c r="D23" s="1">
        <f t="shared" ref="D23:J23" si="2">SUM(D5:D22)</f>
        <v>0</v>
      </c>
      <c r="E23" s="1">
        <f t="shared" si="2"/>
        <v>29500</v>
      </c>
      <c r="F23" s="2">
        <f t="shared" si="2"/>
        <v>64755</v>
      </c>
      <c r="G23" s="1">
        <f t="shared" si="2"/>
        <v>10900</v>
      </c>
      <c r="H23" s="2">
        <f t="shared" si="2"/>
        <v>53855</v>
      </c>
      <c r="I23" s="1">
        <f t="shared" si="2"/>
        <v>900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294</v>
      </c>
      <c r="C27" s="13">
        <f>E23</f>
        <v>29500</v>
      </c>
      <c r="D27" s="12"/>
      <c r="E27" s="12"/>
      <c r="F27" s="12" t="s">
        <v>294</v>
      </c>
      <c r="G27" s="13">
        <f>G23</f>
        <v>10900</v>
      </c>
      <c r="H27" s="12"/>
      <c r="I27" s="12"/>
    </row>
    <row r="28" spans="1:10" x14ac:dyDescent="0.25">
      <c r="B28" s="12" t="s">
        <v>2</v>
      </c>
      <c r="C28" s="13">
        <f>'NOVEMBER 21'!E45</f>
        <v>36020.5</v>
      </c>
      <c r="D28" s="12"/>
      <c r="E28" s="12"/>
      <c r="F28" s="12" t="s">
        <v>2</v>
      </c>
      <c r="G28" s="13">
        <f>'NOVEMBER 21'!I45</f>
        <v>2765.5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900</v>
      </c>
      <c r="D31" s="2"/>
      <c r="E31" s="2"/>
      <c r="F31" s="20" t="s">
        <v>44</v>
      </c>
      <c r="G31" s="2">
        <f>C31</f>
        <v>900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1475</v>
      </c>
      <c r="E32" s="12"/>
      <c r="F32" s="12" t="s">
        <v>28</v>
      </c>
      <c r="G32" s="14">
        <v>0.05</v>
      </c>
      <c r="H32" s="13">
        <f>D32</f>
        <v>1475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3840</v>
      </c>
      <c r="E35" s="17"/>
      <c r="F35" s="16" t="s">
        <v>123</v>
      </c>
      <c r="G35" s="2"/>
      <c r="H35" s="2">
        <v>3840</v>
      </c>
      <c r="I35" s="12"/>
    </row>
    <row r="36" spans="2:11" x14ac:dyDescent="0.25">
      <c r="D36" s="2"/>
      <c r="E36" s="2"/>
      <c r="H36" s="2"/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  <c r="K39" s="27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  <c r="K40" s="27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64945.5</v>
      </c>
      <c r="D45" s="26">
        <f>SUM(D34:D44)</f>
        <v>3840</v>
      </c>
      <c r="E45" s="24">
        <f>C45-D45</f>
        <v>61105.5</v>
      </c>
      <c r="F45" s="25" t="s">
        <v>54</v>
      </c>
      <c r="G45" s="24">
        <f>G27+G28+G29+G30+G31-H32</f>
        <v>13090.5</v>
      </c>
      <c r="H45" s="24">
        <f>SUM(H34:H44)</f>
        <v>3840</v>
      </c>
      <c r="I45" s="24">
        <f>G45-H45</f>
        <v>9250.5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G29" sqref="F26:G29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65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62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/>
      <c r="J6" s="2">
        <v>300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 t="s">
        <v>61</v>
      </c>
      <c r="C9" s="2"/>
      <c r="D9" s="2"/>
      <c r="E9" s="2">
        <v>2000</v>
      </c>
      <c r="F9" s="2">
        <f>C9+D9+E9</f>
        <v>2000</v>
      </c>
      <c r="G9" s="2">
        <v>2000</v>
      </c>
      <c r="H9" s="2">
        <f>F9-G9</f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2500</v>
      </c>
      <c r="D10" s="2"/>
      <c r="E10" s="2">
        <v>2500</v>
      </c>
      <c r="F10" s="2">
        <f t="shared" si="0"/>
        <v>5000</v>
      </c>
      <c r="G10" s="2">
        <v>1500</v>
      </c>
      <c r="H10" s="2">
        <f t="shared" si="1"/>
        <v>3500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/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J23" si="2">SUM(C5:C22)</f>
        <v>2500</v>
      </c>
      <c r="D23" s="1">
        <f t="shared" si="2"/>
        <v>0</v>
      </c>
      <c r="E23" s="1">
        <f t="shared" si="2"/>
        <v>20500</v>
      </c>
      <c r="F23" s="1">
        <f t="shared" si="2"/>
        <v>23000</v>
      </c>
      <c r="G23" s="1">
        <f t="shared" si="2"/>
        <v>19500</v>
      </c>
      <c r="H23" s="1">
        <f t="shared" si="2"/>
        <v>3500</v>
      </c>
      <c r="I23" s="1">
        <f t="shared" si="2"/>
        <v>600</v>
      </c>
      <c r="J23" s="1">
        <f t="shared" si="2"/>
        <v>1700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>
        <f>C29+C30</f>
        <v>21842.5</v>
      </c>
    </row>
    <row r="29" spans="1:11" x14ac:dyDescent="0.25">
      <c r="B29" s="12" t="s">
        <v>66</v>
      </c>
      <c r="C29" s="13">
        <f>E23</f>
        <v>20500</v>
      </c>
      <c r="D29" s="12"/>
      <c r="E29" s="12"/>
      <c r="F29" s="12" t="s">
        <v>66</v>
      </c>
      <c r="G29" s="13">
        <f>G23</f>
        <v>19500</v>
      </c>
      <c r="H29" s="12"/>
      <c r="I29" s="12"/>
    </row>
    <row r="30" spans="1:11" x14ac:dyDescent="0.25">
      <c r="B30" s="12" t="s">
        <v>2</v>
      </c>
      <c r="C30" s="13">
        <f>DECEMBER!E41</f>
        <v>1342.5</v>
      </c>
      <c r="D30" s="12"/>
      <c r="E30" s="12"/>
      <c r="F30" s="12" t="s">
        <v>2</v>
      </c>
      <c r="G30" s="13">
        <f>DECEMBER!I41</f>
        <v>-657.5</v>
      </c>
      <c r="H30" s="12"/>
      <c r="I30" s="12"/>
    </row>
    <row r="31" spans="1:11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1" x14ac:dyDescent="0.25">
      <c r="B32" s="20" t="s">
        <v>53</v>
      </c>
      <c r="C32" s="2">
        <f>J23</f>
        <v>1700</v>
      </c>
      <c r="D32" s="2"/>
      <c r="E32" s="2"/>
      <c r="F32" s="20" t="s">
        <v>53</v>
      </c>
      <c r="G32" s="2">
        <f>C32</f>
        <v>1700</v>
      </c>
      <c r="H32" s="12"/>
      <c r="I32" s="12"/>
    </row>
    <row r="33" spans="2:9" x14ac:dyDescent="0.25">
      <c r="B33" s="20" t="s">
        <v>44</v>
      </c>
      <c r="C33" s="2">
        <f>I23</f>
        <v>600</v>
      </c>
      <c r="D33" s="2"/>
      <c r="E33" s="2"/>
      <c r="F33" s="20" t="s">
        <v>44</v>
      </c>
      <c r="G33" s="2">
        <f>C33</f>
        <v>600</v>
      </c>
      <c r="H33" s="12"/>
      <c r="I33" s="12"/>
    </row>
    <row r="34" spans="2:9" x14ac:dyDescent="0.25">
      <c r="B34" s="12" t="s">
        <v>28</v>
      </c>
      <c r="C34" s="14">
        <v>0.05</v>
      </c>
      <c r="D34" s="13">
        <f>C34*C29</f>
        <v>1025</v>
      </c>
      <c r="E34" s="12"/>
      <c r="F34" s="12" t="s">
        <v>28</v>
      </c>
      <c r="G34" s="14">
        <v>0.05</v>
      </c>
      <c r="H34" s="13">
        <f>D34</f>
        <v>1025</v>
      </c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6" t="s">
        <v>67</v>
      </c>
      <c r="C36" s="2"/>
      <c r="D36" s="2">
        <v>1000</v>
      </c>
      <c r="E36" s="2"/>
      <c r="F36" s="16" t="s">
        <v>67</v>
      </c>
      <c r="G36" s="2"/>
      <c r="H36" s="2">
        <v>1000</v>
      </c>
      <c r="I36" s="12"/>
    </row>
    <row r="37" spans="2:9" x14ac:dyDescent="0.25">
      <c r="B37" s="19" t="s">
        <v>70</v>
      </c>
      <c r="C37" s="2"/>
      <c r="D37" s="2">
        <v>19102</v>
      </c>
      <c r="E37" s="2"/>
      <c r="F37" s="19" t="s">
        <v>70</v>
      </c>
      <c r="G37" s="2"/>
      <c r="H37" s="2">
        <v>19102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2"/>
      <c r="F40" s="16"/>
      <c r="G40" s="2"/>
      <c r="H40" s="2"/>
      <c r="I40" s="12"/>
    </row>
    <row r="41" spans="2:9" x14ac:dyDescent="0.25">
      <c r="B41" s="25" t="s">
        <v>54</v>
      </c>
      <c r="C41" s="24">
        <f>C29+C30+C31+C32+C33-D34</f>
        <v>23117.5</v>
      </c>
      <c r="D41" s="26">
        <f>SUM(D36:D40)</f>
        <v>20102</v>
      </c>
      <c r="E41" s="24">
        <f>C41-D41</f>
        <v>3015.5</v>
      </c>
      <c r="F41" s="25" t="s">
        <v>54</v>
      </c>
      <c r="G41" s="24">
        <f>G29+G30+G31+G32+G33-H34</f>
        <v>20117.5</v>
      </c>
      <c r="H41" s="24">
        <f>SUM(H36:H40)</f>
        <v>20102</v>
      </c>
      <c r="I41" s="24">
        <f>G41-H41</f>
        <v>15.5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10" sqref="G10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71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/>
      <c r="D6" s="2">
        <v>1000</v>
      </c>
      <c r="E6" s="2">
        <v>2000</v>
      </c>
      <c r="F6" s="2">
        <f>C6+D6+E6</f>
        <v>3000</v>
      </c>
      <c r="G6" s="2">
        <v>3000</v>
      </c>
      <c r="H6" s="2">
        <f t="shared" ref="H6:H22" si="0">F6-G6</f>
        <v>0</v>
      </c>
      <c r="I6" s="2"/>
      <c r="J6" s="2"/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6</v>
      </c>
      <c r="B10" s="2" t="s">
        <v>37</v>
      </c>
      <c r="C10" s="2">
        <v>3500</v>
      </c>
      <c r="D10" s="2"/>
      <c r="E10" s="2">
        <v>2500</v>
      </c>
      <c r="F10" s="2">
        <f t="shared" si="1"/>
        <v>6000</v>
      </c>
      <c r="G10" s="2"/>
      <c r="H10" s="2">
        <f t="shared" si="0"/>
        <v>6000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200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1"/>
        <v>0</v>
      </c>
      <c r="G16" s="2"/>
      <c r="H16" s="2">
        <f t="shared" si="0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>SUM(C5:C22)</f>
        <v>3500</v>
      </c>
      <c r="D23" s="1">
        <f>SUM(D5:D22)</f>
        <v>1000</v>
      </c>
      <c r="E23" s="1">
        <f t="shared" ref="E23:J23" si="2">SUM(E5:E22)</f>
        <v>16500</v>
      </c>
      <c r="F23" s="1">
        <f t="shared" si="2"/>
        <v>21000</v>
      </c>
      <c r="G23" s="1">
        <f>SUM(G5:G22)</f>
        <v>15000</v>
      </c>
      <c r="H23" s="1">
        <f t="shared" si="2"/>
        <v>6000</v>
      </c>
      <c r="I23" s="1">
        <f t="shared" si="2"/>
        <v>600</v>
      </c>
      <c r="J23" s="1">
        <f t="shared" si="2"/>
        <v>1000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>
        <f>C29+C30</f>
        <v>20515.5</v>
      </c>
    </row>
    <row r="29" spans="1:11" x14ac:dyDescent="0.25">
      <c r="B29" s="12" t="s">
        <v>72</v>
      </c>
      <c r="C29" s="13">
        <f>D23+E23</f>
        <v>17500</v>
      </c>
      <c r="D29" s="12"/>
      <c r="E29" s="12"/>
      <c r="F29" s="12" t="s">
        <v>72</v>
      </c>
      <c r="G29" s="13">
        <f>G23+D23</f>
        <v>16000</v>
      </c>
      <c r="H29" s="12"/>
      <c r="I29" s="12"/>
    </row>
    <row r="30" spans="1:11" x14ac:dyDescent="0.25">
      <c r="B30" s="12" t="s">
        <v>2</v>
      </c>
      <c r="C30" s="13">
        <f>JANUARY!E41</f>
        <v>3015.5</v>
      </c>
      <c r="D30" s="12"/>
      <c r="E30" s="12"/>
      <c r="F30" s="12" t="s">
        <v>2</v>
      </c>
      <c r="G30" s="13">
        <f>JANUARY!I41</f>
        <v>15.5</v>
      </c>
      <c r="H30" s="12"/>
      <c r="I30" s="12"/>
    </row>
    <row r="31" spans="1:11" x14ac:dyDescent="0.25">
      <c r="B31" s="20" t="s">
        <v>53</v>
      </c>
      <c r="C31" s="2">
        <f>J23</f>
        <v>1000</v>
      </c>
      <c r="D31" s="2"/>
      <c r="E31" s="2"/>
      <c r="F31" s="20" t="s">
        <v>53</v>
      </c>
      <c r="G31" s="2">
        <f>C31</f>
        <v>1000</v>
      </c>
      <c r="H31" s="12"/>
      <c r="I31" s="12"/>
    </row>
    <row r="32" spans="1:11" x14ac:dyDescent="0.25">
      <c r="B32" s="20" t="s">
        <v>44</v>
      </c>
      <c r="C32" s="2">
        <f>I23</f>
        <v>600</v>
      </c>
      <c r="D32" s="2"/>
      <c r="E32" s="2"/>
      <c r="F32" s="20" t="s">
        <v>44</v>
      </c>
      <c r="G32" s="2">
        <f>C32</f>
        <v>600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C33*C29</f>
        <v>875</v>
      </c>
      <c r="E33" s="12"/>
      <c r="F33" s="12" t="s">
        <v>28</v>
      </c>
      <c r="G33" s="14">
        <v>0.05</v>
      </c>
      <c r="H33" s="13">
        <f>D33</f>
        <v>875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44</v>
      </c>
      <c r="C35" s="2"/>
      <c r="D35" s="2">
        <v>1680</v>
      </c>
      <c r="E35" s="2"/>
      <c r="F35" s="16" t="s">
        <v>44</v>
      </c>
      <c r="G35" s="2"/>
      <c r="H35" s="2">
        <v>1680</v>
      </c>
      <c r="I35" s="12"/>
    </row>
    <row r="36" spans="2:9" x14ac:dyDescent="0.25">
      <c r="B36" s="19" t="s">
        <v>73</v>
      </c>
      <c r="C36" s="2"/>
      <c r="D36" s="2">
        <v>12097</v>
      </c>
      <c r="E36" s="2"/>
      <c r="F36" s="19" t="s">
        <v>73</v>
      </c>
      <c r="G36" s="2"/>
      <c r="H36" s="2">
        <v>12097</v>
      </c>
      <c r="I36" s="12"/>
    </row>
    <row r="37" spans="2:9" x14ac:dyDescent="0.25">
      <c r="B37" s="17" t="s">
        <v>81</v>
      </c>
      <c r="C37" s="12"/>
      <c r="D37" s="12">
        <v>1023</v>
      </c>
      <c r="E37" s="12"/>
      <c r="F37" s="17" t="s">
        <v>81</v>
      </c>
      <c r="G37" s="12"/>
      <c r="H37" s="12">
        <v>1023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21240.5</v>
      </c>
      <c r="D40" s="26">
        <f>SUM(D35:D39)</f>
        <v>14800</v>
      </c>
      <c r="E40" s="24">
        <f>C40-D40</f>
        <v>6440.5</v>
      </c>
      <c r="F40" s="25" t="s">
        <v>54</v>
      </c>
      <c r="G40" s="24">
        <f>G29+G30+G31+G32-H33</f>
        <v>16740.5</v>
      </c>
      <c r="H40" s="24">
        <f>SUM(H35:H39)</f>
        <v>14800</v>
      </c>
      <c r="I40" s="24">
        <f>G40-H40</f>
        <v>1940.5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M25" sqref="M25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  <col min="10" max="10" width="9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74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6000</v>
      </c>
      <c r="D10" s="2"/>
      <c r="E10" s="2">
        <v>2500</v>
      </c>
      <c r="F10" s="2">
        <f t="shared" si="1"/>
        <v>8500</v>
      </c>
      <c r="G10" s="2">
        <v>6600</v>
      </c>
      <c r="H10" s="2">
        <f t="shared" si="0"/>
        <v>1900</v>
      </c>
      <c r="I10" s="2">
        <v>300</v>
      </c>
      <c r="J10" s="2">
        <v>600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1"/>
        <v>0</v>
      </c>
      <c r="G16" s="2"/>
      <c r="H16" s="2">
        <f t="shared" si="0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J23" si="2">SUM(C5:C22)</f>
        <v>6000</v>
      </c>
      <c r="D23" s="1">
        <f t="shared" si="2"/>
        <v>0</v>
      </c>
      <c r="E23" s="1">
        <f t="shared" si="2"/>
        <v>20500</v>
      </c>
      <c r="F23" s="1">
        <f t="shared" si="2"/>
        <v>26500</v>
      </c>
      <c r="G23" s="1">
        <f t="shared" si="2"/>
        <v>24600</v>
      </c>
      <c r="H23" s="1">
        <f t="shared" si="2"/>
        <v>1900</v>
      </c>
      <c r="I23" s="1">
        <f t="shared" si="2"/>
        <v>1100</v>
      </c>
      <c r="J23" s="1">
        <f t="shared" si="2"/>
        <v>2200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75</v>
      </c>
      <c r="C29" s="13">
        <f>D23+E23</f>
        <v>20500</v>
      </c>
      <c r="D29" s="12"/>
      <c r="E29" s="12"/>
      <c r="F29" s="12" t="s">
        <v>75</v>
      </c>
      <c r="G29" s="13">
        <f>G23+D23</f>
        <v>24600</v>
      </c>
      <c r="H29" s="12"/>
      <c r="I29" s="12"/>
    </row>
    <row r="30" spans="1:11" x14ac:dyDescent="0.25">
      <c r="B30" s="12" t="s">
        <v>2</v>
      </c>
      <c r="C30" s="13">
        <f>FEBRUARY!E40</f>
        <v>6440.5</v>
      </c>
      <c r="D30" s="12"/>
      <c r="E30" s="12"/>
      <c r="F30" s="12" t="s">
        <v>2</v>
      </c>
      <c r="G30" s="13">
        <f>FEBRUARY!I40</f>
        <v>1940.5</v>
      </c>
      <c r="H30" s="12"/>
      <c r="I30" s="12"/>
    </row>
    <row r="31" spans="1:11" x14ac:dyDescent="0.25">
      <c r="B31" s="20" t="s">
        <v>53</v>
      </c>
      <c r="C31" s="2">
        <f>J23</f>
        <v>2200</v>
      </c>
      <c r="D31" s="2"/>
      <c r="E31" s="2"/>
      <c r="F31" s="20" t="s">
        <v>53</v>
      </c>
      <c r="G31" s="2">
        <f>C31</f>
        <v>2200</v>
      </c>
      <c r="H31" s="12"/>
      <c r="I31" s="12"/>
    </row>
    <row r="32" spans="1:11" x14ac:dyDescent="0.25">
      <c r="B32" s="20" t="s">
        <v>44</v>
      </c>
      <c r="C32" s="2">
        <f>I23</f>
        <v>1100</v>
      </c>
      <c r="D32" s="2"/>
      <c r="E32" s="2"/>
      <c r="F32" s="20" t="s">
        <v>44</v>
      </c>
      <c r="G32" s="2">
        <f>C32</f>
        <v>1100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44</v>
      </c>
      <c r="C35" s="2"/>
      <c r="D35" s="2">
        <v>1920</v>
      </c>
      <c r="E35" s="2"/>
      <c r="F35" s="16" t="s">
        <v>44</v>
      </c>
      <c r="G35" s="2"/>
      <c r="H35" s="2">
        <v>1920</v>
      </c>
      <c r="I35" s="12"/>
    </row>
    <row r="36" spans="2:9" x14ac:dyDescent="0.25">
      <c r="B36" s="19" t="s">
        <v>76</v>
      </c>
      <c r="C36" s="2"/>
      <c r="D36" s="2">
        <v>700</v>
      </c>
      <c r="E36" s="2"/>
      <c r="F36" s="19" t="s">
        <v>76</v>
      </c>
      <c r="G36" s="2"/>
      <c r="H36" s="2">
        <v>700</v>
      </c>
      <c r="I36" s="12"/>
    </row>
    <row r="37" spans="2:9" x14ac:dyDescent="0.25">
      <c r="B37" s="17" t="s">
        <v>80</v>
      </c>
      <c r="C37" s="12"/>
      <c r="D37" s="12">
        <v>15000</v>
      </c>
      <c r="E37" s="12"/>
      <c r="F37" s="17" t="s">
        <v>80</v>
      </c>
      <c r="G37" s="12"/>
      <c r="H37" s="12">
        <v>15000</v>
      </c>
      <c r="I37" s="12"/>
    </row>
    <row r="38" spans="2:9" x14ac:dyDescent="0.25">
      <c r="B38" s="16" t="s">
        <v>82</v>
      </c>
      <c r="C38" s="2"/>
      <c r="D38" s="2">
        <v>1000</v>
      </c>
      <c r="E38" s="12"/>
      <c r="F38" s="16" t="s">
        <v>82</v>
      </c>
      <c r="G38" s="2"/>
      <c r="H38" s="2">
        <v>1000</v>
      </c>
      <c r="I38" s="12"/>
    </row>
    <row r="39" spans="2:9" x14ac:dyDescent="0.25">
      <c r="B39" s="2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29215.5</v>
      </c>
      <c r="D40" s="26">
        <f>SUM(D35:D38)</f>
        <v>18620</v>
      </c>
      <c r="E40" s="24">
        <f>C40-D40</f>
        <v>10595.5</v>
      </c>
      <c r="F40" s="25" t="s">
        <v>54</v>
      </c>
      <c r="G40" s="24">
        <f>G29+G30+G31+G32-H33</f>
        <v>28815.5</v>
      </c>
      <c r="H40" s="24">
        <f>SUM(H35:H39)</f>
        <v>18620</v>
      </c>
      <c r="I40" s="24">
        <f>G40-H40</f>
        <v>10195.5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4" sqref="E24"/>
    </sheetView>
  </sheetViews>
  <sheetFormatPr defaultRowHeight="15" x14ac:dyDescent="0.25"/>
  <cols>
    <col min="1" max="1" width="3.85546875" customWidth="1"/>
    <col min="2" max="2" width="18.14062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83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2500</v>
      </c>
      <c r="H10" s="2">
        <f t="shared" si="0"/>
        <v>1900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>SUM(E5:E22)</f>
        <v>23000</v>
      </c>
      <c r="F23" s="1">
        <f t="shared" si="2"/>
        <v>24900</v>
      </c>
      <c r="G23" s="1">
        <f>SUM(G5:G22)</f>
        <v>23000</v>
      </c>
      <c r="H23" s="1">
        <f t="shared" si="2"/>
        <v>1900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84</v>
      </c>
      <c r="C29" s="13">
        <f>D23+E23</f>
        <v>23000</v>
      </c>
      <c r="D29" s="12"/>
      <c r="E29" s="12"/>
      <c r="F29" s="12" t="s">
        <v>84</v>
      </c>
      <c r="G29" s="13">
        <f>G23+D23</f>
        <v>23000</v>
      </c>
      <c r="H29" s="12"/>
      <c r="I29" s="12"/>
    </row>
    <row r="30" spans="1:11" x14ac:dyDescent="0.25">
      <c r="B30" s="12" t="s">
        <v>2</v>
      </c>
      <c r="C30" s="13">
        <f>MARCH!E40</f>
        <v>10595.5</v>
      </c>
      <c r="D30" s="12"/>
      <c r="E30" s="12"/>
      <c r="F30" s="12" t="s">
        <v>2</v>
      </c>
      <c r="G30" s="13">
        <f>MARCH!I40</f>
        <v>10195.5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86</v>
      </c>
      <c r="C35" s="2"/>
      <c r="D35" s="2">
        <v>20102</v>
      </c>
      <c r="E35" s="2"/>
      <c r="F35" s="16" t="s">
        <v>86</v>
      </c>
      <c r="G35" s="2"/>
      <c r="H35" s="2">
        <v>20102</v>
      </c>
      <c r="I35" s="12"/>
    </row>
    <row r="36" spans="2:9" x14ac:dyDescent="0.25">
      <c r="B36" s="19" t="s">
        <v>94</v>
      </c>
      <c r="C36" s="2"/>
      <c r="D36" s="2">
        <v>1023</v>
      </c>
      <c r="E36" s="2"/>
      <c r="F36" s="19" t="s">
        <v>94</v>
      </c>
      <c r="G36" s="2"/>
      <c r="H36" s="2">
        <v>1023</v>
      </c>
      <c r="I36" s="12"/>
    </row>
    <row r="37" spans="2:9" x14ac:dyDescent="0.25">
      <c r="B37" s="17" t="s">
        <v>87</v>
      </c>
      <c r="C37" s="12"/>
      <c r="D37" s="12">
        <v>1920</v>
      </c>
      <c r="E37" s="12"/>
      <c r="F37" s="17" t="s">
        <v>87</v>
      </c>
      <c r="G37" s="12"/>
      <c r="H37" s="12">
        <v>1920</v>
      </c>
      <c r="I37" s="12"/>
    </row>
    <row r="38" spans="2:9" x14ac:dyDescent="0.25">
      <c r="B38" s="17"/>
      <c r="C38" s="12"/>
      <c r="D38" s="12"/>
      <c r="E38" s="12"/>
      <c r="F38" s="16"/>
      <c r="G38" s="2"/>
      <c r="H38" s="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35270.5</v>
      </c>
      <c r="D40" s="26">
        <f>SUM(D35:D39)</f>
        <v>23045</v>
      </c>
      <c r="E40" s="24">
        <f>C40-D40</f>
        <v>12225.5</v>
      </c>
      <c r="F40" s="25" t="s">
        <v>54</v>
      </c>
      <c r="G40" s="24">
        <f>G29+G30+G31+G32-H33</f>
        <v>34870.5</v>
      </c>
      <c r="H40" s="24">
        <f>SUM(H35:H39)</f>
        <v>23045</v>
      </c>
      <c r="I40" s="24">
        <f>G40-H40</f>
        <v>11825.5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P18" sqref="P18"/>
    </sheetView>
  </sheetViews>
  <sheetFormatPr defaultRowHeight="15" x14ac:dyDescent="0.25"/>
  <cols>
    <col min="1" max="1" width="3.85546875" customWidth="1"/>
    <col min="2" max="2" width="18.14062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89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2500</v>
      </c>
      <c r="H10" s="2">
        <f t="shared" si="0"/>
        <v>1900</v>
      </c>
      <c r="I10" s="2"/>
      <c r="J10" s="2"/>
    </row>
    <row r="11" spans="1:10" x14ac:dyDescent="0.25">
      <c r="A11" s="2">
        <v>7</v>
      </c>
      <c r="B11" s="2" t="s">
        <v>16</v>
      </c>
      <c r="C11" s="2"/>
      <c r="D11" s="2"/>
      <c r="E11" s="2">
        <v>2500</v>
      </c>
      <c r="F11" s="2">
        <f t="shared" si="1"/>
        <v>2500</v>
      </c>
      <c r="G11" s="2">
        <v>2500</v>
      </c>
      <c r="H11" s="2">
        <f t="shared" si="0"/>
        <v>0</v>
      </c>
      <c r="I11" s="2">
        <v>100</v>
      </c>
      <c r="J11" s="2">
        <v>200</v>
      </c>
    </row>
    <row r="12" spans="1:10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 t="shared" si="2"/>
        <v>21500</v>
      </c>
      <c r="F23" s="1">
        <f t="shared" si="2"/>
        <v>23400</v>
      </c>
      <c r="G23" s="1">
        <f t="shared" si="2"/>
        <v>21500</v>
      </c>
      <c r="H23" s="1">
        <f t="shared" si="2"/>
        <v>1900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88</v>
      </c>
      <c r="C29" s="13">
        <f>D23+E23</f>
        <v>21500</v>
      </c>
      <c r="D29" s="12"/>
      <c r="E29" s="12"/>
      <c r="F29" s="12" t="s">
        <v>88</v>
      </c>
      <c r="G29" s="13">
        <f>G23+D23</f>
        <v>21500</v>
      </c>
      <c r="H29" s="12"/>
      <c r="I29" s="12"/>
    </row>
    <row r="30" spans="1:11" x14ac:dyDescent="0.25">
      <c r="B30" s="12" t="s">
        <v>2</v>
      </c>
      <c r="C30" s="13">
        <f>APRIL!E40</f>
        <v>12225.5</v>
      </c>
      <c r="D30" s="12"/>
      <c r="E30" s="12"/>
      <c r="F30" s="12" t="s">
        <v>2</v>
      </c>
      <c r="G30" s="13">
        <f>APRIL!I40</f>
        <v>11825.5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95</v>
      </c>
      <c r="C35" s="2"/>
      <c r="D35" s="2">
        <v>1023</v>
      </c>
      <c r="E35" s="2"/>
      <c r="F35" s="16" t="s">
        <v>95</v>
      </c>
      <c r="G35" s="2"/>
      <c r="H35" s="2">
        <v>1023</v>
      </c>
      <c r="I35" s="12"/>
    </row>
    <row r="36" spans="2:9" x14ac:dyDescent="0.25">
      <c r="B36" s="19" t="s">
        <v>90</v>
      </c>
      <c r="C36" s="2"/>
      <c r="D36" s="2">
        <v>25105</v>
      </c>
      <c r="E36" s="2"/>
      <c r="F36" s="19" t="s">
        <v>90</v>
      </c>
      <c r="G36" s="2"/>
      <c r="H36" s="2">
        <v>25105</v>
      </c>
      <c r="I36" s="12"/>
    </row>
    <row r="37" spans="2:9" x14ac:dyDescent="0.25">
      <c r="B37" s="17" t="s">
        <v>44</v>
      </c>
      <c r="C37" s="12"/>
      <c r="D37" s="12">
        <v>2160</v>
      </c>
      <c r="E37" s="12"/>
      <c r="F37" s="17" t="s">
        <v>44</v>
      </c>
      <c r="G37" s="12"/>
      <c r="H37" s="12">
        <v>2160</v>
      </c>
      <c r="I37" s="12"/>
    </row>
    <row r="38" spans="2:9" x14ac:dyDescent="0.25">
      <c r="B38" s="17" t="s">
        <v>96</v>
      </c>
      <c r="C38" s="12"/>
      <c r="D38" s="12">
        <v>1000</v>
      </c>
      <c r="E38" s="12"/>
      <c r="F38" s="17" t="s">
        <v>96</v>
      </c>
      <c r="G38" s="12"/>
      <c r="H38" s="12">
        <v>1000</v>
      </c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35400.5</v>
      </c>
      <c r="D40" s="26">
        <f>SUM(D35:D39)</f>
        <v>29288</v>
      </c>
      <c r="E40" s="24">
        <f>C40-D40</f>
        <v>6112.5</v>
      </c>
      <c r="F40" s="25" t="s">
        <v>54</v>
      </c>
      <c r="G40" s="24">
        <f>G29+G30+G31+G32-H33</f>
        <v>35000.5</v>
      </c>
      <c r="H40" s="24">
        <f>SUM(H35:H39)</f>
        <v>29288</v>
      </c>
      <c r="I40" s="24">
        <f>G40-H40</f>
        <v>5712.5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 </vt:lpstr>
      <vt:lpstr>JULY </vt:lpstr>
      <vt:lpstr>AUGUST</vt:lpstr>
      <vt:lpstr>SEPT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2021-12-15T13:08:19Z</dcterms:modified>
</cp:coreProperties>
</file>