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20" windowWidth="14805" windowHeight="7695" firstSheet="44" activeTab="47"/>
  </bookViews>
  <sheets>
    <sheet name="JANUARY 18" sheetId="1" r:id="rId1"/>
    <sheet name="FEB18" sheetId="2" r:id="rId2"/>
    <sheet name="MARCH 18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" sheetId="9" r:id="rId9"/>
    <sheet name="OCTOBER" sheetId="10" r:id="rId10"/>
    <sheet name="NOVEMBER" sheetId="11" r:id="rId11"/>
    <sheet name="DECEMBER" sheetId="12" r:id="rId12"/>
    <sheet name="JANUARY " sheetId="13" r:id="rId13"/>
    <sheet name="FEBRUARY " sheetId="14" r:id="rId14"/>
    <sheet name="MARCH " sheetId="15" r:id="rId15"/>
    <sheet name="APRIL " sheetId="16" r:id="rId16"/>
    <sheet name="MAY " sheetId="17" r:id="rId17"/>
    <sheet name="JUNE " sheetId="18" r:id="rId18"/>
    <sheet name="JULLY " sheetId="19" r:id="rId19"/>
    <sheet name="AUGUST19" sheetId="20" r:id="rId20"/>
    <sheet name="SEPTEMBER 19" sheetId="21" r:id="rId21"/>
    <sheet name="OCTOBER 19" sheetId="22" r:id="rId22"/>
    <sheet name="NOVEMBER 19" sheetId="23" r:id="rId23"/>
    <sheet name="DECEMBER 19" sheetId="24" r:id="rId24"/>
    <sheet name="JANUARY 20" sheetId="25" r:id="rId25"/>
    <sheet name="FEBRUARY" sheetId="26" r:id="rId26"/>
    <sheet name="MARCH 20" sheetId="27" r:id="rId27"/>
    <sheet name="APRIL 20" sheetId="28" r:id="rId28"/>
    <sheet name="JUNE 20" sheetId="30" r:id="rId29"/>
    <sheet name="MAY 20" sheetId="29" r:id="rId30"/>
    <sheet name="JULY 20" sheetId="31" r:id="rId31"/>
    <sheet name="AUGUST 20" sheetId="32" r:id="rId32"/>
    <sheet name="SEPTEMBER20" sheetId="33" r:id="rId33"/>
    <sheet name="OCTOBER 20" sheetId="34" r:id="rId34"/>
    <sheet name="NOVEMBER20" sheetId="35" r:id="rId35"/>
    <sheet name="DECEMBER 20" sheetId="36" r:id="rId36"/>
    <sheet name="JANUARY 21" sheetId="37" r:id="rId37"/>
    <sheet name="FEBRUARY21" sheetId="38" r:id="rId38"/>
    <sheet name="MARCH 21" sheetId="39" r:id="rId39"/>
    <sheet name="APRIL 21" sheetId="40" r:id="rId40"/>
    <sheet name="MAY 21" sheetId="41" r:id="rId41"/>
    <sheet name="JUNE 21" sheetId="42" r:id="rId42"/>
    <sheet name="JULY 21" sheetId="43" r:id="rId43"/>
    <sheet name="AUGUST 21" sheetId="44" r:id="rId44"/>
    <sheet name="SEPTEMBER 21" sheetId="45" r:id="rId45"/>
    <sheet name=" OCTOBER 21" sheetId="46" r:id="rId46"/>
    <sheet name="NOVEMBER 21" sheetId="47" r:id="rId47"/>
    <sheet name="DECEMBER 21" sheetId="48" r:id="rId48"/>
  </sheets>
  <externalReferences>
    <externalReference r:id="rId49"/>
  </externalReferences>
  <calcPr calcId="162913"/>
</workbook>
</file>

<file path=xl/calcChain.xml><?xml version="1.0" encoding="utf-8"?>
<calcChain xmlns="http://schemas.openxmlformats.org/spreadsheetml/2006/main">
  <c r="Q24" i="48" l="1"/>
  <c r="P23" i="48"/>
  <c r="P26" i="48" s="1"/>
  <c r="P20" i="48"/>
  <c r="P28" i="48" l="1"/>
  <c r="Q26" i="48"/>
  <c r="F58" i="48"/>
  <c r="M25" i="48" l="1"/>
  <c r="P36" i="45" l="1"/>
  <c r="P37" i="45" s="1"/>
  <c r="P39" i="45" s="1"/>
  <c r="F10" i="45"/>
  <c r="F8" i="47" l="1"/>
  <c r="F58" i="47"/>
  <c r="C61" i="48" l="1"/>
  <c r="C62" i="48"/>
  <c r="C51" i="48"/>
  <c r="H77" i="48"/>
  <c r="D77" i="48"/>
  <c r="F63" i="48"/>
  <c r="G67" i="48" s="1"/>
  <c r="D63" i="48"/>
  <c r="L47" i="48"/>
  <c r="H41" i="48"/>
  <c r="D41" i="48"/>
  <c r="C27" i="48"/>
  <c r="F26" i="48"/>
  <c r="G30" i="48" s="1"/>
  <c r="D26" i="48"/>
  <c r="C30" i="48" s="1"/>
  <c r="H32" i="48" s="1"/>
  <c r="C67" i="48" l="1"/>
  <c r="H69" i="48" s="1"/>
  <c r="K57" i="48"/>
  <c r="M22" i="48"/>
  <c r="D69" i="48"/>
  <c r="K58" i="48" s="1"/>
  <c r="D32" i="48"/>
  <c r="M23" i="48" s="1"/>
  <c r="M24" i="48" l="1"/>
  <c r="M26" i="48" s="1"/>
  <c r="M28" i="48" s="1"/>
  <c r="K59" i="48"/>
  <c r="O41" i="48"/>
  <c r="O44" i="48" s="1"/>
  <c r="F55" i="47"/>
  <c r="F55" i="41" l="1"/>
  <c r="M47" i="45" l="1"/>
  <c r="L47" i="47" l="1"/>
  <c r="F58" i="46" l="1"/>
  <c r="F52" i="46"/>
  <c r="F12" i="46" l="1"/>
  <c r="C61" i="47" l="1"/>
  <c r="C62" i="47"/>
  <c r="C51" i="47"/>
  <c r="H77" i="47"/>
  <c r="D77" i="47"/>
  <c r="F63" i="47"/>
  <c r="G67" i="47" s="1"/>
  <c r="D63" i="47"/>
  <c r="C67" i="47" s="1"/>
  <c r="M61" i="47" s="1"/>
  <c r="H41" i="47"/>
  <c r="D41" i="47"/>
  <c r="C27" i="47"/>
  <c r="F26" i="47"/>
  <c r="G30" i="47" s="1"/>
  <c r="D26" i="47"/>
  <c r="C30" i="47" s="1"/>
  <c r="M22" i="47" l="1"/>
  <c r="D32" i="47"/>
  <c r="M23" i="47" s="1"/>
  <c r="H32" i="47"/>
  <c r="H69" i="47"/>
  <c r="D69" i="47"/>
  <c r="M62" i="47" s="1"/>
  <c r="M63" i="47" s="1"/>
  <c r="M65" i="47" s="1"/>
  <c r="M24" i="47" l="1"/>
  <c r="M26" i="47" s="1"/>
  <c r="M28" i="47" s="1"/>
  <c r="O41" i="47" s="1"/>
  <c r="O43" i="47" s="1"/>
  <c r="C61" i="46" l="1"/>
  <c r="C62" i="46"/>
  <c r="C51" i="46"/>
  <c r="C27" i="46"/>
  <c r="H77" i="46"/>
  <c r="D77" i="46"/>
  <c r="D63" i="46"/>
  <c r="C67" i="46" s="1"/>
  <c r="F63" i="46"/>
  <c r="G67" i="46" s="1"/>
  <c r="H41" i="46"/>
  <c r="D41" i="46"/>
  <c r="D26" i="46"/>
  <c r="E9" i="46"/>
  <c r="G9" i="46" s="1"/>
  <c r="C9" i="47" s="1"/>
  <c r="E9" i="47" s="1"/>
  <c r="G9" i="47" s="1"/>
  <c r="C9" i="48" s="1"/>
  <c r="F26" i="46"/>
  <c r="G30" i="46" s="1"/>
  <c r="E9" i="48" l="1"/>
  <c r="C30" i="46"/>
  <c r="H32" i="46" s="1"/>
  <c r="M22" i="46"/>
  <c r="D32" i="46"/>
  <c r="M23" i="46" s="1"/>
  <c r="H69" i="46"/>
  <c r="D69" i="46"/>
  <c r="F56" i="45"/>
  <c r="F11" i="45"/>
  <c r="F8" i="45"/>
  <c r="F8" i="44"/>
  <c r="G9" i="48" l="1"/>
  <c r="M24" i="46"/>
  <c r="D26" i="45"/>
  <c r="F53" i="45" l="1"/>
  <c r="F52" i="45"/>
  <c r="F17" i="45" l="1"/>
  <c r="F55" i="45" l="1"/>
  <c r="F12" i="45" l="1"/>
  <c r="F18" i="45" l="1"/>
  <c r="F16" i="45" l="1"/>
  <c r="F15" i="45" l="1"/>
  <c r="F54" i="45" l="1"/>
  <c r="F19" i="45" l="1"/>
  <c r="F7" i="45" l="1"/>
  <c r="F22" i="45" l="1"/>
  <c r="F26" i="45" s="1"/>
  <c r="F59" i="45" l="1"/>
  <c r="P29" i="45" l="1"/>
  <c r="P32" i="45" s="1"/>
  <c r="F53" i="44" l="1"/>
  <c r="F55" i="44"/>
  <c r="F56" i="43"/>
  <c r="F22" i="44" l="1"/>
  <c r="F19" i="44"/>
  <c r="C61" i="45"/>
  <c r="C51" i="45"/>
  <c r="H77" i="45"/>
  <c r="D77" i="45"/>
  <c r="D63" i="45"/>
  <c r="C67" i="45" s="1"/>
  <c r="C62" i="45"/>
  <c r="F63" i="45"/>
  <c r="H41" i="45"/>
  <c r="D41" i="45"/>
  <c r="C27" i="45"/>
  <c r="C30" i="45"/>
  <c r="E21" i="45"/>
  <c r="G21" i="45" s="1"/>
  <c r="C21" i="46" s="1"/>
  <c r="E21" i="46" s="1"/>
  <c r="G21" i="46" s="1"/>
  <c r="E21" i="47" s="1"/>
  <c r="G21" i="47" s="1"/>
  <c r="C21" i="48" s="1"/>
  <c r="E21" i="48" s="1"/>
  <c r="G21" i="48" s="1"/>
  <c r="G30" i="45"/>
  <c r="E6" i="45"/>
  <c r="G6" i="45" s="1"/>
  <c r="C6" i="46" s="1"/>
  <c r="E6" i="46" s="1"/>
  <c r="G6" i="46" l="1"/>
  <c r="C6" i="47" s="1"/>
  <c r="G67" i="45"/>
  <c r="D32" i="45"/>
  <c r="H32" i="45"/>
  <c r="H69" i="45"/>
  <c r="D69" i="45"/>
  <c r="F12" i="44"/>
  <c r="E6" i="47" l="1"/>
  <c r="F56" i="44"/>
  <c r="G6" i="47" l="1"/>
  <c r="C6" i="48" s="1"/>
  <c r="F20" i="44"/>
  <c r="E6" i="48" l="1"/>
  <c r="F60" i="44"/>
  <c r="G6" i="48" l="1"/>
  <c r="F54" i="44"/>
  <c r="F52" i="43" l="1"/>
  <c r="F55" i="43"/>
  <c r="C61" i="44" l="1"/>
  <c r="C62" i="44"/>
  <c r="C51" i="44"/>
  <c r="H77" i="44"/>
  <c r="D77" i="44"/>
  <c r="D63" i="44"/>
  <c r="C67" i="44" s="1"/>
  <c r="F63" i="44"/>
  <c r="G67" i="44" s="1"/>
  <c r="H41" i="44"/>
  <c r="D41" i="44"/>
  <c r="C27" i="44"/>
  <c r="D26" i="44"/>
  <c r="C30" i="44" s="1"/>
  <c r="E13" i="44"/>
  <c r="G13" i="44" s="1"/>
  <c r="C13" i="45" s="1"/>
  <c r="E13" i="45" s="1"/>
  <c r="G13" i="45" s="1"/>
  <c r="C13" i="46" s="1"/>
  <c r="E13" i="46" s="1"/>
  <c r="G13" i="46" s="1"/>
  <c r="C13" i="47" s="1"/>
  <c r="E13" i="47" s="1"/>
  <c r="G13" i="47" s="1"/>
  <c r="C13" i="48" s="1"/>
  <c r="E13" i="48" s="1"/>
  <c r="G13" i="48" s="1"/>
  <c r="F26" i="44"/>
  <c r="G30" i="44" l="1"/>
  <c r="D32" i="44"/>
  <c r="H32" i="44"/>
  <c r="H69" i="44"/>
  <c r="D69" i="44"/>
  <c r="F7" i="43" l="1"/>
  <c r="F20" i="43" l="1"/>
  <c r="F12" i="43" l="1"/>
  <c r="F58" i="43" l="1"/>
  <c r="F54" i="43" l="1"/>
  <c r="F53" i="43" l="1"/>
  <c r="F22" i="43" l="1"/>
  <c r="L63" i="43" l="1"/>
  <c r="L62" i="43"/>
  <c r="F10" i="43" l="1"/>
  <c r="O21" i="38"/>
  <c r="O23" i="38" s="1"/>
  <c r="N22" i="38"/>
  <c r="N21" i="38"/>
  <c r="M22" i="38"/>
  <c r="L58" i="42"/>
  <c r="K56" i="42"/>
  <c r="K57" i="42" s="1"/>
  <c r="F55" i="42"/>
  <c r="F23" i="43"/>
  <c r="N23" i="38" l="1"/>
  <c r="O24" i="38" s="1"/>
  <c r="F14" i="43"/>
  <c r="F8" i="43" l="1"/>
  <c r="F58" i="42" l="1"/>
  <c r="J48" i="42" l="1"/>
  <c r="J49" i="42" s="1"/>
  <c r="C61" i="43" l="1"/>
  <c r="C62" i="43"/>
  <c r="C51" i="43"/>
  <c r="C11" i="43" l="1"/>
  <c r="H77" i="43"/>
  <c r="D77" i="43"/>
  <c r="D63" i="43"/>
  <c r="C67" i="43" s="1"/>
  <c r="F63" i="43"/>
  <c r="G67" i="43" s="1"/>
  <c r="H41" i="43"/>
  <c r="D41" i="43"/>
  <c r="C27" i="43"/>
  <c r="D26" i="43"/>
  <c r="C30" i="43" s="1"/>
  <c r="F26" i="43"/>
  <c r="G30" i="43" s="1"/>
  <c r="E11" i="43"/>
  <c r="G11" i="43" s="1"/>
  <c r="C11" i="44" s="1"/>
  <c r="E11" i="44" s="1"/>
  <c r="G11" i="44" s="1"/>
  <c r="C11" i="45" s="1"/>
  <c r="E11" i="45" s="1"/>
  <c r="G11" i="45" s="1"/>
  <c r="C11" i="46" s="1"/>
  <c r="E11" i="46" s="1"/>
  <c r="G11" i="46" s="1"/>
  <c r="C11" i="47" s="1"/>
  <c r="E11" i="47" s="1"/>
  <c r="G11" i="47" s="1"/>
  <c r="C11" i="48" s="1"/>
  <c r="E11" i="48" s="1"/>
  <c r="G11" i="48" s="1"/>
  <c r="D32" i="43" l="1"/>
  <c r="H32" i="43"/>
  <c r="H69" i="43"/>
  <c r="D69" i="43"/>
  <c r="F56" i="42"/>
  <c r="F59" i="42"/>
  <c r="F9" i="42" l="1"/>
  <c r="F8" i="42" l="1"/>
  <c r="F20" i="42"/>
  <c r="F20" i="40"/>
  <c r="F60" i="42" l="1"/>
  <c r="F19" i="42" l="1"/>
  <c r="F54" i="42" l="1"/>
  <c r="F15" i="42" l="1"/>
  <c r="F16" i="42" l="1"/>
  <c r="F53" i="42" l="1"/>
  <c r="K25" i="42" l="1"/>
  <c r="F21" i="41" l="1"/>
  <c r="F10" i="42" l="1"/>
  <c r="C61" i="42" l="1"/>
  <c r="C62" i="42"/>
  <c r="C51" i="42"/>
  <c r="C11" i="42"/>
  <c r="E11" i="42" s="1"/>
  <c r="H77" i="42"/>
  <c r="D77" i="42"/>
  <c r="D63" i="42"/>
  <c r="C67" i="42" s="1"/>
  <c r="F63" i="42"/>
  <c r="G67" i="42" s="1"/>
  <c r="H41" i="42"/>
  <c r="D41" i="42"/>
  <c r="C27" i="42"/>
  <c r="D26" i="42"/>
  <c r="C30" i="42" s="1"/>
  <c r="F26" i="42"/>
  <c r="G30" i="42" s="1"/>
  <c r="D32" i="42" l="1"/>
  <c r="H32" i="42"/>
  <c r="H69" i="42"/>
  <c r="D69" i="42"/>
  <c r="F59" i="41"/>
  <c r="F20" i="41" l="1"/>
  <c r="F53" i="41" l="1"/>
  <c r="F54" i="41" l="1"/>
  <c r="F19" i="41" l="1"/>
  <c r="F12" i="41"/>
  <c r="N73" i="41" l="1"/>
  <c r="C61" i="41" l="1"/>
  <c r="C62" i="41"/>
  <c r="C51" i="41"/>
  <c r="C11" i="41"/>
  <c r="E11" i="41" s="1"/>
  <c r="C27" i="41"/>
  <c r="H77" i="41"/>
  <c r="D77" i="41"/>
  <c r="D63" i="41"/>
  <c r="C67" i="41" s="1"/>
  <c r="F63" i="41"/>
  <c r="G67" i="41" s="1"/>
  <c r="H41" i="41"/>
  <c r="D41" i="41"/>
  <c r="D26" i="41"/>
  <c r="F26" i="41"/>
  <c r="G30" i="41" s="1"/>
  <c r="C30" i="41" l="1"/>
  <c r="H32" i="41" s="1"/>
  <c r="H69" i="41"/>
  <c r="D69" i="41"/>
  <c r="D32" i="41" l="1"/>
  <c r="F19" i="40"/>
  <c r="F8" i="40"/>
  <c r="F60" i="40" l="1"/>
  <c r="F15" i="40" l="1"/>
  <c r="F12" i="40" l="1"/>
  <c r="F58" i="40" l="1"/>
  <c r="F14" i="40" l="1"/>
  <c r="F21" i="40" l="1"/>
  <c r="F57" i="40" l="1"/>
  <c r="F58" i="39" l="1"/>
  <c r="E23" i="40" l="1"/>
  <c r="G23" i="40" s="1"/>
  <c r="C23" i="41" s="1"/>
  <c r="E23" i="41" s="1"/>
  <c r="G23" i="41" s="1"/>
  <c r="C23" i="42" s="1"/>
  <c r="E23" i="42" s="1"/>
  <c r="G23" i="42" s="1"/>
  <c r="C23" i="43" s="1"/>
  <c r="E23" i="43" s="1"/>
  <c r="G23" i="43" s="1"/>
  <c r="C23" i="44" s="1"/>
  <c r="E23" i="44" s="1"/>
  <c r="G23" i="44" s="1"/>
  <c r="C23" i="45" s="1"/>
  <c r="E23" i="45" s="1"/>
  <c r="G23" i="45" s="1"/>
  <c r="C23" i="46" s="1"/>
  <c r="E23" i="46" s="1"/>
  <c r="G23" i="46" s="1"/>
  <c r="C23" i="47" s="1"/>
  <c r="E23" i="47" s="1"/>
  <c r="G23" i="47" s="1"/>
  <c r="C23" i="48" s="1"/>
  <c r="E23" i="48" s="1"/>
  <c r="G23" i="48" s="1"/>
  <c r="F53" i="40"/>
  <c r="F18" i="40" l="1"/>
  <c r="C61" i="40" l="1"/>
  <c r="C51" i="40"/>
  <c r="C16" i="40"/>
  <c r="E16" i="40" s="1"/>
  <c r="G16" i="40" s="1"/>
  <c r="C16" i="41" s="1"/>
  <c r="E16" i="41" s="1"/>
  <c r="G16" i="41" s="1"/>
  <c r="C16" i="42" s="1"/>
  <c r="E16" i="42" s="1"/>
  <c r="G16" i="42" s="1"/>
  <c r="C16" i="43" s="1"/>
  <c r="E16" i="43" s="1"/>
  <c r="G16" i="43" s="1"/>
  <c r="C16" i="44" s="1"/>
  <c r="E16" i="44" s="1"/>
  <c r="G16" i="44" s="1"/>
  <c r="C16" i="45" s="1"/>
  <c r="E16" i="45" s="1"/>
  <c r="G16" i="45" s="1"/>
  <c r="C16" i="46" s="1"/>
  <c r="E16" i="46" s="1"/>
  <c r="G16" i="46" s="1"/>
  <c r="C16" i="47" s="1"/>
  <c r="E16" i="47" s="1"/>
  <c r="G16" i="47" s="1"/>
  <c r="C16" i="48" s="1"/>
  <c r="E16" i="48" s="1"/>
  <c r="G16" i="48" s="1"/>
  <c r="H77" i="40"/>
  <c r="D77" i="40"/>
  <c r="D63" i="40"/>
  <c r="C67" i="40" s="1"/>
  <c r="C62" i="40"/>
  <c r="F63" i="40"/>
  <c r="G67" i="40" s="1"/>
  <c r="H41" i="40"/>
  <c r="D41" i="40"/>
  <c r="C27" i="40"/>
  <c r="D26" i="40"/>
  <c r="H32" i="40" s="1"/>
  <c r="E11" i="40"/>
  <c r="E7" i="40"/>
  <c r="G7" i="40" s="1"/>
  <c r="C7" i="41" s="1"/>
  <c r="E7" i="41" s="1"/>
  <c r="G7" i="41" s="1"/>
  <c r="C7" i="42" s="1"/>
  <c r="E7" i="42" s="1"/>
  <c r="G7" i="42" s="1"/>
  <c r="C7" i="43" s="1"/>
  <c r="E7" i="43" s="1"/>
  <c r="G7" i="43" s="1"/>
  <c r="C7" i="44" s="1"/>
  <c r="E7" i="44" s="1"/>
  <c r="G7" i="44" s="1"/>
  <c r="C7" i="45" s="1"/>
  <c r="F26" i="40"/>
  <c r="G30" i="40" s="1"/>
  <c r="E7" i="45" l="1"/>
  <c r="C30" i="40"/>
  <c r="D32" i="40" s="1"/>
  <c r="H69" i="40"/>
  <c r="D69" i="40"/>
  <c r="E6" i="40"/>
  <c r="F24" i="39"/>
  <c r="G7" i="45" l="1"/>
  <c r="G6" i="40"/>
  <c r="C6" i="41" s="1"/>
  <c r="E6" i="41" s="1"/>
  <c r="G6" i="41" s="1"/>
  <c r="C6" i="42" s="1"/>
  <c r="E6" i="42" s="1"/>
  <c r="G6" i="42" s="1"/>
  <c r="C6" i="43" s="1"/>
  <c r="E6" i="43" s="1"/>
  <c r="G6" i="43" s="1"/>
  <c r="C6" i="44" s="1"/>
  <c r="E6" i="44" s="1"/>
  <c r="G6" i="44" s="1"/>
  <c r="F13" i="39"/>
  <c r="C7" i="46" l="1"/>
  <c r="E7" i="46" s="1"/>
  <c r="F53" i="39"/>
  <c r="G7" i="46" l="1"/>
  <c r="C7" i="47" s="1"/>
  <c r="F22" i="39"/>
  <c r="E7" i="47" l="1"/>
  <c r="F14" i="39"/>
  <c r="G7" i="47" l="1"/>
  <c r="C7" i="48" s="1"/>
  <c r="F60" i="39"/>
  <c r="E7" i="48" l="1"/>
  <c r="F55" i="39"/>
  <c r="G7" i="48" l="1"/>
  <c r="F19" i="39"/>
  <c r="F7" i="39" l="1"/>
  <c r="F6" i="39"/>
  <c r="F56" i="39" l="1"/>
  <c r="F15" i="39" l="1"/>
  <c r="P41" i="39" l="1"/>
  <c r="F23" i="38"/>
  <c r="L27" i="39" l="1"/>
  <c r="C61" i="39" l="1"/>
  <c r="C62" i="39"/>
  <c r="C51" i="39"/>
  <c r="F13" i="38"/>
  <c r="F58" i="38"/>
  <c r="F55" i="38"/>
  <c r="C16" i="39"/>
  <c r="H77" i="39"/>
  <c r="D77" i="39"/>
  <c r="D63" i="39"/>
  <c r="C67" i="39" s="1"/>
  <c r="F63" i="39"/>
  <c r="G67" i="39" s="1"/>
  <c r="H41" i="39"/>
  <c r="D41" i="39"/>
  <c r="C27" i="39"/>
  <c r="D26" i="39"/>
  <c r="C30" i="39" s="1"/>
  <c r="M34" i="39" s="1"/>
  <c r="G21" i="39"/>
  <c r="C21" i="40" s="1"/>
  <c r="E21" i="40" s="1"/>
  <c r="G21" i="40" s="1"/>
  <c r="C21" i="41" s="1"/>
  <c r="E21" i="41" s="1"/>
  <c r="G21" i="41" s="1"/>
  <c r="C21" i="42" s="1"/>
  <c r="E21" i="42" s="1"/>
  <c r="G21" i="42" s="1"/>
  <c r="C21" i="43" s="1"/>
  <c r="E21" i="43" s="1"/>
  <c r="G21" i="43" s="1"/>
  <c r="C21" i="44" s="1"/>
  <c r="E21" i="44" s="1"/>
  <c r="G21" i="44" s="1"/>
  <c r="F26" i="39"/>
  <c r="G30" i="39" s="1"/>
  <c r="H32" i="39" l="1"/>
  <c r="D32" i="39"/>
  <c r="H69" i="39"/>
  <c r="D69" i="39"/>
  <c r="M35" i="39" l="1"/>
  <c r="M36" i="39" s="1"/>
  <c r="M38" i="39" s="1"/>
  <c r="M40" i="39" s="1"/>
  <c r="F9" i="38"/>
  <c r="F6" i="38"/>
  <c r="F55" i="37" l="1"/>
  <c r="F60" i="38" l="1"/>
  <c r="F56" i="38" l="1"/>
  <c r="F8" i="38" l="1"/>
  <c r="F53" i="38" l="1"/>
  <c r="F19" i="38" l="1"/>
  <c r="F25" i="38" l="1"/>
  <c r="F59" i="38" l="1"/>
  <c r="F24" i="38" l="1"/>
  <c r="F15" i="38" l="1"/>
  <c r="F21" i="38" l="1"/>
  <c r="F22" i="38" l="1"/>
  <c r="F10" i="38" l="1"/>
  <c r="F25" i="36" l="1"/>
  <c r="F14" i="37" l="1"/>
  <c r="F58" i="37"/>
  <c r="F12" i="38" l="1"/>
  <c r="C61" i="38" l="1"/>
  <c r="C62" i="38"/>
  <c r="C51" i="38"/>
  <c r="H77" i="38"/>
  <c r="D77" i="38"/>
  <c r="D63" i="38"/>
  <c r="C67" i="38" s="1"/>
  <c r="F63" i="38"/>
  <c r="G67" i="38" s="1"/>
  <c r="H41" i="38"/>
  <c r="D41" i="38"/>
  <c r="C27" i="38"/>
  <c r="D26" i="38"/>
  <c r="C30" i="38" s="1"/>
  <c r="G21" i="38"/>
  <c r="C21" i="39" s="1"/>
  <c r="F26" i="38"/>
  <c r="G30" i="38" s="1"/>
  <c r="H32" i="38" l="1"/>
  <c r="D32" i="38"/>
  <c r="H69" i="38"/>
  <c r="D69" i="38"/>
  <c r="F7" i="37"/>
  <c r="F53" i="37"/>
  <c r="F54" i="37" l="1"/>
  <c r="F22" i="37" l="1"/>
  <c r="F13" i="37" l="1"/>
  <c r="F20" i="37" l="1"/>
  <c r="F59" i="37" l="1"/>
  <c r="F17" i="36" l="1"/>
  <c r="F16" i="36" l="1"/>
  <c r="F16" i="35"/>
  <c r="F12" i="37" l="1"/>
  <c r="F13" i="36"/>
  <c r="F8" i="36"/>
  <c r="F13" i="35"/>
  <c r="F23" i="37" l="1"/>
  <c r="F60" i="37" l="1"/>
  <c r="F24" i="37" l="1"/>
  <c r="F19" i="37" l="1"/>
  <c r="F17" i="37" l="1"/>
  <c r="F10" i="37" l="1"/>
  <c r="C61" i="37" l="1"/>
  <c r="C62" i="37"/>
  <c r="F9" i="37" l="1"/>
  <c r="F15" i="37" l="1"/>
  <c r="F6" i="37" l="1"/>
  <c r="F20" i="36" l="1"/>
  <c r="F23" i="36"/>
  <c r="F60" i="36"/>
  <c r="F55" i="36"/>
  <c r="H77" i="37"/>
  <c r="D77" i="37"/>
  <c r="D63" i="37"/>
  <c r="C67" i="37" s="1"/>
  <c r="F63" i="37"/>
  <c r="G67" i="37" s="1"/>
  <c r="H41" i="37"/>
  <c r="D41" i="37"/>
  <c r="C27" i="37"/>
  <c r="D26" i="37"/>
  <c r="C30" i="37" s="1"/>
  <c r="G21" i="37"/>
  <c r="C21" i="38" s="1"/>
  <c r="F26" i="37"/>
  <c r="G30" i="37" s="1"/>
  <c r="H32" i="37" l="1"/>
  <c r="D32" i="37"/>
  <c r="H69" i="37"/>
  <c r="D69" i="37"/>
  <c r="F19" i="36" l="1"/>
  <c r="F11" i="36"/>
  <c r="F58" i="36" l="1"/>
  <c r="F10" i="36" l="1"/>
  <c r="F15" i="36" l="1"/>
  <c r="F22" i="36" l="1"/>
  <c r="F12" i="36" l="1"/>
  <c r="F56" i="35" l="1"/>
  <c r="C61" i="36" l="1"/>
  <c r="C62" i="36"/>
  <c r="C51" i="36"/>
  <c r="H77" i="36"/>
  <c r="D77" i="36"/>
  <c r="D63" i="36"/>
  <c r="C67" i="36" s="1"/>
  <c r="F63" i="36"/>
  <c r="G67" i="36" s="1"/>
  <c r="H41" i="36"/>
  <c r="D41" i="36"/>
  <c r="C27" i="36"/>
  <c r="D26" i="36"/>
  <c r="C30" i="36" s="1"/>
  <c r="G21" i="36"/>
  <c r="C21" i="37" s="1"/>
  <c r="F26" i="36"/>
  <c r="G30" i="36" s="1"/>
  <c r="H32" i="36" l="1"/>
  <c r="H69" i="36"/>
  <c r="D69" i="36"/>
  <c r="D32" i="36"/>
  <c r="F9" i="35" l="1"/>
  <c r="F23" i="35" l="1"/>
  <c r="F10" i="35" l="1"/>
  <c r="F15" i="35"/>
  <c r="F19" i="35"/>
  <c r="F58" i="35" l="1"/>
  <c r="F13" i="34" l="1"/>
  <c r="F22" i="35" l="1"/>
  <c r="F18" i="35" l="1"/>
  <c r="H40" i="28" l="1"/>
  <c r="F9" i="34" l="1"/>
  <c r="F17" i="34" l="1"/>
  <c r="F59" i="34" l="1"/>
  <c r="F14" i="34" l="1"/>
  <c r="F56" i="34" l="1"/>
  <c r="F23" i="34" l="1"/>
  <c r="F57" i="34"/>
  <c r="F11" i="34" l="1"/>
  <c r="F53" i="34" l="1"/>
  <c r="C27" i="35" l="1"/>
  <c r="H77" i="35"/>
  <c r="D77" i="35"/>
  <c r="D63" i="35"/>
  <c r="C62" i="35"/>
  <c r="C61" i="35"/>
  <c r="F63" i="35"/>
  <c r="H41" i="35"/>
  <c r="D41" i="35"/>
  <c r="D26" i="35"/>
  <c r="G21" i="35"/>
  <c r="F26" i="35"/>
  <c r="C21" i="36" l="1"/>
  <c r="C30" i="35"/>
  <c r="D32" i="35" s="1"/>
  <c r="C67" i="35"/>
  <c r="H69" i="35" s="1"/>
  <c r="G30" i="35"/>
  <c r="G67" i="35"/>
  <c r="H32" i="35"/>
  <c r="D69" i="35" l="1"/>
  <c r="F22" i="34" l="1"/>
  <c r="F15" i="34" l="1"/>
  <c r="F55" i="34" l="1"/>
  <c r="F57" i="33"/>
  <c r="F52" i="34" l="1"/>
  <c r="F19" i="34" l="1"/>
  <c r="F54" i="34" l="1"/>
  <c r="F10" i="34" l="1"/>
  <c r="K15" i="33" l="1"/>
  <c r="K17" i="33" s="1"/>
  <c r="F9" i="33"/>
  <c r="F13" i="33"/>
  <c r="F24" i="34" l="1"/>
  <c r="F18" i="34" l="1"/>
  <c r="F17" i="33" l="1"/>
  <c r="F59" i="33" l="1"/>
  <c r="C61" i="34" l="1"/>
  <c r="C62" i="34"/>
  <c r="C51" i="34"/>
  <c r="C27" i="34"/>
  <c r="H77" i="34"/>
  <c r="D77" i="34"/>
  <c r="D63" i="34"/>
  <c r="C67" i="34" s="1"/>
  <c r="F63" i="34"/>
  <c r="G67" i="34" s="1"/>
  <c r="H41" i="34"/>
  <c r="D41" i="34"/>
  <c r="D26" i="34"/>
  <c r="C30" i="34" s="1"/>
  <c r="E11" i="34"/>
  <c r="G11" i="34" s="1"/>
  <c r="C11" i="35" s="1"/>
  <c r="E11" i="35" s="1"/>
  <c r="F26" i="34"/>
  <c r="G30" i="34" s="1"/>
  <c r="E6" i="34"/>
  <c r="G11" i="35" l="1"/>
  <c r="H32" i="34"/>
  <c r="D32" i="34"/>
  <c r="H69" i="34"/>
  <c r="D69" i="34"/>
  <c r="G6" i="34"/>
  <c r="C6" i="35" s="1"/>
  <c r="E6" i="35" s="1"/>
  <c r="G6" i="35" s="1"/>
  <c r="C11" i="36" l="1"/>
  <c r="E11" i="36" s="1"/>
  <c r="G11" i="36" s="1"/>
  <c r="C11" i="37" s="1"/>
  <c r="E11" i="37" s="1"/>
  <c r="G11" i="37" s="1"/>
  <c r="C11" i="38" s="1"/>
  <c r="E11" i="38" s="1"/>
  <c r="C6" i="36"/>
  <c r="E6" i="36" s="1"/>
  <c r="G6" i="36" s="1"/>
  <c r="C6" i="37" s="1"/>
  <c r="F12" i="33"/>
  <c r="G11" i="38" l="1"/>
  <c r="C11" i="39" s="1"/>
  <c r="E11" i="39" s="1"/>
  <c r="G11" i="39" s="1"/>
  <c r="E6" i="37"/>
  <c r="F10" i="33"/>
  <c r="G6" i="37" l="1"/>
  <c r="C6" i="38" s="1"/>
  <c r="E6" i="38" s="1"/>
  <c r="G6" i="38" s="1"/>
  <c r="C6" i="39" s="1"/>
  <c r="F6" i="33"/>
  <c r="E6" i="39" l="1"/>
  <c r="F24" i="33"/>
  <c r="G6" i="39" l="1"/>
  <c r="F8" i="33"/>
  <c r="F20" i="33"/>
  <c r="F14" i="33" l="1"/>
  <c r="F52" i="33" l="1"/>
  <c r="F23" i="33" l="1"/>
  <c r="N26" i="33" l="1"/>
  <c r="M9" i="33" l="1"/>
  <c r="M11" i="33" s="1"/>
  <c r="M13" i="33" s="1"/>
  <c r="M16" i="32" l="1"/>
  <c r="F25" i="27"/>
  <c r="F25" i="32"/>
  <c r="F18" i="33" l="1"/>
  <c r="N14" i="32" l="1"/>
  <c r="O13" i="32" s="1"/>
  <c r="F56" i="32" l="1"/>
  <c r="F23" i="32" l="1"/>
  <c r="C61" i="33" l="1"/>
  <c r="C62" i="33"/>
  <c r="H77" i="33" l="1"/>
  <c r="D77" i="33"/>
  <c r="F63" i="33"/>
  <c r="D63" i="33"/>
  <c r="C67" i="33" s="1"/>
  <c r="H69" i="33" s="1"/>
  <c r="H41" i="33"/>
  <c r="D41" i="33"/>
  <c r="F26" i="33"/>
  <c r="G30" i="33" s="1"/>
  <c r="H32" i="33" s="1"/>
  <c r="D26" i="33"/>
  <c r="C30" i="33" s="1"/>
  <c r="E17" i="33"/>
  <c r="G17" i="33" s="1"/>
  <c r="C17" i="34" s="1"/>
  <c r="E17" i="34" s="1"/>
  <c r="G17" i="34" s="1"/>
  <c r="C17" i="35" s="1"/>
  <c r="E17" i="35" s="1"/>
  <c r="G17" i="35" s="1"/>
  <c r="E11" i="33"/>
  <c r="G11" i="33" s="1"/>
  <c r="C17" i="36" l="1"/>
  <c r="E17" i="36" s="1"/>
  <c r="G17" i="36" s="1"/>
  <c r="C17" i="37" s="1"/>
  <c r="E17" i="37" s="1"/>
  <c r="G17" i="37" s="1"/>
  <c r="C17" i="38" s="1"/>
  <c r="E17" i="38" s="1"/>
  <c r="G17" i="38" s="1"/>
  <c r="C17" i="39" s="1"/>
  <c r="E17" i="39" s="1"/>
  <c r="G17" i="39" s="1"/>
  <c r="C17" i="40" s="1"/>
  <c r="E17" i="40" s="1"/>
  <c r="G17" i="40" s="1"/>
  <c r="C17" i="41" s="1"/>
  <c r="E17" i="41" s="1"/>
  <c r="G17" i="41" s="1"/>
  <c r="C17" i="42" s="1"/>
  <c r="E17" i="42" s="1"/>
  <c r="G17" i="42" s="1"/>
  <c r="C17" i="43" s="1"/>
  <c r="E17" i="43" s="1"/>
  <c r="G17" i="43" s="1"/>
  <c r="C17" i="44" s="1"/>
  <c r="E17" i="44" s="1"/>
  <c r="G17" i="44" s="1"/>
  <c r="C17" i="45" s="1"/>
  <c r="E17" i="45" s="1"/>
  <c r="G17" i="45" s="1"/>
  <c r="C17" i="46" s="1"/>
  <c r="E17" i="46" s="1"/>
  <c r="G17" i="46" s="1"/>
  <c r="C17" i="47" s="1"/>
  <c r="E17" i="47" s="1"/>
  <c r="G17" i="47" s="1"/>
  <c r="C17" i="48" s="1"/>
  <c r="E17" i="48" s="1"/>
  <c r="G17" i="48" s="1"/>
  <c r="G67" i="33"/>
  <c r="D32" i="33"/>
  <c r="K7" i="33" s="1"/>
  <c r="K8" i="33" s="1"/>
  <c r="D69" i="33"/>
  <c r="I54" i="33" s="1"/>
  <c r="K43" i="33" s="1"/>
  <c r="F17" i="32"/>
  <c r="F13" i="32"/>
  <c r="F17" i="31"/>
  <c r="F13" i="31"/>
  <c r="F12" i="31"/>
  <c r="K70" i="33" l="1"/>
  <c r="F57" i="32" l="1"/>
  <c r="F11" i="32"/>
  <c r="F8" i="32"/>
  <c r="F10" i="32"/>
  <c r="K15" i="32"/>
  <c r="L34" i="32" l="1"/>
  <c r="L45" i="32" l="1"/>
  <c r="L46" i="32" s="1"/>
  <c r="J17" i="31"/>
  <c r="J18" i="31" l="1"/>
  <c r="J19" i="31" s="1"/>
  <c r="J20" i="31" s="1"/>
  <c r="N34" i="32"/>
  <c r="M36" i="32" s="1"/>
  <c r="M37" i="32" s="1"/>
  <c r="J21" i="31" l="1"/>
  <c r="L50" i="32"/>
  <c r="K24" i="32"/>
  <c r="K26" i="32" s="1"/>
  <c r="K50" i="31"/>
  <c r="L41" i="31" l="1"/>
  <c r="L40" i="31"/>
  <c r="L42" i="31" l="1"/>
  <c r="C63" i="32"/>
  <c r="E51" i="32"/>
  <c r="E53" i="32"/>
  <c r="E52" i="32"/>
  <c r="E54" i="32"/>
  <c r="E55" i="32"/>
  <c r="E56" i="32"/>
  <c r="E57" i="32"/>
  <c r="E58" i="32"/>
  <c r="E59" i="32"/>
  <c r="E60" i="32"/>
  <c r="C59" i="31"/>
  <c r="C60" i="31"/>
  <c r="C62" i="31"/>
  <c r="C63" i="31"/>
  <c r="H77" i="32" l="1"/>
  <c r="D77" i="32"/>
  <c r="F63" i="32"/>
  <c r="G67" i="32" s="1"/>
  <c r="D63" i="32"/>
  <c r="G59" i="32"/>
  <c r="C59" i="33" s="1"/>
  <c r="E59" i="33" s="1"/>
  <c r="G59" i="33" s="1"/>
  <c r="C59" i="34" s="1"/>
  <c r="E59" i="34" s="1"/>
  <c r="G59" i="34" s="1"/>
  <c r="C59" i="35" s="1"/>
  <c r="E59" i="35" s="1"/>
  <c r="G59" i="35" s="1"/>
  <c r="G57" i="32"/>
  <c r="C57" i="33" s="1"/>
  <c r="E57" i="33" s="1"/>
  <c r="G57" i="33" s="1"/>
  <c r="C57" i="34" s="1"/>
  <c r="E57" i="34" s="1"/>
  <c r="G57" i="34" s="1"/>
  <c r="G52" i="32"/>
  <c r="C52" i="33" s="1"/>
  <c r="E52" i="33" s="1"/>
  <c r="G52" i="33" s="1"/>
  <c r="C52" i="34" s="1"/>
  <c r="G51" i="32"/>
  <c r="C51" i="33" s="1"/>
  <c r="H41" i="32"/>
  <c r="D41" i="32"/>
  <c r="F26" i="32"/>
  <c r="G30" i="32" s="1"/>
  <c r="D26" i="32"/>
  <c r="C59" i="36" l="1"/>
  <c r="E59" i="36" s="1"/>
  <c r="G59" i="36" s="1"/>
  <c r="C59" i="37" s="1"/>
  <c r="E59" i="37" s="1"/>
  <c r="G59" i="37" s="1"/>
  <c r="C59" i="38" s="1"/>
  <c r="E59" i="38" s="1"/>
  <c r="G59" i="38" s="1"/>
  <c r="C59" i="39" s="1"/>
  <c r="E59" i="39" s="1"/>
  <c r="G59" i="39" s="1"/>
  <c r="C59" i="40" s="1"/>
  <c r="E59" i="40" s="1"/>
  <c r="G59" i="40" s="1"/>
  <c r="C59" i="41" s="1"/>
  <c r="E59" i="41" s="1"/>
  <c r="G59" i="41" s="1"/>
  <c r="C59" i="42" s="1"/>
  <c r="E59" i="42" s="1"/>
  <c r="G59" i="42" s="1"/>
  <c r="C59" i="43" s="1"/>
  <c r="E59" i="43" s="1"/>
  <c r="G59" i="43" s="1"/>
  <c r="C59" i="44" s="1"/>
  <c r="E59" i="44" s="1"/>
  <c r="G59" i="44" s="1"/>
  <c r="C59" i="45" s="1"/>
  <c r="E59" i="45" s="1"/>
  <c r="G59" i="45" s="1"/>
  <c r="C59" i="46" s="1"/>
  <c r="E59" i="46" s="1"/>
  <c r="G59" i="46" s="1"/>
  <c r="C59" i="47" s="1"/>
  <c r="E59" i="47" s="1"/>
  <c r="G59" i="47" s="1"/>
  <c r="C59" i="48" s="1"/>
  <c r="E59" i="48" s="1"/>
  <c r="G59" i="48" s="1"/>
  <c r="C57" i="35"/>
  <c r="E57" i="35" s="1"/>
  <c r="G57" i="35" s="1"/>
  <c r="C67" i="32"/>
  <c r="D69" i="32" s="1"/>
  <c r="I54" i="32" s="1"/>
  <c r="E52" i="34"/>
  <c r="C30" i="32"/>
  <c r="D32" i="32" s="1"/>
  <c r="L25" i="32" s="1"/>
  <c r="H32" i="32"/>
  <c r="H69" i="32"/>
  <c r="F57" i="31"/>
  <c r="K29" i="31"/>
  <c r="K30" i="31" s="1"/>
  <c r="K31" i="31" s="1"/>
  <c r="C57" i="36" l="1"/>
  <c r="E57" i="36" s="1"/>
  <c r="G57" i="36" s="1"/>
  <c r="C57" i="37" s="1"/>
  <c r="E57" i="37" s="1"/>
  <c r="G57" i="37" s="1"/>
  <c r="C57" i="38" s="1"/>
  <c r="E57" i="38" s="1"/>
  <c r="G57" i="38" s="1"/>
  <c r="C57" i="39" s="1"/>
  <c r="E57" i="39" s="1"/>
  <c r="G57" i="39" s="1"/>
  <c r="C57" i="40" s="1"/>
  <c r="E57" i="40" s="1"/>
  <c r="G57" i="40" s="1"/>
  <c r="C57" i="41" s="1"/>
  <c r="E57" i="41" s="1"/>
  <c r="G57" i="41" s="1"/>
  <c r="C57" i="42" s="1"/>
  <c r="E57" i="42" s="1"/>
  <c r="G57" i="42" s="1"/>
  <c r="C57" i="43" s="1"/>
  <c r="E57" i="43" s="1"/>
  <c r="G57" i="43" s="1"/>
  <c r="C57" i="44" s="1"/>
  <c r="E57" i="44" s="1"/>
  <c r="G57" i="44" s="1"/>
  <c r="C57" i="45" s="1"/>
  <c r="E57" i="45" s="1"/>
  <c r="G57" i="45" s="1"/>
  <c r="C57" i="46" s="1"/>
  <c r="E57" i="46" s="1"/>
  <c r="G57" i="46" s="1"/>
  <c r="C57" i="47" s="1"/>
  <c r="E57" i="47" s="1"/>
  <c r="G57" i="47" s="1"/>
  <c r="C57" i="48" s="1"/>
  <c r="E57" i="48" s="1"/>
  <c r="G57" i="48" s="1"/>
  <c r="K43" i="32"/>
  <c r="G52" i="34"/>
  <c r="K70" i="32"/>
  <c r="F6" i="27"/>
  <c r="C52" i="35" l="1"/>
  <c r="F13" i="30"/>
  <c r="F7" i="31"/>
  <c r="E52" i="35" l="1"/>
  <c r="F22" i="31"/>
  <c r="F24" i="31"/>
  <c r="G52" i="35" l="1"/>
  <c r="F25" i="25"/>
  <c r="C52" i="36" l="1"/>
  <c r="F9" i="30"/>
  <c r="E52" i="36" l="1"/>
  <c r="H78" i="31"/>
  <c r="D78" i="31"/>
  <c r="F64" i="31"/>
  <c r="G68" i="31" s="1"/>
  <c r="D64" i="31"/>
  <c r="C68" i="31" s="1"/>
  <c r="E60" i="31"/>
  <c r="G60" i="31" s="1"/>
  <c r="G60" i="32" s="1"/>
  <c r="C60" i="33" s="1"/>
  <c r="E60" i="33" s="1"/>
  <c r="G60" i="33" s="1"/>
  <c r="C60" i="34" s="1"/>
  <c r="E60" i="34" s="1"/>
  <c r="G60" i="34" s="1"/>
  <c r="C60" i="35" s="1"/>
  <c r="E60" i="35" s="1"/>
  <c r="G60" i="35" s="1"/>
  <c r="E59" i="31"/>
  <c r="G59" i="31" s="1"/>
  <c r="H42" i="31"/>
  <c r="D42" i="31"/>
  <c r="F26" i="31"/>
  <c r="G30" i="31" s="1"/>
  <c r="D26" i="31"/>
  <c r="C30" i="31" s="1"/>
  <c r="D32" i="31" s="1"/>
  <c r="C60" i="36" l="1"/>
  <c r="E60" i="36" s="1"/>
  <c r="G60" i="36" s="1"/>
  <c r="C60" i="37" s="1"/>
  <c r="E60" i="37" s="1"/>
  <c r="G60" i="37" s="1"/>
  <c r="C60" i="38" s="1"/>
  <c r="E60" i="38" s="1"/>
  <c r="G60" i="38" s="1"/>
  <c r="C60" i="39" s="1"/>
  <c r="E60" i="39" s="1"/>
  <c r="G60" i="39" s="1"/>
  <c r="C60" i="40" s="1"/>
  <c r="E60" i="40" s="1"/>
  <c r="G60" i="40" s="1"/>
  <c r="C60" i="41" s="1"/>
  <c r="E60" i="41" s="1"/>
  <c r="G60" i="41" s="1"/>
  <c r="C60" i="42" s="1"/>
  <c r="E60" i="42" s="1"/>
  <c r="G60" i="42" s="1"/>
  <c r="G52" i="36"/>
  <c r="C52" i="37" s="1"/>
  <c r="G21" i="34"/>
  <c r="C21" i="35" s="1"/>
  <c r="H70" i="31"/>
  <c r="H32" i="31"/>
  <c r="D70" i="31"/>
  <c r="C60" i="43" l="1"/>
  <c r="E60" i="43" s="1"/>
  <c r="G60" i="43" s="1"/>
  <c r="C60" i="44" s="1"/>
  <c r="E60" i="44" s="1"/>
  <c r="G60" i="44" s="1"/>
  <c r="C60" i="45" s="1"/>
  <c r="E60" i="45" s="1"/>
  <c r="G60" i="45" s="1"/>
  <c r="C60" i="46" s="1"/>
  <c r="E60" i="46" s="1"/>
  <c r="G60" i="46" s="1"/>
  <c r="C60" i="47" s="1"/>
  <c r="E60" i="47" s="1"/>
  <c r="G60" i="47" s="1"/>
  <c r="C60" i="48" s="1"/>
  <c r="E60" i="48" s="1"/>
  <c r="G60" i="48" s="1"/>
  <c r="E52" i="37"/>
  <c r="G52" i="37" s="1"/>
  <c r="C52" i="38" s="1"/>
  <c r="E52" i="38" s="1"/>
  <c r="G52" i="38" s="1"/>
  <c r="C52" i="39" s="1"/>
  <c r="E63" i="32"/>
  <c r="G53" i="32"/>
  <c r="F15" i="30"/>
  <c r="E52" i="39" l="1"/>
  <c r="C53" i="33"/>
  <c r="L16" i="30"/>
  <c r="L17" i="30" s="1"/>
  <c r="G52" i="39" l="1"/>
  <c r="E53" i="33"/>
  <c r="F55" i="30"/>
  <c r="C52" i="40" l="1"/>
  <c r="G53" i="33"/>
  <c r="C53" i="34" s="1"/>
  <c r="F17" i="30"/>
  <c r="E52" i="40" l="1"/>
  <c r="E53" i="34"/>
  <c r="F20" i="30"/>
  <c r="G52" i="40" l="1"/>
  <c r="C52" i="41" s="1"/>
  <c r="E52" i="41" s="1"/>
  <c r="G53" i="34"/>
  <c r="F10" i="30"/>
  <c r="G52" i="41" l="1"/>
  <c r="C53" i="35"/>
  <c r="F6" i="30"/>
  <c r="C52" i="42" l="1"/>
  <c r="E52" i="42" s="1"/>
  <c r="E53" i="35"/>
  <c r="F54" i="30"/>
  <c r="G52" i="42" l="1"/>
  <c r="G53" i="35"/>
  <c r="C52" i="43" l="1"/>
  <c r="C53" i="36"/>
  <c r="E52" i="43" l="1"/>
  <c r="E53" i="36"/>
  <c r="F9" i="29"/>
  <c r="G52" i="43" l="1"/>
  <c r="C52" i="44" s="1"/>
  <c r="E52" i="44" s="1"/>
  <c r="G53" i="36"/>
  <c r="C53" i="37" s="1"/>
  <c r="H75" i="30"/>
  <c r="D75" i="30"/>
  <c r="D61" i="30"/>
  <c r="C65" i="30" s="1"/>
  <c r="F61" i="30"/>
  <c r="G65" i="30" s="1"/>
  <c r="E49" i="30"/>
  <c r="G49" i="30" s="1"/>
  <c r="H39" i="30"/>
  <c r="D39" i="30"/>
  <c r="D26" i="30"/>
  <c r="C30" i="30" s="1"/>
  <c r="F26" i="30"/>
  <c r="G30" i="30" s="1"/>
  <c r="E53" i="37" l="1"/>
  <c r="G53" i="37" s="1"/>
  <c r="C53" i="38" s="1"/>
  <c r="E53" i="38" s="1"/>
  <c r="G53" i="38" s="1"/>
  <c r="C53" i="39" s="1"/>
  <c r="G52" i="44"/>
  <c r="D67" i="30"/>
  <c r="H32" i="30"/>
  <c r="K37" i="30" s="1"/>
  <c r="D32" i="30"/>
  <c r="H67" i="30"/>
  <c r="C52" i="45" l="1"/>
  <c r="E53" i="39"/>
  <c r="J61" i="30"/>
  <c r="F55" i="29"/>
  <c r="F13" i="29"/>
  <c r="G53" i="39" l="1"/>
  <c r="E52" i="45"/>
  <c r="F20" i="29"/>
  <c r="G52" i="45" l="1"/>
  <c r="C52" i="46" s="1"/>
  <c r="E52" i="46" s="1"/>
  <c r="C53" i="40"/>
  <c r="F54" i="29"/>
  <c r="E53" i="40" l="1"/>
  <c r="G52" i="46"/>
  <c r="C52" i="47" s="1"/>
  <c r="F19" i="29"/>
  <c r="E52" i="47" l="1"/>
  <c r="G53" i="40"/>
  <c r="C53" i="41" s="1"/>
  <c r="E53" i="41" s="1"/>
  <c r="F17" i="29"/>
  <c r="G52" i="47" l="1"/>
  <c r="C52" i="48" s="1"/>
  <c r="G53" i="41"/>
  <c r="F58" i="29"/>
  <c r="E52" i="48" l="1"/>
  <c r="C53" i="42"/>
  <c r="E53" i="42" s="1"/>
  <c r="F10" i="29"/>
  <c r="G52" i="48" l="1"/>
  <c r="G53" i="42"/>
  <c r="F22" i="28"/>
  <c r="F6" i="29"/>
  <c r="C53" i="43" l="1"/>
  <c r="F9" i="28"/>
  <c r="E53" i="43" l="1"/>
  <c r="F55" i="27"/>
  <c r="M55" i="28"/>
  <c r="G53" i="43" l="1"/>
  <c r="C53" i="44" s="1"/>
  <c r="E53" i="44" s="1"/>
  <c r="F58" i="27"/>
  <c r="G53" i="44" l="1"/>
  <c r="H75" i="29"/>
  <c r="D75" i="29"/>
  <c r="D61" i="29"/>
  <c r="C65" i="29" s="1"/>
  <c r="E57" i="29"/>
  <c r="G57" i="29" s="1"/>
  <c r="C57" i="30" s="1"/>
  <c r="E57" i="30" s="1"/>
  <c r="G57" i="30" s="1"/>
  <c r="C57" i="31" s="1"/>
  <c r="E57" i="31" s="1"/>
  <c r="G57" i="31" s="1"/>
  <c r="E54" i="29"/>
  <c r="G54" i="29" s="1"/>
  <c r="C54" i="30" s="1"/>
  <c r="E54" i="30" s="1"/>
  <c r="G54" i="30" s="1"/>
  <c r="E53" i="29"/>
  <c r="G53" i="29" s="1"/>
  <c r="C53" i="30" s="1"/>
  <c r="E53" i="30" s="1"/>
  <c r="G53" i="30" s="1"/>
  <c r="C53" i="31" s="1"/>
  <c r="E53" i="31" s="1"/>
  <c r="G53" i="31" s="1"/>
  <c r="E52" i="29"/>
  <c r="G52" i="29" s="1"/>
  <c r="C52" i="30" s="1"/>
  <c r="E52" i="30" s="1"/>
  <c r="G52" i="30" s="1"/>
  <c r="F61" i="29"/>
  <c r="E50" i="29"/>
  <c r="G50" i="29" s="1"/>
  <c r="C50" i="30" s="1"/>
  <c r="E50" i="30" s="1"/>
  <c r="H39" i="29"/>
  <c r="D39" i="29"/>
  <c r="F26" i="29"/>
  <c r="D26" i="29"/>
  <c r="C30" i="29" s="1"/>
  <c r="D32" i="29" s="1"/>
  <c r="C53" i="45" l="1"/>
  <c r="G50" i="30"/>
  <c r="G65" i="29"/>
  <c r="H67" i="29" s="1"/>
  <c r="C55" i="31"/>
  <c r="E55" i="31" s="1"/>
  <c r="G55" i="31" s="1"/>
  <c r="G55" i="32" s="1"/>
  <c r="C55" i="33" s="1"/>
  <c r="E55" i="33" s="1"/>
  <c r="G55" i="33" s="1"/>
  <c r="C55" i="34" s="1"/>
  <c r="E55" i="34" s="1"/>
  <c r="G55" i="34" s="1"/>
  <c r="C55" i="35" s="1"/>
  <c r="E55" i="35" s="1"/>
  <c r="G55" i="35" s="1"/>
  <c r="C52" i="31"/>
  <c r="E52" i="31" s="1"/>
  <c r="G30" i="29"/>
  <c r="H32" i="29" s="1"/>
  <c r="D67" i="29"/>
  <c r="E49" i="29"/>
  <c r="E53" i="45" l="1"/>
  <c r="C55" i="36"/>
  <c r="E55" i="36" s="1"/>
  <c r="G55" i="36" s="1"/>
  <c r="C55" i="37" s="1"/>
  <c r="E55" i="37" s="1"/>
  <c r="G55" i="37" s="1"/>
  <c r="C55" i="38" s="1"/>
  <c r="G52" i="31"/>
  <c r="G49" i="29"/>
  <c r="F52" i="28"/>
  <c r="G53" i="45" l="1"/>
  <c r="C53" i="46" s="1"/>
  <c r="E53" i="46" s="1"/>
  <c r="E55" i="38"/>
  <c r="F22" i="27"/>
  <c r="G53" i="46" l="1"/>
  <c r="C53" i="47" s="1"/>
  <c r="G55" i="38"/>
  <c r="C55" i="39" s="1"/>
  <c r="E55" i="39" s="1"/>
  <c r="G55" i="39" s="1"/>
  <c r="C55" i="40" s="1"/>
  <c r="E55" i="40" s="1"/>
  <c r="G55" i="40" s="1"/>
  <c r="C55" i="41" s="1"/>
  <c r="E55" i="41" s="1"/>
  <c r="G55" i="41" s="1"/>
  <c r="C55" i="42" s="1"/>
  <c r="E55" i="42" s="1"/>
  <c r="G55" i="42" s="1"/>
  <c r="C55" i="43" s="1"/>
  <c r="E55" i="43" s="1"/>
  <c r="G55" i="43" s="1"/>
  <c r="C55" i="44" s="1"/>
  <c r="E55" i="44" s="1"/>
  <c r="G55" i="44" s="1"/>
  <c r="C55" i="45" s="1"/>
  <c r="E55" i="45" s="1"/>
  <c r="G55" i="45" s="1"/>
  <c r="C55" i="46" s="1"/>
  <c r="E55" i="46" s="1"/>
  <c r="G55" i="46" s="1"/>
  <c r="C55" i="47" s="1"/>
  <c r="E55" i="47" s="1"/>
  <c r="G55" i="47" s="1"/>
  <c r="C55" i="48" s="1"/>
  <c r="E55" i="48" s="1"/>
  <c r="G55" i="48" s="1"/>
  <c r="F21" i="20"/>
  <c r="E53" i="47" l="1"/>
  <c r="F51" i="27"/>
  <c r="G53" i="47" l="1"/>
  <c r="C53" i="48" s="1"/>
  <c r="C60" i="28"/>
  <c r="C9" i="28"/>
  <c r="E9" i="28" s="1"/>
  <c r="G9" i="28" s="1"/>
  <c r="C9" i="29" s="1"/>
  <c r="E9" i="29" s="1"/>
  <c r="G9" i="29" s="1"/>
  <c r="C9" i="30" s="1"/>
  <c r="E9" i="30" s="1"/>
  <c r="G9" i="30" s="1"/>
  <c r="C9" i="31" s="1"/>
  <c r="E9" i="31" s="1"/>
  <c r="G9" i="31" s="1"/>
  <c r="C9" i="32" s="1"/>
  <c r="E9" i="32" s="1"/>
  <c r="G9" i="32" s="1"/>
  <c r="C9" i="33" s="1"/>
  <c r="E9" i="33" s="1"/>
  <c r="G9" i="33" s="1"/>
  <c r="C9" i="34" s="1"/>
  <c r="E9" i="34" s="1"/>
  <c r="G9" i="34" s="1"/>
  <c r="C9" i="35" s="1"/>
  <c r="E9" i="35" s="1"/>
  <c r="G9" i="35" s="1"/>
  <c r="C17" i="28"/>
  <c r="E17" i="28" s="1"/>
  <c r="G17" i="28" s="1"/>
  <c r="C17" i="29" s="1"/>
  <c r="E17" i="29" s="1"/>
  <c r="G17" i="29" s="1"/>
  <c r="C17" i="30" s="1"/>
  <c r="E17" i="30" s="1"/>
  <c r="G17" i="30" s="1"/>
  <c r="C17" i="31" s="1"/>
  <c r="E17" i="31" s="1"/>
  <c r="G17" i="31" s="1"/>
  <c r="C17" i="32" s="1"/>
  <c r="E17" i="32" s="1"/>
  <c r="G17" i="32" s="1"/>
  <c r="H74" i="28"/>
  <c r="D74" i="28"/>
  <c r="D62" i="28"/>
  <c r="C66" i="28" s="1"/>
  <c r="F62" i="28"/>
  <c r="G66" i="28" s="1"/>
  <c r="H68" i="28" s="1"/>
  <c r="F26" i="28"/>
  <c r="G30" i="28" s="1"/>
  <c r="D26" i="28"/>
  <c r="C30" i="28" s="1"/>
  <c r="E53" i="48" l="1"/>
  <c r="C9" i="36"/>
  <c r="E9" i="36" s="1"/>
  <c r="G9" i="36" s="1"/>
  <c r="C9" i="37" s="1"/>
  <c r="E9" i="37" s="1"/>
  <c r="G9" i="37" s="1"/>
  <c r="C9" i="38" s="1"/>
  <c r="E9" i="38" s="1"/>
  <c r="G9" i="38" s="1"/>
  <c r="C9" i="39" s="1"/>
  <c r="E9" i="39" s="1"/>
  <c r="G9" i="39" s="1"/>
  <c r="C9" i="40" s="1"/>
  <c r="E9" i="40" s="1"/>
  <c r="G9" i="40" s="1"/>
  <c r="C9" i="41" s="1"/>
  <c r="E9" i="41" s="1"/>
  <c r="G9" i="41" s="1"/>
  <c r="C9" i="42" s="1"/>
  <c r="E9" i="42" s="1"/>
  <c r="G9" i="42" s="1"/>
  <c r="C9" i="43" s="1"/>
  <c r="E9" i="43" s="1"/>
  <c r="G9" i="43" s="1"/>
  <c r="C9" i="44" s="1"/>
  <c r="E9" i="44" s="1"/>
  <c r="G9" i="44" s="1"/>
  <c r="C9" i="45" s="1"/>
  <c r="E9" i="45" s="1"/>
  <c r="G9" i="45" s="1"/>
  <c r="H32" i="28"/>
  <c r="D32" i="28"/>
  <c r="D68" i="28"/>
  <c r="D40" i="28"/>
  <c r="G53" i="48" l="1"/>
  <c r="F21" i="26"/>
  <c r="C59" i="27" l="1"/>
  <c r="C60" i="27"/>
  <c r="C17" i="27"/>
  <c r="E17" i="27" s="1"/>
  <c r="H71" i="27"/>
  <c r="D71" i="27"/>
  <c r="F61" i="27"/>
  <c r="G65" i="27" s="1"/>
  <c r="D61" i="27"/>
  <c r="C65" i="27" s="1"/>
  <c r="D67" i="27" s="1"/>
  <c r="D26" i="27"/>
  <c r="C30" i="27" s="1"/>
  <c r="D32" i="27" s="1"/>
  <c r="F26" i="27"/>
  <c r="G30" i="27" s="1"/>
  <c r="E15" i="27"/>
  <c r="G15" i="27" s="1"/>
  <c r="C15" i="28" s="1"/>
  <c r="E15" i="28" s="1"/>
  <c r="G15" i="28" s="1"/>
  <c r="C15" i="29" s="1"/>
  <c r="E15" i="29" s="1"/>
  <c r="G15" i="29" s="1"/>
  <c r="C15" i="30" s="1"/>
  <c r="E15" i="30" s="1"/>
  <c r="G15" i="30" s="1"/>
  <c r="C15" i="31" s="1"/>
  <c r="E15" i="31" s="1"/>
  <c r="G15" i="31" s="1"/>
  <c r="C15" i="32" s="1"/>
  <c r="E15" i="32" s="1"/>
  <c r="G15" i="32" s="1"/>
  <c r="C15" i="33" s="1"/>
  <c r="E15" i="33" s="1"/>
  <c r="G15" i="33" s="1"/>
  <c r="C15" i="34" s="1"/>
  <c r="E15" i="34" s="1"/>
  <c r="G15" i="34" s="1"/>
  <c r="C15" i="35" s="1"/>
  <c r="E15" i="35" s="1"/>
  <c r="G15" i="35" s="1"/>
  <c r="C15" i="36" l="1"/>
  <c r="E15" i="36" s="1"/>
  <c r="G15" i="36" s="1"/>
  <c r="C15" i="37" s="1"/>
  <c r="E15" i="37" s="1"/>
  <c r="G15" i="37" s="1"/>
  <c r="C15" i="38" s="1"/>
  <c r="E15" i="38" s="1"/>
  <c r="G15" i="38" s="1"/>
  <c r="C15" i="39" s="1"/>
  <c r="E15" i="39" s="1"/>
  <c r="G15" i="39" s="1"/>
  <c r="C15" i="40" s="1"/>
  <c r="E15" i="40" s="1"/>
  <c r="G15" i="40" s="1"/>
  <c r="C15" i="41" s="1"/>
  <c r="E15" i="41" s="1"/>
  <c r="G15" i="41" s="1"/>
  <c r="C15" i="42" s="1"/>
  <c r="E15" i="42" s="1"/>
  <c r="G15" i="42" s="1"/>
  <c r="C15" i="43" s="1"/>
  <c r="E15" i="43" s="1"/>
  <c r="G15" i="43" s="1"/>
  <c r="C15" i="44" s="1"/>
  <c r="E15" i="44" s="1"/>
  <c r="G15" i="44" s="1"/>
  <c r="C15" i="45" s="1"/>
  <c r="E15" i="45" s="1"/>
  <c r="G15" i="45" s="1"/>
  <c r="C15" i="46" s="1"/>
  <c r="E15" i="46" s="1"/>
  <c r="G15" i="46" s="1"/>
  <c r="C15" i="47" s="1"/>
  <c r="E15" i="47" s="1"/>
  <c r="G15" i="47" s="1"/>
  <c r="C15" i="48" s="1"/>
  <c r="E15" i="48" s="1"/>
  <c r="G15" i="48" s="1"/>
  <c r="H32" i="27"/>
  <c r="H67" i="27"/>
  <c r="D39" i="26" l="1"/>
  <c r="F53" i="25" l="1"/>
  <c r="F12" i="25" l="1"/>
  <c r="C59" i="26" l="1"/>
  <c r="C60" i="26"/>
  <c r="F9" i="25"/>
  <c r="C17" i="26"/>
  <c r="H71" i="26"/>
  <c r="D71" i="26"/>
  <c r="F61" i="26"/>
  <c r="G65" i="26" s="1"/>
  <c r="D61" i="26"/>
  <c r="C65" i="26" s="1"/>
  <c r="H39" i="26"/>
  <c r="F26" i="26"/>
  <c r="G30" i="26" s="1"/>
  <c r="D26" i="26"/>
  <c r="C30" i="26" s="1"/>
  <c r="E17" i="26"/>
  <c r="G16" i="26"/>
  <c r="C16" i="27" s="1"/>
  <c r="E16" i="27" s="1"/>
  <c r="G16" i="27" s="1"/>
  <c r="C16" i="28" s="1"/>
  <c r="E16" i="28" s="1"/>
  <c r="G16" i="28" s="1"/>
  <c r="C16" i="29" s="1"/>
  <c r="E16" i="29" s="1"/>
  <c r="G16" i="29" s="1"/>
  <c r="C16" i="30" s="1"/>
  <c r="E16" i="30" s="1"/>
  <c r="G16" i="30" s="1"/>
  <c r="C16" i="31" s="1"/>
  <c r="E16" i="31" s="1"/>
  <c r="G16" i="31" s="1"/>
  <c r="C16" i="32" s="1"/>
  <c r="E16" i="32" s="1"/>
  <c r="G16" i="32" s="1"/>
  <c r="C16" i="33" s="1"/>
  <c r="E16" i="33" s="1"/>
  <c r="G16" i="33" s="1"/>
  <c r="C16" i="34" s="1"/>
  <c r="E16" i="34" s="1"/>
  <c r="G16" i="34" s="1"/>
  <c r="C16" i="35" s="1"/>
  <c r="E16" i="35" s="1"/>
  <c r="G16" i="35" s="1"/>
  <c r="C16" i="36" l="1"/>
  <c r="E16" i="36" s="1"/>
  <c r="G16" i="36" s="1"/>
  <c r="C16" i="37" s="1"/>
  <c r="E56" i="28"/>
  <c r="C59" i="28"/>
  <c r="E59" i="28" s="1"/>
  <c r="D32" i="26"/>
  <c r="H32" i="26" s="1"/>
  <c r="D67" i="26"/>
  <c r="H67" i="26" s="1"/>
  <c r="E16" i="37" l="1"/>
  <c r="G16" i="37" s="1"/>
  <c r="G59" i="28"/>
  <c r="C58" i="29" s="1"/>
  <c r="E58" i="29" s="1"/>
  <c r="G58" i="29" s="1"/>
  <c r="C58" i="30" s="1"/>
  <c r="E58" i="30" s="1"/>
  <c r="G58" i="30" s="1"/>
  <c r="C61" i="31" s="1"/>
  <c r="E61" i="31" s="1"/>
  <c r="G61" i="31" s="1"/>
  <c r="G56" i="28"/>
  <c r="C55" i="29" s="1"/>
  <c r="E55" i="29" s="1"/>
  <c r="G55" i="29" s="1"/>
  <c r="C55" i="30" s="1"/>
  <c r="E55" i="30" s="1"/>
  <c r="G55" i="30" s="1"/>
  <c r="C58" i="31" s="1"/>
  <c r="E58" i="31" s="1"/>
  <c r="G58" i="31" s="1"/>
  <c r="G58" i="32" s="1"/>
  <c r="C58" i="33" s="1"/>
  <c r="E58" i="33" s="1"/>
  <c r="G58" i="33" s="1"/>
  <c r="C58" i="34" s="1"/>
  <c r="E58" i="34" s="1"/>
  <c r="G58" i="34" s="1"/>
  <c r="C58" i="35" s="1"/>
  <c r="E58" i="35" s="1"/>
  <c r="G58" i="35" s="1"/>
  <c r="C57" i="25"/>
  <c r="C58" i="25"/>
  <c r="C58" i="36" l="1"/>
  <c r="E58" i="36" s="1"/>
  <c r="G58" i="36" s="1"/>
  <c r="C58" i="37" s="1"/>
  <c r="E58" i="37" s="1"/>
  <c r="G58" i="37" s="1"/>
  <c r="C58" i="38" s="1"/>
  <c r="C17" i="25"/>
  <c r="H71" i="25"/>
  <c r="D71" i="25"/>
  <c r="F61" i="25"/>
  <c r="G65" i="25" s="1"/>
  <c r="D61" i="25"/>
  <c r="E58" i="25"/>
  <c r="G58" i="25" s="1"/>
  <c r="C58" i="26" s="1"/>
  <c r="E58" i="26" s="1"/>
  <c r="G58" i="26" s="1"/>
  <c r="C58" i="27" s="1"/>
  <c r="E58" i="27" s="1"/>
  <c r="G58" i="27" s="1"/>
  <c r="C58" i="28" s="1"/>
  <c r="E58" i="28" s="1"/>
  <c r="G58" i="28" s="1"/>
  <c r="E57" i="25"/>
  <c r="G57" i="25" s="1"/>
  <c r="C57" i="26" s="1"/>
  <c r="E57" i="26" s="1"/>
  <c r="G57" i="26" s="1"/>
  <c r="C57" i="27" s="1"/>
  <c r="E57" i="27" s="1"/>
  <c r="G57" i="27" s="1"/>
  <c r="E55" i="25"/>
  <c r="G55" i="25" s="1"/>
  <c r="C55" i="26" s="1"/>
  <c r="E55" i="26" s="1"/>
  <c r="G55" i="26" s="1"/>
  <c r="C55" i="27" s="1"/>
  <c r="E55" i="27" s="1"/>
  <c r="G55" i="27" s="1"/>
  <c r="C55" i="28" s="1"/>
  <c r="E55" i="28" s="1"/>
  <c r="G55" i="28" s="1"/>
  <c r="E54" i="25"/>
  <c r="G54" i="25" s="1"/>
  <c r="C54" i="26" s="1"/>
  <c r="E54" i="26" s="1"/>
  <c r="G54" i="26" s="1"/>
  <c r="C54" i="27" s="1"/>
  <c r="E54" i="27" s="1"/>
  <c r="G54" i="27" s="1"/>
  <c r="C54" i="28" s="1"/>
  <c r="E54" i="28" s="1"/>
  <c r="G54" i="28" s="1"/>
  <c r="E53" i="25"/>
  <c r="G53" i="25" s="1"/>
  <c r="C53" i="26" s="1"/>
  <c r="E53" i="26" s="1"/>
  <c r="G53" i="26" s="1"/>
  <c r="C53" i="27" s="1"/>
  <c r="E52" i="25"/>
  <c r="G52" i="25" s="1"/>
  <c r="C52" i="26" s="1"/>
  <c r="E52" i="26" s="1"/>
  <c r="G52" i="26" s="1"/>
  <c r="C52" i="27" s="1"/>
  <c r="E52" i="27" s="1"/>
  <c r="G52" i="27" s="1"/>
  <c r="E51" i="25"/>
  <c r="G51" i="25" s="1"/>
  <c r="C51" i="26" s="1"/>
  <c r="E51" i="26" s="1"/>
  <c r="G51" i="26" s="1"/>
  <c r="C51" i="27" s="1"/>
  <c r="E51" i="27" s="1"/>
  <c r="G51" i="27" s="1"/>
  <c r="H39" i="25"/>
  <c r="D39" i="25"/>
  <c r="F26" i="25"/>
  <c r="D26" i="25"/>
  <c r="E17" i="25"/>
  <c r="G16" i="25"/>
  <c r="C16" i="26" s="1"/>
  <c r="E58" i="38" l="1"/>
  <c r="C52" i="28"/>
  <c r="E52" i="28" s="1"/>
  <c r="G52" i="28" s="1"/>
  <c r="C51" i="29" s="1"/>
  <c r="C51" i="28"/>
  <c r="E51" i="28" s="1"/>
  <c r="G51" i="28" s="1"/>
  <c r="E53" i="27"/>
  <c r="G30" i="25"/>
  <c r="C30" i="25"/>
  <c r="C65" i="25"/>
  <c r="D32" i="25"/>
  <c r="H32" i="25" s="1"/>
  <c r="D67" i="25"/>
  <c r="H67" i="25" s="1"/>
  <c r="G58" i="38" l="1"/>
  <c r="C61" i="29"/>
  <c r="E51" i="29"/>
  <c r="G51" i="29" s="1"/>
  <c r="C51" i="30" s="1"/>
  <c r="G53" i="27"/>
  <c r="C53" i="28" s="1"/>
  <c r="E53" i="28" s="1"/>
  <c r="G53" i="28" s="1"/>
  <c r="C58" i="39" l="1"/>
  <c r="E58" i="39" s="1"/>
  <c r="G58" i="39" s="1"/>
  <c r="C58" i="40" s="1"/>
  <c r="E58" i="40" s="1"/>
  <c r="G58" i="40" s="1"/>
  <c r="E51" i="30"/>
  <c r="C58" i="41" l="1"/>
  <c r="E58" i="41" s="1"/>
  <c r="G58" i="41" s="1"/>
  <c r="C58" i="42" s="1"/>
  <c r="E58" i="42" s="1"/>
  <c r="G58" i="42" s="1"/>
  <c r="C58" i="43" s="1"/>
  <c r="E58" i="43" s="1"/>
  <c r="G58" i="43" s="1"/>
  <c r="G51" i="30"/>
  <c r="C57" i="24"/>
  <c r="C58" i="24"/>
  <c r="C17" i="24"/>
  <c r="H69" i="24"/>
  <c r="F59" i="24"/>
  <c r="G63" i="24" s="1"/>
  <c r="D59" i="24"/>
  <c r="C63" i="24" s="1"/>
  <c r="E54" i="24"/>
  <c r="D37" i="24"/>
  <c r="F26" i="24"/>
  <c r="G30" i="24" s="1"/>
  <c r="D26" i="24"/>
  <c r="C30" i="24" s="1"/>
  <c r="E17" i="24"/>
  <c r="G16" i="24"/>
  <c r="C16" i="25" s="1"/>
  <c r="C58" i="44" l="1"/>
  <c r="E58" i="44" s="1"/>
  <c r="G58" i="44" s="1"/>
  <c r="C58" i="45" s="1"/>
  <c r="E58" i="45" s="1"/>
  <c r="G58" i="45" s="1"/>
  <c r="C58" i="46" s="1"/>
  <c r="E58" i="46" s="1"/>
  <c r="G58" i="46" s="1"/>
  <c r="C58" i="47" s="1"/>
  <c r="E58" i="47" s="1"/>
  <c r="G58" i="47" s="1"/>
  <c r="C58" i="48" s="1"/>
  <c r="E58" i="48" s="1"/>
  <c r="G58" i="48" s="1"/>
  <c r="C54" i="31"/>
  <c r="E54" i="31" s="1"/>
  <c r="D32" i="24"/>
  <c r="H32" i="24" s="1"/>
  <c r="D69" i="24"/>
  <c r="G54" i="24"/>
  <c r="D65" i="24"/>
  <c r="H65" i="24" s="1"/>
  <c r="H37" i="24"/>
  <c r="I69" i="22"/>
  <c r="D35" i="23"/>
  <c r="H35" i="23" s="1"/>
  <c r="G54" i="31" l="1"/>
  <c r="G54" i="32" l="1"/>
  <c r="C17" i="23"/>
  <c r="E17" i="23" s="1"/>
  <c r="C19" i="23"/>
  <c r="E19" i="23" s="1"/>
  <c r="G19" i="23" s="1"/>
  <c r="C19" i="24" s="1"/>
  <c r="E19" i="24" s="1"/>
  <c r="G19" i="24" s="1"/>
  <c r="C19" i="25" s="1"/>
  <c r="E19" i="25" s="1"/>
  <c r="G19" i="25" s="1"/>
  <c r="C19" i="26" s="1"/>
  <c r="E19" i="26" s="1"/>
  <c r="G19" i="26" s="1"/>
  <c r="C19" i="27" s="1"/>
  <c r="E19" i="27" s="1"/>
  <c r="G19" i="27" s="1"/>
  <c r="C19" i="28" s="1"/>
  <c r="E19" i="28" s="1"/>
  <c r="G19" i="28" s="1"/>
  <c r="C19" i="29" s="1"/>
  <c r="E19" i="29" s="1"/>
  <c r="G19" i="29" s="1"/>
  <c r="C19" i="30" s="1"/>
  <c r="E19" i="30" s="1"/>
  <c r="G19" i="30" s="1"/>
  <c r="C19" i="31" s="1"/>
  <c r="E19" i="31" s="1"/>
  <c r="G19" i="31" s="1"/>
  <c r="C19" i="32" s="1"/>
  <c r="E19" i="32" s="1"/>
  <c r="G19" i="32" s="1"/>
  <c r="C19" i="33" s="1"/>
  <c r="E19" i="33" s="1"/>
  <c r="G19" i="33" s="1"/>
  <c r="C19" i="34" s="1"/>
  <c r="E19" i="34" s="1"/>
  <c r="G19" i="34" s="1"/>
  <c r="C19" i="35" s="1"/>
  <c r="E19" i="35" s="1"/>
  <c r="G19" i="35" s="1"/>
  <c r="C19" i="36" l="1"/>
  <c r="E19" i="36" s="1"/>
  <c r="G19" i="36" s="1"/>
  <c r="C19" i="37" s="1"/>
  <c r="E19" i="37" s="1"/>
  <c r="G19" i="37" s="1"/>
  <c r="C19" i="38" s="1"/>
  <c r="E19" i="38" s="1"/>
  <c r="G19" i="38" s="1"/>
  <c r="C19" i="39" s="1"/>
  <c r="E19" i="39" s="1"/>
  <c r="G19" i="39" s="1"/>
  <c r="C19" i="40" s="1"/>
  <c r="E19" i="40" s="1"/>
  <c r="G19" i="40" s="1"/>
  <c r="C19" i="41" s="1"/>
  <c r="E19" i="41" s="1"/>
  <c r="G19" i="41" s="1"/>
  <c r="C19" i="42" s="1"/>
  <c r="E19" i="42" s="1"/>
  <c r="G19" i="42" s="1"/>
  <c r="C19" i="43" s="1"/>
  <c r="E19" i="43" s="1"/>
  <c r="G19" i="43" s="1"/>
  <c r="C19" i="44" s="1"/>
  <c r="E19" i="44" s="1"/>
  <c r="G19" i="44" s="1"/>
  <c r="C19" i="45" s="1"/>
  <c r="E19" i="45" s="1"/>
  <c r="G19" i="45" s="1"/>
  <c r="C19" i="46" s="1"/>
  <c r="E19" i="46" s="1"/>
  <c r="G19" i="46" s="1"/>
  <c r="C19" i="47" s="1"/>
  <c r="E19" i="47" s="1"/>
  <c r="G19" i="47" s="1"/>
  <c r="C19" i="48" s="1"/>
  <c r="E19" i="48" s="1"/>
  <c r="G19" i="48" s="1"/>
  <c r="C54" i="33"/>
  <c r="E54" i="33" l="1"/>
  <c r="E56" i="29"/>
  <c r="D68" i="21"/>
  <c r="G54" i="33" l="1"/>
  <c r="C54" i="34" s="1"/>
  <c r="G56" i="29"/>
  <c r="E61" i="29"/>
  <c r="C57" i="23"/>
  <c r="C58" i="23"/>
  <c r="H69" i="23"/>
  <c r="D69" i="23"/>
  <c r="F59" i="23"/>
  <c r="G63" i="23" s="1"/>
  <c r="D59" i="23"/>
  <c r="C63" i="23" s="1"/>
  <c r="H37" i="23"/>
  <c r="D37" i="23"/>
  <c r="F26" i="23"/>
  <c r="G30" i="23" s="1"/>
  <c r="D26" i="23"/>
  <c r="C30" i="23" s="1"/>
  <c r="G9" i="23"/>
  <c r="C9" i="24" s="1"/>
  <c r="E9" i="24" s="1"/>
  <c r="G9" i="24" s="1"/>
  <c r="C9" i="25" s="1"/>
  <c r="E9" i="25" s="1"/>
  <c r="G9" i="25" s="1"/>
  <c r="C9" i="26" s="1"/>
  <c r="E9" i="26" s="1"/>
  <c r="G9" i="26" s="1"/>
  <c r="C9" i="27" s="1"/>
  <c r="E9" i="27" s="1"/>
  <c r="G61" i="29" l="1"/>
  <c r="C56" i="30"/>
  <c r="E54" i="34"/>
  <c r="D32" i="23"/>
  <c r="H32" i="23" s="1"/>
  <c r="D65" i="23"/>
  <c r="H65" i="23" s="1"/>
  <c r="G59" i="22"/>
  <c r="E59" i="22"/>
  <c r="G26" i="22"/>
  <c r="E26" i="22"/>
  <c r="E56" i="30" l="1"/>
  <c r="C61" i="30"/>
  <c r="G54" i="34"/>
  <c r="C54" i="35" l="1"/>
  <c r="G56" i="30"/>
  <c r="E61" i="30"/>
  <c r="C56" i="31" l="1"/>
  <c r="E56" i="31" s="1"/>
  <c r="G61" i="30"/>
  <c r="E54" i="35"/>
  <c r="D35" i="21"/>
  <c r="H35" i="21" s="1"/>
  <c r="G54" i="35" l="1"/>
  <c r="G56" i="31"/>
  <c r="E64" i="31"/>
  <c r="H68" i="21"/>
  <c r="G56" i="32" l="1"/>
  <c r="G64" i="31"/>
  <c r="C54" i="36"/>
  <c r="D14" i="22"/>
  <c r="F14" i="22" s="1"/>
  <c r="H14" i="22" s="1"/>
  <c r="C14" i="23" s="1"/>
  <c r="E14" i="23" s="1"/>
  <c r="G14" i="23" s="1"/>
  <c r="C14" i="24" s="1"/>
  <c r="E14" i="24" s="1"/>
  <c r="G14" i="24" s="1"/>
  <c r="C14" i="25" s="1"/>
  <c r="E14" i="25" s="1"/>
  <c r="G14" i="25" s="1"/>
  <c r="C14" i="26" s="1"/>
  <c r="E14" i="26" s="1"/>
  <c r="G14" i="26" s="1"/>
  <c r="C14" i="27" s="1"/>
  <c r="E14" i="27" s="1"/>
  <c r="G14" i="27" s="1"/>
  <c r="C14" i="28" s="1"/>
  <c r="E14" i="28" s="1"/>
  <c r="G14" i="28" s="1"/>
  <c r="C14" i="29" s="1"/>
  <c r="E14" i="29" s="1"/>
  <c r="G14" i="29" s="1"/>
  <c r="C14" i="30" s="1"/>
  <c r="E14" i="30" s="1"/>
  <c r="G14" i="30" s="1"/>
  <c r="C14" i="31" s="1"/>
  <c r="E14" i="31" s="1"/>
  <c r="G14" i="31" s="1"/>
  <c r="C14" i="32" s="1"/>
  <c r="E14" i="32" s="1"/>
  <c r="G14" i="32" s="1"/>
  <c r="C14" i="33" s="1"/>
  <c r="E14" i="33" s="1"/>
  <c r="G14" i="33" s="1"/>
  <c r="C14" i="34" s="1"/>
  <c r="E14" i="34" s="1"/>
  <c r="G14" i="34" s="1"/>
  <c r="C14" i="35" s="1"/>
  <c r="E14" i="35" s="1"/>
  <c r="G14" i="35" s="1"/>
  <c r="D17" i="22"/>
  <c r="D19" i="22"/>
  <c r="D57" i="22"/>
  <c r="D58" i="22"/>
  <c r="H69" i="21"/>
  <c r="E69" i="22"/>
  <c r="H63" i="22"/>
  <c r="D63" i="22"/>
  <c r="I37" i="22"/>
  <c r="E37" i="22"/>
  <c r="H30" i="22"/>
  <c r="H18" i="22"/>
  <c r="C18" i="23" s="1"/>
  <c r="E18" i="23" s="1"/>
  <c r="G18" i="23" s="1"/>
  <c r="C18" i="24" s="1"/>
  <c r="E18" i="24" s="1"/>
  <c r="G18" i="24" s="1"/>
  <c r="C18" i="25" s="1"/>
  <c r="E18" i="25" s="1"/>
  <c r="G18" i="25" s="1"/>
  <c r="C18" i="26" s="1"/>
  <c r="E18" i="26" s="1"/>
  <c r="G18" i="26" s="1"/>
  <c r="C18" i="27" s="1"/>
  <c r="E18" i="27" s="1"/>
  <c r="G18" i="27" s="1"/>
  <c r="C18" i="28" s="1"/>
  <c r="E18" i="28" s="1"/>
  <c r="G18" i="28" s="1"/>
  <c r="C18" i="29" s="1"/>
  <c r="E18" i="29" s="1"/>
  <c r="G18" i="29" s="1"/>
  <c r="C18" i="30" s="1"/>
  <c r="E18" i="30" s="1"/>
  <c r="G18" i="30" s="1"/>
  <c r="C18" i="31" s="1"/>
  <c r="E18" i="31" s="1"/>
  <c r="G18" i="31" s="1"/>
  <c r="C18" i="32" s="1"/>
  <c r="E18" i="32" s="1"/>
  <c r="G18" i="32" s="1"/>
  <c r="C18" i="33" s="1"/>
  <c r="E18" i="33" s="1"/>
  <c r="G18" i="33" s="1"/>
  <c r="C18" i="34" s="1"/>
  <c r="E18" i="34" s="1"/>
  <c r="G18" i="34" s="1"/>
  <c r="C18" i="35" s="1"/>
  <c r="E18" i="35" s="1"/>
  <c r="G18" i="35" s="1"/>
  <c r="H9" i="22"/>
  <c r="C9" i="23" s="1"/>
  <c r="C14" i="36" l="1"/>
  <c r="E14" i="36" s="1"/>
  <c r="G14" i="36" s="1"/>
  <c r="C14" i="37" s="1"/>
  <c r="E14" i="37" s="1"/>
  <c r="G14" i="37" s="1"/>
  <c r="C14" i="38" s="1"/>
  <c r="E14" i="38" s="1"/>
  <c r="C18" i="36"/>
  <c r="E18" i="36" s="1"/>
  <c r="G18" i="36" s="1"/>
  <c r="C18" i="37" s="1"/>
  <c r="E18" i="37" s="1"/>
  <c r="G18" i="37" s="1"/>
  <c r="C18" i="38" s="1"/>
  <c r="E18" i="38" s="1"/>
  <c r="G18" i="38" s="1"/>
  <c r="C18" i="39" s="1"/>
  <c r="E18" i="39" s="1"/>
  <c r="G18" i="39" s="1"/>
  <c r="C18" i="40" s="1"/>
  <c r="E18" i="40" s="1"/>
  <c r="G18" i="40" s="1"/>
  <c r="C18" i="41" s="1"/>
  <c r="E18" i="41" s="1"/>
  <c r="G18" i="41" s="1"/>
  <c r="C18" i="42" s="1"/>
  <c r="E18" i="42" s="1"/>
  <c r="G18" i="42" s="1"/>
  <c r="C18" i="43" s="1"/>
  <c r="E18" i="43" s="1"/>
  <c r="G18" i="43" s="1"/>
  <c r="C18" i="44" s="1"/>
  <c r="E18" i="44" s="1"/>
  <c r="G18" i="44" s="1"/>
  <c r="C18" i="45" s="1"/>
  <c r="E18" i="45" s="1"/>
  <c r="G18" i="45" s="1"/>
  <c r="C18" i="46" s="1"/>
  <c r="E18" i="46" s="1"/>
  <c r="G18" i="46" s="1"/>
  <c r="C18" i="47" s="1"/>
  <c r="E18" i="47" s="1"/>
  <c r="G18" i="47" s="1"/>
  <c r="C18" i="48" s="1"/>
  <c r="E18" i="48" s="1"/>
  <c r="G18" i="48" s="1"/>
  <c r="E54" i="36"/>
  <c r="C56" i="33"/>
  <c r="G63" i="32"/>
  <c r="D30" i="22"/>
  <c r="E65" i="22"/>
  <c r="E32" i="22"/>
  <c r="G14" i="38" l="1"/>
  <c r="E56" i="33"/>
  <c r="C63" i="33"/>
  <c r="G54" i="36"/>
  <c r="C54" i="37" s="1"/>
  <c r="I65" i="22"/>
  <c r="I32" i="22"/>
  <c r="H15" i="21"/>
  <c r="E54" i="37" l="1"/>
  <c r="G54" i="37" s="1"/>
  <c r="C54" i="38" s="1"/>
  <c r="C14" i="39"/>
  <c r="E14" i="39" s="1"/>
  <c r="G14" i="39" s="1"/>
  <c r="C14" i="40" s="1"/>
  <c r="E14" i="40" s="1"/>
  <c r="G14" i="40" s="1"/>
  <c r="C14" i="41" s="1"/>
  <c r="E14" i="41" s="1"/>
  <c r="G14" i="41" s="1"/>
  <c r="C14" i="42" s="1"/>
  <c r="E14" i="42" s="1"/>
  <c r="G14" i="42" s="1"/>
  <c r="C14" i="43" s="1"/>
  <c r="E14" i="43" s="1"/>
  <c r="G14" i="43" s="1"/>
  <c r="C14" i="44" s="1"/>
  <c r="E14" i="44" s="1"/>
  <c r="G14" i="44" s="1"/>
  <c r="C14" i="45" s="1"/>
  <c r="E14" i="45" s="1"/>
  <c r="G14" i="45" s="1"/>
  <c r="C14" i="46" s="1"/>
  <c r="E14" i="46" s="1"/>
  <c r="G14" i="46" s="1"/>
  <c r="C14" i="47" s="1"/>
  <c r="E14" i="47" s="1"/>
  <c r="G14" i="47" s="1"/>
  <c r="C14" i="48" s="1"/>
  <c r="E14" i="48" s="1"/>
  <c r="G14" i="48" s="1"/>
  <c r="G56" i="33"/>
  <c r="E63" i="33"/>
  <c r="D26" i="20"/>
  <c r="E54" i="38" l="1"/>
  <c r="G63" i="33"/>
  <c r="C56" i="34"/>
  <c r="C57" i="21"/>
  <c r="C58" i="21"/>
  <c r="C14" i="21"/>
  <c r="E14" i="21" s="1"/>
  <c r="C17" i="21"/>
  <c r="C19" i="21"/>
  <c r="D69" i="21"/>
  <c r="F59" i="21"/>
  <c r="D59" i="21"/>
  <c r="C63" i="21" s="1"/>
  <c r="H37" i="21"/>
  <c r="D37" i="21"/>
  <c r="F26" i="21"/>
  <c r="D26" i="21"/>
  <c r="C30" i="21" s="1"/>
  <c r="G18" i="21"/>
  <c r="D18" i="22" s="1"/>
  <c r="G9" i="21"/>
  <c r="D9" i="22" s="1"/>
  <c r="G54" i="38" l="1"/>
  <c r="E56" i="34"/>
  <c r="C63" i="34"/>
  <c r="G30" i="21"/>
  <c r="G63" i="21"/>
  <c r="D65" i="21"/>
  <c r="H65" i="21" s="1"/>
  <c r="D32" i="21"/>
  <c r="H32" i="21" s="1"/>
  <c r="D69" i="20"/>
  <c r="D37" i="20"/>
  <c r="C54" i="39" l="1"/>
  <c r="G56" i="34"/>
  <c r="E63" i="34"/>
  <c r="E54" i="39" l="1"/>
  <c r="C56" i="35"/>
  <c r="G63" i="34"/>
  <c r="G74" i="28"/>
  <c r="I74" i="28" s="1"/>
  <c r="C57" i="20"/>
  <c r="C58" i="20"/>
  <c r="C14" i="20"/>
  <c r="H69" i="20"/>
  <c r="F59" i="20"/>
  <c r="G63" i="20" s="1"/>
  <c r="D59" i="20"/>
  <c r="C63" i="20" s="1"/>
  <c r="H37" i="20"/>
  <c r="F26" i="20"/>
  <c r="C30" i="20"/>
  <c r="G18" i="20"/>
  <c r="C18" i="21" s="1"/>
  <c r="E14" i="20"/>
  <c r="G9" i="20"/>
  <c r="C9" i="21" s="1"/>
  <c r="G54" i="39" l="1"/>
  <c r="E56" i="35"/>
  <c r="C63" i="35"/>
  <c r="G66" i="29"/>
  <c r="G75" i="29" s="1"/>
  <c r="I75" i="29" s="1"/>
  <c r="G66" i="30" s="1"/>
  <c r="G75" i="30" s="1"/>
  <c r="I75" i="30" s="1"/>
  <c r="G69" i="31" s="1"/>
  <c r="G78" i="31" s="1"/>
  <c r="I78" i="31" s="1"/>
  <c r="G68" i="32" s="1"/>
  <c r="G77" i="32" s="1"/>
  <c r="I77" i="32" s="1"/>
  <c r="G68" i="33" s="1"/>
  <c r="G77" i="33" s="1"/>
  <c r="I77" i="33" s="1"/>
  <c r="G30" i="20"/>
  <c r="D32" i="20"/>
  <c r="H32" i="20" s="1"/>
  <c r="D65" i="20"/>
  <c r="H65" i="20" s="1"/>
  <c r="H37" i="19"/>
  <c r="D37" i="19"/>
  <c r="C54" i="40" l="1"/>
  <c r="G56" i="35"/>
  <c r="E63" i="35"/>
  <c r="G68" i="34"/>
  <c r="G77" i="34" s="1"/>
  <c r="I77" i="34" s="1"/>
  <c r="G68" i="35" s="1"/>
  <c r="G77" i="35" s="1"/>
  <c r="I77" i="35" s="1"/>
  <c r="G68" i="36" s="1"/>
  <c r="G77" i="36" s="1"/>
  <c r="I77" i="36" s="1"/>
  <c r="G68" i="37" s="1"/>
  <c r="G77" i="37" s="1"/>
  <c r="C74" i="28"/>
  <c r="E74" i="28" s="1"/>
  <c r="C66" i="29" s="1"/>
  <c r="C75" i="29" s="1"/>
  <c r="E75" i="29" s="1"/>
  <c r="C66" i="30" s="1"/>
  <c r="C75" i="30" s="1"/>
  <c r="E75" i="30" s="1"/>
  <c r="C69" i="31" s="1"/>
  <c r="C78" i="31" s="1"/>
  <c r="E78" i="31" s="1"/>
  <c r="C68" i="32" s="1"/>
  <c r="C77" i="32" s="1"/>
  <c r="E77" i="32" s="1"/>
  <c r="C68" i="33" s="1"/>
  <c r="C77" i="33" s="1"/>
  <c r="E77" i="33" s="1"/>
  <c r="E18" i="19"/>
  <c r="E19" i="19"/>
  <c r="E14" i="19"/>
  <c r="E15" i="19"/>
  <c r="E16" i="19"/>
  <c r="E17" i="19"/>
  <c r="E54" i="40" l="1"/>
  <c r="I77" i="37"/>
  <c r="G68" i="38" s="1"/>
  <c r="G77" i="38" s="1"/>
  <c r="I77" i="38" s="1"/>
  <c r="G68" i="39" s="1"/>
  <c r="G77" i="39" s="1"/>
  <c r="I77" i="39" s="1"/>
  <c r="G68" i="40" s="1"/>
  <c r="G77" i="40" s="1"/>
  <c r="I77" i="40" s="1"/>
  <c r="G68" i="41" s="1"/>
  <c r="G77" i="41" s="1"/>
  <c r="I77" i="41" s="1"/>
  <c r="G68" i="42" s="1"/>
  <c r="G77" i="42" s="1"/>
  <c r="I77" i="42" s="1"/>
  <c r="G68" i="43" s="1"/>
  <c r="G77" i="43" s="1"/>
  <c r="I77" i="43" s="1"/>
  <c r="G68" i="44" s="1"/>
  <c r="G77" i="44" s="1"/>
  <c r="I77" i="44" s="1"/>
  <c r="G68" i="45" s="1"/>
  <c r="G77" i="45" s="1"/>
  <c r="I77" i="45" s="1"/>
  <c r="G68" i="46" s="1"/>
  <c r="G77" i="46" s="1"/>
  <c r="I77" i="46" s="1"/>
  <c r="G68" i="47" s="1"/>
  <c r="G77" i="47" s="1"/>
  <c r="I77" i="47" s="1"/>
  <c r="G68" i="48" s="1"/>
  <c r="G77" i="48" s="1"/>
  <c r="I77" i="48" s="1"/>
  <c r="C56" i="36"/>
  <c r="G63" i="35"/>
  <c r="C68" i="34"/>
  <c r="C77" i="34" s="1"/>
  <c r="E77" i="34" s="1"/>
  <c r="C68" i="35" s="1"/>
  <c r="C77" i="35" s="1"/>
  <c r="E77" i="35" s="1"/>
  <c r="C68" i="36" s="1"/>
  <c r="C77" i="36" s="1"/>
  <c r="E77" i="36" s="1"/>
  <c r="C68" i="37" s="1"/>
  <c r="C77" i="37" s="1"/>
  <c r="E77" i="37" s="1"/>
  <c r="C68" i="38" s="1"/>
  <c r="C77" i="38" s="1"/>
  <c r="E77" i="38" s="1"/>
  <c r="F26" i="19"/>
  <c r="G30" i="19" s="1"/>
  <c r="C26" i="19"/>
  <c r="C26" i="18"/>
  <c r="C26" i="17"/>
  <c r="C26" i="16"/>
  <c r="C25" i="15"/>
  <c r="C25" i="12"/>
  <c r="C25" i="13"/>
  <c r="C25" i="14"/>
  <c r="H69" i="19"/>
  <c r="D69" i="19"/>
  <c r="F59" i="19"/>
  <c r="G63" i="19" s="1"/>
  <c r="D59" i="19"/>
  <c r="C63" i="19" s="1"/>
  <c r="C59" i="19"/>
  <c r="E56" i="19"/>
  <c r="G56" i="19" s="1"/>
  <c r="C56" i="20" s="1"/>
  <c r="E56" i="20" s="1"/>
  <c r="G56" i="20" s="1"/>
  <c r="C56" i="21" s="1"/>
  <c r="E56" i="21" s="1"/>
  <c r="G56" i="21" s="1"/>
  <c r="D56" i="22" s="1"/>
  <c r="F56" i="22" s="1"/>
  <c r="H56" i="22" s="1"/>
  <c r="C56" i="23" s="1"/>
  <c r="E56" i="23" s="1"/>
  <c r="G56" i="23" s="1"/>
  <c r="C56" i="24" s="1"/>
  <c r="E56" i="24" s="1"/>
  <c r="G56" i="24" s="1"/>
  <c r="C56" i="25" s="1"/>
  <c r="E56" i="25" s="1"/>
  <c r="G56" i="25" s="1"/>
  <c r="C56" i="26" s="1"/>
  <c r="E56" i="26" s="1"/>
  <c r="G56" i="26" s="1"/>
  <c r="C56" i="27" s="1"/>
  <c r="E56" i="27" s="1"/>
  <c r="G56" i="27" s="1"/>
  <c r="C57" i="28" s="1"/>
  <c r="E57" i="28" s="1"/>
  <c r="G57" i="28" s="1"/>
  <c r="E55" i="19"/>
  <c r="G55" i="19" s="1"/>
  <c r="C55" i="20" s="1"/>
  <c r="E55" i="20" s="1"/>
  <c r="G55" i="20" s="1"/>
  <c r="C55" i="21" s="1"/>
  <c r="E55" i="21" s="1"/>
  <c r="G55" i="21" s="1"/>
  <c r="D55" i="22" s="1"/>
  <c r="F55" i="22" s="1"/>
  <c r="H55" i="22" s="1"/>
  <c r="C55" i="23" s="1"/>
  <c r="E55" i="23" s="1"/>
  <c r="G55" i="23" s="1"/>
  <c r="C55" i="24" s="1"/>
  <c r="E55" i="24" s="1"/>
  <c r="G55" i="24" s="1"/>
  <c r="E54" i="19"/>
  <c r="G54" i="19" s="1"/>
  <c r="C54" i="20" s="1"/>
  <c r="E54" i="20" s="1"/>
  <c r="G54" i="20" s="1"/>
  <c r="C54" i="21" s="1"/>
  <c r="E54" i="21" s="1"/>
  <c r="G54" i="21" s="1"/>
  <c r="D54" i="22" s="1"/>
  <c r="F54" i="22" s="1"/>
  <c r="H54" i="22" s="1"/>
  <c r="C54" i="23" s="1"/>
  <c r="E54" i="23" s="1"/>
  <c r="G54" i="23" s="1"/>
  <c r="E53" i="19"/>
  <c r="G53" i="19" s="1"/>
  <c r="C53" i="20" s="1"/>
  <c r="E53" i="20" s="1"/>
  <c r="G53" i="20" s="1"/>
  <c r="C53" i="21" s="1"/>
  <c r="E53" i="21" s="1"/>
  <c r="G53" i="21" s="1"/>
  <c r="D53" i="22" s="1"/>
  <c r="F53" i="22" s="1"/>
  <c r="H53" i="22" s="1"/>
  <c r="C53" i="23" s="1"/>
  <c r="E53" i="23" s="1"/>
  <c r="G53" i="23" s="1"/>
  <c r="C53" i="24" s="1"/>
  <c r="E53" i="24" s="1"/>
  <c r="G53" i="24" s="1"/>
  <c r="E52" i="19"/>
  <c r="G52" i="19" s="1"/>
  <c r="C52" i="20" s="1"/>
  <c r="E52" i="20" s="1"/>
  <c r="G52" i="20" s="1"/>
  <c r="C52" i="21" s="1"/>
  <c r="E52" i="21" s="1"/>
  <c r="G52" i="21" s="1"/>
  <c r="D52" i="22" s="1"/>
  <c r="F52" i="22" s="1"/>
  <c r="H52" i="22" s="1"/>
  <c r="C52" i="23" s="1"/>
  <c r="E52" i="23" s="1"/>
  <c r="G52" i="23" s="1"/>
  <c r="C52" i="24" s="1"/>
  <c r="E52" i="24" s="1"/>
  <c r="G52" i="24" s="1"/>
  <c r="E51" i="19"/>
  <c r="G51" i="19" s="1"/>
  <c r="C51" i="20" s="1"/>
  <c r="E51" i="20" s="1"/>
  <c r="G51" i="20" s="1"/>
  <c r="C51" i="21" s="1"/>
  <c r="E51" i="21" s="1"/>
  <c r="G51" i="21" s="1"/>
  <c r="D51" i="22" s="1"/>
  <c r="F51" i="22" s="1"/>
  <c r="H51" i="22" s="1"/>
  <c r="C51" i="23" s="1"/>
  <c r="E51" i="23" s="1"/>
  <c r="G51" i="23" s="1"/>
  <c r="C51" i="24" s="1"/>
  <c r="E51" i="24" s="1"/>
  <c r="G51" i="24" s="1"/>
  <c r="E50" i="19"/>
  <c r="G50" i="19" s="1"/>
  <c r="C50" i="20" s="1"/>
  <c r="E50" i="20" s="1"/>
  <c r="G50" i="20" s="1"/>
  <c r="C50" i="21" s="1"/>
  <c r="E50" i="21" s="1"/>
  <c r="G50" i="21" s="1"/>
  <c r="D50" i="22" s="1"/>
  <c r="F50" i="22" s="1"/>
  <c r="H50" i="22" s="1"/>
  <c r="C50" i="23" s="1"/>
  <c r="E50" i="23" s="1"/>
  <c r="G50" i="23" s="1"/>
  <c r="C50" i="24" s="1"/>
  <c r="E50" i="24" s="1"/>
  <c r="G50" i="24" s="1"/>
  <c r="C50" i="25" s="1"/>
  <c r="E50" i="25" s="1"/>
  <c r="G50" i="25" s="1"/>
  <c r="C50" i="26" s="1"/>
  <c r="E50" i="26" s="1"/>
  <c r="G50" i="26" s="1"/>
  <c r="C50" i="27" s="1"/>
  <c r="E50" i="27" s="1"/>
  <c r="G50" i="27" s="1"/>
  <c r="C50" i="28" s="1"/>
  <c r="E50" i="28" s="1"/>
  <c r="E49" i="19"/>
  <c r="G49" i="19" s="1"/>
  <c r="C49" i="20" s="1"/>
  <c r="E49" i="20" s="1"/>
  <c r="G49" i="20" s="1"/>
  <c r="C49" i="21" s="1"/>
  <c r="E49" i="21" s="1"/>
  <c r="G49" i="21" s="1"/>
  <c r="F49" i="22" s="1"/>
  <c r="H49" i="22" s="1"/>
  <c r="C49" i="23" s="1"/>
  <c r="E49" i="23" s="1"/>
  <c r="G49" i="23" s="1"/>
  <c r="C49" i="24" s="1"/>
  <c r="E49" i="24" s="1"/>
  <c r="G49" i="24" s="1"/>
  <c r="C49" i="25" s="1"/>
  <c r="E48" i="19"/>
  <c r="G48" i="19" s="1"/>
  <c r="C48" i="20" s="1"/>
  <c r="E48" i="20" s="1"/>
  <c r="G48" i="20" s="1"/>
  <c r="C48" i="21" s="1"/>
  <c r="E48" i="21" s="1"/>
  <c r="G48" i="21" s="1"/>
  <c r="E47" i="19"/>
  <c r="G47" i="19" s="1"/>
  <c r="C47" i="20" s="1"/>
  <c r="E47" i="20" s="1"/>
  <c r="D26" i="19"/>
  <c r="C30" i="19" s="1"/>
  <c r="E25" i="19"/>
  <c r="G25" i="19" s="1"/>
  <c r="C25" i="20" s="1"/>
  <c r="E25" i="20" s="1"/>
  <c r="G25" i="20" s="1"/>
  <c r="C25" i="21" s="1"/>
  <c r="E25" i="21" s="1"/>
  <c r="G25" i="21" s="1"/>
  <c r="D25" i="22" s="1"/>
  <c r="F25" i="22" s="1"/>
  <c r="H25" i="22" s="1"/>
  <c r="C25" i="23" s="1"/>
  <c r="E25" i="23" s="1"/>
  <c r="G25" i="23" s="1"/>
  <c r="C25" i="24" s="1"/>
  <c r="E25" i="24" s="1"/>
  <c r="G25" i="24" s="1"/>
  <c r="C25" i="25" s="1"/>
  <c r="E25" i="25" s="1"/>
  <c r="G25" i="25" s="1"/>
  <c r="C25" i="26" s="1"/>
  <c r="E25" i="26" s="1"/>
  <c r="G25" i="26" s="1"/>
  <c r="C25" i="27" s="1"/>
  <c r="E25" i="27" s="1"/>
  <c r="G25" i="27" s="1"/>
  <c r="E24" i="19"/>
  <c r="G24" i="19" s="1"/>
  <c r="C24" i="20" s="1"/>
  <c r="E24" i="20" s="1"/>
  <c r="G24" i="20" s="1"/>
  <c r="C24" i="21" s="1"/>
  <c r="E24" i="21" s="1"/>
  <c r="G24" i="21" s="1"/>
  <c r="D24" i="22" s="1"/>
  <c r="F24" i="22" s="1"/>
  <c r="H24" i="22" s="1"/>
  <c r="C24" i="23" s="1"/>
  <c r="E24" i="23" s="1"/>
  <c r="G24" i="23" s="1"/>
  <c r="C24" i="24" s="1"/>
  <c r="E24" i="24" s="1"/>
  <c r="G24" i="24" s="1"/>
  <c r="C24" i="25" s="1"/>
  <c r="E24" i="25" s="1"/>
  <c r="G24" i="25" s="1"/>
  <c r="C24" i="26" s="1"/>
  <c r="E24" i="26" s="1"/>
  <c r="G24" i="26" s="1"/>
  <c r="C24" i="27" s="1"/>
  <c r="E24" i="27" s="1"/>
  <c r="G24" i="27" s="1"/>
  <c r="C24" i="28" s="1"/>
  <c r="E24" i="28" s="1"/>
  <c r="G24" i="28" s="1"/>
  <c r="C24" i="29" s="1"/>
  <c r="E24" i="29" s="1"/>
  <c r="G24" i="29" s="1"/>
  <c r="C24" i="30" s="1"/>
  <c r="E24" i="30" s="1"/>
  <c r="G24" i="30" s="1"/>
  <c r="C24" i="31" s="1"/>
  <c r="E24" i="31" s="1"/>
  <c r="G24" i="31" s="1"/>
  <c r="C24" i="32" s="1"/>
  <c r="E24" i="32" s="1"/>
  <c r="G24" i="32" s="1"/>
  <c r="C24" i="33" s="1"/>
  <c r="E24" i="33" s="1"/>
  <c r="G24" i="33" s="1"/>
  <c r="C24" i="34" s="1"/>
  <c r="E24" i="34" s="1"/>
  <c r="G24" i="34" s="1"/>
  <c r="C24" i="35" s="1"/>
  <c r="E24" i="35" s="1"/>
  <c r="G24" i="35" s="1"/>
  <c r="E23" i="19"/>
  <c r="G23" i="19" s="1"/>
  <c r="C23" i="20" s="1"/>
  <c r="E23" i="20" s="1"/>
  <c r="G23" i="20" s="1"/>
  <c r="C23" i="21" s="1"/>
  <c r="E23" i="21" s="1"/>
  <c r="G23" i="21" s="1"/>
  <c r="D23" i="22" s="1"/>
  <c r="F23" i="22" s="1"/>
  <c r="H23" i="22" s="1"/>
  <c r="C23" i="23" s="1"/>
  <c r="E23" i="23" s="1"/>
  <c r="G23" i="23" s="1"/>
  <c r="C23" i="24" s="1"/>
  <c r="E23" i="24" s="1"/>
  <c r="G23" i="24" s="1"/>
  <c r="C23" i="25" s="1"/>
  <c r="E23" i="25" s="1"/>
  <c r="G23" i="25" s="1"/>
  <c r="C23" i="26" s="1"/>
  <c r="E23" i="26" s="1"/>
  <c r="G23" i="26" s="1"/>
  <c r="C23" i="27" s="1"/>
  <c r="E23" i="27" s="1"/>
  <c r="G23" i="27" s="1"/>
  <c r="C23" i="28" s="1"/>
  <c r="E23" i="28" s="1"/>
  <c r="G23" i="28" s="1"/>
  <c r="C23" i="29" s="1"/>
  <c r="E23" i="29" s="1"/>
  <c r="G23" i="29" s="1"/>
  <c r="C23" i="30" s="1"/>
  <c r="E23" i="30" s="1"/>
  <c r="G23" i="30" s="1"/>
  <c r="C23" i="31" s="1"/>
  <c r="E23" i="31" s="1"/>
  <c r="G23" i="31" s="1"/>
  <c r="C23" i="32" s="1"/>
  <c r="E23" i="32" s="1"/>
  <c r="G23" i="32" s="1"/>
  <c r="C23" i="33" s="1"/>
  <c r="E23" i="33" s="1"/>
  <c r="G23" i="33" s="1"/>
  <c r="C23" i="34" s="1"/>
  <c r="E23" i="34" s="1"/>
  <c r="G23" i="34" s="1"/>
  <c r="C23" i="35" s="1"/>
  <c r="E23" i="35" s="1"/>
  <c r="G23" i="35" s="1"/>
  <c r="E22" i="19"/>
  <c r="G22" i="19" s="1"/>
  <c r="C22" i="20" s="1"/>
  <c r="E22" i="20" s="1"/>
  <c r="G22" i="20" s="1"/>
  <c r="C22" i="21" s="1"/>
  <c r="E22" i="21" s="1"/>
  <c r="G22" i="21" s="1"/>
  <c r="D22" i="22" s="1"/>
  <c r="F22" i="22" s="1"/>
  <c r="H22" i="22" s="1"/>
  <c r="C22" i="23" s="1"/>
  <c r="E22" i="23" s="1"/>
  <c r="G22" i="23" s="1"/>
  <c r="C22" i="24" s="1"/>
  <c r="E22" i="24" s="1"/>
  <c r="G22" i="24" s="1"/>
  <c r="C22" i="25" s="1"/>
  <c r="E22" i="25" s="1"/>
  <c r="G22" i="25" s="1"/>
  <c r="C22" i="26" s="1"/>
  <c r="E22" i="26" s="1"/>
  <c r="G22" i="26" s="1"/>
  <c r="C22" i="27" s="1"/>
  <c r="E22" i="27" s="1"/>
  <c r="G22" i="27" s="1"/>
  <c r="C22" i="28" s="1"/>
  <c r="E22" i="28" s="1"/>
  <c r="G22" i="28" s="1"/>
  <c r="C22" i="29" s="1"/>
  <c r="E22" i="29" s="1"/>
  <c r="G22" i="29" s="1"/>
  <c r="C22" i="30" s="1"/>
  <c r="E22" i="30" s="1"/>
  <c r="G22" i="30" s="1"/>
  <c r="C22" i="31" s="1"/>
  <c r="E22" i="31" s="1"/>
  <c r="G22" i="31" s="1"/>
  <c r="C22" i="32" s="1"/>
  <c r="E22" i="32" s="1"/>
  <c r="G22" i="32" s="1"/>
  <c r="C22" i="33" s="1"/>
  <c r="E22" i="33" s="1"/>
  <c r="G22" i="33" s="1"/>
  <c r="C22" i="34" s="1"/>
  <c r="E22" i="34" s="1"/>
  <c r="G22" i="34" s="1"/>
  <c r="C22" i="35" s="1"/>
  <c r="E22" i="35" s="1"/>
  <c r="G22" i="35" s="1"/>
  <c r="E20" i="19"/>
  <c r="G20" i="19" s="1"/>
  <c r="C20" i="20" s="1"/>
  <c r="E20" i="20" s="1"/>
  <c r="G20" i="20" s="1"/>
  <c r="C20" i="21" s="1"/>
  <c r="E20" i="21" s="1"/>
  <c r="G20" i="21" s="1"/>
  <c r="D20" i="22" s="1"/>
  <c r="F20" i="22" s="1"/>
  <c r="H20" i="22" s="1"/>
  <c r="C20" i="23" s="1"/>
  <c r="E20" i="23" s="1"/>
  <c r="G20" i="23" s="1"/>
  <c r="C20" i="24" s="1"/>
  <c r="E20" i="24" s="1"/>
  <c r="G20" i="24" s="1"/>
  <c r="C20" i="25" s="1"/>
  <c r="E20" i="25" s="1"/>
  <c r="G20" i="25" s="1"/>
  <c r="C20" i="26" s="1"/>
  <c r="E20" i="26" s="1"/>
  <c r="G20" i="26" s="1"/>
  <c r="C20" i="27" s="1"/>
  <c r="E20" i="27" s="1"/>
  <c r="G19" i="19"/>
  <c r="G18" i="19"/>
  <c r="G17" i="19"/>
  <c r="G16" i="19"/>
  <c r="C16" i="20" s="1"/>
  <c r="E16" i="20" s="1"/>
  <c r="G16" i="20" s="1"/>
  <c r="C16" i="21" s="1"/>
  <c r="E16" i="21" s="1"/>
  <c r="G16" i="21" s="1"/>
  <c r="D16" i="22" s="1"/>
  <c r="F16" i="22" s="1"/>
  <c r="H16" i="22" s="1"/>
  <c r="C16" i="23" s="1"/>
  <c r="E16" i="23" s="1"/>
  <c r="G16" i="23" s="1"/>
  <c r="G15" i="19"/>
  <c r="C15" i="20" s="1"/>
  <c r="E15" i="20" s="1"/>
  <c r="G15" i="20" s="1"/>
  <c r="C15" i="21" s="1"/>
  <c r="E15" i="21" s="1"/>
  <c r="G15" i="21" s="1"/>
  <c r="D15" i="22" s="1"/>
  <c r="F15" i="22" s="1"/>
  <c r="H15" i="22" s="1"/>
  <c r="C15" i="23" s="1"/>
  <c r="E15" i="23" s="1"/>
  <c r="G15" i="23" s="1"/>
  <c r="C15" i="24" s="1"/>
  <c r="E15" i="24" s="1"/>
  <c r="G15" i="24" s="1"/>
  <c r="C15" i="25" s="1"/>
  <c r="E15" i="25" s="1"/>
  <c r="G15" i="25" s="1"/>
  <c r="C15" i="26" s="1"/>
  <c r="E15" i="26" s="1"/>
  <c r="G15" i="26" s="1"/>
  <c r="E21" i="19"/>
  <c r="G21" i="19" s="1"/>
  <c r="C21" i="20" s="1"/>
  <c r="E21" i="20" s="1"/>
  <c r="G21" i="20" s="1"/>
  <c r="C21" i="21" s="1"/>
  <c r="E21" i="21" s="1"/>
  <c r="G21" i="21" s="1"/>
  <c r="D21" i="22" s="1"/>
  <c r="F21" i="22" s="1"/>
  <c r="H21" i="22" s="1"/>
  <c r="C21" i="23" s="1"/>
  <c r="E21" i="23" s="1"/>
  <c r="G21" i="23" s="1"/>
  <c r="C21" i="24" s="1"/>
  <c r="E21" i="24" s="1"/>
  <c r="G21" i="24" s="1"/>
  <c r="C21" i="25" s="1"/>
  <c r="E21" i="25" s="1"/>
  <c r="G21" i="25" s="1"/>
  <c r="C21" i="26" s="1"/>
  <c r="E21" i="26" s="1"/>
  <c r="G21" i="26" s="1"/>
  <c r="C21" i="27" s="1"/>
  <c r="E21" i="27" s="1"/>
  <c r="G21" i="27" s="1"/>
  <c r="E13" i="19"/>
  <c r="G13" i="19" s="1"/>
  <c r="C13" i="20" s="1"/>
  <c r="E13" i="20" s="1"/>
  <c r="G13" i="20" s="1"/>
  <c r="C13" i="21" s="1"/>
  <c r="E13" i="21" s="1"/>
  <c r="G13" i="21" s="1"/>
  <c r="D13" i="22" s="1"/>
  <c r="F13" i="22" s="1"/>
  <c r="H13" i="22" s="1"/>
  <c r="C13" i="23" s="1"/>
  <c r="E13" i="23" s="1"/>
  <c r="G13" i="23" s="1"/>
  <c r="C13" i="24" s="1"/>
  <c r="E13" i="24" s="1"/>
  <c r="G13" i="24" s="1"/>
  <c r="C13" i="25" s="1"/>
  <c r="E13" i="25" s="1"/>
  <c r="G13" i="25" s="1"/>
  <c r="C13" i="26" s="1"/>
  <c r="E13" i="26" s="1"/>
  <c r="G13" i="26" s="1"/>
  <c r="C13" i="27" s="1"/>
  <c r="E13" i="27" s="1"/>
  <c r="G13" i="27" s="1"/>
  <c r="C13" i="28" s="1"/>
  <c r="E13" i="28" s="1"/>
  <c r="G13" i="28" s="1"/>
  <c r="C13" i="29" s="1"/>
  <c r="E13" i="29" s="1"/>
  <c r="G13" i="29" s="1"/>
  <c r="C13" i="30" s="1"/>
  <c r="E13" i="30" s="1"/>
  <c r="G13" i="30" s="1"/>
  <c r="C13" i="31" s="1"/>
  <c r="E13" i="31" s="1"/>
  <c r="G13" i="31" s="1"/>
  <c r="C13" i="32" s="1"/>
  <c r="E13" i="32" s="1"/>
  <c r="G13" i="32" s="1"/>
  <c r="C13" i="33" s="1"/>
  <c r="E13" i="33" s="1"/>
  <c r="G13" i="33" s="1"/>
  <c r="C13" i="34" s="1"/>
  <c r="E13" i="34" s="1"/>
  <c r="G13" i="34" s="1"/>
  <c r="C13" i="35" s="1"/>
  <c r="E13" i="35" s="1"/>
  <c r="G13" i="35" s="1"/>
  <c r="E12" i="19"/>
  <c r="G12" i="19" s="1"/>
  <c r="C12" i="20" s="1"/>
  <c r="E12" i="20" s="1"/>
  <c r="E11" i="19"/>
  <c r="G11" i="19" s="1"/>
  <c r="C11" i="20" s="1"/>
  <c r="E11" i="20" s="1"/>
  <c r="G11" i="20" s="1"/>
  <c r="C11" i="21" s="1"/>
  <c r="E11" i="21" s="1"/>
  <c r="G11" i="21" s="1"/>
  <c r="D11" i="22" s="1"/>
  <c r="F11" i="22" s="1"/>
  <c r="H11" i="22" s="1"/>
  <c r="C11" i="23" s="1"/>
  <c r="E11" i="23" s="1"/>
  <c r="G11" i="23" s="1"/>
  <c r="C11" i="24" s="1"/>
  <c r="E11" i="24" s="1"/>
  <c r="G11" i="24" s="1"/>
  <c r="C11" i="25" s="1"/>
  <c r="E11" i="25" s="1"/>
  <c r="G11" i="25" s="1"/>
  <c r="C11" i="26" s="1"/>
  <c r="E11" i="26" s="1"/>
  <c r="G11" i="26" s="1"/>
  <c r="C11" i="27" s="1"/>
  <c r="E11" i="27" s="1"/>
  <c r="G11" i="27" s="1"/>
  <c r="C11" i="28" s="1"/>
  <c r="E11" i="28" s="1"/>
  <c r="G11" i="28" s="1"/>
  <c r="C11" i="29" s="1"/>
  <c r="E11" i="29" s="1"/>
  <c r="G11" i="29" s="1"/>
  <c r="C11" i="30" s="1"/>
  <c r="E11" i="30" s="1"/>
  <c r="G11" i="30" s="1"/>
  <c r="C11" i="31" s="1"/>
  <c r="E11" i="31" s="1"/>
  <c r="G11" i="31" s="1"/>
  <c r="C11" i="32" s="1"/>
  <c r="E10" i="19"/>
  <c r="G10" i="19" s="1"/>
  <c r="C10" i="20" s="1"/>
  <c r="E10" i="20" s="1"/>
  <c r="G10" i="20" s="1"/>
  <c r="C10" i="21" s="1"/>
  <c r="E10" i="21" s="1"/>
  <c r="G10" i="21" s="1"/>
  <c r="D10" i="22" s="1"/>
  <c r="F10" i="22" s="1"/>
  <c r="H10" i="22" s="1"/>
  <c r="C10" i="23" s="1"/>
  <c r="E10" i="23" s="1"/>
  <c r="G10" i="23" s="1"/>
  <c r="C10" i="24" s="1"/>
  <c r="E10" i="24" s="1"/>
  <c r="G10" i="24" s="1"/>
  <c r="C10" i="25" s="1"/>
  <c r="E10" i="25" s="1"/>
  <c r="G10" i="25" s="1"/>
  <c r="C10" i="26" s="1"/>
  <c r="E10" i="26" s="1"/>
  <c r="G10" i="26" s="1"/>
  <c r="C10" i="27" s="1"/>
  <c r="E10" i="27" s="1"/>
  <c r="G10" i="27" s="1"/>
  <c r="C10" i="28" s="1"/>
  <c r="E10" i="28" s="1"/>
  <c r="G10" i="28" s="1"/>
  <c r="C10" i="29" s="1"/>
  <c r="E10" i="29" s="1"/>
  <c r="G10" i="29" s="1"/>
  <c r="C10" i="30" s="1"/>
  <c r="E10" i="30" s="1"/>
  <c r="G10" i="30" s="1"/>
  <c r="C10" i="31" s="1"/>
  <c r="E10" i="31" s="1"/>
  <c r="G10" i="31" s="1"/>
  <c r="C10" i="32" s="1"/>
  <c r="E10" i="32" s="1"/>
  <c r="G10" i="32" s="1"/>
  <c r="C10" i="33" s="1"/>
  <c r="E9" i="19"/>
  <c r="G9" i="19" s="1"/>
  <c r="C9" i="20" s="1"/>
  <c r="E8" i="19"/>
  <c r="G8" i="19" s="1"/>
  <c r="C8" i="20" s="1"/>
  <c r="E8" i="20" s="1"/>
  <c r="G8" i="20" s="1"/>
  <c r="C8" i="21" s="1"/>
  <c r="E8" i="21" s="1"/>
  <c r="G8" i="21" s="1"/>
  <c r="D8" i="22" s="1"/>
  <c r="F8" i="22" s="1"/>
  <c r="H8" i="22" s="1"/>
  <c r="C8" i="23" s="1"/>
  <c r="E8" i="23" s="1"/>
  <c r="G8" i="23" s="1"/>
  <c r="C8" i="24" s="1"/>
  <c r="E8" i="24" s="1"/>
  <c r="G8" i="24" s="1"/>
  <c r="C8" i="25" s="1"/>
  <c r="E8" i="25" s="1"/>
  <c r="G8" i="25" s="1"/>
  <c r="C8" i="26" s="1"/>
  <c r="E8" i="26" s="1"/>
  <c r="G8" i="26" s="1"/>
  <c r="C8" i="27" s="1"/>
  <c r="E8" i="27" s="1"/>
  <c r="G8" i="27" s="1"/>
  <c r="C8" i="28" s="1"/>
  <c r="E8" i="28" s="1"/>
  <c r="G8" i="28" s="1"/>
  <c r="C8" i="29" s="1"/>
  <c r="E8" i="29" s="1"/>
  <c r="G8" i="29" s="1"/>
  <c r="C8" i="30" s="1"/>
  <c r="E8" i="30" s="1"/>
  <c r="G8" i="30" s="1"/>
  <c r="C8" i="31" s="1"/>
  <c r="E8" i="31" s="1"/>
  <c r="G8" i="31" s="1"/>
  <c r="C8" i="32" s="1"/>
  <c r="E8" i="32" s="1"/>
  <c r="G8" i="32" s="1"/>
  <c r="C8" i="33" s="1"/>
  <c r="E8" i="33" s="1"/>
  <c r="G8" i="33" s="1"/>
  <c r="C8" i="34" s="1"/>
  <c r="E8" i="34" s="1"/>
  <c r="G8" i="34" s="1"/>
  <c r="C8" i="35" s="1"/>
  <c r="E8" i="35" s="1"/>
  <c r="G8" i="35" s="1"/>
  <c r="E7" i="19"/>
  <c r="G7" i="19" s="1"/>
  <c r="C7" i="20" s="1"/>
  <c r="E7" i="20" s="1"/>
  <c r="G7" i="20" s="1"/>
  <c r="C7" i="21" s="1"/>
  <c r="E7" i="21" s="1"/>
  <c r="G7" i="21" s="1"/>
  <c r="D7" i="22" s="1"/>
  <c r="F7" i="22" s="1"/>
  <c r="H7" i="22" s="1"/>
  <c r="C7" i="23" s="1"/>
  <c r="E7" i="23" s="1"/>
  <c r="G7" i="23" s="1"/>
  <c r="E6" i="19"/>
  <c r="G6" i="19" s="1"/>
  <c r="C6" i="20" s="1"/>
  <c r="E6" i="20" s="1"/>
  <c r="G6" i="20" s="1"/>
  <c r="C6" i="21" s="1"/>
  <c r="E6" i="21" s="1"/>
  <c r="G6" i="21" s="1"/>
  <c r="D6" i="22" s="1"/>
  <c r="F6" i="22" s="1"/>
  <c r="H6" i="22" s="1"/>
  <c r="C6" i="23" s="1"/>
  <c r="C68" i="39" l="1"/>
  <c r="C77" i="39" s="1"/>
  <c r="E77" i="39" s="1"/>
  <c r="C68" i="40" s="1"/>
  <c r="C77" i="40" s="1"/>
  <c r="E77" i="40" s="1"/>
  <c r="C68" i="41" s="1"/>
  <c r="C77" i="41" s="1"/>
  <c r="E77" i="41" s="1"/>
  <c r="C68" i="42" s="1"/>
  <c r="C77" i="42" s="1"/>
  <c r="E77" i="42" s="1"/>
  <c r="G54" i="40"/>
  <c r="C13" i="36"/>
  <c r="E13" i="36" s="1"/>
  <c r="G13" i="36" s="1"/>
  <c r="C13" i="37" s="1"/>
  <c r="C22" i="36"/>
  <c r="E22" i="36" s="1"/>
  <c r="G22" i="36" s="1"/>
  <c r="C22" i="37" s="1"/>
  <c r="E22" i="37" s="1"/>
  <c r="G22" i="37" s="1"/>
  <c r="C22" i="38" s="1"/>
  <c r="E22" i="38" s="1"/>
  <c r="G22" i="38" s="1"/>
  <c r="C22" i="39" s="1"/>
  <c r="E22" i="39" s="1"/>
  <c r="G22" i="39" s="1"/>
  <c r="C22" i="40" s="1"/>
  <c r="E22" i="40" s="1"/>
  <c r="G22" i="40" s="1"/>
  <c r="C22" i="41" s="1"/>
  <c r="E22" i="41" s="1"/>
  <c r="G22" i="41" s="1"/>
  <c r="C22" i="42" s="1"/>
  <c r="E22" i="42" s="1"/>
  <c r="G22" i="42" s="1"/>
  <c r="C22" i="43" s="1"/>
  <c r="E22" i="43" s="1"/>
  <c r="G22" i="43" s="1"/>
  <c r="C22" i="44" s="1"/>
  <c r="E22" i="44" s="1"/>
  <c r="G22" i="44" s="1"/>
  <c r="C22" i="45" s="1"/>
  <c r="E22" i="45" s="1"/>
  <c r="G22" i="45" s="1"/>
  <c r="C22" i="46" s="1"/>
  <c r="E22" i="46" s="1"/>
  <c r="G22" i="46" s="1"/>
  <c r="C22" i="47" s="1"/>
  <c r="E22" i="47" s="1"/>
  <c r="G22" i="47" s="1"/>
  <c r="C22" i="48" s="1"/>
  <c r="E22" i="48" s="1"/>
  <c r="G22" i="48" s="1"/>
  <c r="C24" i="36"/>
  <c r="E24" i="36" s="1"/>
  <c r="G24" i="36" s="1"/>
  <c r="C24" i="37" s="1"/>
  <c r="E24" i="37" s="1"/>
  <c r="G24" i="37" s="1"/>
  <c r="C24" i="38" s="1"/>
  <c r="E24" i="38" s="1"/>
  <c r="G24" i="38" s="1"/>
  <c r="C24" i="39" s="1"/>
  <c r="E24" i="39" s="1"/>
  <c r="G24" i="39" s="1"/>
  <c r="C24" i="40" s="1"/>
  <c r="E24" i="40" s="1"/>
  <c r="G24" i="40" s="1"/>
  <c r="C24" i="41" s="1"/>
  <c r="E24" i="41" s="1"/>
  <c r="G24" i="41" s="1"/>
  <c r="C24" i="42" s="1"/>
  <c r="E24" i="42" s="1"/>
  <c r="G24" i="42" s="1"/>
  <c r="C24" i="43" s="1"/>
  <c r="E24" i="43" s="1"/>
  <c r="G24" i="43" s="1"/>
  <c r="C24" i="44" s="1"/>
  <c r="E24" i="44" s="1"/>
  <c r="G24" i="44" s="1"/>
  <c r="C24" i="45" s="1"/>
  <c r="E24" i="45" s="1"/>
  <c r="G24" i="45" s="1"/>
  <c r="C24" i="46" s="1"/>
  <c r="E24" i="46" s="1"/>
  <c r="G24" i="46" s="1"/>
  <c r="C24" i="47" s="1"/>
  <c r="E24" i="47" s="1"/>
  <c r="G24" i="47" s="1"/>
  <c r="C24" i="48" s="1"/>
  <c r="E24" i="48" s="1"/>
  <c r="G24" i="48" s="1"/>
  <c r="C8" i="36"/>
  <c r="E8" i="36" s="1"/>
  <c r="G8" i="36" s="1"/>
  <c r="C8" i="37" s="1"/>
  <c r="E8" i="37" s="1"/>
  <c r="G8" i="37" s="1"/>
  <c r="C8" i="38" s="1"/>
  <c r="E8" i="38" s="1"/>
  <c r="G8" i="38" s="1"/>
  <c r="C8" i="39" s="1"/>
  <c r="E8" i="39" s="1"/>
  <c r="G8" i="39" s="1"/>
  <c r="C8" i="40" s="1"/>
  <c r="C23" i="36"/>
  <c r="E23" i="36" s="1"/>
  <c r="G23" i="36" s="1"/>
  <c r="C23" i="37" s="1"/>
  <c r="E23" i="37" s="1"/>
  <c r="G23" i="37" s="1"/>
  <c r="C23" i="38" s="1"/>
  <c r="E23" i="38" s="1"/>
  <c r="G23" i="38" s="1"/>
  <c r="C23" i="39" s="1"/>
  <c r="E23" i="39" s="1"/>
  <c r="G23" i="39" s="1"/>
  <c r="E6" i="23"/>
  <c r="I16" i="33"/>
  <c r="E10" i="33"/>
  <c r="G10" i="33" s="1"/>
  <c r="C10" i="34" s="1"/>
  <c r="E10" i="34" s="1"/>
  <c r="G10" i="34" s="1"/>
  <c r="C10" i="35" s="1"/>
  <c r="E10" i="35" s="1"/>
  <c r="G10" i="35" s="1"/>
  <c r="C21" i="28"/>
  <c r="E21" i="28" s="1"/>
  <c r="G21" i="28" s="1"/>
  <c r="C21" i="29" s="1"/>
  <c r="E21" i="29" s="1"/>
  <c r="G21" i="29" s="1"/>
  <c r="C21" i="30" s="1"/>
  <c r="E21" i="30" s="1"/>
  <c r="G21" i="30" s="1"/>
  <c r="C21" i="31" s="1"/>
  <c r="E21" i="31" s="1"/>
  <c r="G21" i="31" s="1"/>
  <c r="C21" i="32" s="1"/>
  <c r="E21" i="32" s="1"/>
  <c r="G21" i="32" s="1"/>
  <c r="G21" i="33" s="1"/>
  <c r="C21" i="34" s="1"/>
  <c r="H35" i="27"/>
  <c r="H39" i="27" s="1"/>
  <c r="G20" i="27"/>
  <c r="C20" i="28" s="1"/>
  <c r="E20" i="28" s="1"/>
  <c r="G20" i="28" s="1"/>
  <c r="C20" i="29" s="1"/>
  <c r="E20" i="29" s="1"/>
  <c r="G20" i="29" s="1"/>
  <c r="C20" i="30" s="1"/>
  <c r="E20" i="30" s="1"/>
  <c r="G20" i="30" s="1"/>
  <c r="C20" i="31" s="1"/>
  <c r="E20" i="31" s="1"/>
  <c r="G20" i="31" s="1"/>
  <c r="C20" i="32" s="1"/>
  <c r="E20" i="32" s="1"/>
  <c r="G20" i="32" s="1"/>
  <c r="C20" i="33" s="1"/>
  <c r="E20" i="33" s="1"/>
  <c r="G20" i="33" s="1"/>
  <c r="C20" i="34" s="1"/>
  <c r="E20" i="34" s="1"/>
  <c r="G20" i="34" s="1"/>
  <c r="C20" i="35" s="1"/>
  <c r="E20" i="35" s="1"/>
  <c r="G20" i="35" s="1"/>
  <c r="D35" i="27"/>
  <c r="D39" i="27" s="1"/>
  <c r="K27" i="27"/>
  <c r="C25" i="28"/>
  <c r="E25" i="28" s="1"/>
  <c r="G25" i="28" s="1"/>
  <c r="C25" i="29" s="1"/>
  <c r="E25" i="29" s="1"/>
  <c r="G25" i="29" s="1"/>
  <c r="C25" i="30" s="1"/>
  <c r="E25" i="30" s="1"/>
  <c r="G25" i="30" s="1"/>
  <c r="C25" i="31" s="1"/>
  <c r="E25" i="31" s="1"/>
  <c r="G25" i="31" s="1"/>
  <c r="C25" i="32" s="1"/>
  <c r="E25" i="32" s="1"/>
  <c r="G25" i="32" s="1"/>
  <c r="C25" i="33" s="1"/>
  <c r="E25" i="33" s="1"/>
  <c r="G25" i="33" s="1"/>
  <c r="C25" i="34" s="1"/>
  <c r="E25" i="34" s="1"/>
  <c r="G25" i="34" s="1"/>
  <c r="C25" i="35" s="1"/>
  <c r="E25" i="35" s="1"/>
  <c r="G25" i="35" s="1"/>
  <c r="E59" i="20"/>
  <c r="G47" i="20"/>
  <c r="E49" i="25"/>
  <c r="C61" i="25"/>
  <c r="C7" i="24"/>
  <c r="E7" i="24" s="1"/>
  <c r="G7" i="24" s="1"/>
  <c r="C7" i="25" s="1"/>
  <c r="E7" i="25" s="1"/>
  <c r="G7" i="25" s="1"/>
  <c r="C7" i="26" s="1"/>
  <c r="E7" i="26" s="1"/>
  <c r="G7" i="26" s="1"/>
  <c r="C7" i="27" s="1"/>
  <c r="E7" i="27" s="1"/>
  <c r="G7" i="27" s="1"/>
  <c r="C7" i="28" s="1"/>
  <c r="E7" i="28" s="1"/>
  <c r="G7" i="28" s="1"/>
  <c r="C7" i="29" s="1"/>
  <c r="E7" i="29" s="1"/>
  <c r="G7" i="29" s="1"/>
  <c r="C7" i="30" s="1"/>
  <c r="E7" i="30" s="1"/>
  <c r="G7" i="30" s="1"/>
  <c r="C7" i="31" s="1"/>
  <c r="E7" i="31" s="1"/>
  <c r="G7" i="31" s="1"/>
  <c r="C7" i="32" s="1"/>
  <c r="E7" i="32" s="1"/>
  <c r="G7" i="32" s="1"/>
  <c r="C7" i="33" s="1"/>
  <c r="E7" i="33" s="1"/>
  <c r="G7" i="33" s="1"/>
  <c r="C7" i="34" s="1"/>
  <c r="E7" i="34" s="1"/>
  <c r="I13" i="32"/>
  <c r="E11" i="32"/>
  <c r="G11" i="32" s="1"/>
  <c r="J12" i="32"/>
  <c r="J13" i="32" s="1"/>
  <c r="D48" i="22"/>
  <c r="F48" i="22" s="1"/>
  <c r="H48" i="22" s="1"/>
  <c r="C48" i="23" s="1"/>
  <c r="E48" i="23" s="1"/>
  <c r="G48" i="23" s="1"/>
  <c r="C48" i="24" s="1"/>
  <c r="E48" i="24" s="1"/>
  <c r="G48" i="24" s="1"/>
  <c r="G50" i="28"/>
  <c r="E62" i="28"/>
  <c r="G62" i="28"/>
  <c r="E56" i="36"/>
  <c r="C63" i="36"/>
  <c r="G12" i="20"/>
  <c r="E26" i="20"/>
  <c r="G59" i="19"/>
  <c r="C59" i="20" s="1"/>
  <c r="G26" i="19"/>
  <c r="E26" i="19"/>
  <c r="D65" i="19"/>
  <c r="H65" i="19" s="1"/>
  <c r="D32" i="19"/>
  <c r="H32" i="19" s="1"/>
  <c r="E59" i="19"/>
  <c r="D40" i="17"/>
  <c r="E8" i="40" l="1"/>
  <c r="G8" i="40" s="1"/>
  <c r="C54" i="41"/>
  <c r="E54" i="41" s="1"/>
  <c r="C68" i="43"/>
  <c r="C77" i="43" s="1"/>
  <c r="E77" i="43" s="1"/>
  <c r="C68" i="44" s="1"/>
  <c r="C77" i="44" s="1"/>
  <c r="E77" i="44" s="1"/>
  <c r="C68" i="45" s="1"/>
  <c r="C77" i="45" s="1"/>
  <c r="E77" i="45" s="1"/>
  <c r="C68" i="46" s="1"/>
  <c r="C77" i="46" s="1"/>
  <c r="E77" i="46" s="1"/>
  <c r="C68" i="47" s="1"/>
  <c r="C77" i="47" s="1"/>
  <c r="E77" i="47" s="1"/>
  <c r="C68" i="48" s="1"/>
  <c r="C77" i="48" s="1"/>
  <c r="E77" i="48" s="1"/>
  <c r="E13" i="37"/>
  <c r="G13" i="37" s="1"/>
  <c r="C13" i="38" s="1"/>
  <c r="E13" i="38" s="1"/>
  <c r="G13" i="38" s="1"/>
  <c r="C13" i="39" s="1"/>
  <c r="E13" i="39" s="1"/>
  <c r="G13" i="39" s="1"/>
  <c r="C13" i="40" s="1"/>
  <c r="E13" i="40" s="1"/>
  <c r="G13" i="40" s="1"/>
  <c r="C13" i="41" s="1"/>
  <c r="E13" i="41" s="1"/>
  <c r="G13" i="41" s="1"/>
  <c r="C13" i="42" s="1"/>
  <c r="E13" i="42" s="1"/>
  <c r="G13" i="42" s="1"/>
  <c r="C13" i="43" s="1"/>
  <c r="E13" i="43" s="1"/>
  <c r="G13" i="43" s="1"/>
  <c r="C20" i="36"/>
  <c r="E20" i="36" s="1"/>
  <c r="G20" i="36" s="1"/>
  <c r="C20" i="37" s="1"/>
  <c r="E20" i="37" s="1"/>
  <c r="G20" i="37" s="1"/>
  <c r="C20" i="38" s="1"/>
  <c r="E20" i="38" s="1"/>
  <c r="G20" i="38" s="1"/>
  <c r="C20" i="39" s="1"/>
  <c r="E20" i="39" s="1"/>
  <c r="G20" i="39" s="1"/>
  <c r="C20" i="40" s="1"/>
  <c r="E20" i="40" s="1"/>
  <c r="G20" i="40" s="1"/>
  <c r="C20" i="41" s="1"/>
  <c r="E20" i="41" s="1"/>
  <c r="G20" i="41" s="1"/>
  <c r="C20" i="42" s="1"/>
  <c r="E20" i="42" s="1"/>
  <c r="G20" i="42" s="1"/>
  <c r="C20" i="43" s="1"/>
  <c r="E20" i="43" s="1"/>
  <c r="G20" i="43" s="1"/>
  <c r="C20" i="44" s="1"/>
  <c r="E20" i="44" s="1"/>
  <c r="G20" i="44" s="1"/>
  <c r="C20" i="45" s="1"/>
  <c r="E20" i="45" s="1"/>
  <c r="G20" i="45" s="1"/>
  <c r="C20" i="46" s="1"/>
  <c r="E20" i="46" s="1"/>
  <c r="G20" i="46" s="1"/>
  <c r="C20" i="47" s="1"/>
  <c r="E20" i="47" s="1"/>
  <c r="G20" i="47" s="1"/>
  <c r="C20" i="48" s="1"/>
  <c r="E20" i="48" s="1"/>
  <c r="G20" i="48" s="1"/>
  <c r="C10" i="36"/>
  <c r="E10" i="36" s="1"/>
  <c r="G10" i="36" s="1"/>
  <c r="C10" i="37" s="1"/>
  <c r="E10" i="37" s="1"/>
  <c r="G10" i="37" s="1"/>
  <c r="C10" i="38" s="1"/>
  <c r="E10" i="38" s="1"/>
  <c r="G10" i="38" s="1"/>
  <c r="C10" i="39" s="1"/>
  <c r="E10" i="39" s="1"/>
  <c r="G10" i="39" s="1"/>
  <c r="C10" i="40" s="1"/>
  <c r="E10" i="40" s="1"/>
  <c r="G10" i="40" s="1"/>
  <c r="C10" i="41" s="1"/>
  <c r="E10" i="41" s="1"/>
  <c r="G10" i="41" s="1"/>
  <c r="C10" i="42" s="1"/>
  <c r="E10" i="42" s="1"/>
  <c r="G10" i="42" s="1"/>
  <c r="C10" i="43" s="1"/>
  <c r="E10" i="43" s="1"/>
  <c r="G10" i="43" s="1"/>
  <c r="C10" i="44" s="1"/>
  <c r="E10" i="44" s="1"/>
  <c r="G10" i="44" s="1"/>
  <c r="C10" i="45" s="1"/>
  <c r="E10" i="45" s="1"/>
  <c r="G10" i="45" s="1"/>
  <c r="C10" i="46" s="1"/>
  <c r="E10" i="46" s="1"/>
  <c r="G10" i="46" s="1"/>
  <c r="C10" i="47" s="1"/>
  <c r="E10" i="47" s="1"/>
  <c r="G10" i="47" s="1"/>
  <c r="C10" i="48" s="1"/>
  <c r="E10" i="48" s="1"/>
  <c r="G10" i="48" s="1"/>
  <c r="G7" i="34"/>
  <c r="G49" i="25"/>
  <c r="E61" i="25"/>
  <c r="G56" i="36"/>
  <c r="E63" i="36"/>
  <c r="G59" i="20"/>
  <c r="C59" i="21" s="1"/>
  <c r="C47" i="21"/>
  <c r="E47" i="21" s="1"/>
  <c r="C25" i="36"/>
  <c r="E25" i="36" s="1"/>
  <c r="G25" i="36" s="1"/>
  <c r="C25" i="37" s="1"/>
  <c r="E25" i="37" s="1"/>
  <c r="G25" i="37" s="1"/>
  <c r="C25" i="38" s="1"/>
  <c r="E25" i="38" s="1"/>
  <c r="G25" i="38" s="1"/>
  <c r="C25" i="39" s="1"/>
  <c r="E25" i="39" s="1"/>
  <c r="G25" i="39" s="1"/>
  <c r="C25" i="40" s="1"/>
  <c r="E25" i="40" s="1"/>
  <c r="G25" i="40" s="1"/>
  <c r="C25" i="41" s="1"/>
  <c r="E25" i="41" s="1"/>
  <c r="G25" i="41" s="1"/>
  <c r="C25" i="42" s="1"/>
  <c r="E25" i="42" s="1"/>
  <c r="G25" i="42" s="1"/>
  <c r="C25" i="43" s="1"/>
  <c r="E25" i="43" s="1"/>
  <c r="G25" i="43" s="1"/>
  <c r="C25" i="44" s="1"/>
  <c r="E25" i="44" s="1"/>
  <c r="G25" i="44" s="1"/>
  <c r="G6" i="23"/>
  <c r="C26" i="20"/>
  <c r="G26" i="20"/>
  <c r="C12" i="21"/>
  <c r="E12" i="21" s="1"/>
  <c r="D84" i="17"/>
  <c r="C25" i="45" l="1"/>
  <c r="E25" i="45" s="1"/>
  <c r="G25" i="45" s="1"/>
  <c r="C25" i="46" s="1"/>
  <c r="E25" i="46" s="1"/>
  <c r="G25" i="46" s="1"/>
  <c r="C25" i="47" s="1"/>
  <c r="E25" i="47" s="1"/>
  <c r="G25" i="47" s="1"/>
  <c r="C25" i="48" s="1"/>
  <c r="E25" i="48" s="1"/>
  <c r="G25" i="48" s="1"/>
  <c r="G63" i="36"/>
  <c r="C56" i="37"/>
  <c r="C8" i="41"/>
  <c r="E8" i="41" s="1"/>
  <c r="G8" i="41" s="1"/>
  <c r="G54" i="41"/>
  <c r="E59" i="21"/>
  <c r="G47" i="21"/>
  <c r="C6" i="24"/>
  <c r="C49" i="26"/>
  <c r="G61" i="25"/>
  <c r="C7" i="35"/>
  <c r="E7" i="35" s="1"/>
  <c r="C26" i="21"/>
  <c r="G12" i="21"/>
  <c r="E26" i="21"/>
  <c r="H84" i="18"/>
  <c r="D84" i="18"/>
  <c r="F72" i="18"/>
  <c r="G76" i="18" s="1"/>
  <c r="D72" i="18"/>
  <c r="C76" i="18" s="1"/>
  <c r="C72" i="18"/>
  <c r="E69" i="18"/>
  <c r="G69" i="18" s="1"/>
  <c r="E68" i="18"/>
  <c r="G68" i="18" s="1"/>
  <c r="E67" i="18"/>
  <c r="G67" i="18" s="1"/>
  <c r="E66" i="18"/>
  <c r="G66" i="18" s="1"/>
  <c r="E65" i="18"/>
  <c r="G65" i="18" s="1"/>
  <c r="E64" i="18"/>
  <c r="G64" i="18" s="1"/>
  <c r="E63" i="18"/>
  <c r="G63" i="18" s="1"/>
  <c r="E62" i="18"/>
  <c r="G62" i="18" s="1"/>
  <c r="E61" i="18"/>
  <c r="G61" i="18" s="1"/>
  <c r="E60" i="18"/>
  <c r="H40" i="18"/>
  <c r="D40" i="18"/>
  <c r="F26" i="18"/>
  <c r="G32" i="18" s="1"/>
  <c r="D26" i="18"/>
  <c r="C32" i="18" s="1"/>
  <c r="E25" i="18"/>
  <c r="G25" i="18" s="1"/>
  <c r="E24" i="18"/>
  <c r="G24" i="18" s="1"/>
  <c r="E23" i="18"/>
  <c r="G23" i="18" s="1"/>
  <c r="E22" i="18"/>
  <c r="G22" i="18" s="1"/>
  <c r="E21" i="18"/>
  <c r="G21" i="18" s="1"/>
  <c r="E20" i="18"/>
  <c r="G20" i="18" s="1"/>
  <c r="E19" i="18"/>
  <c r="G19" i="18" s="1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G6" i="18" s="1"/>
  <c r="C63" i="37" l="1"/>
  <c r="E56" i="37"/>
  <c r="C54" i="42"/>
  <c r="E54" i="42" s="1"/>
  <c r="C8" i="42"/>
  <c r="E8" i="42" s="1"/>
  <c r="G8" i="42" s="1"/>
  <c r="G59" i="21"/>
  <c r="D59" i="22" s="1"/>
  <c r="D47" i="22"/>
  <c r="F47" i="22" s="1"/>
  <c r="G7" i="35"/>
  <c r="C61" i="26"/>
  <c r="E49" i="26"/>
  <c r="E6" i="24"/>
  <c r="G26" i="21"/>
  <c r="D26" i="22" s="1"/>
  <c r="D12" i="22"/>
  <c r="F12" i="22" s="1"/>
  <c r="F94" i="18"/>
  <c r="E72" i="18"/>
  <c r="G26" i="18"/>
  <c r="D78" i="18"/>
  <c r="H78" i="18" s="1"/>
  <c r="D34" i="18"/>
  <c r="H34" i="18" s="1"/>
  <c r="E26" i="18"/>
  <c r="G60" i="18"/>
  <c r="G72" i="18" s="1"/>
  <c r="L70" i="17"/>
  <c r="G56" i="37" l="1"/>
  <c r="E63" i="37"/>
  <c r="C8" i="43"/>
  <c r="G54" i="42"/>
  <c r="E61" i="26"/>
  <c r="G49" i="26"/>
  <c r="H47" i="22"/>
  <c r="F59" i="22"/>
  <c r="G6" i="24"/>
  <c r="C7" i="36"/>
  <c r="H12" i="22"/>
  <c r="F26" i="22"/>
  <c r="H40" i="17"/>
  <c r="F94" i="17"/>
  <c r="H84" i="17"/>
  <c r="F72" i="17"/>
  <c r="G76" i="17" s="1"/>
  <c r="D72" i="17"/>
  <c r="C76" i="17" s="1"/>
  <c r="C72" i="17"/>
  <c r="E69" i="17"/>
  <c r="G69" i="17" s="1"/>
  <c r="E68" i="17"/>
  <c r="G68" i="17" s="1"/>
  <c r="E67" i="17"/>
  <c r="G67" i="17" s="1"/>
  <c r="E66" i="17"/>
  <c r="G66" i="17" s="1"/>
  <c r="E65" i="17"/>
  <c r="G65" i="17" s="1"/>
  <c r="E64" i="17"/>
  <c r="G64" i="17" s="1"/>
  <c r="E63" i="17"/>
  <c r="G63" i="17" s="1"/>
  <c r="E62" i="17"/>
  <c r="G62" i="17" s="1"/>
  <c r="E61" i="17"/>
  <c r="G61" i="17" s="1"/>
  <c r="E60" i="17"/>
  <c r="G60" i="17" s="1"/>
  <c r="F26" i="17"/>
  <c r="G32" i="17" s="1"/>
  <c r="D26" i="17"/>
  <c r="C32" i="17" s="1"/>
  <c r="E25" i="17"/>
  <c r="G25" i="17" s="1"/>
  <c r="E24" i="17"/>
  <c r="G24" i="17" s="1"/>
  <c r="E23" i="17"/>
  <c r="G23" i="17" s="1"/>
  <c r="E22" i="17"/>
  <c r="G22" i="17" s="1"/>
  <c r="E21" i="17"/>
  <c r="G21" i="17" s="1"/>
  <c r="E20" i="17"/>
  <c r="G20" i="17" s="1"/>
  <c r="E19" i="17"/>
  <c r="G19" i="17" s="1"/>
  <c r="E18" i="17"/>
  <c r="G18" i="17" s="1"/>
  <c r="E17" i="17"/>
  <c r="G17" i="17" s="1"/>
  <c r="E16" i="17"/>
  <c r="G16" i="17" s="1"/>
  <c r="E15" i="17"/>
  <c r="G15" i="17" s="1"/>
  <c r="E14" i="17"/>
  <c r="G14" i="17" s="1"/>
  <c r="E13" i="17"/>
  <c r="G13" i="17" s="1"/>
  <c r="E12" i="17"/>
  <c r="G12" i="17" s="1"/>
  <c r="E11" i="17"/>
  <c r="G11" i="17" s="1"/>
  <c r="E10" i="17"/>
  <c r="G10" i="17" s="1"/>
  <c r="E9" i="17"/>
  <c r="G9" i="17" s="1"/>
  <c r="E8" i="17"/>
  <c r="G8" i="17" s="1"/>
  <c r="E7" i="17"/>
  <c r="G7" i="17" s="1"/>
  <c r="E6" i="17"/>
  <c r="G6" i="17" s="1"/>
  <c r="C54" i="43" l="1"/>
  <c r="E8" i="43"/>
  <c r="G8" i="43" s="1"/>
  <c r="G63" i="37"/>
  <c r="C56" i="38"/>
  <c r="G61" i="26"/>
  <c r="C49" i="27"/>
  <c r="H26" i="22"/>
  <c r="C12" i="23"/>
  <c r="E7" i="36"/>
  <c r="C6" i="25"/>
  <c r="H59" i="22"/>
  <c r="C59" i="23" s="1"/>
  <c r="C47" i="23"/>
  <c r="E47" i="23" s="1"/>
  <c r="E26" i="17"/>
  <c r="G26" i="17"/>
  <c r="D78" i="17"/>
  <c r="H78" i="17" s="1"/>
  <c r="D34" i="17"/>
  <c r="H34" i="17" s="1"/>
  <c r="G72" i="17"/>
  <c r="E72" i="17"/>
  <c r="H84" i="16"/>
  <c r="E56" i="38" l="1"/>
  <c r="C63" i="38"/>
  <c r="C8" i="44"/>
  <c r="E8" i="44" s="1"/>
  <c r="G8" i="44" s="1"/>
  <c r="E54" i="43"/>
  <c r="G47" i="23"/>
  <c r="E59" i="23"/>
  <c r="E12" i="23"/>
  <c r="C26" i="23"/>
  <c r="C61" i="27"/>
  <c r="E49" i="27"/>
  <c r="E6" i="25"/>
  <c r="G7" i="36"/>
  <c r="C7" i="37" s="1"/>
  <c r="H40" i="16"/>
  <c r="D40" i="16"/>
  <c r="E7" i="37" l="1"/>
  <c r="G7" i="37" s="1"/>
  <c r="C7" i="38" s="1"/>
  <c r="E7" i="38" s="1"/>
  <c r="G54" i="43"/>
  <c r="C8" i="45"/>
  <c r="G56" i="38"/>
  <c r="E63" i="38"/>
  <c r="E61" i="27"/>
  <c r="G49" i="27"/>
  <c r="G61" i="27" s="1"/>
  <c r="C62" i="28" s="1"/>
  <c r="G6" i="25"/>
  <c r="G12" i="23"/>
  <c r="E26" i="23"/>
  <c r="C47" i="24"/>
  <c r="G59" i="23"/>
  <c r="C72" i="16"/>
  <c r="F72" i="16"/>
  <c r="G76" i="16" s="1"/>
  <c r="D72" i="16"/>
  <c r="C76" i="16" s="1"/>
  <c r="E61" i="16"/>
  <c r="G61" i="16" s="1"/>
  <c r="E62" i="16"/>
  <c r="G62" i="16" s="1"/>
  <c r="E63" i="16"/>
  <c r="G63" i="16" s="1"/>
  <c r="E64" i="16"/>
  <c r="G64" i="16" s="1"/>
  <c r="E65" i="16"/>
  <c r="G65" i="16" s="1"/>
  <c r="E66" i="16"/>
  <c r="G66" i="16" s="1"/>
  <c r="E67" i="16"/>
  <c r="G67" i="16" s="1"/>
  <c r="E68" i="16"/>
  <c r="G68" i="16" s="1"/>
  <c r="E69" i="16"/>
  <c r="G69" i="16" s="1"/>
  <c r="E60" i="16"/>
  <c r="G60" i="16" s="1"/>
  <c r="G7" i="38" l="1"/>
  <c r="C56" i="39"/>
  <c r="G63" i="38"/>
  <c r="E8" i="45"/>
  <c r="C54" i="44"/>
  <c r="E54" i="44" s="1"/>
  <c r="E47" i="24"/>
  <c r="C59" i="24"/>
  <c r="C12" i="24"/>
  <c r="G26" i="23"/>
  <c r="C6" i="26"/>
  <c r="G72" i="16"/>
  <c r="E72" i="16"/>
  <c r="D84" i="16"/>
  <c r="F26" i="16"/>
  <c r="D26" i="16"/>
  <c r="E25" i="16"/>
  <c r="G25" i="16" s="1"/>
  <c r="E24" i="16"/>
  <c r="G24" i="16" s="1"/>
  <c r="E23" i="16"/>
  <c r="G23" i="16" s="1"/>
  <c r="E22" i="16"/>
  <c r="G22" i="16" s="1"/>
  <c r="E21" i="16"/>
  <c r="G21" i="16" s="1"/>
  <c r="E20" i="16"/>
  <c r="G20" i="16" s="1"/>
  <c r="E19" i="16"/>
  <c r="G19" i="16" s="1"/>
  <c r="E18" i="16"/>
  <c r="G18" i="16" s="1"/>
  <c r="E17" i="16"/>
  <c r="G17" i="16" s="1"/>
  <c r="E16" i="16"/>
  <c r="G16" i="16" s="1"/>
  <c r="E15" i="16"/>
  <c r="G15" i="16" s="1"/>
  <c r="E14" i="16"/>
  <c r="G14" i="16" s="1"/>
  <c r="E13" i="16"/>
  <c r="G13" i="16" s="1"/>
  <c r="E12" i="16"/>
  <c r="G12" i="16" s="1"/>
  <c r="E11" i="16"/>
  <c r="G11" i="16" s="1"/>
  <c r="E10" i="16"/>
  <c r="G10" i="16" s="1"/>
  <c r="E9" i="16"/>
  <c r="G9" i="16" s="1"/>
  <c r="E8" i="16"/>
  <c r="G8" i="16" s="1"/>
  <c r="E7" i="16"/>
  <c r="G7" i="16" s="1"/>
  <c r="E6" i="16"/>
  <c r="G6" i="16" s="1"/>
  <c r="G54" i="44" l="1"/>
  <c r="G8" i="45"/>
  <c r="E56" i="39"/>
  <c r="C63" i="39"/>
  <c r="C7" i="39"/>
  <c r="G26" i="16"/>
  <c r="E6" i="26"/>
  <c r="E12" i="24"/>
  <c r="C26" i="24"/>
  <c r="G47" i="24"/>
  <c r="G59" i="24" s="1"/>
  <c r="E59" i="24"/>
  <c r="G32" i="16"/>
  <c r="C32" i="16"/>
  <c r="E26" i="16"/>
  <c r="D78" i="16"/>
  <c r="H78" i="16" s="1"/>
  <c r="H37" i="15"/>
  <c r="D37" i="15"/>
  <c r="F25" i="15"/>
  <c r="G29" i="15" s="1"/>
  <c r="D25" i="15"/>
  <c r="C29" i="15" s="1"/>
  <c r="E24" i="15"/>
  <c r="G24" i="15" s="1"/>
  <c r="E23" i="15"/>
  <c r="G23" i="15" s="1"/>
  <c r="E22" i="15"/>
  <c r="G22" i="15" s="1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E7" i="39" l="1"/>
  <c r="G56" i="39"/>
  <c r="E63" i="39"/>
  <c r="C8" i="46"/>
  <c r="E8" i="46" s="1"/>
  <c r="C54" i="45"/>
  <c r="G12" i="24"/>
  <c r="E26" i="24"/>
  <c r="G6" i="26"/>
  <c r="G84" i="16"/>
  <c r="I84" i="16" s="1"/>
  <c r="G77" i="17" s="1"/>
  <c r="G84" i="17" s="1"/>
  <c r="I84" i="17" s="1"/>
  <c r="G77" i="18" s="1"/>
  <c r="G84" i="18" s="1"/>
  <c r="I84" i="18" s="1"/>
  <c r="G64" i="19" s="1"/>
  <c r="G69" i="19" s="1"/>
  <c r="I69" i="19" s="1"/>
  <c r="G64" i="20" s="1"/>
  <c r="G69" i="20" s="1"/>
  <c r="I69" i="20" s="1"/>
  <c r="G64" i="21" s="1"/>
  <c r="G69" i="21" s="1"/>
  <c r="I69" i="21" s="1"/>
  <c r="H64" i="22" s="1"/>
  <c r="D34" i="16"/>
  <c r="H34" i="16" s="1"/>
  <c r="E25" i="15"/>
  <c r="D31" i="15"/>
  <c r="H31" i="15" s="1"/>
  <c r="G5" i="15"/>
  <c r="G25" i="15" s="1"/>
  <c r="E54" i="45" l="1"/>
  <c r="G8" i="46"/>
  <c r="C8" i="47" s="1"/>
  <c r="C56" i="40"/>
  <c r="G63" i="39"/>
  <c r="G7" i="39"/>
  <c r="H69" i="22"/>
  <c r="J69" i="22" s="1"/>
  <c r="G64" i="23" s="1"/>
  <c r="G69" i="23" s="1"/>
  <c r="I69" i="23" s="1"/>
  <c r="G64" i="24" s="1"/>
  <c r="G69" i="24" s="1"/>
  <c r="I69" i="24" s="1"/>
  <c r="G66" i="25" s="1"/>
  <c r="G71" i="25" s="1"/>
  <c r="I71" i="25" s="1"/>
  <c r="G66" i="26" s="1"/>
  <c r="G71" i="26" s="1"/>
  <c r="I71" i="26" s="1"/>
  <c r="G66" i="27" s="1"/>
  <c r="G71" i="27" s="1"/>
  <c r="I71" i="27" s="1"/>
  <c r="C6" i="27"/>
  <c r="C12" i="25"/>
  <c r="G26" i="24"/>
  <c r="E8" i="47" l="1"/>
  <c r="E56" i="40"/>
  <c r="C63" i="40"/>
  <c r="G54" i="45"/>
  <c r="C54" i="46" s="1"/>
  <c r="E54" i="46" s="1"/>
  <c r="E12" i="25"/>
  <c r="C26" i="25"/>
  <c r="E6" i="27"/>
  <c r="H37" i="14"/>
  <c r="D37" i="14"/>
  <c r="G8" i="47" l="1"/>
  <c r="C8" i="48" s="1"/>
  <c r="G56" i="40"/>
  <c r="E63" i="40"/>
  <c r="G54" i="46"/>
  <c r="C54" i="47" s="1"/>
  <c r="G6" i="27"/>
  <c r="G12" i="25"/>
  <c r="E26" i="25"/>
  <c r="F25" i="14"/>
  <c r="G29" i="14" s="1"/>
  <c r="D25" i="14"/>
  <c r="C29" i="14" s="1"/>
  <c r="E24" i="14"/>
  <c r="G24" i="14" s="1"/>
  <c r="E23" i="14"/>
  <c r="G23" i="14" s="1"/>
  <c r="E22" i="14"/>
  <c r="G22" i="14" s="1"/>
  <c r="E21" i="14"/>
  <c r="G21" i="14" s="1"/>
  <c r="E20" i="14"/>
  <c r="G20" i="14" s="1"/>
  <c r="E19" i="14"/>
  <c r="G19" i="14" s="1"/>
  <c r="E18" i="14"/>
  <c r="G18" i="14" s="1"/>
  <c r="E17" i="14"/>
  <c r="G17" i="14" s="1"/>
  <c r="E16" i="14"/>
  <c r="G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E5" i="14"/>
  <c r="E8" i="48" l="1"/>
  <c r="E54" i="47"/>
  <c r="C56" i="41"/>
  <c r="E56" i="41" s="1"/>
  <c r="G63" i="40"/>
  <c r="C63" i="41" s="1"/>
  <c r="C12" i="26"/>
  <c r="G26" i="25"/>
  <c r="C6" i="28"/>
  <c r="E25" i="14"/>
  <c r="D31" i="14"/>
  <c r="H31" i="14" s="1"/>
  <c r="G5" i="14"/>
  <c r="G25" i="14" s="1"/>
  <c r="E23" i="13"/>
  <c r="G23" i="13" s="1"/>
  <c r="D37" i="13"/>
  <c r="G8" i="48" l="1"/>
  <c r="G54" i="47"/>
  <c r="C54" i="48" s="1"/>
  <c r="G56" i="41"/>
  <c r="E63" i="41"/>
  <c r="E6" i="28"/>
  <c r="E12" i="26"/>
  <c r="C26" i="26"/>
  <c r="E19" i="13"/>
  <c r="G19" i="13" s="1"/>
  <c r="F25" i="13"/>
  <c r="E54" i="48" l="1"/>
  <c r="C56" i="42"/>
  <c r="E56" i="42" s="1"/>
  <c r="G63" i="41"/>
  <c r="C63" i="42" s="1"/>
  <c r="G12" i="26"/>
  <c r="E26" i="26"/>
  <c r="G6" i="28"/>
  <c r="E22" i="13"/>
  <c r="G22" i="13" s="1"/>
  <c r="G54" i="48" l="1"/>
  <c r="G56" i="42"/>
  <c r="E63" i="42"/>
  <c r="C6" i="29"/>
  <c r="C12" i="27"/>
  <c r="G26" i="26"/>
  <c r="D37" i="12"/>
  <c r="H37" i="12"/>
  <c r="H37" i="13"/>
  <c r="G29" i="13"/>
  <c r="D25" i="13"/>
  <c r="C29" i="13" s="1"/>
  <c r="E24" i="13"/>
  <c r="G24" i="13" s="1"/>
  <c r="E21" i="13"/>
  <c r="G21" i="13" s="1"/>
  <c r="E20" i="13"/>
  <c r="G20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C56" i="43" l="1"/>
  <c r="G63" i="42"/>
  <c r="E25" i="13"/>
  <c r="G5" i="13"/>
  <c r="E6" i="29"/>
  <c r="E12" i="27"/>
  <c r="C26" i="27"/>
  <c r="G25" i="13"/>
  <c r="D31" i="13"/>
  <c r="H31" i="13" s="1"/>
  <c r="D25" i="12"/>
  <c r="F25" i="12"/>
  <c r="E56" i="43" l="1"/>
  <c r="C63" i="43"/>
  <c r="G12" i="27"/>
  <c r="E26" i="27"/>
  <c r="G6" i="29"/>
  <c r="D34" i="11"/>
  <c r="H34" i="11" s="1"/>
  <c r="G56" i="43" l="1"/>
  <c r="E63" i="43"/>
  <c r="C6" i="30"/>
  <c r="C12" i="28"/>
  <c r="G26" i="27"/>
  <c r="E16" i="12"/>
  <c r="G16" i="12" s="1"/>
  <c r="C56" i="44" l="1"/>
  <c r="E56" i="44" s="1"/>
  <c r="G63" i="43"/>
  <c r="C63" i="44" s="1"/>
  <c r="E12" i="28"/>
  <c r="C26" i="28"/>
  <c r="E6" i="30"/>
  <c r="E15" i="12"/>
  <c r="G15" i="12" s="1"/>
  <c r="G56" i="44" l="1"/>
  <c r="E63" i="44"/>
  <c r="G6" i="30"/>
  <c r="G12" i="28"/>
  <c r="E26" i="28"/>
  <c r="G29" i="12"/>
  <c r="C29" i="12"/>
  <c r="E24" i="12"/>
  <c r="G24" i="12" s="1"/>
  <c r="E23" i="12"/>
  <c r="G23" i="12" s="1"/>
  <c r="E22" i="12"/>
  <c r="G22" i="12" s="1"/>
  <c r="E21" i="12"/>
  <c r="G21" i="12" s="1"/>
  <c r="E20" i="12"/>
  <c r="G20" i="12" s="1"/>
  <c r="E19" i="12"/>
  <c r="G19" i="12" s="1"/>
  <c r="E18" i="12"/>
  <c r="G18" i="12" s="1"/>
  <c r="E17" i="12"/>
  <c r="G17" i="12" s="1"/>
  <c r="E7" i="12"/>
  <c r="G7" i="12" s="1"/>
  <c r="E13" i="12"/>
  <c r="G13" i="12" s="1"/>
  <c r="E14" i="12"/>
  <c r="G14" i="12" s="1"/>
  <c r="E12" i="12"/>
  <c r="G12" i="12" s="1"/>
  <c r="E11" i="12"/>
  <c r="G11" i="12" s="1"/>
  <c r="E10" i="12"/>
  <c r="G10" i="12" s="1"/>
  <c r="E9" i="12"/>
  <c r="G9" i="12" s="1"/>
  <c r="E8" i="12"/>
  <c r="G8" i="12" s="1"/>
  <c r="E6" i="12"/>
  <c r="G6" i="12" s="1"/>
  <c r="E5" i="12"/>
  <c r="C56" i="45" l="1"/>
  <c r="G63" i="44"/>
  <c r="E25" i="12"/>
  <c r="C12" i="29"/>
  <c r="G26" i="28"/>
  <c r="C6" i="31"/>
  <c r="G5" i="12"/>
  <c r="G25" i="12" s="1"/>
  <c r="D31" i="12"/>
  <c r="E56" i="45" l="1"/>
  <c r="C63" i="45"/>
  <c r="E6" i="31"/>
  <c r="E12" i="29"/>
  <c r="C26" i="29"/>
  <c r="H31" i="12"/>
  <c r="G56" i="45" l="1"/>
  <c r="E63" i="45"/>
  <c r="G6" i="31"/>
  <c r="G12" i="29"/>
  <c r="E26" i="29"/>
  <c r="E15" i="11"/>
  <c r="G15" i="11" s="1"/>
  <c r="G63" i="45" l="1"/>
  <c r="C63" i="46" s="1"/>
  <c r="C56" i="46"/>
  <c r="E56" i="46" s="1"/>
  <c r="C12" i="30"/>
  <c r="G26" i="29"/>
  <c r="C6" i="32"/>
  <c r="E23" i="11"/>
  <c r="G23" i="11" s="1"/>
  <c r="G56" i="46" l="1"/>
  <c r="E63" i="46"/>
  <c r="E6" i="32"/>
  <c r="E12" i="30"/>
  <c r="C26" i="30"/>
  <c r="F25" i="11"/>
  <c r="G29" i="11" s="1"/>
  <c r="D25" i="11"/>
  <c r="C29" i="11" s="1"/>
  <c r="C25" i="11"/>
  <c r="E24" i="11"/>
  <c r="G24" i="11" s="1"/>
  <c r="E22" i="11"/>
  <c r="G22" i="11" s="1"/>
  <c r="E21" i="11"/>
  <c r="G21" i="11" s="1"/>
  <c r="E20" i="11"/>
  <c r="G20" i="11" s="1"/>
  <c r="E18" i="11"/>
  <c r="G18" i="11" s="1"/>
  <c r="E17" i="11"/>
  <c r="G17" i="11" s="1"/>
  <c r="E16" i="11"/>
  <c r="G16" i="11" s="1"/>
  <c r="E19" i="11"/>
  <c r="G19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G63" i="46" l="1"/>
  <c r="C56" i="47"/>
  <c r="G12" i="30"/>
  <c r="E26" i="30"/>
  <c r="G6" i="32"/>
  <c r="G25" i="11"/>
  <c r="E25" i="11"/>
  <c r="D32" i="11"/>
  <c r="D25" i="10"/>
  <c r="C29" i="10" s="1"/>
  <c r="C37" i="10" s="1"/>
  <c r="E56" i="47" l="1"/>
  <c r="C63" i="47"/>
  <c r="C6" i="33"/>
  <c r="C12" i="31"/>
  <c r="G26" i="30"/>
  <c r="D37" i="11"/>
  <c r="H32" i="11"/>
  <c r="H37" i="11" s="1"/>
  <c r="E24" i="10"/>
  <c r="G24" i="10" s="1"/>
  <c r="E17" i="10"/>
  <c r="G17" i="10" s="1"/>
  <c r="F25" i="10"/>
  <c r="G29" i="10" s="1"/>
  <c r="C25" i="10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G56" i="47" l="1"/>
  <c r="E63" i="47"/>
  <c r="E6" i="33"/>
  <c r="E12" i="31"/>
  <c r="C26" i="31"/>
  <c r="G25" i="10"/>
  <c r="E25" i="10"/>
  <c r="C31" i="10"/>
  <c r="D32" i="10"/>
  <c r="D37" i="10" s="1"/>
  <c r="E37" i="10" s="1"/>
  <c r="D25" i="9"/>
  <c r="F25" i="9"/>
  <c r="G63" i="47" l="1"/>
  <c r="C56" i="48"/>
  <c r="G12" i="31"/>
  <c r="E26" i="31"/>
  <c r="G6" i="33"/>
  <c r="H32" i="10"/>
  <c r="H37" i="10" s="1"/>
  <c r="E22" i="9"/>
  <c r="G22" i="9" s="1"/>
  <c r="E56" i="48" l="1"/>
  <c r="C63" i="48"/>
  <c r="C12" i="32"/>
  <c r="G26" i="31"/>
  <c r="G29" i="9"/>
  <c r="C29" i="9"/>
  <c r="C25" i="9"/>
  <c r="E23" i="9"/>
  <c r="G24" i="9" s="1"/>
  <c r="E21" i="9"/>
  <c r="G21" i="9" s="1"/>
  <c r="E20" i="9"/>
  <c r="G20" i="9" s="1"/>
  <c r="E19" i="9"/>
  <c r="G19" i="9" s="1"/>
  <c r="E18" i="9"/>
  <c r="G18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6" i="48" l="1"/>
  <c r="G63" i="48" s="1"/>
  <c r="E63" i="48"/>
  <c r="E25" i="9"/>
  <c r="E12" i="32"/>
  <c r="C26" i="32"/>
  <c r="G5" i="9"/>
  <c r="G25" i="9" s="1"/>
  <c r="H32" i="9"/>
  <c r="H37" i="9" s="1"/>
  <c r="C31" i="9"/>
  <c r="C37" i="9"/>
  <c r="D32" i="9"/>
  <c r="D37" i="9" s="1"/>
  <c r="F25" i="8"/>
  <c r="G12" i="32" l="1"/>
  <c r="E26" i="32"/>
  <c r="E37" i="9"/>
  <c r="G29" i="8"/>
  <c r="D25" i="8"/>
  <c r="C29" i="8" s="1"/>
  <c r="C25" i="8"/>
  <c r="E23" i="8"/>
  <c r="G24" i="8" s="1"/>
  <c r="E21" i="8"/>
  <c r="G21" i="8" s="1"/>
  <c r="E20" i="8"/>
  <c r="G20" i="8" s="1"/>
  <c r="E19" i="8"/>
  <c r="G19" i="8" s="1"/>
  <c r="E18" i="8"/>
  <c r="G18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C12" i="33" l="1"/>
  <c r="G26" i="32"/>
  <c r="G25" i="8"/>
  <c r="H32" i="8"/>
  <c r="H37" i="8" s="1"/>
  <c r="D32" i="8"/>
  <c r="D37" i="8" s="1"/>
  <c r="E25" i="8"/>
  <c r="D25" i="7"/>
  <c r="E12" i="33" l="1"/>
  <c r="C26" i="33"/>
  <c r="G12" i="33" l="1"/>
  <c r="E26" i="33"/>
  <c r="E18" i="7"/>
  <c r="E19" i="7"/>
  <c r="G19" i="7" s="1"/>
  <c r="E20" i="7"/>
  <c r="G20" i="7" s="1"/>
  <c r="E21" i="7"/>
  <c r="G21" i="7" s="1"/>
  <c r="E22" i="7"/>
  <c r="G22" i="7" s="1"/>
  <c r="E23" i="7"/>
  <c r="G23" i="7" s="1"/>
  <c r="E24" i="7"/>
  <c r="G24" i="7" s="1"/>
  <c r="E17" i="7"/>
  <c r="C12" i="34" l="1"/>
  <c r="E12" i="34" s="1"/>
  <c r="G26" i="33"/>
  <c r="C26" i="34" s="1"/>
  <c r="C25" i="7"/>
  <c r="F25" i="7"/>
  <c r="G29" i="7" s="1"/>
  <c r="C29" i="7"/>
  <c r="G18" i="7"/>
  <c r="G17" i="7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12" i="34" l="1"/>
  <c r="E26" i="34"/>
  <c r="E25" i="7"/>
  <c r="H32" i="7"/>
  <c r="H37" i="7" s="1"/>
  <c r="D32" i="7"/>
  <c r="D37" i="7" s="1"/>
  <c r="G5" i="7"/>
  <c r="G25" i="7" s="1"/>
  <c r="C12" i="35" l="1"/>
  <c r="E12" i="35" s="1"/>
  <c r="G26" i="34"/>
  <c r="C26" i="35" s="1"/>
  <c r="G12" i="35" l="1"/>
  <c r="E26" i="35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5" i="6"/>
  <c r="G5" i="6" s="1"/>
  <c r="C12" i="36" l="1"/>
  <c r="G26" i="35"/>
  <c r="G25" i="6"/>
  <c r="C25" i="5"/>
  <c r="E12" i="36" l="1"/>
  <c r="C26" i="36"/>
  <c r="E13" i="5"/>
  <c r="G13" i="5" s="1"/>
  <c r="C25" i="6"/>
  <c r="F25" i="6"/>
  <c r="G29" i="6" s="1"/>
  <c r="D25" i="6"/>
  <c r="C29" i="6" s="1"/>
  <c r="E25" i="6"/>
  <c r="G12" i="36" l="1"/>
  <c r="E26" i="36"/>
  <c r="H32" i="6"/>
  <c r="H37" i="6" s="1"/>
  <c r="C37" i="6"/>
  <c r="D32" i="6"/>
  <c r="D37" i="6" s="1"/>
  <c r="F25" i="5"/>
  <c r="G26" i="36" l="1"/>
  <c r="C12" i="37"/>
  <c r="E37" i="6"/>
  <c r="C30" i="7" s="1"/>
  <c r="D25" i="5"/>
  <c r="C26" i="37" l="1"/>
  <c r="E12" i="37"/>
  <c r="C37" i="7"/>
  <c r="E37" i="7" s="1"/>
  <c r="C30" i="8" s="1"/>
  <c r="C31" i="7"/>
  <c r="E21" i="5"/>
  <c r="G21" i="5" s="1"/>
  <c r="E22" i="5"/>
  <c r="G22" i="5" s="1"/>
  <c r="E20" i="5"/>
  <c r="G20" i="5" s="1"/>
  <c r="G12" i="37" l="1"/>
  <c r="E26" i="37"/>
  <c r="C31" i="8"/>
  <c r="C37" i="8"/>
  <c r="E37" i="8" s="1"/>
  <c r="F25" i="4"/>
  <c r="G26" i="37" l="1"/>
  <c r="C26" i="38" s="1"/>
  <c r="C12" i="38"/>
  <c r="E12" i="38" s="1"/>
  <c r="G29" i="5"/>
  <c r="C29" i="5"/>
  <c r="C37" i="5" s="1"/>
  <c r="E24" i="5"/>
  <c r="G24" i="5" s="1"/>
  <c r="E23" i="5"/>
  <c r="G23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G12" i="38" l="1"/>
  <c r="E26" i="38"/>
  <c r="G25" i="5"/>
  <c r="E25" i="5"/>
  <c r="H32" i="5"/>
  <c r="H37" i="5" s="1"/>
  <c r="D32" i="5"/>
  <c r="D37" i="5" s="1"/>
  <c r="E37" i="5" s="1"/>
  <c r="C30" i="6" s="1"/>
  <c r="C12" i="39" l="1"/>
  <c r="G26" i="38"/>
  <c r="E21" i="4"/>
  <c r="G21" i="4" s="1"/>
  <c r="E22" i="4"/>
  <c r="G22" i="4" s="1"/>
  <c r="E23" i="4"/>
  <c r="G23" i="4" s="1"/>
  <c r="E24" i="4"/>
  <c r="G24" i="4" s="1"/>
  <c r="E20" i="4"/>
  <c r="G20" i="4" s="1"/>
  <c r="E12" i="39" l="1"/>
  <c r="C26" i="39"/>
  <c r="E19" i="4"/>
  <c r="G19" i="4" s="1"/>
  <c r="G29" i="4"/>
  <c r="D25" i="4"/>
  <c r="C29" i="4" s="1"/>
  <c r="D32" i="4" s="1"/>
  <c r="D37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12" i="39" l="1"/>
  <c r="E26" i="39"/>
  <c r="E25" i="4"/>
  <c r="H32" i="4"/>
  <c r="H37" i="4" s="1"/>
  <c r="G5" i="4"/>
  <c r="G25" i="4" s="1"/>
  <c r="C12" i="40" l="1"/>
  <c r="G26" i="39"/>
  <c r="G27" i="39" s="1"/>
  <c r="E20" i="3"/>
  <c r="E12" i="40" l="1"/>
  <c r="G12" i="40" s="1"/>
  <c r="C26" i="40"/>
  <c r="E26" i="40" s="1"/>
  <c r="E14" i="3"/>
  <c r="G14" i="3" s="1"/>
  <c r="D31" i="2"/>
  <c r="G31" i="2" s="1"/>
  <c r="F25" i="3"/>
  <c r="G29" i="3" s="1"/>
  <c r="D25" i="3"/>
  <c r="C29" i="3" s="1"/>
  <c r="D32" i="3" s="1"/>
  <c r="D37" i="3" s="1"/>
  <c r="G20" i="3"/>
  <c r="E19" i="3"/>
  <c r="G19" i="3" s="1"/>
  <c r="E18" i="3"/>
  <c r="G18" i="3" s="1"/>
  <c r="E17" i="3"/>
  <c r="G17" i="3" s="1"/>
  <c r="E16" i="3"/>
  <c r="G16" i="3" s="1"/>
  <c r="E15" i="3"/>
  <c r="G15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C12" i="41" l="1"/>
  <c r="E12" i="41" s="1"/>
  <c r="G12" i="41" s="1"/>
  <c r="G26" i="40"/>
  <c r="C26" i="41" s="1"/>
  <c r="E26" i="41" s="1"/>
  <c r="E25" i="3"/>
  <c r="G37" i="3"/>
  <c r="G25" i="3"/>
  <c r="H32" i="3"/>
  <c r="H37" i="3" s="1"/>
  <c r="C37" i="3"/>
  <c r="E37" i="3" s="1"/>
  <c r="C30" i="4" s="1"/>
  <c r="F21" i="2"/>
  <c r="F25" i="2" s="1"/>
  <c r="F33" i="2" s="1"/>
  <c r="D21" i="2"/>
  <c r="G20" i="2"/>
  <c r="E19" i="2"/>
  <c r="G19" i="2" s="1"/>
  <c r="E18" i="2"/>
  <c r="G18" i="2" s="1"/>
  <c r="E17" i="2"/>
  <c r="G17" i="2" s="1"/>
  <c r="E16" i="2"/>
  <c r="G16" i="2" s="1"/>
  <c r="E15" i="2"/>
  <c r="G15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E21" i="2" l="1"/>
  <c r="C12" i="42"/>
  <c r="E12" i="42" s="1"/>
  <c r="G12" i="42" s="1"/>
  <c r="G26" i="41"/>
  <c r="C26" i="42" s="1"/>
  <c r="E26" i="42" s="1"/>
  <c r="C37" i="4"/>
  <c r="E37" i="4" s="1"/>
  <c r="I37" i="3"/>
  <c r="G30" i="4" s="1"/>
  <c r="G5" i="2"/>
  <c r="G21" i="2" s="1"/>
  <c r="C25" i="2"/>
  <c r="C33" i="2" s="1"/>
  <c r="F22" i="1"/>
  <c r="C12" i="43" l="1"/>
  <c r="G26" i="42"/>
  <c r="G37" i="4"/>
  <c r="I37" i="4" s="1"/>
  <c r="D29" i="2"/>
  <c r="D33" i="2" s="1"/>
  <c r="E33" i="2" s="1"/>
  <c r="G29" i="2"/>
  <c r="G33" i="2" s="1"/>
  <c r="H33" i="2" s="1"/>
  <c r="D22" i="1"/>
  <c r="G20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E17" i="1"/>
  <c r="G17" i="1" s="1"/>
  <c r="E18" i="1"/>
  <c r="G18" i="1" s="1"/>
  <c r="E19" i="1"/>
  <c r="G19" i="1" s="1"/>
  <c r="E5" i="1"/>
  <c r="G5" i="1" s="1"/>
  <c r="E12" i="43" l="1"/>
  <c r="G12" i="43" s="1"/>
  <c r="C26" i="43"/>
  <c r="E26" i="43" s="1"/>
  <c r="G30" i="5"/>
  <c r="G37" i="5" s="1"/>
  <c r="I37" i="5" s="1"/>
  <c r="G30" i="6" s="1"/>
  <c r="G37" i="6" s="1"/>
  <c r="I37" i="6" s="1"/>
  <c r="G30" i="7" s="1"/>
  <c r="C26" i="1"/>
  <c r="C34" i="1" s="1"/>
  <c r="E22" i="1"/>
  <c r="D34" i="1"/>
  <c r="G16" i="1"/>
  <c r="G22" i="1" s="1"/>
  <c r="C12" i="44" l="1"/>
  <c r="E12" i="44" s="1"/>
  <c r="G12" i="44" s="1"/>
  <c r="G26" i="43"/>
  <c r="C26" i="44" s="1"/>
  <c r="E26" i="44" s="1"/>
  <c r="G37" i="7"/>
  <c r="I37" i="7" s="1"/>
  <c r="G30" i="8" s="1"/>
  <c r="G37" i="8" s="1"/>
  <c r="I37" i="8" s="1"/>
  <c r="G30" i="9" s="1"/>
  <c r="G37" i="9" s="1"/>
  <c r="I37" i="9" s="1"/>
  <c r="G30" i="10" s="1"/>
  <c r="G37" i="10" s="1"/>
  <c r="I37" i="10" s="1"/>
  <c r="E34" i="1"/>
  <c r="C12" i="45" l="1"/>
  <c r="G26" i="44"/>
  <c r="G30" i="11"/>
  <c r="G37" i="11" s="1"/>
  <c r="I37" i="11" s="1"/>
  <c r="G30" i="12" s="1"/>
  <c r="C30" i="11"/>
  <c r="E12" i="45" l="1"/>
  <c r="C26" i="45"/>
  <c r="C31" i="11"/>
  <c r="C37" i="11"/>
  <c r="E37" i="11" s="1"/>
  <c r="C30" i="12" s="1"/>
  <c r="G37" i="12"/>
  <c r="I37" i="12" s="1"/>
  <c r="G30" i="13" s="1"/>
  <c r="G37" i="13" s="1"/>
  <c r="I37" i="13" s="1"/>
  <c r="G30" i="14" s="1"/>
  <c r="G37" i="14" s="1"/>
  <c r="I37" i="14" s="1"/>
  <c r="G30" i="15" s="1"/>
  <c r="G37" i="15" s="1"/>
  <c r="I37" i="15" s="1"/>
  <c r="G33" i="16" s="1"/>
  <c r="G40" i="16" s="1"/>
  <c r="I40" i="16" s="1"/>
  <c r="G33" i="17" s="1"/>
  <c r="G40" i="17" s="1"/>
  <c r="I40" i="17" s="1"/>
  <c r="G33" i="18" s="1"/>
  <c r="G40" i="18" s="1"/>
  <c r="I40" i="18" s="1"/>
  <c r="G31" i="19" s="1"/>
  <c r="G37" i="19" s="1"/>
  <c r="I37" i="19" s="1"/>
  <c r="G31" i="20" s="1"/>
  <c r="G37" i="20" s="1"/>
  <c r="I37" i="20" s="1"/>
  <c r="G31" i="21" s="1"/>
  <c r="G37" i="21" s="1"/>
  <c r="I37" i="21" s="1"/>
  <c r="H31" i="22" s="1"/>
  <c r="H37" i="22" s="1"/>
  <c r="J37" i="22" s="1"/>
  <c r="G31" i="23" s="1"/>
  <c r="G37" i="23" s="1"/>
  <c r="I37" i="23" s="1"/>
  <c r="G31" i="24" s="1"/>
  <c r="G37" i="24" s="1"/>
  <c r="I37" i="24" s="1"/>
  <c r="G31" i="25" s="1"/>
  <c r="G39" i="25" s="1"/>
  <c r="I39" i="25" s="1"/>
  <c r="G31" i="26" s="1"/>
  <c r="G39" i="26" s="1"/>
  <c r="I39" i="26" s="1"/>
  <c r="G31" i="27" s="1"/>
  <c r="G39" i="27" s="1"/>
  <c r="I39" i="27" s="1"/>
  <c r="G31" i="28" s="1"/>
  <c r="G40" i="28" s="1"/>
  <c r="I40" i="28" s="1"/>
  <c r="G31" i="29" s="1"/>
  <c r="G39" i="29" s="1"/>
  <c r="I39" i="29" s="1"/>
  <c r="G31" i="30" s="1"/>
  <c r="G39" i="30" s="1"/>
  <c r="I39" i="30" s="1"/>
  <c r="G12" i="45" l="1"/>
  <c r="E26" i="45"/>
  <c r="G31" i="31"/>
  <c r="G42" i="31" s="1"/>
  <c r="I42" i="31" s="1"/>
  <c r="I53" i="30"/>
  <c r="C37" i="12"/>
  <c r="E37" i="12" s="1"/>
  <c r="C12" i="46" l="1"/>
  <c r="E12" i="46" s="1"/>
  <c r="G26" i="45"/>
  <c r="C26" i="46" s="1"/>
  <c r="C30" i="13"/>
  <c r="C37" i="13" s="1"/>
  <c r="E37" i="13" s="1"/>
  <c r="C77" i="16"/>
  <c r="C84" i="16" s="1"/>
  <c r="E84" i="16" s="1"/>
  <c r="C77" i="17" s="1"/>
  <c r="C84" i="17" s="1"/>
  <c r="E84" i="17" s="1"/>
  <c r="C77" i="18" s="1"/>
  <c r="C84" i="18" s="1"/>
  <c r="E84" i="18" s="1"/>
  <c r="C64" i="19" s="1"/>
  <c r="C69" i="19" s="1"/>
  <c r="E69" i="19" s="1"/>
  <c r="C64" i="20" s="1"/>
  <c r="C69" i="20" s="1"/>
  <c r="E69" i="20" s="1"/>
  <c r="C64" i="21" s="1"/>
  <c r="C69" i="21" s="1"/>
  <c r="E69" i="21" s="1"/>
  <c r="D64" i="22" s="1"/>
  <c r="D69" i="22" s="1"/>
  <c r="F69" i="22" s="1"/>
  <c r="C64" i="23" s="1"/>
  <c r="C69" i="23" s="1"/>
  <c r="E69" i="23" s="1"/>
  <c r="C64" i="24" s="1"/>
  <c r="C69" i="24" s="1"/>
  <c r="E69" i="24" s="1"/>
  <c r="C66" i="25" s="1"/>
  <c r="C71" i="25" s="1"/>
  <c r="E71" i="25" s="1"/>
  <c r="C66" i="26" s="1"/>
  <c r="C71" i="26" s="1"/>
  <c r="E71" i="26" s="1"/>
  <c r="C66" i="27" s="1"/>
  <c r="C71" i="27" s="1"/>
  <c r="E71" i="27" s="1"/>
  <c r="C30" i="15"/>
  <c r="C37" i="15" s="1"/>
  <c r="E37" i="15" s="1"/>
  <c r="C33" i="16" s="1"/>
  <c r="C40" i="16" s="1"/>
  <c r="E40" i="16" s="1"/>
  <c r="C33" i="17" s="1"/>
  <c r="C40" i="17" s="1"/>
  <c r="E40" i="17" s="1"/>
  <c r="C33" i="18" s="1"/>
  <c r="C40" i="18" s="1"/>
  <c r="E40" i="18" s="1"/>
  <c r="C31" i="19" s="1"/>
  <c r="C37" i="19" s="1"/>
  <c r="E37" i="19" s="1"/>
  <c r="C31" i="20" s="1"/>
  <c r="C37" i="20" s="1"/>
  <c r="E37" i="20" s="1"/>
  <c r="C31" i="21" s="1"/>
  <c r="C37" i="21" s="1"/>
  <c r="E37" i="21" s="1"/>
  <c r="D31" i="22" s="1"/>
  <c r="D37" i="22" s="1"/>
  <c r="F37" i="22" s="1"/>
  <c r="C31" i="23" s="1"/>
  <c r="C37" i="23" s="1"/>
  <c r="E37" i="23" s="1"/>
  <c r="C31" i="24" s="1"/>
  <c r="C37" i="24" s="1"/>
  <c r="E37" i="24" s="1"/>
  <c r="C31" i="25" s="1"/>
  <c r="C39" i="25" s="1"/>
  <c r="E39" i="25" s="1"/>
  <c r="C31" i="26" s="1"/>
  <c r="C39" i="26" s="1"/>
  <c r="E39" i="26" s="1"/>
  <c r="C31" i="27" s="1"/>
  <c r="C39" i="27" s="1"/>
  <c r="E39" i="27" s="1"/>
  <c r="C31" i="28" s="1"/>
  <c r="C40" i="28" s="1"/>
  <c r="E40" i="28" s="1"/>
  <c r="C31" i="29" s="1"/>
  <c r="C39" i="29" s="1"/>
  <c r="E39" i="29" s="1"/>
  <c r="C30" i="14"/>
  <c r="C37" i="14" s="1"/>
  <c r="E37" i="14" s="1"/>
  <c r="I50" i="31"/>
  <c r="G31" i="32"/>
  <c r="G41" i="32" s="1"/>
  <c r="I41" i="32" s="1"/>
  <c r="G12" i="46" l="1"/>
  <c r="E26" i="46"/>
  <c r="I49" i="32"/>
  <c r="G31" i="33"/>
  <c r="G41" i="33" s="1"/>
  <c r="I41" i="33" s="1"/>
  <c r="C31" i="30"/>
  <c r="C39" i="30" s="1"/>
  <c r="E39" i="30" s="1"/>
  <c r="C31" i="31" s="1"/>
  <c r="C42" i="31" s="1"/>
  <c r="E42" i="31" s="1"/>
  <c r="C31" i="32" s="1"/>
  <c r="C41" i="32" s="1"/>
  <c r="E41" i="32" s="1"/>
  <c r="C31" i="33" s="1"/>
  <c r="C41" i="33" s="1"/>
  <c r="E41" i="33" s="1"/>
  <c r="C41" i="34" s="1"/>
  <c r="E41" i="34" s="1"/>
  <c r="C31" i="35" s="1"/>
  <c r="C41" i="35" s="1"/>
  <c r="E41" i="35" s="1"/>
  <c r="C31" i="36" s="1"/>
  <c r="C41" i="36" s="1"/>
  <c r="E41" i="36" s="1"/>
  <c r="J37" i="29"/>
  <c r="H49" i="29"/>
  <c r="G26" i="46" l="1"/>
  <c r="C12" i="47"/>
  <c r="N61" i="36"/>
  <c r="C31" i="37"/>
  <c r="C41" i="37" s="1"/>
  <c r="E41" i="37" s="1"/>
  <c r="C31" i="38" s="1"/>
  <c r="C41" i="38" s="1"/>
  <c r="E41" i="38" s="1"/>
  <c r="I49" i="33"/>
  <c r="G31" i="34"/>
  <c r="G41" i="34" s="1"/>
  <c r="I41" i="34" s="1"/>
  <c r="G31" i="35" s="1"/>
  <c r="G41" i="35" s="1"/>
  <c r="I41" i="35" s="1"/>
  <c r="G31" i="36" s="1"/>
  <c r="G41" i="36" s="1"/>
  <c r="I41" i="36" s="1"/>
  <c r="G31" i="37" s="1"/>
  <c r="G41" i="37" s="1"/>
  <c r="I41" i="37" s="1"/>
  <c r="G31" i="38" s="1"/>
  <c r="G41" i="38" s="1"/>
  <c r="I41" i="38" s="1"/>
  <c r="G31" i="39" s="1"/>
  <c r="G41" i="39" s="1"/>
  <c r="I41" i="39" s="1"/>
  <c r="G31" i="40" s="1"/>
  <c r="G41" i="40" s="1"/>
  <c r="I41" i="40" s="1"/>
  <c r="G31" i="41" s="1"/>
  <c r="G41" i="41" s="1"/>
  <c r="I41" i="41" s="1"/>
  <c r="G31" i="42" s="1"/>
  <c r="G41" i="42" s="1"/>
  <c r="I41" i="42" s="1"/>
  <c r="G31" i="43" s="1"/>
  <c r="G41" i="43" s="1"/>
  <c r="I41" i="43" s="1"/>
  <c r="G31" i="44" s="1"/>
  <c r="G41" i="44" s="1"/>
  <c r="I41" i="44" s="1"/>
  <c r="G31" i="45" s="1"/>
  <c r="G41" i="45" s="1"/>
  <c r="I41" i="45" s="1"/>
  <c r="G31" i="46" s="1"/>
  <c r="G41" i="46" s="1"/>
  <c r="I41" i="46" s="1"/>
  <c r="G31" i="47" s="1"/>
  <c r="G41" i="47" s="1"/>
  <c r="I41" i="47" s="1"/>
  <c r="G31" i="48" s="1"/>
  <c r="G41" i="48" s="1"/>
  <c r="I41" i="48" s="1"/>
  <c r="E12" i="47" l="1"/>
  <c r="C26" i="47"/>
  <c r="C31" i="39"/>
  <c r="C41" i="39" s="1"/>
  <c r="E41" i="39" s="1"/>
  <c r="M38" i="38"/>
  <c r="M40" i="38" s="1"/>
  <c r="M72" i="38"/>
  <c r="G12" i="47" l="1"/>
  <c r="E26" i="47"/>
  <c r="C31" i="42"/>
  <c r="C41" i="42" s="1"/>
  <c r="C31" i="40"/>
  <c r="C41" i="40" s="1"/>
  <c r="E41" i="40" s="1"/>
  <c r="C31" i="41"/>
  <c r="C41" i="41" s="1"/>
  <c r="E41" i="41" s="1"/>
  <c r="G26" i="47" l="1"/>
  <c r="C12" i="48"/>
  <c r="E41" i="42"/>
  <c r="L40" i="42"/>
  <c r="L42" i="42" s="1"/>
  <c r="E12" i="48" l="1"/>
  <c r="C26" i="48"/>
  <c r="C31" i="43"/>
  <c r="C41" i="43" s="1"/>
  <c r="E41" i="43" s="1"/>
  <c r="L66" i="42"/>
  <c r="G12" i="48" l="1"/>
  <c r="G26" i="48" s="1"/>
  <c r="E26" i="48"/>
  <c r="L49" i="43"/>
  <c r="L51" i="43" s="1"/>
  <c r="C31" i="44"/>
  <c r="C41" i="44" s="1"/>
  <c r="E41" i="44" s="1"/>
  <c r="J48" i="44" l="1"/>
  <c r="C31" i="45"/>
  <c r="C41" i="45" s="1"/>
  <c r="E41" i="45" s="1"/>
  <c r="J48" i="45" l="1"/>
  <c r="C31" i="46"/>
  <c r="C41" i="46" s="1"/>
  <c r="E41" i="46" s="1"/>
  <c r="C31" i="47" s="1"/>
  <c r="C41" i="47" s="1"/>
  <c r="E41" i="47" s="1"/>
  <c r="C31" i="48" s="1"/>
  <c r="C41" i="48" s="1"/>
  <c r="E41" i="48" s="1"/>
</calcChain>
</file>

<file path=xl/sharedStrings.xml><?xml version="1.0" encoding="utf-8"?>
<sst xmlns="http://schemas.openxmlformats.org/spreadsheetml/2006/main" count="4584" uniqueCount="371">
  <si>
    <t xml:space="preserve">RENT STATEMENT </t>
  </si>
  <si>
    <t>FOR THE MONTH OF JANUARY 2018</t>
  </si>
  <si>
    <t>NAME</t>
  </si>
  <si>
    <t>RENT</t>
  </si>
  <si>
    <t>B/F</t>
  </si>
  <si>
    <t>TOTAL DUE</t>
  </si>
  <si>
    <t>PAID</t>
  </si>
  <si>
    <t>ONESMUS WAMBUA</t>
  </si>
  <si>
    <t>MWENDWA MUSYOKI</t>
  </si>
  <si>
    <t>COSMUS</t>
  </si>
  <si>
    <t>JOEL OGECHI</t>
  </si>
  <si>
    <t>BENJAMIN</t>
  </si>
  <si>
    <t>FRANCIS ALUNDA</t>
  </si>
  <si>
    <t>SHADRACK KIOKI</t>
  </si>
  <si>
    <t>KELVIN</t>
  </si>
  <si>
    <t>VACCANT</t>
  </si>
  <si>
    <t>PETER</t>
  </si>
  <si>
    <t>PHILLIP</t>
  </si>
  <si>
    <t>MICHAEL MUTUKU</t>
  </si>
  <si>
    <t>JAN REM</t>
  </si>
  <si>
    <t xml:space="preserve">LESS </t>
  </si>
  <si>
    <t>COMMISSSION</t>
  </si>
  <si>
    <t>DETAILS</t>
  </si>
  <si>
    <t>CR</t>
  </si>
  <si>
    <t>DR</t>
  </si>
  <si>
    <t>BAL</t>
  </si>
  <si>
    <t>TOTAL</t>
  </si>
  <si>
    <t>NO.</t>
  </si>
  <si>
    <t>MWANZIA</t>
  </si>
  <si>
    <t>DAVID REGEI</t>
  </si>
  <si>
    <t>JACKTON WAFULA</t>
  </si>
  <si>
    <t>JACK</t>
  </si>
  <si>
    <t>DIRECT TO LL</t>
  </si>
  <si>
    <t>Prepared by</t>
  </si>
  <si>
    <t>Received by</t>
  </si>
  <si>
    <t xml:space="preserve">RUTH </t>
  </si>
  <si>
    <t>LEMENGUTA</t>
  </si>
  <si>
    <t>PAID ON 27/1/18</t>
  </si>
  <si>
    <t xml:space="preserve">LESS: </t>
  </si>
  <si>
    <t>FEB REM</t>
  </si>
  <si>
    <t>FOR THE MONTH OF FEBRUARY 2018</t>
  </si>
  <si>
    <t>COMM</t>
  </si>
  <si>
    <t>LEMENGUTA OLE PAKINE-KAMBI MOTO</t>
  </si>
  <si>
    <t>BY PAID</t>
  </si>
  <si>
    <t>BY EXPECTED</t>
  </si>
  <si>
    <t>NEW</t>
  </si>
  <si>
    <t>LL</t>
  </si>
  <si>
    <t>MUGAMBI</t>
  </si>
  <si>
    <t>MARCH</t>
  </si>
  <si>
    <t>APPROVED BY</t>
  </si>
  <si>
    <t>GRACE</t>
  </si>
  <si>
    <t>NYOKABI</t>
  </si>
  <si>
    <t>FOR THE MONTH OF MARCH 2018</t>
  </si>
  <si>
    <t>THOMAS KIOKO</t>
  </si>
  <si>
    <t>JACKSON KINYAJUI</t>
  </si>
  <si>
    <t>KELVIN MWANZIA</t>
  </si>
  <si>
    <t>PHILLIP ADUNDA</t>
  </si>
  <si>
    <t>BENJAMIN MULANDI</t>
  </si>
  <si>
    <t>COSMUS MUMA</t>
  </si>
  <si>
    <t>PETER KIMANZI</t>
  </si>
  <si>
    <t>FOR THE MONTH OF APRIL 2018</t>
  </si>
  <si>
    <t>APRIL</t>
  </si>
  <si>
    <t>BF</t>
  </si>
  <si>
    <t>LL 500</t>
  </si>
  <si>
    <t>LESS</t>
  </si>
  <si>
    <t>CHRISTOPHER KIPNO</t>
  </si>
  <si>
    <t>KARANI</t>
  </si>
  <si>
    <t>FRANCIS KALII</t>
  </si>
  <si>
    <t>KIMANI</t>
  </si>
  <si>
    <t>JOSEPH NYANDO</t>
  </si>
  <si>
    <t>FOR THE MONTH OF MAY 2018</t>
  </si>
  <si>
    <t>MAY</t>
  </si>
  <si>
    <t>LL  18&amp;20</t>
  </si>
  <si>
    <t>JOSPHAT KITHAKA</t>
  </si>
  <si>
    <t>VACATED</t>
  </si>
  <si>
    <t>CHRISTOPHER/PATRICK</t>
  </si>
  <si>
    <t>LL- FRANCIS NO. 9</t>
  </si>
  <si>
    <t xml:space="preserve">REFUND FROM LL </t>
  </si>
  <si>
    <t>ALLAN KARANI</t>
  </si>
  <si>
    <t>STANLEY MWENDWA</t>
  </si>
  <si>
    <t>LL200</t>
  </si>
  <si>
    <t>JUNE</t>
  </si>
  <si>
    <t>FOR THE MONTH OF JUNE 2018</t>
  </si>
  <si>
    <t>IRENE KEMUNTO</t>
  </si>
  <si>
    <t xml:space="preserve"> </t>
  </si>
  <si>
    <t>FOR THE MONTH OF JULY 2018</t>
  </si>
  <si>
    <t>JULY</t>
  </si>
  <si>
    <t>NICHOLAS NTHIGA</t>
  </si>
  <si>
    <t>DAN INDIRE</t>
  </si>
  <si>
    <t>IRUNGU</t>
  </si>
  <si>
    <t>DIRECT TO LL-IRUNGU</t>
  </si>
  <si>
    <t>FOR THE MONTH OF AUGUST 2018</t>
  </si>
  <si>
    <t>AUG</t>
  </si>
  <si>
    <t xml:space="preserve">AUG </t>
  </si>
  <si>
    <t>PETER MUIA</t>
  </si>
  <si>
    <t>FOR THE MONTH OF SEPTEMBER 2018</t>
  </si>
  <si>
    <t>SEP</t>
  </si>
  <si>
    <t>MESHACK MASABA</t>
  </si>
  <si>
    <t>FOR THE MONTH OF OCTOBER 2018</t>
  </si>
  <si>
    <t>OCT</t>
  </si>
  <si>
    <t>WILCKSTA KANYERO</t>
  </si>
  <si>
    <t>MICHAEL  NO. 4 SEP</t>
  </si>
  <si>
    <t>ERNEST BIKO</t>
  </si>
  <si>
    <t>MOSES</t>
  </si>
  <si>
    <t>DIRECT TO LL-3</t>
  </si>
  <si>
    <t>FOR THE MONTH OF NOVEMBER 2018</t>
  </si>
  <si>
    <t>NOV</t>
  </si>
  <si>
    <t>NELSON OGECH</t>
  </si>
  <si>
    <t>HILLARY MITI</t>
  </si>
  <si>
    <t>MILLICENT WAKUTHI</t>
  </si>
  <si>
    <t>BOAZ</t>
  </si>
  <si>
    <t>FOR THE MONTH OF DECEMBER 2018</t>
  </si>
  <si>
    <t>DEC</t>
  </si>
  <si>
    <t>BOAZ ONSONGO</t>
  </si>
  <si>
    <t>SIMON OENGA</t>
  </si>
  <si>
    <t>PAYMENTS</t>
  </si>
  <si>
    <t>MOSES MUSAU</t>
  </si>
  <si>
    <t>MOSES 18</t>
  </si>
  <si>
    <t>TIMOTHY MUNIU</t>
  </si>
  <si>
    <t>CELINAH</t>
  </si>
  <si>
    <t>HSE NO. 3 &amp; 9</t>
  </si>
  <si>
    <t>22/12/18</t>
  </si>
  <si>
    <t>FOR THE MONTH OF JANUARY 2019</t>
  </si>
  <si>
    <t>JAN</t>
  </si>
  <si>
    <t>PAID ON 12/1/19</t>
  </si>
  <si>
    <t>WESLY MWANZI/WAMBUA</t>
  </si>
  <si>
    <t>HUDSON</t>
  </si>
  <si>
    <t>PAID ON 14/1/19</t>
  </si>
  <si>
    <t>FOR THE MONTH OF FEBRUARY 2019</t>
  </si>
  <si>
    <t>FEB</t>
  </si>
  <si>
    <t>WESLY MWANZI</t>
  </si>
  <si>
    <t>WILFRED MOMANYI</t>
  </si>
  <si>
    <t>PAID ON 12/3/19</t>
  </si>
  <si>
    <t>FOR THE MONTH OF MARCH 2019</t>
  </si>
  <si>
    <t>ALLAN FEBRUARY</t>
  </si>
  <si>
    <t>HUDSON OTUNGA</t>
  </si>
  <si>
    <t>ISAIAH OGINGA</t>
  </si>
  <si>
    <t>CELINAH/EMMANUEL</t>
  </si>
  <si>
    <t>FOR THE MONTH OF APRIL 2019</t>
  </si>
  <si>
    <t>MAWE</t>
  </si>
  <si>
    <t>ROBERT KARANJA</t>
  </si>
  <si>
    <t>JAMES MOCHACHE</t>
  </si>
  <si>
    <t>CHRISTOPHER MUTUA</t>
  </si>
  <si>
    <t>MABATI</t>
  </si>
  <si>
    <t>FRANCIS MUCHIRI</t>
  </si>
  <si>
    <t>EMMACULATE WAMBI</t>
  </si>
  <si>
    <t>PAID ON 12/2/19</t>
  </si>
  <si>
    <t>PAID ON 12/4/19</t>
  </si>
  <si>
    <t>LEONARD CHERUYIOT</t>
  </si>
  <si>
    <t>LEAH KANYONGA</t>
  </si>
  <si>
    <t>PAID ON 23/4/19</t>
  </si>
  <si>
    <t>LL 1000</t>
  </si>
  <si>
    <t>PAID ON 10/5/19</t>
  </si>
  <si>
    <t>FOR THE MONTH OF MAY 2019</t>
  </si>
  <si>
    <t>LEONARD</t>
  </si>
  <si>
    <t>JOSEPH GITONGA</t>
  </si>
  <si>
    <t>FOR THE MONTH OF JUNE 2019</t>
  </si>
  <si>
    <t xml:space="preserve">JUNE </t>
  </si>
  <si>
    <t>PAID ON 12/6/19</t>
  </si>
  <si>
    <t>VACCATED</t>
  </si>
  <si>
    <t>TIMOTHY</t>
  </si>
  <si>
    <t xml:space="preserve">VACCATED </t>
  </si>
  <si>
    <t>FOR THE MONTH OF JULY 2019</t>
  </si>
  <si>
    <t>DIRECT TO LL 2</t>
  </si>
  <si>
    <t>MURINGI MWANGI</t>
  </si>
  <si>
    <t>MORINE MUTHAMA</t>
  </si>
  <si>
    <t>FRANK MUSIMBI</t>
  </si>
  <si>
    <t>ABEL MUTINDA</t>
  </si>
  <si>
    <t xml:space="preserve">MOSES </t>
  </si>
  <si>
    <t>PAID ON 12/7/19</t>
  </si>
  <si>
    <t>WESLY</t>
  </si>
  <si>
    <t>FOR THE MONTH OF AUGUST 2019</t>
  </si>
  <si>
    <t>AUGUST</t>
  </si>
  <si>
    <t>PAID  TO LL</t>
  </si>
  <si>
    <t>JACKTON</t>
  </si>
  <si>
    <t>PAID PAID ON 12/8/2019</t>
  </si>
  <si>
    <t>PAID ON 12/8/19</t>
  </si>
  <si>
    <t>BENSON NDIPO</t>
  </si>
  <si>
    <t>DAVID MUSIKA</t>
  </si>
  <si>
    <t>FLORENCE</t>
  </si>
  <si>
    <t>FOR THE MONTH OF SEPTEMBER 2019</t>
  </si>
  <si>
    <t>SEPT</t>
  </si>
  <si>
    <t>SEPTEMBER</t>
  </si>
  <si>
    <t>PAID ON 12/9</t>
  </si>
  <si>
    <t>STIMA PAID TO NYOKABI</t>
  </si>
  <si>
    <t>OCTOBER</t>
  </si>
  <si>
    <t>FOR THE MONTH OF OCTOBER 2019</t>
  </si>
  <si>
    <t xml:space="preserve">LL </t>
  </si>
  <si>
    <t>ISAIAH</t>
  </si>
  <si>
    <t>ABEL MUTINDA+NO.6+</t>
  </si>
  <si>
    <t>DAMARIS EMUKA</t>
  </si>
  <si>
    <t>PAID ON 11/10</t>
  </si>
  <si>
    <t>BRIAN MBAGAYA</t>
  </si>
  <si>
    <t>ANDRIAN OMONDI</t>
  </si>
  <si>
    <t>PETER KARANJA</t>
  </si>
  <si>
    <t>LL0718575603</t>
  </si>
  <si>
    <t>PETER SAMUEL</t>
  </si>
  <si>
    <t>NEW MKAMBA</t>
  </si>
  <si>
    <t>NOVEMBER</t>
  </si>
  <si>
    <t>FOR THE MONTH OF NOVEMBER 2019</t>
  </si>
  <si>
    <t>NO.9,1</t>
  </si>
  <si>
    <t>BRIAN</t>
  </si>
  <si>
    <t>ABEL MUTINDA+NO.8</t>
  </si>
  <si>
    <t>VACANT</t>
  </si>
  <si>
    <t>BENSON NDIVO</t>
  </si>
  <si>
    <t>DICKSON</t>
  </si>
  <si>
    <t>PAID ON 9/11</t>
  </si>
  <si>
    <t>JOHNSON MWITI</t>
  </si>
  <si>
    <t>LL 0718575603</t>
  </si>
  <si>
    <t>JANET OCHIENG</t>
  </si>
  <si>
    <t>NO 11</t>
  </si>
  <si>
    <t>DECEMBER</t>
  </si>
  <si>
    <t>FOR THE MONTH OF DECEMBER 2019</t>
  </si>
  <si>
    <t>DANCAN MAINA</t>
  </si>
  <si>
    <t>PAID ON 9/12</t>
  </si>
  <si>
    <t>FOR THE MONTH OF JANUARY 2020</t>
  </si>
  <si>
    <t>JANUARY</t>
  </si>
  <si>
    <t>DANCAN</t>
  </si>
  <si>
    <t>FRANK</t>
  </si>
  <si>
    <t>TIMOTHY NO.20</t>
  </si>
  <si>
    <t>MBUGUA</t>
  </si>
  <si>
    <t>PAID ON 9/1</t>
  </si>
  <si>
    <t>MAXWEL KARIUKI</t>
  </si>
  <si>
    <t>LL 2000</t>
  </si>
  <si>
    <t>FEBRUARY</t>
  </si>
  <si>
    <t>FOR THE MONTH OF FEBRUARY 2020</t>
  </si>
  <si>
    <t>MBUGUAH</t>
  </si>
  <si>
    <t>LL 1000 DEC</t>
  </si>
  <si>
    <t>DICKSON ISABWA</t>
  </si>
  <si>
    <t>JOSEPH GITUNGA</t>
  </si>
  <si>
    <t>PAID ON 8/2</t>
  </si>
  <si>
    <t>FOR THE MONTH OF MARCH 2020</t>
  </si>
  <si>
    <t>GEORGE WAFULA</t>
  </si>
  <si>
    <t>RONARD OJOGU</t>
  </si>
  <si>
    <t>PAUL JUNIOR</t>
  </si>
  <si>
    <t>THOMAS MURIUNGI</t>
  </si>
  <si>
    <t>EMMANUEL</t>
  </si>
  <si>
    <t>PAID ON 10/3</t>
  </si>
  <si>
    <t>DANSON MAINA</t>
  </si>
  <si>
    <t>FOR THE MONTH OF APRIL 2020</t>
  </si>
  <si>
    <t>MAXWEL</t>
  </si>
  <si>
    <t>PAID ON 15/4</t>
  </si>
  <si>
    <t xml:space="preserve">RONARD </t>
  </si>
  <si>
    <t>PAID ON 23/4</t>
  </si>
  <si>
    <t>LL2000</t>
  </si>
  <si>
    <t>LLEVICTED</t>
  </si>
  <si>
    <t>FOR THE MONTH OF MAY 2020</t>
  </si>
  <si>
    <t>PAID ON 30/4</t>
  </si>
  <si>
    <t>AT HOME</t>
  </si>
  <si>
    <t>AWAY</t>
  </si>
  <si>
    <t>PAID ON 4/5</t>
  </si>
  <si>
    <t>AGNES WANGUI</t>
  </si>
  <si>
    <t>SIMON IRUNGU</t>
  </si>
  <si>
    <t>PAID ON 11/5</t>
  </si>
  <si>
    <t>VITALIS ODUOR</t>
  </si>
  <si>
    <t>PAID ON 12/5</t>
  </si>
  <si>
    <t>TOMAS MULYUNGI</t>
  </si>
  <si>
    <t>MULEKYE MULYUNGI</t>
  </si>
  <si>
    <t>PAID ON 16/5</t>
  </si>
  <si>
    <t>PAID ON19/5</t>
  </si>
  <si>
    <t>PAID ON 19/5</t>
  </si>
  <si>
    <t>FOR THE MONTH OF JUNE 2020</t>
  </si>
  <si>
    <t>PAID ON 11/6</t>
  </si>
  <si>
    <t>PAID ON 15/6</t>
  </si>
  <si>
    <t>PAID ON  22/6</t>
  </si>
  <si>
    <t>PAID ON 22/6</t>
  </si>
  <si>
    <t>PAID  ON 11/6</t>
  </si>
  <si>
    <t>FOR THE MONTH OF JULY 2020</t>
  </si>
  <si>
    <t>PAID ON 29/6</t>
  </si>
  <si>
    <t>ll3000</t>
  </si>
  <si>
    <t>TIMOTHY20</t>
  </si>
  <si>
    <t>MILLICENT PAID TO LL</t>
  </si>
  <si>
    <t>PAID ON 10/7</t>
  </si>
  <si>
    <t>FAITH</t>
  </si>
  <si>
    <t>PAID ON 14/7</t>
  </si>
  <si>
    <t>PAID ON 11/7</t>
  </si>
  <si>
    <t>PAID ON 23/7</t>
  </si>
  <si>
    <t xml:space="preserve">AUGUST </t>
  </si>
  <si>
    <t>FOR THE MONTH OF AUGUST 2020</t>
  </si>
  <si>
    <t>PAID ON 1/8</t>
  </si>
  <si>
    <t>PAID ON 4/8</t>
  </si>
  <si>
    <t>PAID ON 10/8</t>
  </si>
  <si>
    <t>PAID ON 13/8</t>
  </si>
  <si>
    <t>LL1500</t>
  </si>
  <si>
    <t>TIMOTHY PAID LL</t>
  </si>
  <si>
    <t>FOR THE MONTH OF SEPTEMBER 2020</t>
  </si>
  <si>
    <t>CAROLINE</t>
  </si>
  <si>
    <t>CAROL</t>
  </si>
  <si>
    <t>PAID ON 10/9</t>
  </si>
  <si>
    <t>\</t>
  </si>
  <si>
    <t>FOR THE MONTH OF OCTOBER 2020</t>
  </si>
  <si>
    <t>MAINA</t>
  </si>
  <si>
    <t>JOSEPH OTIENO</t>
  </si>
  <si>
    <t>MBUGUA PAID LL</t>
  </si>
  <si>
    <t>LL 600</t>
  </si>
  <si>
    <t>PAID ON 10/10</t>
  </si>
  <si>
    <t>PETER KIMANI</t>
  </si>
  <si>
    <t>FOR THE MONTH OF NOVEMBER 2020</t>
  </si>
  <si>
    <t>THOMAS MULYUNGI</t>
  </si>
  <si>
    <t>PAID ON 12/11</t>
  </si>
  <si>
    <t>PAID ON 11/11</t>
  </si>
  <si>
    <t>PAID ON 16/11</t>
  </si>
  <si>
    <t>FOR THE MONTH OF DECEMBER 2020</t>
  </si>
  <si>
    <t>PAID ON 10/12</t>
  </si>
  <si>
    <t>FOR THE MONTH OF JANUARY  2021</t>
  </si>
  <si>
    <t>FOR THE MONTH OF JANUARY 2021</t>
  </si>
  <si>
    <t>PAID ON 11/1</t>
  </si>
  <si>
    <t>DANIEL ONDITA</t>
  </si>
  <si>
    <t>vaccated</t>
  </si>
  <si>
    <t>thomas vaccated</t>
  </si>
  <si>
    <t>FOR THE MONTH OF FEBRUARY  2021</t>
  </si>
  <si>
    <t>FOR THE MONTH OF FEBRUARY 2021</t>
  </si>
  <si>
    <t>PAID ON 10/2</t>
  </si>
  <si>
    <t>MONICAH NJIRU</t>
  </si>
  <si>
    <t>FOR THE MONTH OF MARCH  2021</t>
  </si>
  <si>
    <t>FOR THE MONTH OF MARCH 2021</t>
  </si>
  <si>
    <t>JOHNSON MWITI(EVICTED)</t>
  </si>
  <si>
    <t>EVICTED</t>
  </si>
  <si>
    <t>SIMON IRUNGU PAID LL</t>
  </si>
  <si>
    <t>FOR THE MONTH OF APRIL  2021</t>
  </si>
  <si>
    <t>FOR THE MONTH OF APRIL 2021</t>
  </si>
  <si>
    <t>NO.18 PAID LL</t>
  </si>
  <si>
    <t>MILLICENT</t>
  </si>
  <si>
    <t>PAID ON 10/4</t>
  </si>
  <si>
    <t>FOR THE MONTH OF MAY  2021</t>
  </si>
  <si>
    <t>FOR THE MONTH OF MAY 2021</t>
  </si>
  <si>
    <t>JOANNA KIPLANGAT</t>
  </si>
  <si>
    <t>NO.18 LL</t>
  </si>
  <si>
    <t>PAID ON 10/5</t>
  </si>
  <si>
    <t>CARO VACCATED</t>
  </si>
  <si>
    <t>FOR THE MONTH OF JUNE  2021</t>
  </si>
  <si>
    <t>FOR THE MONTH OF JUNE 2021</t>
  </si>
  <si>
    <t>ESTHER NJERI</t>
  </si>
  <si>
    <t>HIDAH</t>
  </si>
  <si>
    <t>KAMAU</t>
  </si>
  <si>
    <t>ESTHER WANYOIKE</t>
  </si>
  <si>
    <t>CAROL VACCATED</t>
  </si>
  <si>
    <t>PAID ON 9/6</t>
  </si>
  <si>
    <t>PAID ON 8/6</t>
  </si>
  <si>
    <t>FOR THE MONTH OF JULY 2021</t>
  </si>
  <si>
    <t>500LL</t>
  </si>
  <si>
    <t>KAMAU PAID LL</t>
  </si>
  <si>
    <t>PAID ON 9/7</t>
  </si>
  <si>
    <t>FOR THE MONTH OF JULY  2021</t>
  </si>
  <si>
    <t>FOR THE MONTH OF AUGUST  2021</t>
  </si>
  <si>
    <t>FOR THE MONTH OF AUGUST 2021</t>
  </si>
  <si>
    <t>WINNIE BARASA</t>
  </si>
  <si>
    <t>JOSPHAT</t>
  </si>
  <si>
    <t>PAID ON 11/8</t>
  </si>
  <si>
    <t>PAID ON 9/8</t>
  </si>
  <si>
    <t>KENNETH MUTHAMA</t>
  </si>
  <si>
    <t>FOR THE MONTH OF SEPTEMBER  2021</t>
  </si>
  <si>
    <t>FOR THE MONTH OF SEPTEMBER 2021</t>
  </si>
  <si>
    <t>ALEX</t>
  </si>
  <si>
    <t>PAID ON 9/9</t>
  </si>
  <si>
    <t>FOR THE MONTH OF OCTOBER   2021</t>
  </si>
  <si>
    <t xml:space="preserve">OCTOBER </t>
  </si>
  <si>
    <t>PAID ON 7/10</t>
  </si>
  <si>
    <t>FOR THE MONTH OF OCTOBER 2021</t>
  </si>
  <si>
    <t>FOR THE MONTH OF NOVEMBER  2021</t>
  </si>
  <si>
    <t>JACKTON VACCATED</t>
  </si>
  <si>
    <t>ARREARS</t>
  </si>
  <si>
    <t>PAID LL</t>
  </si>
  <si>
    <t>MILLICENT PAID LL</t>
  </si>
  <si>
    <t>WAFULA</t>
  </si>
  <si>
    <t>MILL</t>
  </si>
  <si>
    <t>PAID ON 10/11</t>
  </si>
  <si>
    <t>TERESIA LASOI LEPOSO</t>
  </si>
  <si>
    <t>FOR THE MONTH OF DECEMBER 2021</t>
  </si>
  <si>
    <t>FOR THE MONTH OF DECEMBER  2021</t>
  </si>
  <si>
    <t>SIMON IRUNGUPAID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</si>
</sst>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0" fontId="3" fillId="0" borderId="1" xfId="0" applyFont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Fill="1" applyBorder="1"/>
    <xf numFmtId="0" fontId="4" fillId="0" borderId="1" xfId="0" applyFont="1" applyBorder="1"/>
    <xf numFmtId="0" fontId="5" fillId="0" borderId="1" xfId="0" applyFont="1" applyBorder="1"/>
    <xf numFmtId="0" fontId="5" fillId="0" borderId="5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0" xfId="0" applyFill="1" applyBorder="1"/>
    <xf numFmtId="0" fontId="3" fillId="0" borderId="0" xfId="0" applyFont="1"/>
    <xf numFmtId="0" fontId="7" fillId="0" borderId="0" xfId="0" applyFont="1"/>
    <xf numFmtId="0" fontId="6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8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2" fillId="0" borderId="1" xfId="0" applyFont="1" applyBorder="1"/>
    <xf numFmtId="0" fontId="12" fillId="0" borderId="0" xfId="0" applyFont="1"/>
    <xf numFmtId="0" fontId="1" fillId="0" borderId="9" xfId="0" applyFont="1" applyBorder="1"/>
    <xf numFmtId="0" fontId="1" fillId="0" borderId="10" xfId="0" applyFont="1" applyBorder="1"/>
    <xf numFmtId="0" fontId="0" fillId="0" borderId="5" xfId="0" applyFill="1" applyBorder="1"/>
    <xf numFmtId="0" fontId="4" fillId="0" borderId="1" xfId="0" applyFont="1" applyFill="1" applyBorder="1"/>
    <xf numFmtId="0" fontId="13" fillId="0" borderId="0" xfId="0" applyFont="1"/>
    <xf numFmtId="0" fontId="3" fillId="0" borderId="11" xfId="0" applyFont="1" applyFill="1" applyBorder="1"/>
    <xf numFmtId="0" fontId="14" fillId="0" borderId="1" xfId="0" applyFont="1" applyBorder="1"/>
    <xf numFmtId="0" fontId="15" fillId="0" borderId="11" xfId="0" applyFont="1" applyFill="1" applyBorder="1"/>
    <xf numFmtId="0" fontId="14" fillId="0" borderId="0" xfId="0" applyFont="1"/>
    <xf numFmtId="0" fontId="4" fillId="0" borderId="0" xfId="0" applyFont="1"/>
    <xf numFmtId="0" fontId="16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TFLOW-PC\Desktop\FLORENCE\CLIENTS\LEMENG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"/>
      <sheetName val="FEB"/>
      <sheetName val="MARCH"/>
      <sheetName val="APRIL 2015"/>
      <sheetName val="MAY 2014"/>
      <sheetName val="Sheet1"/>
      <sheetName val="JULY 2015"/>
      <sheetName val="AUGUST 2015"/>
      <sheetName val="SEP 2015"/>
      <sheetName val="OCT"/>
      <sheetName val="NOVE"/>
      <sheetName val="Sheet2"/>
      <sheetName val="Sheet3"/>
      <sheetName val="Sheet4"/>
      <sheetName val="JAN 2016"/>
      <sheetName val="FEBRUARY 2016"/>
      <sheetName val="MARCH 2016"/>
      <sheetName val="APRIL 2016"/>
      <sheetName val="MAY 2016"/>
      <sheetName val="JUNE  2016"/>
      <sheetName val="JULY 2016"/>
      <sheetName val="AUGUST 2016"/>
      <sheetName val="SEPT 2016"/>
      <sheetName val="OCT 2016"/>
      <sheetName val="NOVEMBER 2016"/>
      <sheetName val="Sheet7"/>
      <sheetName val="Sheet6"/>
      <sheetName val="Sheet5"/>
      <sheetName val="JAN 2017"/>
      <sheetName val="feb 2017"/>
      <sheetName val="MARCH 2017"/>
      <sheetName val="APRIL 2017"/>
      <sheetName val="MAI"/>
      <sheetName val="JUNE 2017"/>
      <sheetName val="JULY 2017"/>
      <sheetName val="AUGUST 2017"/>
      <sheetName val="SEPTEMBER 2017"/>
      <sheetName val="OCTO"/>
      <sheetName val="NOV"/>
      <sheetName val="DEC"/>
      <sheetName val="JAN 18"/>
      <sheetName val="FEB18"/>
      <sheetName val="MAR 18"/>
      <sheetName val="APRILL"/>
      <sheetName val="MAY18"/>
      <sheetName val="JUNE "/>
      <sheetName val="JULY7"/>
      <sheetName val="AUG "/>
      <sheetName val="SEP"/>
      <sheetName val="OCTO "/>
      <sheetName val="NOVEM"/>
      <sheetName val="DECE"/>
      <sheetName val="JANUARY "/>
      <sheetName val="FEB "/>
      <sheetName val="MARCH "/>
      <sheetName val="APRIL "/>
      <sheetName val="MAY "/>
      <sheetName val="JUNEE"/>
      <sheetName val="JULY "/>
      <sheetName val="AUG 19"/>
      <sheetName val="SEPTEMBER 19"/>
      <sheetName val="OCTOBER 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20"/>
      <sheetName val="SEPTEMBER 20"/>
      <sheetName val="OCTOBER 20"/>
      <sheetName val="NOVEMBER20"/>
      <sheetName val="DECEMBER 20"/>
      <sheetName val="JANUARY 21"/>
      <sheetName val="FEBRUARY21"/>
      <sheetName val="MARCH 21"/>
      <sheetName val="APRIL 21"/>
      <sheetName val="MAY  21"/>
      <sheetName val="JUNE 21"/>
      <sheetName val="JULY 21"/>
      <sheetName val="AUGUST 21"/>
      <sheetName val="SEPT 21"/>
      <sheetName val="OCTOBER  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13" sqref="B13"/>
    </sheetView>
  </sheetViews>
  <sheetFormatPr defaultRowHeight="15" x14ac:dyDescent="0.25"/>
  <cols>
    <col min="1" max="1" width="4.140625" customWidth="1"/>
    <col min="2" max="2" width="29.42578125" customWidth="1"/>
    <col min="5" max="5" width="10.7109375" customWidth="1"/>
    <col min="7" max="7" width="7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1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30</v>
      </c>
      <c r="C5" s="3"/>
      <c r="D5" s="3">
        <v>1000</v>
      </c>
      <c r="E5" s="3">
        <f>C5+D5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3" t="s">
        <v>7</v>
      </c>
      <c r="C6" s="3"/>
      <c r="D6" s="3">
        <v>1000</v>
      </c>
      <c r="E6" s="3">
        <f t="shared" ref="E6:E19" si="0">C6+D6</f>
        <v>1000</v>
      </c>
      <c r="F6" s="3">
        <v>1000</v>
      </c>
      <c r="G6" s="3">
        <f t="shared" ref="G6:G20" si="1">E6-F6</f>
        <v>0</v>
      </c>
    </row>
    <row r="7" spans="1:7" x14ac:dyDescent="0.25">
      <c r="A7" s="3">
        <v>3</v>
      </c>
      <c r="B7" s="3" t="s">
        <v>8</v>
      </c>
      <c r="C7" s="3"/>
      <c r="D7" s="3">
        <v>1000</v>
      </c>
      <c r="E7" s="3">
        <f t="shared" si="0"/>
        <v>1000</v>
      </c>
      <c r="F7" s="3">
        <v>1000</v>
      </c>
      <c r="G7" s="3">
        <f t="shared" si="1"/>
        <v>0</v>
      </c>
    </row>
    <row r="8" spans="1:7" x14ac:dyDescent="0.25">
      <c r="A8" s="3">
        <v>4</v>
      </c>
      <c r="B8" s="3" t="s">
        <v>18</v>
      </c>
      <c r="C8" s="3"/>
      <c r="D8" s="3">
        <v>1000</v>
      </c>
      <c r="E8" s="3">
        <f t="shared" si="0"/>
        <v>1000</v>
      </c>
      <c r="F8" s="3">
        <v>1000</v>
      </c>
      <c r="G8" s="3">
        <f t="shared" si="1"/>
        <v>0</v>
      </c>
    </row>
    <row r="9" spans="1:7" x14ac:dyDescent="0.25">
      <c r="A9" s="3">
        <v>5</v>
      </c>
      <c r="B9" s="3" t="s">
        <v>9</v>
      </c>
      <c r="C9" s="3"/>
      <c r="D9" s="3">
        <v>500</v>
      </c>
      <c r="E9" s="3">
        <f t="shared" si="0"/>
        <v>500</v>
      </c>
      <c r="F9" s="3">
        <v>500</v>
      </c>
      <c r="G9" s="3">
        <f t="shared" si="1"/>
        <v>0</v>
      </c>
    </row>
    <row r="10" spans="1:7" x14ac:dyDescent="0.25">
      <c r="A10" s="3">
        <v>6</v>
      </c>
      <c r="B10" s="3" t="s">
        <v>28</v>
      </c>
      <c r="C10" s="3"/>
      <c r="D10" s="3">
        <v>1000</v>
      </c>
      <c r="E10" s="3">
        <f t="shared" si="0"/>
        <v>1000</v>
      </c>
      <c r="F10" s="3">
        <v>1000</v>
      </c>
      <c r="G10" s="3">
        <f t="shared" si="1"/>
        <v>0</v>
      </c>
    </row>
    <row r="11" spans="1:7" x14ac:dyDescent="0.25">
      <c r="A11" s="3">
        <v>7</v>
      </c>
      <c r="B11" s="3" t="s">
        <v>10</v>
      </c>
      <c r="C11" s="3"/>
      <c r="D11" s="3">
        <v>1000</v>
      </c>
      <c r="E11" s="3">
        <f t="shared" si="0"/>
        <v>1000</v>
      </c>
      <c r="F11" s="3">
        <v>1000</v>
      </c>
      <c r="G11" s="3">
        <f t="shared" si="1"/>
        <v>0</v>
      </c>
    </row>
    <row r="12" spans="1:7" x14ac:dyDescent="0.25">
      <c r="A12" s="3">
        <v>8</v>
      </c>
      <c r="B12" s="3" t="s">
        <v>11</v>
      </c>
      <c r="C12" s="3"/>
      <c r="D12" s="3">
        <v>1000</v>
      </c>
      <c r="E12" s="3">
        <f t="shared" si="0"/>
        <v>1000</v>
      </c>
      <c r="F12" s="3">
        <v>1000</v>
      </c>
      <c r="G12" s="3">
        <f t="shared" si="1"/>
        <v>0</v>
      </c>
    </row>
    <row r="13" spans="1:7" x14ac:dyDescent="0.25">
      <c r="A13" s="3">
        <v>9</v>
      </c>
      <c r="B13" s="3" t="s">
        <v>12</v>
      </c>
      <c r="C13" s="3"/>
      <c r="D13" s="3">
        <v>1000</v>
      </c>
      <c r="E13" s="3">
        <f t="shared" si="0"/>
        <v>1000</v>
      </c>
      <c r="F13" s="3">
        <v>1000</v>
      </c>
      <c r="G13" s="3">
        <f t="shared" si="1"/>
        <v>0</v>
      </c>
    </row>
    <row r="14" spans="1:7" x14ac:dyDescent="0.25">
      <c r="A14" s="3">
        <v>10</v>
      </c>
      <c r="B14" s="3" t="s">
        <v>13</v>
      </c>
      <c r="C14" s="3"/>
      <c r="D14" s="3">
        <v>1000</v>
      </c>
      <c r="E14" s="3">
        <f t="shared" si="0"/>
        <v>1000</v>
      </c>
      <c r="F14" s="3">
        <v>1000</v>
      </c>
      <c r="G14" s="3">
        <f t="shared" si="1"/>
        <v>0</v>
      </c>
    </row>
    <row r="15" spans="1:7" x14ac:dyDescent="0.25">
      <c r="A15" s="3">
        <v>11</v>
      </c>
      <c r="B15" s="3" t="s">
        <v>14</v>
      </c>
      <c r="C15" s="3"/>
      <c r="D15" s="3">
        <v>1000</v>
      </c>
      <c r="E15" s="3">
        <f t="shared" si="0"/>
        <v>1000</v>
      </c>
      <c r="F15" s="3">
        <v>1000</v>
      </c>
      <c r="G15" s="3">
        <f t="shared" si="1"/>
        <v>0</v>
      </c>
    </row>
    <row r="16" spans="1:7" x14ac:dyDescent="0.25">
      <c r="A16" s="3">
        <v>12</v>
      </c>
      <c r="B16" s="3" t="s">
        <v>31</v>
      </c>
      <c r="C16" s="3"/>
      <c r="D16" s="3">
        <v>1000</v>
      </c>
      <c r="E16" s="3">
        <f t="shared" si="0"/>
        <v>1000</v>
      </c>
      <c r="F16" s="3">
        <v>1000</v>
      </c>
      <c r="G16" s="3">
        <f t="shared" si="1"/>
        <v>0</v>
      </c>
    </row>
    <row r="17" spans="1:7" x14ac:dyDescent="0.25">
      <c r="A17" s="3">
        <v>13</v>
      </c>
      <c r="B17" s="3" t="s">
        <v>16</v>
      </c>
      <c r="C17" s="3"/>
      <c r="D17" s="3">
        <v>1000</v>
      </c>
      <c r="E17" s="3">
        <f t="shared" si="0"/>
        <v>1000</v>
      </c>
      <c r="F17" s="3">
        <v>1000</v>
      </c>
      <c r="G17" s="3">
        <f t="shared" si="1"/>
        <v>0</v>
      </c>
    </row>
    <row r="18" spans="1:7" x14ac:dyDescent="0.25">
      <c r="A18" s="3">
        <v>14</v>
      </c>
      <c r="B18" s="3" t="s">
        <v>29</v>
      </c>
      <c r="C18" s="3"/>
      <c r="D18" s="3">
        <v>1000</v>
      </c>
      <c r="E18" s="3">
        <f t="shared" si="0"/>
        <v>1000</v>
      </c>
      <c r="F18" s="3">
        <v>1000</v>
      </c>
      <c r="G18" s="3">
        <f t="shared" si="1"/>
        <v>0</v>
      </c>
    </row>
    <row r="19" spans="1:7" x14ac:dyDescent="0.25">
      <c r="A19" s="3">
        <v>15</v>
      </c>
      <c r="B19" s="3" t="s">
        <v>17</v>
      </c>
      <c r="C19" s="3"/>
      <c r="D19" s="3">
        <v>1000</v>
      </c>
      <c r="E19" s="3">
        <f t="shared" si="0"/>
        <v>1000</v>
      </c>
      <c r="F19" s="3">
        <v>1000</v>
      </c>
      <c r="G19" s="3">
        <f t="shared" si="1"/>
        <v>0</v>
      </c>
    </row>
    <row r="20" spans="1:7" x14ac:dyDescent="0.25">
      <c r="A20" s="3">
        <v>16</v>
      </c>
      <c r="B20" s="3" t="s">
        <v>15</v>
      </c>
      <c r="C20" s="3"/>
      <c r="D20" s="3"/>
      <c r="E20" s="3"/>
      <c r="F20" s="3"/>
      <c r="G20" s="3">
        <f t="shared" si="1"/>
        <v>0</v>
      </c>
    </row>
    <row r="21" spans="1:7" x14ac:dyDescent="0.25">
      <c r="A21" s="3"/>
      <c r="B21" s="3"/>
      <c r="C21" s="3"/>
      <c r="D21" s="3"/>
      <c r="E21" s="3"/>
      <c r="F21" s="3"/>
      <c r="G21" s="3"/>
    </row>
    <row r="22" spans="1:7" ht="15.75" thickBot="1" x14ac:dyDescent="0.3">
      <c r="A22" s="2"/>
      <c r="B22" s="2" t="s">
        <v>26</v>
      </c>
      <c r="C22" s="2"/>
      <c r="D22" s="6">
        <f>SUM(D5:D21)</f>
        <v>14500</v>
      </c>
      <c r="E22" s="6">
        <f>SUM(E5:E21)</f>
        <v>14500</v>
      </c>
      <c r="F22" s="6">
        <f>SUM(F5:F21)</f>
        <v>14500</v>
      </c>
      <c r="G22" s="6">
        <f>SUM(G5:G21)</f>
        <v>0</v>
      </c>
    </row>
    <row r="23" spans="1:7" ht="15.75" thickTop="1" x14ac:dyDescent="0.25"/>
    <row r="25" spans="1:7" ht="18.75" x14ac:dyDescent="0.3">
      <c r="B25" s="4" t="s">
        <v>22</v>
      </c>
      <c r="C25" s="4" t="s">
        <v>23</v>
      </c>
      <c r="D25" s="4" t="s">
        <v>24</v>
      </c>
      <c r="E25" s="4" t="s">
        <v>25</v>
      </c>
    </row>
    <row r="26" spans="1:7" x14ac:dyDescent="0.25">
      <c r="B26" s="3" t="s">
        <v>19</v>
      </c>
      <c r="C26" s="3">
        <f>D22</f>
        <v>14500</v>
      </c>
      <c r="D26" s="3"/>
      <c r="E26" s="3"/>
    </row>
    <row r="27" spans="1:7" x14ac:dyDescent="0.25">
      <c r="B27" s="3"/>
      <c r="C27" s="3"/>
      <c r="D27" s="3"/>
      <c r="E27" s="3"/>
    </row>
    <row r="28" spans="1:7" x14ac:dyDescent="0.25">
      <c r="B28" s="3"/>
      <c r="C28" s="3"/>
      <c r="D28" s="3"/>
      <c r="E28" s="3"/>
    </row>
    <row r="29" spans="1:7" x14ac:dyDescent="0.25">
      <c r="B29" s="2" t="s">
        <v>38</v>
      </c>
      <c r="C29" s="3"/>
      <c r="D29" s="3"/>
      <c r="E29" s="3"/>
    </row>
    <row r="30" spans="1:7" x14ac:dyDescent="0.25">
      <c r="B30" s="3" t="s">
        <v>21</v>
      </c>
      <c r="C30" s="5">
        <v>0.1</v>
      </c>
      <c r="D30" s="3">
        <v>1500</v>
      </c>
      <c r="E30" s="3"/>
    </row>
    <row r="31" spans="1:7" x14ac:dyDescent="0.25">
      <c r="B31" s="3" t="s">
        <v>32</v>
      </c>
      <c r="C31" s="3"/>
      <c r="D31" s="3">
        <v>4000</v>
      </c>
      <c r="E31" s="3"/>
    </row>
    <row r="32" spans="1:7" x14ac:dyDescent="0.25">
      <c r="B32" s="3" t="s">
        <v>37</v>
      </c>
      <c r="C32" s="3"/>
      <c r="D32" s="3">
        <v>9000</v>
      </c>
      <c r="E32" s="3"/>
    </row>
    <row r="33" spans="2:5" x14ac:dyDescent="0.25">
      <c r="B33" s="9"/>
      <c r="C33" s="3"/>
      <c r="D33" s="3"/>
      <c r="E33" s="3"/>
    </row>
    <row r="34" spans="2:5" ht="15.75" thickBot="1" x14ac:dyDescent="0.3">
      <c r="B34" s="2" t="s">
        <v>26</v>
      </c>
      <c r="C34" s="8">
        <f>C26</f>
        <v>14500</v>
      </c>
      <c r="D34" s="7">
        <f>SUM(D30:D33)</f>
        <v>14500</v>
      </c>
      <c r="E34" s="7">
        <f>C34-D34</f>
        <v>0</v>
      </c>
    </row>
    <row r="35" spans="2:5" ht="15.75" thickTop="1" x14ac:dyDescent="0.25"/>
    <row r="36" spans="2:5" x14ac:dyDescent="0.25">
      <c r="B36" t="s">
        <v>33</v>
      </c>
      <c r="D36" t="s">
        <v>34</v>
      </c>
    </row>
    <row r="38" spans="2:5" x14ac:dyDescent="0.25">
      <c r="B38" t="s">
        <v>35</v>
      </c>
      <c r="D38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G30" sqref="G30"/>
    </sheetView>
  </sheetViews>
  <sheetFormatPr defaultRowHeight="15" x14ac:dyDescent="0.25"/>
  <cols>
    <col min="1" max="1" width="4" customWidth="1"/>
    <col min="2" max="2" width="19.1406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98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16" t="s">
        <v>78</v>
      </c>
      <c r="C6" s="3"/>
      <c r="D6" s="3">
        <v>1000</v>
      </c>
      <c r="E6" s="3">
        <f t="shared" ref="E6:E17" si="0">D6+C6</f>
        <v>1000</v>
      </c>
      <c r="F6" s="3">
        <v>1000</v>
      </c>
      <c r="G6" s="3">
        <f t="shared" ref="G6:G18" si="1">E6-F6</f>
        <v>0</v>
      </c>
    </row>
    <row r="7" spans="1:8" x14ac:dyDescent="0.25">
      <c r="A7" s="16">
        <v>3</v>
      </c>
      <c r="B7" s="20" t="s">
        <v>45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  <c r="H7" t="s">
        <v>46</v>
      </c>
    </row>
    <row r="8" spans="1:8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8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8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9</v>
      </c>
      <c r="B13" s="16" t="s">
        <v>15</v>
      </c>
      <c r="C13" s="16"/>
      <c r="D13" s="16"/>
      <c r="E13" s="16">
        <f t="shared" si="0"/>
        <v>0</v>
      </c>
      <c r="F13" s="16"/>
      <c r="G13" s="3">
        <f t="shared" si="1"/>
        <v>0</v>
      </c>
    </row>
    <row r="14" spans="1:8" x14ac:dyDescent="0.25">
      <c r="A14" s="16">
        <v>10</v>
      </c>
      <c r="B14" s="16" t="s">
        <v>94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8" x14ac:dyDescent="0.25">
      <c r="A15" s="16">
        <v>11</v>
      </c>
      <c r="B15" s="16" t="s">
        <v>7</v>
      </c>
      <c r="C15" s="16"/>
      <c r="D15" s="16">
        <v>1000</v>
      </c>
      <c r="E15" s="16">
        <f t="shared" si="0"/>
        <v>1000</v>
      </c>
      <c r="F15" s="16">
        <v>1000</v>
      </c>
      <c r="G15" s="3">
        <f t="shared" si="1"/>
        <v>0</v>
      </c>
    </row>
    <row r="16" spans="1:8" x14ac:dyDescent="0.25">
      <c r="A16" s="16">
        <v>12</v>
      </c>
      <c r="B16" s="17" t="s">
        <v>88</v>
      </c>
      <c r="C16" s="16"/>
      <c r="D16" s="18">
        <v>1000</v>
      </c>
      <c r="E16" s="16">
        <f t="shared" si="0"/>
        <v>1000</v>
      </c>
      <c r="F16" s="16">
        <v>1000</v>
      </c>
      <c r="G16" s="3">
        <f t="shared" si="1"/>
        <v>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ref="E18:E24" si="2"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67</v>
      </c>
      <c r="C19" s="16"/>
      <c r="D19" s="16">
        <v>1000</v>
      </c>
      <c r="E19" s="16">
        <f t="shared" si="2"/>
        <v>1000</v>
      </c>
      <c r="F19" s="16">
        <v>1000</v>
      </c>
      <c r="G19" s="3">
        <f t="shared" ref="G19:G24" si="3">E19-F19</f>
        <v>0</v>
      </c>
    </row>
    <row r="20" spans="1:9" x14ac:dyDescent="0.25">
      <c r="A20" s="16">
        <v>16</v>
      </c>
      <c r="B20" s="16" t="s">
        <v>59</v>
      </c>
      <c r="C20" s="16"/>
      <c r="D20" s="16">
        <v>1000</v>
      </c>
      <c r="E20" s="16">
        <f t="shared" si="2"/>
        <v>1000</v>
      </c>
      <c r="F20" s="16">
        <v>1000</v>
      </c>
      <c r="G20" s="3">
        <f t="shared" si="3"/>
        <v>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2"/>
        <v>1500</v>
      </c>
      <c r="F21" s="16">
        <v>1500</v>
      </c>
      <c r="G21" s="3">
        <f t="shared" si="3"/>
        <v>0</v>
      </c>
    </row>
    <row r="22" spans="1:9" x14ac:dyDescent="0.25">
      <c r="A22" s="3">
        <v>18</v>
      </c>
      <c r="B22" s="18" t="s">
        <v>97</v>
      </c>
      <c r="C22" s="3"/>
      <c r="D22" s="3">
        <v>1500</v>
      </c>
      <c r="E22" s="16">
        <f t="shared" si="2"/>
        <v>1500</v>
      </c>
      <c r="F22" s="3">
        <v>1500</v>
      </c>
      <c r="G22" s="3">
        <f t="shared" si="3"/>
        <v>0</v>
      </c>
    </row>
    <row r="23" spans="1:9" x14ac:dyDescent="0.25">
      <c r="A23" s="3">
        <v>19</v>
      </c>
      <c r="B23" s="18" t="s">
        <v>103</v>
      </c>
      <c r="C23" s="3"/>
      <c r="D23" s="3">
        <v>1500</v>
      </c>
      <c r="E23" s="16">
        <f t="shared" si="2"/>
        <v>1500</v>
      </c>
      <c r="F23" s="3">
        <v>400</v>
      </c>
      <c r="G23" s="3">
        <f t="shared" si="3"/>
        <v>1100</v>
      </c>
    </row>
    <row r="24" spans="1:9" x14ac:dyDescent="0.25">
      <c r="A24" s="3">
        <v>20</v>
      </c>
      <c r="B24" s="18" t="s">
        <v>45</v>
      </c>
      <c r="C24" s="3"/>
      <c r="D24" s="3">
        <v>1500</v>
      </c>
      <c r="E24" s="16">
        <f t="shared" si="2"/>
        <v>1500</v>
      </c>
      <c r="F24" s="3">
        <v>1500</v>
      </c>
      <c r="G24" s="3">
        <f t="shared" si="3"/>
        <v>0</v>
      </c>
    </row>
    <row r="25" spans="1:9" x14ac:dyDescent="0.25">
      <c r="A25" s="2"/>
      <c r="B25" s="2" t="s">
        <v>26</v>
      </c>
      <c r="C25" s="2">
        <f>SUM(C5:C23)</f>
        <v>0</v>
      </c>
      <c r="D25" s="2">
        <f>SUM(D5:D24)</f>
        <v>21000</v>
      </c>
      <c r="E25" s="2">
        <f>SUM(E5:E24)</f>
        <v>21000</v>
      </c>
      <c r="F25" s="2">
        <f>SUM(F5:F24)</f>
        <v>19900</v>
      </c>
      <c r="G25" s="2">
        <f>SUM(G5:G24)</f>
        <v>1100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99</v>
      </c>
      <c r="C29" s="3">
        <f>D25</f>
        <v>21000</v>
      </c>
      <c r="D29" s="3"/>
      <c r="E29" s="3"/>
      <c r="F29" s="3" t="s">
        <v>99</v>
      </c>
      <c r="G29" s="3">
        <f>F25</f>
        <v>19900</v>
      </c>
      <c r="H29" s="3"/>
      <c r="I29" s="3"/>
    </row>
    <row r="30" spans="1:9" x14ac:dyDescent="0.25">
      <c r="B30" s="3" t="s">
        <v>62</v>
      </c>
      <c r="C30" s="3"/>
      <c r="D30" s="3"/>
      <c r="E30" s="3"/>
      <c r="F30" s="3" t="s">
        <v>62</v>
      </c>
      <c r="G30">
        <f>SEP!I37</f>
        <v>-200</v>
      </c>
      <c r="H30" s="3"/>
      <c r="I30" s="3"/>
    </row>
    <row r="31" spans="1:9" x14ac:dyDescent="0.25">
      <c r="B31" s="2" t="s">
        <v>20</v>
      </c>
      <c r="C31" s="3">
        <f>SUM(C29:C30)</f>
        <v>21000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2100</v>
      </c>
      <c r="E32" s="3"/>
      <c r="F32" s="3" t="s">
        <v>41</v>
      </c>
      <c r="G32" s="5">
        <v>0.1</v>
      </c>
      <c r="H32" s="3">
        <f>D32</f>
        <v>2100</v>
      </c>
      <c r="I32" s="3"/>
    </row>
    <row r="33" spans="2:9" x14ac:dyDescent="0.25">
      <c r="B33" s="19" t="s">
        <v>101</v>
      </c>
      <c r="C33" s="3"/>
      <c r="D33" s="3">
        <v>200</v>
      </c>
      <c r="E33" s="3"/>
      <c r="F33" s="10" t="s">
        <v>104</v>
      </c>
      <c r="G33" s="3"/>
      <c r="H33" s="3">
        <v>1000</v>
      </c>
      <c r="I33" s="3"/>
    </row>
    <row r="34" spans="2:9" x14ac:dyDescent="0.25">
      <c r="B34" s="10" t="s">
        <v>104</v>
      </c>
      <c r="C34" s="3"/>
      <c r="D34" s="3">
        <v>1000</v>
      </c>
      <c r="E34" s="3"/>
      <c r="F34" s="10">
        <v>43398</v>
      </c>
      <c r="G34" s="3"/>
      <c r="H34" s="3">
        <v>17700</v>
      </c>
      <c r="I34" s="3"/>
    </row>
    <row r="35" spans="2:9" x14ac:dyDescent="0.25">
      <c r="B35" s="10">
        <v>43398</v>
      </c>
      <c r="C35" s="3"/>
      <c r="D35" s="3">
        <v>17700</v>
      </c>
      <c r="E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21000</v>
      </c>
      <c r="D37" s="3">
        <f>SUM(D32:D36)</f>
        <v>21000</v>
      </c>
      <c r="E37" s="3">
        <f>C37-D37</f>
        <v>0</v>
      </c>
      <c r="F37" s="2" t="s">
        <v>26</v>
      </c>
      <c r="G37" s="3">
        <f>G29+G30</f>
        <v>19700</v>
      </c>
      <c r="H37" s="3">
        <f>SUM(H32:H36)</f>
        <v>20800</v>
      </c>
      <c r="I37" s="3">
        <f>G37-H37</f>
        <v>-1100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workbookViewId="0">
      <selection activeCell="D30" sqref="D30"/>
    </sheetView>
  </sheetViews>
  <sheetFormatPr defaultRowHeight="15" x14ac:dyDescent="0.25"/>
  <cols>
    <col min="1" max="1" width="4" customWidth="1"/>
    <col min="2" max="2" width="18.5703125" customWidth="1"/>
    <col min="3" max="3" width="7.5703125" customWidth="1"/>
    <col min="5" max="5" width="10.28515625" customWidth="1"/>
    <col min="6" max="6" width="12.5703125" customWidth="1"/>
    <col min="7" max="7" width="9.425781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105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16" t="s">
        <v>78</v>
      </c>
      <c r="C6" s="3"/>
      <c r="D6" s="3">
        <v>1000</v>
      </c>
      <c r="E6" s="3">
        <f t="shared" ref="E6:E21" si="0">D6+C6</f>
        <v>1000</v>
      </c>
      <c r="F6" s="3">
        <v>1000</v>
      </c>
      <c r="G6" s="3">
        <f t="shared" ref="G6:G18" si="1">E6-F6</f>
        <v>0</v>
      </c>
    </row>
    <row r="7" spans="1:8" x14ac:dyDescent="0.25">
      <c r="A7" s="16">
        <v>3</v>
      </c>
      <c r="B7" s="20" t="s">
        <v>45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  <c r="H7" t="s">
        <v>46</v>
      </c>
    </row>
    <row r="8" spans="1:8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8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8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9</v>
      </c>
      <c r="B13" s="16" t="s">
        <v>107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  <c r="H13" t="s">
        <v>46</v>
      </c>
    </row>
    <row r="14" spans="1:8" x14ac:dyDescent="0.25">
      <c r="A14" s="16">
        <v>10</v>
      </c>
      <c r="B14" s="16" t="s">
        <v>110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8" x14ac:dyDescent="0.25">
      <c r="A15" s="16">
        <v>11</v>
      </c>
      <c r="B15" s="3" t="s">
        <v>30</v>
      </c>
      <c r="C15" s="3"/>
      <c r="D15" s="3">
        <v>1000</v>
      </c>
      <c r="E15" s="3">
        <f t="shared" si="0"/>
        <v>1000</v>
      </c>
      <c r="F15" s="3">
        <v>500</v>
      </c>
      <c r="G15" s="3">
        <f t="shared" si="1"/>
        <v>500</v>
      </c>
    </row>
    <row r="16" spans="1:8" x14ac:dyDescent="0.25">
      <c r="A16" s="16">
        <v>12</v>
      </c>
      <c r="B16" s="18" t="s">
        <v>108</v>
      </c>
      <c r="C16" s="16"/>
      <c r="D16" s="18">
        <v>1000</v>
      </c>
      <c r="E16" s="16">
        <f t="shared" si="0"/>
        <v>1000</v>
      </c>
      <c r="F16" s="16">
        <v>1000</v>
      </c>
      <c r="G16" s="3">
        <f t="shared" si="1"/>
        <v>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109</v>
      </c>
      <c r="C19" s="16"/>
      <c r="D19" s="16">
        <v>1000</v>
      </c>
      <c r="E19" s="16">
        <f>D19+C19</f>
        <v>1000</v>
      </c>
      <c r="F19" s="16">
        <v>1000</v>
      </c>
      <c r="G19" s="3">
        <f t="shared" ref="G19:G24" si="2">E19-F19</f>
        <v>0</v>
      </c>
    </row>
    <row r="20" spans="1:9" x14ac:dyDescent="0.25">
      <c r="A20" s="16">
        <v>16</v>
      </c>
      <c r="B20" s="16" t="s">
        <v>59</v>
      </c>
      <c r="C20" s="16"/>
      <c r="D20" s="16">
        <v>1000</v>
      </c>
      <c r="E20" s="16">
        <f t="shared" si="0"/>
        <v>1000</v>
      </c>
      <c r="F20" s="16"/>
      <c r="G20" s="3">
        <f t="shared" si="2"/>
        <v>1000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 t="shared" si="2"/>
        <v>0</v>
      </c>
    </row>
    <row r="22" spans="1:9" x14ac:dyDescent="0.25">
      <c r="A22" s="3">
        <v>18</v>
      </c>
      <c r="B22" s="18" t="s">
        <v>103</v>
      </c>
      <c r="C22" s="3">
        <v>1100</v>
      </c>
      <c r="D22" s="3"/>
      <c r="E22" s="16">
        <f>D22+C22</f>
        <v>1100</v>
      </c>
      <c r="F22" s="3">
        <v>1100</v>
      </c>
      <c r="G22" s="3">
        <f t="shared" si="2"/>
        <v>0</v>
      </c>
    </row>
    <row r="23" spans="1:9" x14ac:dyDescent="0.25">
      <c r="A23" s="3">
        <v>19</v>
      </c>
      <c r="B23" s="18" t="s">
        <v>97</v>
      </c>
      <c r="C23" s="3"/>
      <c r="D23" s="3">
        <v>1500</v>
      </c>
      <c r="E23" s="16">
        <f>D23+C23</f>
        <v>1500</v>
      </c>
      <c r="F23" s="3">
        <v>1500</v>
      </c>
      <c r="G23" s="3">
        <f t="shared" si="2"/>
        <v>0</v>
      </c>
    </row>
    <row r="24" spans="1:9" x14ac:dyDescent="0.25">
      <c r="A24" s="3">
        <v>20</v>
      </c>
      <c r="B24" s="18" t="s">
        <v>45</v>
      </c>
      <c r="C24" s="3"/>
      <c r="D24" s="3">
        <v>1500</v>
      </c>
      <c r="E24" s="16">
        <f>D24+C24</f>
        <v>1500</v>
      </c>
      <c r="F24" s="3">
        <v>1500</v>
      </c>
      <c r="G24" s="3">
        <f t="shared" si="2"/>
        <v>0</v>
      </c>
    </row>
    <row r="25" spans="1:9" x14ac:dyDescent="0.25">
      <c r="A25" s="2"/>
      <c r="B25" s="2" t="s">
        <v>26</v>
      </c>
      <c r="C25" s="2">
        <f>SUM(C5:C22)</f>
        <v>1100</v>
      </c>
      <c r="D25" s="2">
        <f>SUM(D5:D24)</f>
        <v>20500</v>
      </c>
      <c r="E25" s="2">
        <f>SUM(E5:E24)</f>
        <v>21600</v>
      </c>
      <c r="F25" s="2">
        <f>SUM(F5:F24)</f>
        <v>20100</v>
      </c>
      <c r="G25" s="2">
        <f>SUM(G5:G24)</f>
        <v>1500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106</v>
      </c>
      <c r="C29" s="3">
        <f>D25</f>
        <v>20500</v>
      </c>
      <c r="D29" s="3"/>
      <c r="E29" s="3"/>
      <c r="F29" s="3" t="s">
        <v>106</v>
      </c>
      <c r="G29" s="3">
        <f>F25</f>
        <v>20100</v>
      </c>
      <c r="H29" s="3"/>
      <c r="I29" s="3"/>
    </row>
    <row r="30" spans="1:9" x14ac:dyDescent="0.25">
      <c r="B30" s="3" t="s">
        <v>62</v>
      </c>
      <c r="C30" s="3">
        <f>OCTOBER!I37</f>
        <v>-1100</v>
      </c>
      <c r="D30" s="3"/>
      <c r="E30" s="3"/>
      <c r="F30" s="3" t="s">
        <v>62</v>
      </c>
      <c r="G30">
        <f>OCTOBER!I37</f>
        <v>-1100</v>
      </c>
      <c r="H30" s="3"/>
      <c r="I30" s="3"/>
    </row>
    <row r="31" spans="1:9" x14ac:dyDescent="0.25">
      <c r="B31" s="2" t="s">
        <v>20</v>
      </c>
      <c r="C31" s="3">
        <f>SUM(C29:C30)</f>
        <v>19400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2050</v>
      </c>
      <c r="E32" s="3"/>
      <c r="F32" s="3" t="s">
        <v>41</v>
      </c>
      <c r="G32" s="5">
        <v>0.1</v>
      </c>
      <c r="H32" s="3">
        <f>D32</f>
        <v>2050</v>
      </c>
      <c r="I32" s="3"/>
    </row>
    <row r="33" spans="2:9" x14ac:dyDescent="0.25">
      <c r="B33" s="19">
        <v>43430</v>
      </c>
      <c r="C33" s="3"/>
      <c r="D33" s="3">
        <v>17350</v>
      </c>
      <c r="E33" s="3"/>
      <c r="F33" s="10">
        <v>43430</v>
      </c>
      <c r="G33" s="3"/>
      <c r="H33" s="3">
        <v>17350</v>
      </c>
      <c r="I33" s="3"/>
    </row>
    <row r="34" spans="2:9" x14ac:dyDescent="0.25">
      <c r="B34" s="10" t="s">
        <v>120</v>
      </c>
      <c r="C34" s="3"/>
      <c r="D34" s="3">
        <f>D7+D13</f>
        <v>2000</v>
      </c>
      <c r="E34" s="3"/>
      <c r="F34" s="10" t="s">
        <v>120</v>
      </c>
      <c r="G34" s="3"/>
      <c r="H34" s="3">
        <f>D34</f>
        <v>2000</v>
      </c>
      <c r="I34" s="3"/>
    </row>
    <row r="35" spans="2:9" x14ac:dyDescent="0.25">
      <c r="B35" s="10"/>
      <c r="C35" s="3"/>
      <c r="D35" s="3"/>
      <c r="E35" s="3"/>
      <c r="F35" t="s">
        <v>117</v>
      </c>
      <c r="G35" s="3"/>
      <c r="H35" s="3">
        <v>1100</v>
      </c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19400</v>
      </c>
      <c r="D37" s="3">
        <f>SUM(D32:D36)</f>
        <v>21400</v>
      </c>
      <c r="E37" s="3">
        <f>C37-D37</f>
        <v>-2000</v>
      </c>
      <c r="F37" s="2" t="s">
        <v>26</v>
      </c>
      <c r="G37" s="3">
        <f>G29+G30</f>
        <v>19000</v>
      </c>
      <c r="H37" s="3">
        <f>SUM(H32:H36)</f>
        <v>22500</v>
      </c>
      <c r="I37" s="3">
        <f>G37-H37</f>
        <v>-3500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C26" sqref="C26"/>
    </sheetView>
  </sheetViews>
  <sheetFormatPr defaultRowHeight="15" x14ac:dyDescent="0.25"/>
  <cols>
    <col min="1" max="1" width="4" customWidth="1"/>
    <col min="2" max="2" width="18.57031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111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114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16" t="s">
        <v>78</v>
      </c>
      <c r="C6" s="3"/>
      <c r="D6" s="3">
        <v>1000</v>
      </c>
      <c r="E6" s="3">
        <f t="shared" ref="E6:E21" si="0">D6+C6</f>
        <v>1000</v>
      </c>
      <c r="F6" s="3">
        <v>1000</v>
      </c>
      <c r="G6" s="3">
        <f t="shared" ref="G6:G18" si="1">E6-F6</f>
        <v>0</v>
      </c>
    </row>
    <row r="7" spans="1:7" x14ac:dyDescent="0.25">
      <c r="A7" s="16">
        <v>3</v>
      </c>
      <c r="B7" s="18" t="s">
        <v>119</v>
      </c>
      <c r="C7" s="16"/>
      <c r="D7" s="18">
        <v>1000</v>
      </c>
      <c r="E7" s="16">
        <f>D7+C7</f>
        <v>1000</v>
      </c>
      <c r="F7" s="16">
        <v>1000</v>
      </c>
      <c r="G7" s="3">
        <f>E7-F7</f>
        <v>0</v>
      </c>
    </row>
    <row r="8" spans="1:7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3" t="s">
        <v>30</v>
      </c>
      <c r="C13" s="3">
        <v>500</v>
      </c>
      <c r="D13" s="3">
        <v>1000</v>
      </c>
      <c r="E13" s="3">
        <f>D13+C13</f>
        <v>1500</v>
      </c>
      <c r="F13" s="3">
        <v>1500</v>
      </c>
      <c r="G13" s="3">
        <f>E13-F13</f>
        <v>0</v>
      </c>
    </row>
    <row r="14" spans="1:7" x14ac:dyDescent="0.25">
      <c r="A14" s="16">
        <v>10</v>
      </c>
      <c r="B14" s="16" t="s">
        <v>113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8" t="s">
        <v>131</v>
      </c>
      <c r="C15" s="3"/>
      <c r="D15" s="18">
        <v>1000</v>
      </c>
      <c r="E15" s="18">
        <f t="shared" si="0"/>
        <v>1000</v>
      </c>
      <c r="F15" s="18">
        <v>1000</v>
      </c>
      <c r="G15" s="14">
        <f t="shared" si="1"/>
        <v>0</v>
      </c>
    </row>
    <row r="16" spans="1:7" x14ac:dyDescent="0.25">
      <c r="A16" s="16">
        <v>12</v>
      </c>
      <c r="B16" s="3" t="s">
        <v>116</v>
      </c>
      <c r="C16" s="3"/>
      <c r="D16" s="3">
        <v>600</v>
      </c>
      <c r="E16" s="3">
        <f t="shared" si="0"/>
        <v>600</v>
      </c>
      <c r="F16" s="3">
        <v>400</v>
      </c>
      <c r="G16" s="3">
        <f t="shared" si="1"/>
        <v>200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119</v>
      </c>
      <c r="C19" s="16"/>
      <c r="D19" s="16">
        <v>1000</v>
      </c>
      <c r="E19" s="16">
        <f>D19+C19</f>
        <v>1000</v>
      </c>
      <c r="F19" s="16">
        <v>1000</v>
      </c>
      <c r="G19" s="3">
        <f t="shared" ref="G19:G24" si="2">E19-F19</f>
        <v>0</v>
      </c>
    </row>
    <row r="20" spans="1:9" x14ac:dyDescent="0.25">
      <c r="A20" s="16">
        <v>16</v>
      </c>
      <c r="B20" s="16" t="s">
        <v>59</v>
      </c>
      <c r="C20" s="16">
        <v>1000</v>
      </c>
      <c r="D20" s="16">
        <v>1000</v>
      </c>
      <c r="E20" s="16">
        <f t="shared" si="0"/>
        <v>2000</v>
      </c>
      <c r="F20" s="16">
        <v>1000</v>
      </c>
      <c r="G20" s="3">
        <f t="shared" si="2"/>
        <v>1000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 t="shared" si="2"/>
        <v>0</v>
      </c>
    </row>
    <row r="22" spans="1:9" x14ac:dyDescent="0.25">
      <c r="A22" s="3">
        <v>18</v>
      </c>
      <c r="B22" s="18" t="s">
        <v>103</v>
      </c>
      <c r="C22" s="3"/>
      <c r="D22" s="3">
        <v>500</v>
      </c>
      <c r="E22" s="16">
        <f>D22+C22</f>
        <v>500</v>
      </c>
      <c r="F22" s="3">
        <v>500</v>
      </c>
      <c r="G22" s="3">
        <f t="shared" si="2"/>
        <v>0</v>
      </c>
    </row>
    <row r="23" spans="1:9" x14ac:dyDescent="0.25">
      <c r="A23" s="3">
        <v>19</v>
      </c>
      <c r="B23" s="18" t="s">
        <v>97</v>
      </c>
      <c r="C23" s="3"/>
      <c r="D23" s="3">
        <v>1500</v>
      </c>
      <c r="E23" s="16">
        <f>D23+C23</f>
        <v>1500</v>
      </c>
      <c r="F23" s="3">
        <v>1500</v>
      </c>
      <c r="G23" s="3">
        <f t="shared" si="2"/>
        <v>0</v>
      </c>
    </row>
    <row r="24" spans="1:9" x14ac:dyDescent="0.25">
      <c r="A24" s="3">
        <v>20</v>
      </c>
      <c r="B24" s="18" t="s">
        <v>118</v>
      </c>
      <c r="C24" s="3"/>
      <c r="D24" s="3">
        <v>1500</v>
      </c>
      <c r="E24" s="16">
        <f>D24+C24</f>
        <v>1500</v>
      </c>
      <c r="F24" s="3">
        <v>1500</v>
      </c>
      <c r="G24" s="3">
        <f t="shared" si="2"/>
        <v>0</v>
      </c>
    </row>
    <row r="25" spans="1:9" x14ac:dyDescent="0.25">
      <c r="A25" s="2"/>
      <c r="B25" s="2" t="s">
        <v>26</v>
      </c>
      <c r="C25" s="2">
        <f>SUM(C5:C24)</f>
        <v>1500</v>
      </c>
      <c r="D25" s="2">
        <f>SUM(D5:D24)</f>
        <v>20600</v>
      </c>
      <c r="E25" s="2">
        <f>SUM(E5:E24)</f>
        <v>22100</v>
      </c>
      <c r="F25" s="2">
        <f>SUM(F5:F24)</f>
        <v>20900</v>
      </c>
      <c r="G25" s="2">
        <f>SUM(G5:G24)</f>
        <v>1200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112</v>
      </c>
      <c r="C29" s="3">
        <f>D25</f>
        <v>20600</v>
      </c>
      <c r="D29" s="3"/>
      <c r="E29" s="3"/>
      <c r="F29" s="3" t="s">
        <v>112</v>
      </c>
      <c r="G29" s="3">
        <f>F25</f>
        <v>20900</v>
      </c>
      <c r="H29" s="3"/>
      <c r="I29" s="3"/>
    </row>
    <row r="30" spans="1:9" x14ac:dyDescent="0.25">
      <c r="B30" s="3" t="s">
        <v>62</v>
      </c>
      <c r="C30" s="3">
        <f>NOVEMBER!E37</f>
        <v>-2000</v>
      </c>
      <c r="D30" s="3"/>
      <c r="E30" s="3"/>
      <c r="F30" s="3" t="s">
        <v>62</v>
      </c>
      <c r="G30">
        <f>NOVEMBER!I37</f>
        <v>-3500</v>
      </c>
      <c r="H30" s="3"/>
      <c r="I30" s="3"/>
    </row>
    <row r="31" spans="1:9" x14ac:dyDescent="0.25">
      <c r="B31" s="3" t="s">
        <v>41</v>
      </c>
      <c r="C31" s="5">
        <v>0.1</v>
      </c>
      <c r="D31" s="3">
        <f>C31*C29</f>
        <v>2060</v>
      </c>
      <c r="E31" s="3"/>
      <c r="F31" s="3" t="s">
        <v>41</v>
      </c>
      <c r="G31" s="5">
        <v>0.1</v>
      </c>
      <c r="H31" s="3">
        <f>D31</f>
        <v>2060</v>
      </c>
      <c r="I31" s="3"/>
    </row>
    <row r="32" spans="1:9" x14ac:dyDescent="0.25">
      <c r="B32" s="2" t="s">
        <v>115</v>
      </c>
      <c r="C32" s="3"/>
      <c r="D32" s="3"/>
      <c r="E32" s="3"/>
      <c r="F32" s="2" t="s">
        <v>115</v>
      </c>
      <c r="G32" s="3"/>
      <c r="H32" s="3"/>
      <c r="I32" s="3"/>
    </row>
    <row r="33" spans="2:9" x14ac:dyDescent="0.25">
      <c r="B33" s="19" t="s">
        <v>121</v>
      </c>
      <c r="C33" s="3"/>
      <c r="D33" s="3">
        <v>16540</v>
      </c>
      <c r="E33" s="3"/>
      <c r="F33" s="19" t="s">
        <v>121</v>
      </c>
      <c r="G33" s="3"/>
      <c r="H33" s="3">
        <v>16540</v>
      </c>
      <c r="I33" s="3"/>
    </row>
    <row r="34" spans="2:9" x14ac:dyDescent="0.25">
      <c r="B34" s="10"/>
      <c r="C34" s="3"/>
      <c r="D34" s="3"/>
      <c r="E34" s="3"/>
      <c r="F34" s="10"/>
      <c r="G34" s="3"/>
      <c r="H34" s="3"/>
      <c r="I34" s="3"/>
    </row>
    <row r="35" spans="2:9" x14ac:dyDescent="0.25">
      <c r="B35" s="10"/>
      <c r="C35" s="3"/>
      <c r="D35" s="3"/>
      <c r="E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C29+C30-D31</f>
        <v>16540</v>
      </c>
      <c r="D37" s="3">
        <f>SUM(D33:D36)</f>
        <v>16540</v>
      </c>
      <c r="E37" s="3">
        <f>C37-D37</f>
        <v>0</v>
      </c>
      <c r="F37" s="2" t="s">
        <v>26</v>
      </c>
      <c r="G37" s="3">
        <f>G29+G30-H31</f>
        <v>15340</v>
      </c>
      <c r="H37" s="3">
        <f>SUM(H33:H36)</f>
        <v>16540</v>
      </c>
      <c r="I37" s="3">
        <f>G37-H37</f>
        <v>-1200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7" zoomScale="110" zoomScaleNormal="110" workbookViewId="0">
      <selection activeCell="C26" sqref="C26"/>
    </sheetView>
  </sheetViews>
  <sheetFormatPr defaultRowHeight="15" x14ac:dyDescent="0.25"/>
  <cols>
    <col min="1" max="1" width="4" customWidth="1"/>
    <col min="2" max="2" width="18.57031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122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114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16" t="s">
        <v>78</v>
      </c>
      <c r="C6" s="3"/>
      <c r="D6" s="3">
        <v>1000</v>
      </c>
      <c r="E6" s="3">
        <f t="shared" ref="E6:E23" si="0">D6+C6</f>
        <v>1000</v>
      </c>
      <c r="F6" s="3">
        <v>1000</v>
      </c>
      <c r="G6" s="3">
        <f t="shared" ref="G6:G19" si="1">E6-F6</f>
        <v>0</v>
      </c>
    </row>
    <row r="7" spans="1:7" x14ac:dyDescent="0.25">
      <c r="A7" s="16">
        <v>3</v>
      </c>
      <c r="B7" s="18" t="s">
        <v>119</v>
      </c>
      <c r="C7" s="16"/>
      <c r="D7" s="18">
        <v>1000</v>
      </c>
      <c r="E7" s="16">
        <f>D7+C7</f>
        <v>1000</v>
      </c>
      <c r="F7" s="16">
        <v>1000</v>
      </c>
      <c r="G7" s="3">
        <f>E7-F7</f>
        <v>0</v>
      </c>
    </row>
    <row r="8" spans="1:7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700</v>
      </c>
      <c r="G12" s="3">
        <f t="shared" si="1"/>
        <v>300</v>
      </c>
    </row>
    <row r="13" spans="1:7" x14ac:dyDescent="0.25">
      <c r="A13" s="16">
        <v>9</v>
      </c>
      <c r="B13" s="3" t="s">
        <v>30</v>
      </c>
      <c r="C13" s="3"/>
      <c r="D13" s="3">
        <v>1000</v>
      </c>
      <c r="E13" s="3">
        <f>D13+C13</f>
        <v>1000</v>
      </c>
      <c r="F13" s="3">
        <v>1000</v>
      </c>
      <c r="G13" s="3">
        <f>E13-F13</f>
        <v>0</v>
      </c>
    </row>
    <row r="14" spans="1:7" x14ac:dyDescent="0.25">
      <c r="A14" s="16">
        <v>10</v>
      </c>
      <c r="B14" s="16" t="s">
        <v>113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8" t="s">
        <v>131</v>
      </c>
      <c r="C15" s="3"/>
      <c r="D15" s="18">
        <v>1000</v>
      </c>
      <c r="E15" s="18">
        <f t="shared" si="0"/>
        <v>1000</v>
      </c>
      <c r="F15" s="18">
        <v>1000</v>
      </c>
      <c r="G15" s="14">
        <f t="shared" si="1"/>
        <v>0</v>
      </c>
    </row>
    <row r="16" spans="1:7" x14ac:dyDescent="0.25">
      <c r="A16" s="16">
        <v>12</v>
      </c>
      <c r="B16" s="3" t="s">
        <v>116</v>
      </c>
      <c r="C16" s="3">
        <v>200</v>
      </c>
      <c r="D16" s="3">
        <v>1000</v>
      </c>
      <c r="E16" s="3">
        <f t="shared" si="0"/>
        <v>1200</v>
      </c>
      <c r="F16" s="3">
        <v>800</v>
      </c>
      <c r="G16" s="3">
        <f t="shared" si="1"/>
        <v>400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/>
      <c r="G17" s="3">
        <f t="shared" si="1"/>
        <v>1000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119</v>
      </c>
      <c r="C19" s="16"/>
      <c r="D19" s="16">
        <v>1000</v>
      </c>
      <c r="E19" s="16">
        <f t="shared" si="0"/>
        <v>1000</v>
      </c>
      <c r="F19" s="16">
        <v>1000</v>
      </c>
      <c r="G19" s="3">
        <f t="shared" si="1"/>
        <v>0</v>
      </c>
    </row>
    <row r="20" spans="1:9" x14ac:dyDescent="0.25">
      <c r="A20" s="16">
        <v>16</v>
      </c>
      <c r="B20" s="16" t="s">
        <v>59</v>
      </c>
      <c r="C20" s="16">
        <v>1000</v>
      </c>
      <c r="D20" s="16">
        <v>1000</v>
      </c>
      <c r="E20" s="16">
        <f t="shared" si="0"/>
        <v>2000</v>
      </c>
      <c r="F20" s="16"/>
      <c r="G20" s="3">
        <f>E20-F20</f>
        <v>2000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>E21-F21</f>
        <v>0</v>
      </c>
    </row>
    <row r="22" spans="1:9" x14ac:dyDescent="0.25">
      <c r="A22" s="3">
        <v>18</v>
      </c>
      <c r="B22" s="18" t="s">
        <v>125</v>
      </c>
      <c r="C22" s="3"/>
      <c r="D22" s="3">
        <v>2500</v>
      </c>
      <c r="E22" s="16">
        <f t="shared" si="0"/>
        <v>2500</v>
      </c>
      <c r="F22" s="3">
        <v>2500</v>
      </c>
      <c r="G22" s="3">
        <f>E22-F22</f>
        <v>0</v>
      </c>
    </row>
    <row r="23" spans="1:9" x14ac:dyDescent="0.25">
      <c r="A23" s="3">
        <v>19</v>
      </c>
      <c r="B23" s="18" t="s">
        <v>126</v>
      </c>
      <c r="C23" s="3"/>
      <c r="D23" s="3">
        <v>1500</v>
      </c>
      <c r="E23" s="16">
        <f t="shared" si="0"/>
        <v>1500</v>
      </c>
      <c r="F23" s="3">
        <v>1500</v>
      </c>
      <c r="G23" s="3">
        <f>E23-F23</f>
        <v>0</v>
      </c>
    </row>
    <row r="24" spans="1:9" x14ac:dyDescent="0.25">
      <c r="A24" s="3">
        <v>20</v>
      </c>
      <c r="B24" s="18" t="s">
        <v>118</v>
      </c>
      <c r="C24" s="3"/>
      <c r="D24" s="3">
        <v>1500</v>
      </c>
      <c r="E24" s="16">
        <f>D24+C24</f>
        <v>1500</v>
      </c>
      <c r="F24" s="3">
        <v>1500</v>
      </c>
      <c r="G24" s="3">
        <f>E24-F24</f>
        <v>0</v>
      </c>
    </row>
    <row r="25" spans="1:9" x14ac:dyDescent="0.25">
      <c r="A25" s="2"/>
      <c r="B25" s="2" t="s">
        <v>26</v>
      </c>
      <c r="C25" s="2">
        <f>SUM(C5:C24)</f>
        <v>1200</v>
      </c>
      <c r="D25" s="2">
        <f>SUM(D5:D24)</f>
        <v>23000</v>
      </c>
      <c r="E25" s="2">
        <f>SUM(E5:E24)</f>
        <v>24200</v>
      </c>
      <c r="F25" s="2">
        <f>SUM(F5:F24)</f>
        <v>20500</v>
      </c>
      <c r="G25" s="2">
        <f>SUM(G5:G24)</f>
        <v>3700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123</v>
      </c>
      <c r="C29" s="3">
        <f>D25</f>
        <v>23000</v>
      </c>
      <c r="D29" s="3"/>
      <c r="E29" s="3"/>
      <c r="F29" s="3" t="s">
        <v>123</v>
      </c>
      <c r="G29" s="3">
        <f>F25</f>
        <v>20500</v>
      </c>
      <c r="H29" s="3"/>
      <c r="I29" s="3"/>
    </row>
    <row r="30" spans="1:9" x14ac:dyDescent="0.25">
      <c r="B30" s="3" t="s">
        <v>62</v>
      </c>
      <c r="C30" s="3">
        <f>DECEMBER!E37</f>
        <v>0</v>
      </c>
      <c r="D30" s="3"/>
      <c r="E30" s="3"/>
      <c r="F30" s="3" t="s">
        <v>62</v>
      </c>
      <c r="G30">
        <f>DECEMBER!I37</f>
        <v>-1200</v>
      </c>
      <c r="H30" s="3"/>
      <c r="I30" s="3"/>
    </row>
    <row r="31" spans="1:9" x14ac:dyDescent="0.25">
      <c r="B31" s="3" t="s">
        <v>41</v>
      </c>
      <c r="C31" s="5">
        <v>0.1</v>
      </c>
      <c r="D31" s="3">
        <f>C31*C29</f>
        <v>2300</v>
      </c>
      <c r="E31" s="3"/>
      <c r="F31" s="3" t="s">
        <v>41</v>
      </c>
      <c r="G31" s="5">
        <v>0.1</v>
      </c>
      <c r="H31" s="3">
        <f>D31</f>
        <v>2300</v>
      </c>
      <c r="I31" s="3"/>
    </row>
    <row r="32" spans="1:9" x14ac:dyDescent="0.25">
      <c r="B32" s="2" t="s">
        <v>115</v>
      </c>
      <c r="C32" s="3"/>
      <c r="D32" s="3"/>
      <c r="E32" s="3"/>
      <c r="F32" s="2" t="s">
        <v>115</v>
      </c>
      <c r="G32" s="3"/>
      <c r="H32" s="3"/>
      <c r="I32" s="3"/>
    </row>
    <row r="33" spans="2:9" x14ac:dyDescent="0.25">
      <c r="B33" s="19" t="s">
        <v>124</v>
      </c>
      <c r="C33" s="3"/>
      <c r="D33" s="3">
        <v>19350</v>
      </c>
      <c r="E33" s="3"/>
      <c r="F33" s="19" t="s">
        <v>124</v>
      </c>
      <c r="G33" s="3"/>
      <c r="H33" s="3">
        <v>19350</v>
      </c>
      <c r="I33" s="3"/>
    </row>
    <row r="34" spans="2:9" x14ac:dyDescent="0.25">
      <c r="B34" s="10" t="s">
        <v>127</v>
      </c>
      <c r="C34" s="3"/>
      <c r="D34" s="3">
        <v>1350</v>
      </c>
      <c r="E34" s="3"/>
      <c r="F34" s="10" t="s">
        <v>127</v>
      </c>
      <c r="G34" s="3"/>
      <c r="H34" s="3">
        <v>1350</v>
      </c>
      <c r="I34" s="3"/>
    </row>
    <row r="35" spans="2:9" x14ac:dyDescent="0.25">
      <c r="B35" s="10"/>
      <c r="C35" s="3"/>
      <c r="D35" s="3"/>
      <c r="E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C29+C30-D31</f>
        <v>20700</v>
      </c>
      <c r="D37" s="3">
        <f>SUM(D33:D36)</f>
        <v>20700</v>
      </c>
      <c r="E37" s="3">
        <f>C37-D37</f>
        <v>0</v>
      </c>
      <c r="F37" s="2" t="s">
        <v>26</v>
      </c>
      <c r="G37" s="3">
        <f>G29+G30-H31</f>
        <v>17000</v>
      </c>
      <c r="H37" s="3">
        <f>SUM(H33:H36)</f>
        <v>20700</v>
      </c>
      <c r="I37" s="3">
        <f>G37-H37</f>
        <v>-3700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  <row r="52" spans="7:7" x14ac:dyDescent="0.25">
      <c r="G52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F42" sqref="F42"/>
    </sheetView>
  </sheetViews>
  <sheetFormatPr defaultRowHeight="15" x14ac:dyDescent="0.25"/>
  <cols>
    <col min="1" max="1" width="4" customWidth="1"/>
    <col min="2" max="2" width="18.57031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128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114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16" t="s">
        <v>78</v>
      </c>
      <c r="C6" s="3"/>
      <c r="D6" s="3">
        <v>1000</v>
      </c>
      <c r="E6" s="3">
        <f t="shared" ref="E6:E23" si="0">D6+C6</f>
        <v>1000</v>
      </c>
      <c r="F6" s="3"/>
      <c r="G6" s="3">
        <f t="shared" ref="G6:G24" si="1">E6-F6</f>
        <v>1000</v>
      </c>
    </row>
    <row r="7" spans="1:7" x14ac:dyDescent="0.25">
      <c r="A7" s="16">
        <v>3</v>
      </c>
      <c r="B7" s="18" t="s">
        <v>119</v>
      </c>
      <c r="C7" s="16"/>
      <c r="D7" s="18">
        <v>1000</v>
      </c>
      <c r="E7" s="16">
        <f>D7+C7</f>
        <v>1000</v>
      </c>
      <c r="F7" s="16">
        <v>1000</v>
      </c>
      <c r="G7" s="3">
        <f>E7-F7</f>
        <v>0</v>
      </c>
    </row>
    <row r="8" spans="1:7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58</v>
      </c>
      <c r="C12" s="16">
        <v>300</v>
      </c>
      <c r="D12" s="16">
        <v>1000</v>
      </c>
      <c r="E12" s="16">
        <f t="shared" si="0"/>
        <v>1300</v>
      </c>
      <c r="F12" s="16">
        <v>1300</v>
      </c>
      <c r="G12" s="3">
        <f t="shared" si="1"/>
        <v>0</v>
      </c>
    </row>
    <row r="13" spans="1:7" x14ac:dyDescent="0.25">
      <c r="A13" s="16">
        <v>9</v>
      </c>
      <c r="B13" s="3" t="s">
        <v>30</v>
      </c>
      <c r="C13" s="3"/>
      <c r="D13" s="3">
        <v>1000</v>
      </c>
      <c r="E13" s="3">
        <f>D13+C13</f>
        <v>1000</v>
      </c>
      <c r="F13" s="3">
        <v>1000</v>
      </c>
      <c r="G13" s="3">
        <f>E13-F13</f>
        <v>0</v>
      </c>
    </row>
    <row r="14" spans="1:7" x14ac:dyDescent="0.25">
      <c r="A14" s="16">
        <v>10</v>
      </c>
      <c r="B14" s="16" t="s">
        <v>113</v>
      </c>
      <c r="C14" s="16"/>
      <c r="D14" s="16">
        <v>1000</v>
      </c>
      <c r="E14" s="16">
        <f t="shared" si="0"/>
        <v>1000</v>
      </c>
      <c r="F14" s="16">
        <v>1000</v>
      </c>
      <c r="G14" s="3">
        <f>E14-F14</f>
        <v>0</v>
      </c>
    </row>
    <row r="15" spans="1:7" x14ac:dyDescent="0.25">
      <c r="A15" s="16">
        <v>11</v>
      </c>
      <c r="B15" s="18" t="s">
        <v>131</v>
      </c>
      <c r="C15" s="3"/>
      <c r="D15" s="18">
        <v>1000</v>
      </c>
      <c r="E15" s="18">
        <f t="shared" si="0"/>
        <v>1000</v>
      </c>
      <c r="F15" s="18">
        <v>1000</v>
      </c>
      <c r="G15" s="14">
        <f t="shared" si="1"/>
        <v>0</v>
      </c>
    </row>
    <row r="16" spans="1:7" x14ac:dyDescent="0.25">
      <c r="A16" s="16">
        <v>12</v>
      </c>
      <c r="B16" s="3" t="s">
        <v>116</v>
      </c>
      <c r="C16" s="3">
        <v>400</v>
      </c>
      <c r="D16" s="3">
        <v>1000</v>
      </c>
      <c r="E16" s="3">
        <f t="shared" si="0"/>
        <v>1400</v>
      </c>
      <c r="F16" s="3">
        <v>1000</v>
      </c>
      <c r="G16" s="3">
        <f t="shared" si="1"/>
        <v>400</v>
      </c>
    </row>
    <row r="17" spans="1:9" x14ac:dyDescent="0.25">
      <c r="A17" s="16">
        <v>13</v>
      </c>
      <c r="B17" s="16" t="s">
        <v>102</v>
      </c>
      <c r="C17" s="16">
        <v>1000</v>
      </c>
      <c r="D17" s="16">
        <v>1000</v>
      </c>
      <c r="E17" s="16">
        <f t="shared" si="0"/>
        <v>2000</v>
      </c>
      <c r="F17" s="16">
        <v>2000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>E18-F18</f>
        <v>0</v>
      </c>
    </row>
    <row r="19" spans="1:9" x14ac:dyDescent="0.25">
      <c r="A19" s="16">
        <v>15</v>
      </c>
      <c r="B19" s="16" t="s">
        <v>119</v>
      </c>
      <c r="C19" s="16"/>
      <c r="D19" s="16">
        <v>1000</v>
      </c>
      <c r="E19" s="16">
        <f t="shared" si="0"/>
        <v>1000</v>
      </c>
      <c r="F19" s="16">
        <v>1000</v>
      </c>
      <c r="G19" s="3">
        <f t="shared" si="1"/>
        <v>0</v>
      </c>
    </row>
    <row r="20" spans="1:9" x14ac:dyDescent="0.25">
      <c r="A20" s="16">
        <v>16</v>
      </c>
      <c r="B20" s="16" t="s">
        <v>59</v>
      </c>
      <c r="C20" s="16">
        <v>2000</v>
      </c>
      <c r="D20" s="16">
        <v>1000</v>
      </c>
      <c r="E20" s="16">
        <f t="shared" si="0"/>
        <v>3000</v>
      </c>
      <c r="F20" s="16">
        <v>3000</v>
      </c>
      <c r="G20" s="3">
        <f t="shared" si="1"/>
        <v>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 t="shared" si="1"/>
        <v>0</v>
      </c>
    </row>
    <row r="22" spans="1:9" x14ac:dyDescent="0.25">
      <c r="A22" s="3">
        <v>18</v>
      </c>
      <c r="B22" s="18" t="s">
        <v>130</v>
      </c>
      <c r="C22" s="3"/>
      <c r="D22" s="3">
        <v>1500</v>
      </c>
      <c r="E22" s="16">
        <f t="shared" si="0"/>
        <v>1500</v>
      </c>
      <c r="F22" s="3">
        <v>1500</v>
      </c>
      <c r="G22" s="3">
        <f t="shared" si="1"/>
        <v>0</v>
      </c>
    </row>
    <row r="23" spans="1:9" x14ac:dyDescent="0.25">
      <c r="A23" s="3">
        <v>19</v>
      </c>
      <c r="B23" s="18" t="s">
        <v>126</v>
      </c>
      <c r="C23" s="3"/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</row>
    <row r="24" spans="1:9" x14ac:dyDescent="0.25">
      <c r="A24" s="3">
        <v>20</v>
      </c>
      <c r="B24" s="18" t="s">
        <v>118</v>
      </c>
      <c r="C24" s="3"/>
      <c r="D24" s="3">
        <v>1500</v>
      </c>
      <c r="E24" s="16">
        <f>D24+C24</f>
        <v>1500</v>
      </c>
      <c r="F24" s="3">
        <v>1500</v>
      </c>
      <c r="G24" s="3">
        <f t="shared" si="1"/>
        <v>0</v>
      </c>
    </row>
    <row r="25" spans="1:9" x14ac:dyDescent="0.25">
      <c r="A25" s="2"/>
      <c r="B25" s="2" t="s">
        <v>26</v>
      </c>
      <c r="C25" s="2">
        <f>SUM(C5:C24)</f>
        <v>3700</v>
      </c>
      <c r="D25" s="2">
        <f>SUM(D5:D24)</f>
        <v>22000</v>
      </c>
      <c r="E25" s="2">
        <f>SUM(E5:E24)</f>
        <v>25700</v>
      </c>
      <c r="F25" s="2">
        <f>SUM(F5:F24)</f>
        <v>24300</v>
      </c>
      <c r="G25" s="2">
        <f>SUM(G5:G24)</f>
        <v>1400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129</v>
      </c>
      <c r="C29" s="3">
        <f>D25</f>
        <v>22000</v>
      </c>
      <c r="D29" s="3"/>
      <c r="E29" s="3"/>
      <c r="F29" s="3" t="s">
        <v>129</v>
      </c>
      <c r="G29" s="3">
        <f>F25</f>
        <v>24300</v>
      </c>
      <c r="H29" s="3"/>
      <c r="I29" s="3"/>
    </row>
    <row r="30" spans="1:9" x14ac:dyDescent="0.25">
      <c r="B30" s="3" t="s">
        <v>62</v>
      </c>
      <c r="C30" s="3">
        <f>DECEMBER!E37</f>
        <v>0</v>
      </c>
      <c r="D30" s="3"/>
      <c r="E30" s="3"/>
      <c r="F30" s="3" t="s">
        <v>62</v>
      </c>
      <c r="G30">
        <f>'JANUARY '!I37</f>
        <v>-3700</v>
      </c>
      <c r="H30" s="3"/>
      <c r="I30" s="3"/>
    </row>
    <row r="31" spans="1:9" x14ac:dyDescent="0.25">
      <c r="B31" s="3" t="s">
        <v>41</v>
      </c>
      <c r="C31" s="5">
        <v>0.1</v>
      </c>
      <c r="D31" s="3">
        <f>C31*C29</f>
        <v>2200</v>
      </c>
      <c r="E31" s="3"/>
      <c r="F31" s="3" t="s">
        <v>41</v>
      </c>
      <c r="G31" s="5">
        <v>0.1</v>
      </c>
      <c r="H31" s="3">
        <f>D31</f>
        <v>2200</v>
      </c>
      <c r="I31" s="3"/>
    </row>
    <row r="32" spans="1:9" x14ac:dyDescent="0.25">
      <c r="B32" s="2" t="s">
        <v>115</v>
      </c>
      <c r="C32" s="3"/>
      <c r="D32" s="3"/>
      <c r="E32" s="3"/>
      <c r="F32" s="2" t="s">
        <v>115</v>
      </c>
      <c r="G32" s="3"/>
      <c r="H32" s="3"/>
      <c r="I32" s="3"/>
    </row>
    <row r="33" spans="2:9" x14ac:dyDescent="0.25">
      <c r="B33" s="19" t="s">
        <v>132</v>
      </c>
      <c r="C33" s="3"/>
      <c r="D33" s="3">
        <v>19800</v>
      </c>
      <c r="E33" s="3"/>
      <c r="F33" s="19" t="s">
        <v>132</v>
      </c>
      <c r="G33" s="3"/>
      <c r="H33" s="3">
        <v>19800</v>
      </c>
      <c r="I33" s="3"/>
    </row>
    <row r="34" spans="2:9" x14ac:dyDescent="0.25">
      <c r="B34" s="10"/>
      <c r="C34" s="3"/>
      <c r="D34" s="3"/>
      <c r="E34" s="3"/>
      <c r="F34" s="10"/>
      <c r="G34" s="3"/>
      <c r="H34" s="3"/>
      <c r="I34" s="3"/>
    </row>
    <row r="35" spans="2:9" x14ac:dyDescent="0.25">
      <c r="B35" s="10"/>
      <c r="C35" s="3"/>
      <c r="D35" s="3"/>
      <c r="E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2">
        <f>C29+C30-D31</f>
        <v>19800</v>
      </c>
      <c r="D37" s="2">
        <f>SUM(D33:D36)</f>
        <v>19800</v>
      </c>
      <c r="E37" s="2">
        <f>C37-D37</f>
        <v>0</v>
      </c>
      <c r="F37" s="2" t="s">
        <v>26</v>
      </c>
      <c r="G37" s="2">
        <f>G29+G30-H31</f>
        <v>18400</v>
      </c>
      <c r="H37" s="2">
        <f>SUM(H33:H36)</f>
        <v>19800</v>
      </c>
      <c r="I37" s="2">
        <f>G37-H37</f>
        <v>-1400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3" workbookViewId="0">
      <selection activeCell="G27" sqref="G27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133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114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16" t="s">
        <v>78</v>
      </c>
      <c r="C6" s="3">
        <v>1000</v>
      </c>
      <c r="D6" s="3"/>
      <c r="E6" s="3">
        <f t="shared" ref="E6:E23" si="0">D6+C6</f>
        <v>1000</v>
      </c>
      <c r="F6" s="3">
        <v>1000</v>
      </c>
      <c r="G6" s="3">
        <f t="shared" ref="G6:G24" si="1">E6-F6</f>
        <v>0</v>
      </c>
      <c r="H6" t="s">
        <v>46</v>
      </c>
    </row>
    <row r="7" spans="1:8" x14ac:dyDescent="0.25">
      <c r="A7" s="16">
        <v>3</v>
      </c>
      <c r="B7" s="18" t="s">
        <v>137</v>
      </c>
      <c r="C7" s="16"/>
      <c r="D7" s="18">
        <v>1000</v>
      </c>
      <c r="E7" s="16">
        <f>D7+C7</f>
        <v>1000</v>
      </c>
      <c r="F7" s="16">
        <v>1000</v>
      </c>
      <c r="G7" s="3">
        <f>E7-F7</f>
        <v>0</v>
      </c>
    </row>
    <row r="8" spans="1:8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8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8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  <c r="H11" t="s">
        <v>46</v>
      </c>
    </row>
    <row r="12" spans="1:8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9</v>
      </c>
      <c r="B13" s="3" t="s">
        <v>30</v>
      </c>
      <c r="C13" s="3"/>
      <c r="D13" s="3">
        <v>1000</v>
      </c>
      <c r="E13" s="3">
        <f>D13+C13</f>
        <v>1000</v>
      </c>
      <c r="F13" s="3">
        <v>1000</v>
      </c>
      <c r="G13" s="3">
        <f>E13-F13</f>
        <v>0</v>
      </c>
    </row>
    <row r="14" spans="1:8" x14ac:dyDescent="0.25">
      <c r="A14" s="16">
        <v>10</v>
      </c>
      <c r="B14" s="16" t="s">
        <v>113</v>
      </c>
      <c r="C14" s="16"/>
      <c r="D14" s="16">
        <v>1000</v>
      </c>
      <c r="E14" s="16">
        <f t="shared" si="0"/>
        <v>1000</v>
      </c>
      <c r="F14" s="16">
        <v>1000</v>
      </c>
      <c r="G14" s="3">
        <f>E14-F14</f>
        <v>0</v>
      </c>
    </row>
    <row r="15" spans="1:8" x14ac:dyDescent="0.25">
      <c r="A15" s="16">
        <v>11</v>
      </c>
      <c r="B15" s="18" t="s">
        <v>136</v>
      </c>
      <c r="C15" s="3"/>
      <c r="D15" s="18">
        <v>1000</v>
      </c>
      <c r="E15" s="18">
        <f t="shared" si="0"/>
        <v>1000</v>
      </c>
      <c r="F15" s="18">
        <v>1000</v>
      </c>
      <c r="G15" s="14">
        <f t="shared" si="1"/>
        <v>0</v>
      </c>
    </row>
    <row r="16" spans="1:8" x14ac:dyDescent="0.25">
      <c r="A16" s="16">
        <v>12</v>
      </c>
      <c r="B16" s="3" t="s">
        <v>116</v>
      </c>
      <c r="C16" s="3">
        <v>400</v>
      </c>
      <c r="D16" s="3">
        <v>1000</v>
      </c>
      <c r="E16" s="3">
        <f t="shared" si="0"/>
        <v>1400</v>
      </c>
      <c r="F16" s="3">
        <v>800</v>
      </c>
      <c r="G16" s="3">
        <f t="shared" si="1"/>
        <v>600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>E18-F18</f>
        <v>0</v>
      </c>
    </row>
    <row r="19" spans="1:9" x14ac:dyDescent="0.25">
      <c r="A19" s="16">
        <v>15</v>
      </c>
      <c r="B19" s="16" t="s">
        <v>137</v>
      </c>
      <c r="C19" s="16"/>
      <c r="D19" s="16">
        <v>1000</v>
      </c>
      <c r="E19" s="16">
        <f t="shared" si="0"/>
        <v>1000</v>
      </c>
      <c r="F19" s="16">
        <v>1000</v>
      </c>
      <c r="G19" s="3">
        <f t="shared" si="1"/>
        <v>0</v>
      </c>
    </row>
    <row r="20" spans="1:9" x14ac:dyDescent="0.25">
      <c r="A20" s="16">
        <v>16</v>
      </c>
      <c r="B20" s="16" t="s">
        <v>59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 t="shared" si="1"/>
        <v>0</v>
      </c>
    </row>
    <row r="22" spans="1:9" x14ac:dyDescent="0.25">
      <c r="A22" s="3">
        <v>18</v>
      </c>
      <c r="B22" s="18" t="s">
        <v>130</v>
      </c>
      <c r="C22" s="3"/>
      <c r="D22" s="3">
        <v>1500</v>
      </c>
      <c r="E22" s="16">
        <f t="shared" si="0"/>
        <v>1500</v>
      </c>
      <c r="F22" s="3">
        <v>1480</v>
      </c>
      <c r="G22" s="3">
        <f t="shared" si="1"/>
        <v>20</v>
      </c>
    </row>
    <row r="23" spans="1:9" x14ac:dyDescent="0.25">
      <c r="A23" s="3">
        <v>19</v>
      </c>
      <c r="B23" s="18" t="s">
        <v>135</v>
      </c>
      <c r="C23" s="3"/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</row>
    <row r="24" spans="1:9" x14ac:dyDescent="0.25">
      <c r="A24" s="3">
        <v>20</v>
      </c>
      <c r="B24" s="18" t="s">
        <v>118</v>
      </c>
      <c r="C24" s="3"/>
      <c r="D24" s="3">
        <v>1500</v>
      </c>
      <c r="E24" s="16">
        <f>D24+C24</f>
        <v>1500</v>
      </c>
      <c r="F24" s="3">
        <v>1500</v>
      </c>
      <c r="G24" s="3">
        <f t="shared" si="1"/>
        <v>0</v>
      </c>
    </row>
    <row r="25" spans="1:9" x14ac:dyDescent="0.25">
      <c r="A25" s="2"/>
      <c r="B25" s="2" t="s">
        <v>26</v>
      </c>
      <c r="C25" s="2">
        <f>SUM(C5:C24)</f>
        <v>1400</v>
      </c>
      <c r="D25" s="2">
        <f>SUM(D5:D24)</f>
        <v>21000</v>
      </c>
      <c r="E25" s="2">
        <f>SUM(E5:E24)</f>
        <v>22400</v>
      </c>
      <c r="F25" s="2">
        <f>SUM(F5:F24)</f>
        <v>21780</v>
      </c>
      <c r="G25" s="2">
        <f>SUM(G5:G24)</f>
        <v>620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48</v>
      </c>
      <c r="C29" s="3">
        <f>D25</f>
        <v>21000</v>
      </c>
      <c r="D29" s="3"/>
      <c r="E29" s="3"/>
      <c r="F29" s="3" t="s">
        <v>48</v>
      </c>
      <c r="G29" s="3">
        <f>F25</f>
        <v>21780</v>
      </c>
      <c r="H29" s="3"/>
      <c r="I29" s="3"/>
    </row>
    <row r="30" spans="1:9" x14ac:dyDescent="0.25">
      <c r="B30" s="3" t="s">
        <v>62</v>
      </c>
      <c r="C30" s="3">
        <f>DECEMBER!E37</f>
        <v>0</v>
      </c>
      <c r="D30" s="3"/>
      <c r="E30" s="3"/>
      <c r="F30" s="3" t="s">
        <v>62</v>
      </c>
      <c r="G30">
        <f>'FEBRUARY '!I37</f>
        <v>-1400</v>
      </c>
      <c r="H30" s="3"/>
      <c r="I30" s="3"/>
    </row>
    <row r="31" spans="1:9" x14ac:dyDescent="0.25">
      <c r="B31" s="3" t="s">
        <v>41</v>
      </c>
      <c r="C31" s="5">
        <v>0.1</v>
      </c>
      <c r="D31" s="3">
        <f>C31*C29</f>
        <v>2100</v>
      </c>
      <c r="E31" s="3"/>
      <c r="F31" s="3" t="s">
        <v>41</v>
      </c>
      <c r="G31" s="5">
        <v>0.1</v>
      </c>
      <c r="H31" s="3">
        <f>D31</f>
        <v>2100</v>
      </c>
      <c r="I31" s="3"/>
    </row>
    <row r="32" spans="1:9" x14ac:dyDescent="0.25">
      <c r="B32" s="2" t="s">
        <v>115</v>
      </c>
      <c r="C32" s="3"/>
      <c r="D32" s="3"/>
      <c r="E32" s="3"/>
      <c r="F32" s="2" t="s">
        <v>115</v>
      </c>
      <c r="G32" s="3"/>
      <c r="H32" s="3"/>
      <c r="I32" s="3"/>
    </row>
    <row r="33" spans="2:9" x14ac:dyDescent="0.25">
      <c r="B33" s="19" t="s">
        <v>134</v>
      </c>
      <c r="C33" s="3"/>
      <c r="D33" s="3">
        <v>1000</v>
      </c>
      <c r="E33" s="3"/>
      <c r="F33" s="19" t="s">
        <v>134</v>
      </c>
      <c r="G33" s="3"/>
      <c r="H33" s="3">
        <v>1000</v>
      </c>
      <c r="I33" s="3"/>
    </row>
    <row r="34" spans="2:9" x14ac:dyDescent="0.25">
      <c r="B34" s="10" t="s">
        <v>132</v>
      </c>
      <c r="C34" s="3"/>
      <c r="D34" s="3">
        <v>17900</v>
      </c>
      <c r="E34" s="3"/>
      <c r="F34" s="10" t="s">
        <v>132</v>
      </c>
      <c r="G34" s="3"/>
      <c r="H34" s="3">
        <v>17900</v>
      </c>
      <c r="I34" s="3"/>
    </row>
    <row r="35" spans="2:9" x14ac:dyDescent="0.25">
      <c r="B35" s="10" t="s">
        <v>28</v>
      </c>
      <c r="C35" s="3"/>
      <c r="D35" s="3">
        <v>1000</v>
      </c>
      <c r="E35" s="3"/>
      <c r="F35" s="10" t="s">
        <v>28</v>
      </c>
      <c r="G35" s="3"/>
      <c r="H35" s="3">
        <v>1000</v>
      </c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2">
        <f>C29+C30-D31</f>
        <v>18900</v>
      </c>
      <c r="D37" s="2">
        <f>SUM(D33:D36)</f>
        <v>19900</v>
      </c>
      <c r="E37" s="2">
        <f>C37-D37</f>
        <v>-1000</v>
      </c>
      <c r="F37" s="2" t="s">
        <v>26</v>
      </c>
      <c r="G37" s="2">
        <f>G29+G30-H31</f>
        <v>18280</v>
      </c>
      <c r="H37" s="2">
        <f>SUM(H33:H36)</f>
        <v>19900</v>
      </c>
      <c r="I37" s="2">
        <f>G37-H37</f>
        <v>-1620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13" workbookViewId="0">
      <selection activeCell="C27" sqref="C27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5.75" x14ac:dyDescent="0.25">
      <c r="C1" s="21" t="s">
        <v>42</v>
      </c>
      <c r="D1" s="21"/>
      <c r="E1" s="21"/>
      <c r="F1" s="21"/>
      <c r="G1" s="22"/>
    </row>
    <row r="2" spans="1:7" ht="15.75" x14ac:dyDescent="0.25">
      <c r="C2" s="21" t="s">
        <v>0</v>
      </c>
      <c r="D2" s="21"/>
      <c r="E2" s="21"/>
      <c r="F2" s="21"/>
      <c r="G2" s="22"/>
    </row>
    <row r="3" spans="1:7" ht="15.75" x14ac:dyDescent="0.25">
      <c r="C3" s="21" t="s">
        <v>138</v>
      </c>
      <c r="D3" s="21"/>
      <c r="E3" s="21"/>
      <c r="F3" s="21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114</v>
      </c>
      <c r="C6" s="3"/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7" x14ac:dyDescent="0.25">
      <c r="A7" s="3">
        <v>2</v>
      </c>
      <c r="B7" s="16" t="s">
        <v>109</v>
      </c>
      <c r="C7" s="3"/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7" x14ac:dyDescent="0.25">
      <c r="A8" s="16">
        <v>3</v>
      </c>
      <c r="B8" s="18" t="s">
        <v>137</v>
      </c>
      <c r="C8" s="16"/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7" x14ac:dyDescent="0.25">
      <c r="A9" s="16">
        <v>4</v>
      </c>
      <c r="B9" s="16" t="s">
        <v>148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5</v>
      </c>
      <c r="B10" s="16" t="s">
        <v>10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6</v>
      </c>
      <c r="B11" s="16" t="s">
        <v>69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7</v>
      </c>
      <c r="B12" s="16" t="s">
        <v>28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8</v>
      </c>
      <c r="B13" s="16" t="s">
        <v>58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9</v>
      </c>
      <c r="B14" s="3" t="s">
        <v>30</v>
      </c>
      <c r="C14" s="3"/>
      <c r="D14" s="3">
        <v>1000</v>
      </c>
      <c r="E14" s="3">
        <f>D14+C14</f>
        <v>1000</v>
      </c>
      <c r="F14" s="3">
        <v>500</v>
      </c>
      <c r="G14" s="3">
        <f>E14-F14</f>
        <v>500</v>
      </c>
    </row>
    <row r="15" spans="1:7" x14ac:dyDescent="0.25">
      <c r="A15" s="16">
        <v>10</v>
      </c>
      <c r="B15" s="16" t="s">
        <v>113</v>
      </c>
      <c r="C15" s="16"/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7" x14ac:dyDescent="0.25">
      <c r="A16" s="16">
        <v>11</v>
      </c>
      <c r="B16" s="18" t="s">
        <v>136</v>
      </c>
      <c r="C16" s="3"/>
      <c r="D16" s="18">
        <v>1000</v>
      </c>
      <c r="E16" s="18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 t="s">
        <v>116</v>
      </c>
      <c r="C17" s="3">
        <v>600</v>
      </c>
      <c r="D17" s="3">
        <v>1000</v>
      </c>
      <c r="E17" s="3">
        <f t="shared" si="0"/>
        <v>1600</v>
      </c>
      <c r="F17" s="3">
        <v>1500</v>
      </c>
      <c r="G17" s="3">
        <f t="shared" si="1"/>
        <v>100</v>
      </c>
      <c r="H17" t="s">
        <v>151</v>
      </c>
    </row>
    <row r="18" spans="1:9" x14ac:dyDescent="0.25">
      <c r="A18" s="16">
        <v>13</v>
      </c>
      <c r="B18" s="16" t="s">
        <v>102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57</v>
      </c>
      <c r="C19" s="16"/>
      <c r="D19" s="16">
        <v>1000</v>
      </c>
      <c r="E19" s="16">
        <f t="shared" si="0"/>
        <v>1000</v>
      </c>
      <c r="F19" s="16">
        <v>1000</v>
      </c>
      <c r="G19" s="3">
        <f>E19-F19</f>
        <v>0</v>
      </c>
    </row>
    <row r="20" spans="1:9" x14ac:dyDescent="0.25">
      <c r="A20" s="16">
        <v>15</v>
      </c>
      <c r="B20" s="16" t="s">
        <v>137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16" t="s">
        <v>145</v>
      </c>
      <c r="C21" s="16"/>
      <c r="D21" s="16">
        <v>1000</v>
      </c>
      <c r="E21" s="16">
        <f t="shared" si="0"/>
        <v>1000</v>
      </c>
      <c r="F21" s="16">
        <v>1000</v>
      </c>
      <c r="G21" s="3">
        <f t="shared" si="1"/>
        <v>0</v>
      </c>
    </row>
    <row r="22" spans="1:9" x14ac:dyDescent="0.25">
      <c r="A22" s="16">
        <v>17</v>
      </c>
      <c r="B22" s="16" t="s">
        <v>47</v>
      </c>
      <c r="C22" s="16"/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18" t="s">
        <v>130</v>
      </c>
      <c r="C23" s="3">
        <v>20</v>
      </c>
      <c r="D23" s="3">
        <v>1500</v>
      </c>
      <c r="E23" s="16">
        <f t="shared" si="0"/>
        <v>1520</v>
      </c>
      <c r="F23" s="3">
        <v>1500</v>
      </c>
      <c r="G23" s="3">
        <f t="shared" si="1"/>
        <v>20</v>
      </c>
    </row>
    <row r="24" spans="1:9" x14ac:dyDescent="0.25">
      <c r="A24" s="3">
        <v>19</v>
      </c>
      <c r="B24" s="18" t="s">
        <v>135</v>
      </c>
      <c r="C24" s="3"/>
      <c r="D24" s="3">
        <v>1500</v>
      </c>
      <c r="E24" s="16">
        <f t="shared" si="0"/>
        <v>1500</v>
      </c>
      <c r="F24" s="3">
        <v>1500</v>
      </c>
      <c r="G24" s="3">
        <f t="shared" si="1"/>
        <v>0</v>
      </c>
    </row>
    <row r="25" spans="1:9" x14ac:dyDescent="0.25">
      <c r="A25" s="3">
        <v>20</v>
      </c>
      <c r="B25" s="18" t="s">
        <v>118</v>
      </c>
      <c r="C25" s="3"/>
      <c r="D25" s="3">
        <v>1500</v>
      </c>
      <c r="E25" s="16">
        <f>D25+C25</f>
        <v>1500</v>
      </c>
      <c r="F25" s="3">
        <v>1500</v>
      </c>
      <c r="G25" s="3">
        <f t="shared" si="1"/>
        <v>0</v>
      </c>
    </row>
    <row r="26" spans="1:9" x14ac:dyDescent="0.25">
      <c r="A26" s="2"/>
      <c r="B26" s="2" t="s">
        <v>26</v>
      </c>
      <c r="C26" s="2">
        <f>SUM(C6:C25)</f>
        <v>620</v>
      </c>
      <c r="D26" s="2">
        <f>SUM(D6:D25)</f>
        <v>22000</v>
      </c>
      <c r="E26" s="2">
        <f>SUM(E6:E25)</f>
        <v>22620</v>
      </c>
      <c r="F26" s="2">
        <f>SUM(F6:F25)</f>
        <v>22000</v>
      </c>
      <c r="G26" s="2">
        <f>SUM(G6:G25)</f>
        <v>620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5"/>
      <c r="B28" s="25"/>
      <c r="C28" s="25"/>
      <c r="D28" s="25"/>
      <c r="E28" s="25"/>
      <c r="F28" s="25"/>
      <c r="G28" s="25"/>
    </row>
    <row r="29" spans="1:9" x14ac:dyDescent="0.25">
      <c r="A29" s="25"/>
      <c r="B29" s="25"/>
      <c r="C29" s="25"/>
      <c r="D29" s="25"/>
      <c r="E29" s="25"/>
      <c r="F29" s="25"/>
      <c r="G29" s="25"/>
    </row>
    <row r="30" spans="1:9" x14ac:dyDescent="0.25">
      <c r="A30" s="26"/>
      <c r="B30" s="12" t="s">
        <v>44</v>
      </c>
      <c r="C30" s="12"/>
      <c r="D30" s="12"/>
      <c r="E30" s="12"/>
      <c r="F30" s="12" t="s">
        <v>43</v>
      </c>
      <c r="G30" s="12"/>
    </row>
    <row r="31" spans="1:9" ht="15.75" x14ac:dyDescent="0.25">
      <c r="A31" s="2"/>
      <c r="B31" s="11" t="s">
        <v>22</v>
      </c>
      <c r="C31" s="11" t="s">
        <v>23</v>
      </c>
      <c r="D31" s="11" t="s">
        <v>24</v>
      </c>
      <c r="E31" s="11" t="s">
        <v>25</v>
      </c>
      <c r="F31" s="13" t="s">
        <v>22</v>
      </c>
      <c r="G31" s="11" t="s">
        <v>23</v>
      </c>
      <c r="H31" s="11" t="s">
        <v>24</v>
      </c>
      <c r="I31" s="11" t="s">
        <v>25</v>
      </c>
    </row>
    <row r="32" spans="1:9" x14ac:dyDescent="0.25">
      <c r="A32" s="2"/>
      <c r="B32" s="3" t="s">
        <v>61</v>
      </c>
      <c r="C32" s="3">
        <f>D26</f>
        <v>22000</v>
      </c>
      <c r="D32" s="3"/>
      <c r="E32" s="3"/>
      <c r="F32" s="3" t="s">
        <v>61</v>
      </c>
      <c r="G32" s="3">
        <f>F26</f>
        <v>22000</v>
      </c>
      <c r="H32" s="3"/>
      <c r="I32" s="3"/>
    </row>
    <row r="33" spans="1:9" x14ac:dyDescent="0.25">
      <c r="A33" s="2"/>
      <c r="B33" s="3" t="s">
        <v>62</v>
      </c>
      <c r="C33" s="3">
        <f>'MARCH '!E37</f>
        <v>-1000</v>
      </c>
      <c r="D33" s="3"/>
      <c r="E33" s="3"/>
      <c r="F33" s="3" t="s">
        <v>62</v>
      </c>
      <c r="G33">
        <f>'MARCH '!I37</f>
        <v>-1620</v>
      </c>
      <c r="H33" s="3"/>
      <c r="I33" s="3"/>
    </row>
    <row r="34" spans="1:9" x14ac:dyDescent="0.25">
      <c r="A34" s="2"/>
      <c r="B34" s="3" t="s">
        <v>41</v>
      </c>
      <c r="C34" s="5">
        <v>0.1</v>
      </c>
      <c r="D34" s="3">
        <f>C34*C32</f>
        <v>2200</v>
      </c>
      <c r="E34" s="3"/>
      <c r="F34" s="3" t="s">
        <v>41</v>
      </c>
      <c r="G34" s="5">
        <v>0.1</v>
      </c>
      <c r="H34" s="3">
        <f>D34</f>
        <v>2200</v>
      </c>
      <c r="I34" s="3"/>
    </row>
    <row r="35" spans="1:9" x14ac:dyDescent="0.25">
      <c r="A35" s="2"/>
      <c r="B35" s="2" t="s">
        <v>115</v>
      </c>
      <c r="C35" s="3"/>
      <c r="D35" s="3"/>
      <c r="E35" s="3"/>
      <c r="F35" s="2" t="s">
        <v>115</v>
      </c>
      <c r="G35" s="3"/>
      <c r="H35" s="3"/>
      <c r="I35" s="3"/>
    </row>
    <row r="36" spans="1:9" x14ac:dyDescent="0.25">
      <c r="A36" s="2"/>
      <c r="B36" s="19" t="s">
        <v>146</v>
      </c>
      <c r="C36" s="3"/>
      <c r="D36" s="3">
        <v>17900</v>
      </c>
      <c r="E36" s="3"/>
      <c r="F36" s="19" t="s">
        <v>146</v>
      </c>
      <c r="G36" s="3"/>
      <c r="H36" s="3">
        <v>17900</v>
      </c>
      <c r="I36" s="3"/>
    </row>
    <row r="37" spans="1:9" x14ac:dyDescent="0.25">
      <c r="A37" s="2"/>
      <c r="B37" s="10" t="s">
        <v>103</v>
      </c>
      <c r="C37" s="3"/>
      <c r="D37" s="3">
        <v>1000</v>
      </c>
      <c r="E37" s="3"/>
      <c r="F37" s="10" t="s">
        <v>103</v>
      </c>
      <c r="G37" s="3"/>
      <c r="H37" s="3">
        <v>1000</v>
      </c>
      <c r="I37" s="3"/>
    </row>
    <row r="38" spans="1:9" x14ac:dyDescent="0.25">
      <c r="A38" s="2"/>
      <c r="B38" s="10"/>
      <c r="C38" s="3"/>
      <c r="D38" s="3"/>
      <c r="E38" s="3"/>
      <c r="F38" s="10"/>
      <c r="G38" s="3"/>
      <c r="H38" s="3"/>
      <c r="I38" s="3"/>
    </row>
    <row r="39" spans="1:9" x14ac:dyDescent="0.25">
      <c r="A39" s="2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24"/>
      <c r="B40" s="2" t="s">
        <v>26</v>
      </c>
      <c r="C40" s="2">
        <f>C32+C33-D34</f>
        <v>18800</v>
      </c>
      <c r="D40" s="2">
        <f>SUM(D36:D39)</f>
        <v>18900</v>
      </c>
      <c r="E40" s="2">
        <f>C40-D40</f>
        <v>-100</v>
      </c>
      <c r="F40" s="2" t="s">
        <v>26</v>
      </c>
      <c r="G40" s="2">
        <f>G32+G33-H34</f>
        <v>18180</v>
      </c>
      <c r="H40" s="2">
        <f>SUM(H36:H39)</f>
        <v>18900</v>
      </c>
      <c r="I40" s="2">
        <f>G40-H40</f>
        <v>-720</v>
      </c>
    </row>
    <row r="41" spans="1:9" x14ac:dyDescent="0.25">
      <c r="A41" s="25"/>
      <c r="B41" t="s">
        <v>33</v>
      </c>
      <c r="D41" t="s">
        <v>49</v>
      </c>
      <c r="G41" t="s">
        <v>34</v>
      </c>
    </row>
    <row r="42" spans="1:9" x14ac:dyDescent="0.25">
      <c r="A42" s="25"/>
    </row>
    <row r="43" spans="1:9" x14ac:dyDescent="0.25">
      <c r="A43" s="25"/>
      <c r="B43" t="s">
        <v>35</v>
      </c>
      <c r="D43" t="s">
        <v>50</v>
      </c>
      <c r="G43" t="s">
        <v>51</v>
      </c>
    </row>
    <row r="44" spans="1:9" x14ac:dyDescent="0.25">
      <c r="A44" s="25"/>
    </row>
    <row r="55" spans="1:7" ht="15.75" x14ac:dyDescent="0.25">
      <c r="A55" s="25"/>
      <c r="C55" s="21" t="s">
        <v>42</v>
      </c>
      <c r="D55" s="21"/>
      <c r="E55" s="21"/>
      <c r="F55" s="21"/>
      <c r="G55" s="22"/>
    </row>
    <row r="56" spans="1:7" ht="15.75" x14ac:dyDescent="0.25">
      <c r="A56" s="25"/>
      <c r="C56" s="21" t="s">
        <v>0</v>
      </c>
      <c r="D56" s="21"/>
      <c r="E56" s="21"/>
      <c r="F56" s="21"/>
      <c r="G56" s="22"/>
    </row>
    <row r="57" spans="1:7" ht="15.75" x14ac:dyDescent="0.25">
      <c r="A57" s="25"/>
      <c r="C57" s="21" t="s">
        <v>138</v>
      </c>
      <c r="D57" s="21"/>
      <c r="E57" s="21"/>
      <c r="F57" s="21"/>
      <c r="G57" s="22"/>
    </row>
    <row r="58" spans="1:7" ht="18.75" x14ac:dyDescent="0.3">
      <c r="A58" s="3"/>
      <c r="B58" s="18"/>
      <c r="C58" s="46" t="s">
        <v>139</v>
      </c>
      <c r="D58" s="47"/>
      <c r="E58" s="16"/>
      <c r="F58" s="3"/>
      <c r="G58" s="3"/>
    </row>
    <row r="59" spans="1:7" x14ac:dyDescent="0.25">
      <c r="A59" s="2" t="s">
        <v>27</v>
      </c>
      <c r="B59" s="2" t="s">
        <v>2</v>
      </c>
      <c r="C59" s="2" t="s">
        <v>4</v>
      </c>
      <c r="D59" s="2" t="s">
        <v>3</v>
      </c>
      <c r="E59" s="2" t="s">
        <v>5</v>
      </c>
      <c r="F59" s="2" t="s">
        <v>6</v>
      </c>
      <c r="G59" s="2" t="s">
        <v>25</v>
      </c>
    </row>
    <row r="60" spans="1:7" x14ac:dyDescent="0.25">
      <c r="A60" s="3">
        <v>1</v>
      </c>
      <c r="B60" s="18"/>
      <c r="C60" s="3"/>
      <c r="D60" s="3"/>
      <c r="E60" s="16">
        <f>C60+D60</f>
        <v>0</v>
      </c>
      <c r="F60" s="3"/>
      <c r="G60" s="3">
        <f>E60-F60</f>
        <v>0</v>
      </c>
    </row>
    <row r="61" spans="1:7" x14ac:dyDescent="0.25">
      <c r="A61" s="3">
        <v>2</v>
      </c>
      <c r="B61" s="18" t="s">
        <v>140</v>
      </c>
      <c r="C61" s="3"/>
      <c r="D61" s="3">
        <v>5000</v>
      </c>
      <c r="E61" s="16">
        <f t="shared" ref="E61:E69" si="2">C61+D61</f>
        <v>5000</v>
      </c>
      <c r="F61" s="3">
        <v>5000</v>
      </c>
      <c r="G61" s="3">
        <f t="shared" ref="G61:G69" si="3">E61-F61</f>
        <v>0</v>
      </c>
    </row>
    <row r="62" spans="1:7" x14ac:dyDescent="0.25">
      <c r="A62" s="3">
        <v>3</v>
      </c>
      <c r="B62" s="18" t="s">
        <v>149</v>
      </c>
      <c r="C62" s="3"/>
      <c r="D62" s="3">
        <v>2500</v>
      </c>
      <c r="E62" s="16">
        <f t="shared" si="2"/>
        <v>2500</v>
      </c>
      <c r="F62" s="3">
        <v>2500</v>
      </c>
      <c r="G62" s="3">
        <f t="shared" si="3"/>
        <v>0</v>
      </c>
    </row>
    <row r="63" spans="1:7" x14ac:dyDescent="0.25">
      <c r="A63" s="3">
        <v>4</v>
      </c>
      <c r="B63" s="18" t="s">
        <v>144</v>
      </c>
      <c r="C63" s="3"/>
      <c r="D63" s="3">
        <v>2500</v>
      </c>
      <c r="E63" s="16">
        <f t="shared" si="2"/>
        <v>2500</v>
      </c>
      <c r="F63" s="3">
        <v>2500</v>
      </c>
      <c r="G63" s="3">
        <f t="shared" si="3"/>
        <v>0</v>
      </c>
    </row>
    <row r="64" spans="1:7" x14ac:dyDescent="0.25">
      <c r="A64" s="3">
        <v>5</v>
      </c>
      <c r="B64" s="18" t="s">
        <v>141</v>
      </c>
      <c r="C64" s="3"/>
      <c r="D64" s="3">
        <v>2500</v>
      </c>
      <c r="E64" s="16">
        <f t="shared" si="2"/>
        <v>2500</v>
      </c>
      <c r="F64" s="3">
        <v>2500</v>
      </c>
      <c r="G64" s="3">
        <f t="shared" si="3"/>
        <v>0</v>
      </c>
    </row>
    <row r="65" spans="1:9" x14ac:dyDescent="0.25">
      <c r="A65" s="3">
        <v>6</v>
      </c>
      <c r="B65" s="18"/>
      <c r="C65" s="3"/>
      <c r="D65" s="3"/>
      <c r="E65" s="16">
        <f t="shared" si="2"/>
        <v>0</v>
      </c>
      <c r="F65" s="3"/>
      <c r="G65" s="3">
        <f t="shared" si="3"/>
        <v>0</v>
      </c>
    </row>
    <row r="66" spans="1:9" x14ac:dyDescent="0.25">
      <c r="A66" s="3">
        <v>7</v>
      </c>
      <c r="B66" s="18"/>
      <c r="C66" s="3"/>
      <c r="D66" s="3"/>
      <c r="E66" s="16">
        <f t="shared" si="2"/>
        <v>0</v>
      </c>
      <c r="F66" s="3"/>
      <c r="G66" s="3">
        <f t="shared" si="3"/>
        <v>0</v>
      </c>
    </row>
    <row r="67" spans="1:9" x14ac:dyDescent="0.25">
      <c r="A67" s="3">
        <v>8</v>
      </c>
      <c r="B67" s="18"/>
      <c r="C67" s="3"/>
      <c r="D67" s="3"/>
      <c r="E67" s="16">
        <f t="shared" si="2"/>
        <v>0</v>
      </c>
      <c r="F67" s="3"/>
      <c r="G67" s="3">
        <f t="shared" si="3"/>
        <v>0</v>
      </c>
    </row>
    <row r="68" spans="1:9" x14ac:dyDescent="0.25">
      <c r="A68" s="3">
        <v>9</v>
      </c>
      <c r="B68" s="18"/>
      <c r="C68" s="3"/>
      <c r="D68" s="3"/>
      <c r="E68" s="16">
        <f t="shared" si="2"/>
        <v>0</v>
      </c>
      <c r="F68" s="3"/>
      <c r="G68" s="3">
        <f t="shared" si="3"/>
        <v>0</v>
      </c>
    </row>
    <row r="69" spans="1:9" x14ac:dyDescent="0.25">
      <c r="A69" s="3">
        <v>10</v>
      </c>
      <c r="B69" s="18" t="s">
        <v>142</v>
      </c>
      <c r="C69" s="3"/>
      <c r="D69" s="3">
        <v>2500</v>
      </c>
      <c r="E69" s="16">
        <f t="shared" si="2"/>
        <v>2500</v>
      </c>
      <c r="F69" s="3">
        <v>2500</v>
      </c>
      <c r="G69" s="3">
        <f t="shared" si="3"/>
        <v>0</v>
      </c>
    </row>
    <row r="70" spans="1:9" x14ac:dyDescent="0.25">
      <c r="A70" s="3"/>
      <c r="B70" s="18"/>
      <c r="C70" s="3"/>
      <c r="D70" s="3"/>
      <c r="E70" s="16"/>
      <c r="F70" s="3"/>
      <c r="G70" s="3"/>
    </row>
    <row r="71" spans="1:9" x14ac:dyDescent="0.25">
      <c r="A71" s="3"/>
      <c r="B71" s="18"/>
      <c r="C71" s="3"/>
      <c r="D71" s="3"/>
      <c r="E71" s="16"/>
      <c r="F71" s="3"/>
      <c r="G71" s="3"/>
    </row>
    <row r="72" spans="1:9" x14ac:dyDescent="0.25">
      <c r="A72" s="3"/>
      <c r="B72" s="2" t="s">
        <v>26</v>
      </c>
      <c r="C72" s="2">
        <f>SUM(C60:C71)</f>
        <v>0</v>
      </c>
      <c r="D72" s="2">
        <f>SUM(D60:D71)</f>
        <v>15000</v>
      </c>
      <c r="E72" s="2">
        <f>SUM(E60:E71)</f>
        <v>15000</v>
      </c>
      <c r="F72" s="2">
        <f>SUM(F60:F71)</f>
        <v>15000</v>
      </c>
      <c r="G72" s="2">
        <f>SUM(G60:G71)</f>
        <v>0</v>
      </c>
    </row>
    <row r="74" spans="1:9" x14ac:dyDescent="0.25">
      <c r="A74" s="12"/>
      <c r="B74" s="12" t="s">
        <v>44</v>
      </c>
      <c r="C74" s="12"/>
      <c r="D74" s="12"/>
      <c r="E74" s="12"/>
      <c r="F74" s="12" t="s">
        <v>43</v>
      </c>
      <c r="G74" s="12"/>
    </row>
    <row r="75" spans="1:9" ht="15.75" x14ac:dyDescent="0.25">
      <c r="B75" s="11" t="s">
        <v>22</v>
      </c>
      <c r="C75" s="11" t="s">
        <v>23</v>
      </c>
      <c r="D75" s="11" t="s">
        <v>24</v>
      </c>
      <c r="E75" s="11" t="s">
        <v>25</v>
      </c>
      <c r="F75" s="13" t="s">
        <v>22</v>
      </c>
      <c r="G75" s="11" t="s">
        <v>23</v>
      </c>
      <c r="H75" s="11" t="s">
        <v>24</v>
      </c>
      <c r="I75" s="11" t="s">
        <v>25</v>
      </c>
    </row>
    <row r="76" spans="1:9" x14ac:dyDescent="0.25">
      <c r="B76" s="3" t="s">
        <v>61</v>
      </c>
      <c r="C76" s="3">
        <f>D72</f>
        <v>15000</v>
      </c>
      <c r="D76" s="3"/>
      <c r="E76" s="3"/>
      <c r="F76" s="3" t="s">
        <v>61</v>
      </c>
      <c r="G76" s="3">
        <f>F72</f>
        <v>15000</v>
      </c>
      <c r="H76" s="3"/>
      <c r="I76" s="3"/>
    </row>
    <row r="77" spans="1:9" x14ac:dyDescent="0.25">
      <c r="B77" s="3" t="s">
        <v>62</v>
      </c>
      <c r="C77" s="3">
        <f>DECEMBER!E37</f>
        <v>0</v>
      </c>
      <c r="D77" s="3"/>
      <c r="E77" s="3"/>
      <c r="F77" s="3" t="s">
        <v>62</v>
      </c>
      <c r="G77">
        <v>0</v>
      </c>
      <c r="H77" s="3"/>
      <c r="I77" s="3"/>
    </row>
    <row r="78" spans="1:9" x14ac:dyDescent="0.25">
      <c r="B78" s="3" t="s">
        <v>41</v>
      </c>
      <c r="C78" s="5">
        <v>0.1</v>
      </c>
      <c r="D78" s="3">
        <f>C78*C76</f>
        <v>1500</v>
      </c>
      <c r="E78" s="3"/>
      <c r="F78" s="3" t="s">
        <v>41</v>
      </c>
      <c r="G78" s="5">
        <v>0.1</v>
      </c>
      <c r="H78" s="3">
        <f>D78</f>
        <v>1500</v>
      </c>
      <c r="I78" s="3"/>
    </row>
    <row r="79" spans="1:9" x14ac:dyDescent="0.25">
      <c r="B79" s="2" t="s">
        <v>115</v>
      </c>
      <c r="C79" s="3"/>
      <c r="D79" s="3"/>
      <c r="E79" s="3"/>
      <c r="F79" s="2" t="s">
        <v>115</v>
      </c>
      <c r="G79" s="3"/>
      <c r="H79" s="3"/>
      <c r="I79" s="3"/>
    </row>
    <row r="80" spans="1:9" x14ac:dyDescent="0.25">
      <c r="B80" s="19" t="s">
        <v>147</v>
      </c>
      <c r="C80" s="3"/>
      <c r="D80" s="3">
        <v>11250</v>
      </c>
      <c r="E80" s="3"/>
      <c r="F80" s="19" t="s">
        <v>147</v>
      </c>
      <c r="G80" s="3"/>
      <c r="H80" s="3">
        <v>11250</v>
      </c>
      <c r="I80" s="3"/>
    </row>
    <row r="81" spans="2:9" x14ac:dyDescent="0.25">
      <c r="B81" s="10" t="s">
        <v>150</v>
      </c>
      <c r="C81" s="3"/>
      <c r="D81" s="3">
        <v>2250</v>
      </c>
      <c r="E81" s="3"/>
      <c r="F81" s="10" t="s">
        <v>150</v>
      </c>
      <c r="G81" s="3"/>
      <c r="H81" s="3">
        <v>2250</v>
      </c>
      <c r="I81" s="3"/>
    </row>
    <row r="82" spans="2:9" x14ac:dyDescent="0.25">
      <c r="B82" s="10"/>
      <c r="C82" s="3"/>
      <c r="D82" s="3"/>
      <c r="E82" s="3"/>
      <c r="F82" s="10"/>
      <c r="G82" s="3"/>
      <c r="H82" s="3"/>
      <c r="I82" s="3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2" t="s">
        <v>26</v>
      </c>
      <c r="C84" s="2">
        <f>C76+C77-D78</f>
        <v>13500</v>
      </c>
      <c r="D84" s="2">
        <f>SUM(D80:D83)</f>
        <v>13500</v>
      </c>
      <c r="E84" s="2">
        <f>C84-D84</f>
        <v>0</v>
      </c>
      <c r="F84" s="2" t="s">
        <v>26</v>
      </c>
      <c r="G84" s="2">
        <f>G76+G77-H78</f>
        <v>13500</v>
      </c>
      <c r="H84" s="2">
        <f>SUM(H80:H83)</f>
        <v>13500</v>
      </c>
      <c r="I84" s="2">
        <f>G84-H84</f>
        <v>0</v>
      </c>
    </row>
    <row r="87" spans="2:9" x14ac:dyDescent="0.25">
      <c r="B87" t="s">
        <v>33</v>
      </c>
      <c r="D87" t="s">
        <v>49</v>
      </c>
      <c r="G87" t="s">
        <v>34</v>
      </c>
    </row>
    <row r="89" spans="2:9" x14ac:dyDescent="0.25">
      <c r="B89" t="s">
        <v>35</v>
      </c>
      <c r="D89" t="s">
        <v>50</v>
      </c>
      <c r="G89" t="s">
        <v>51</v>
      </c>
    </row>
  </sheetData>
  <mergeCells count="1">
    <mergeCell ref="C58:D58"/>
  </mergeCells>
  <pageMargins left="0.25" right="0.25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17" workbookViewId="0">
      <selection activeCell="D45" sqref="D45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153</v>
      </c>
      <c r="D3" s="28"/>
      <c r="E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114</v>
      </c>
      <c r="C6" s="3"/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/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8" x14ac:dyDescent="0.25">
      <c r="A8" s="16">
        <v>3</v>
      </c>
      <c r="B8" s="18" t="s">
        <v>137</v>
      </c>
      <c r="C8" s="16"/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8" x14ac:dyDescent="0.25">
      <c r="A9" s="16">
        <v>4</v>
      </c>
      <c r="B9" s="16" t="s">
        <v>148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  <c r="H9" t="s">
        <v>46</v>
      </c>
    </row>
    <row r="10" spans="1:8" x14ac:dyDescent="0.25">
      <c r="A10" s="16">
        <v>5</v>
      </c>
      <c r="B10" s="16" t="s">
        <v>10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8</v>
      </c>
      <c r="B13" s="16" t="s">
        <v>58</v>
      </c>
      <c r="C13" s="16"/>
      <c r="D13" s="16">
        <v>200</v>
      </c>
      <c r="E13" s="16">
        <f t="shared" si="0"/>
        <v>200</v>
      </c>
      <c r="F13" s="16">
        <v>200</v>
      </c>
      <c r="G13" s="3">
        <f t="shared" si="1"/>
        <v>0</v>
      </c>
    </row>
    <row r="14" spans="1:8" x14ac:dyDescent="0.25">
      <c r="A14" s="16">
        <v>9</v>
      </c>
      <c r="B14" s="3" t="s">
        <v>30</v>
      </c>
      <c r="C14" s="3">
        <v>500</v>
      </c>
      <c r="D14" s="3">
        <v>1000</v>
      </c>
      <c r="E14" s="3">
        <f>D14+C14</f>
        <v>1500</v>
      </c>
      <c r="F14" s="3">
        <v>1000</v>
      </c>
      <c r="G14" s="3">
        <f>E14-F14</f>
        <v>500</v>
      </c>
    </row>
    <row r="15" spans="1:8" x14ac:dyDescent="0.25">
      <c r="A15" s="16">
        <v>10</v>
      </c>
      <c r="B15" s="16"/>
      <c r="C15" s="16"/>
      <c r="D15" s="16"/>
      <c r="E15" s="16">
        <f t="shared" si="0"/>
        <v>0</v>
      </c>
      <c r="F15" s="16"/>
      <c r="G15" s="3">
        <f>E15-F15</f>
        <v>0</v>
      </c>
      <c r="H15" s="32"/>
    </row>
    <row r="16" spans="1:8" x14ac:dyDescent="0.25">
      <c r="A16" s="16">
        <v>11</v>
      </c>
      <c r="B16" s="18" t="s">
        <v>136</v>
      </c>
      <c r="C16" s="3"/>
      <c r="D16" s="18">
        <v>1000</v>
      </c>
      <c r="E16" s="18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 t="s">
        <v>116</v>
      </c>
      <c r="C17" s="3">
        <v>100</v>
      </c>
      <c r="D17" s="3">
        <v>1000</v>
      </c>
      <c r="E17" s="3">
        <f t="shared" si="0"/>
        <v>1100</v>
      </c>
      <c r="F17" s="3"/>
      <c r="G17" s="3">
        <f t="shared" si="1"/>
        <v>1100</v>
      </c>
    </row>
    <row r="18" spans="1:9" x14ac:dyDescent="0.25">
      <c r="A18" s="16">
        <v>13</v>
      </c>
      <c r="B18" s="16" t="s">
        <v>102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57</v>
      </c>
      <c r="C19" s="16"/>
      <c r="D19" s="16">
        <v>1000</v>
      </c>
      <c r="E19" s="16">
        <f t="shared" si="0"/>
        <v>1000</v>
      </c>
      <c r="F19" s="16">
        <v>1000</v>
      </c>
      <c r="G19" s="3">
        <f>E19-F19</f>
        <v>0</v>
      </c>
      <c r="H19" t="s">
        <v>159</v>
      </c>
    </row>
    <row r="20" spans="1:9" x14ac:dyDescent="0.25">
      <c r="A20" s="16">
        <v>15</v>
      </c>
      <c r="B20" s="16" t="s">
        <v>137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16" t="s">
        <v>145</v>
      </c>
      <c r="C21" s="16"/>
      <c r="D21" s="16">
        <v>1000</v>
      </c>
      <c r="E21" s="16">
        <f t="shared" si="0"/>
        <v>1000</v>
      </c>
      <c r="F21" s="16">
        <v>1000</v>
      </c>
      <c r="G21" s="3">
        <f t="shared" si="1"/>
        <v>0</v>
      </c>
    </row>
    <row r="22" spans="1:9" x14ac:dyDescent="0.25">
      <c r="A22" s="16">
        <v>17</v>
      </c>
      <c r="B22" s="16" t="s">
        <v>47</v>
      </c>
      <c r="C22" s="16"/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18" t="s">
        <v>130</v>
      </c>
      <c r="C23" s="3">
        <v>20</v>
      </c>
      <c r="D23" s="3">
        <v>1500</v>
      </c>
      <c r="E23" s="16">
        <f t="shared" si="0"/>
        <v>1520</v>
      </c>
      <c r="F23" s="3">
        <v>1500</v>
      </c>
      <c r="G23" s="3">
        <f t="shared" si="1"/>
        <v>20</v>
      </c>
    </row>
    <row r="24" spans="1:9" x14ac:dyDescent="0.25">
      <c r="A24" s="3">
        <v>19</v>
      </c>
      <c r="B24" s="18" t="s">
        <v>135</v>
      </c>
      <c r="C24" s="3"/>
      <c r="D24" s="3">
        <v>1500</v>
      </c>
      <c r="E24" s="16">
        <f t="shared" si="0"/>
        <v>1500</v>
      </c>
      <c r="F24" s="3">
        <v>1500</v>
      </c>
      <c r="G24" s="3">
        <f t="shared" si="1"/>
        <v>0</v>
      </c>
    </row>
    <row r="25" spans="1:9" x14ac:dyDescent="0.25">
      <c r="A25" s="3">
        <v>20</v>
      </c>
      <c r="B25" s="18" t="s">
        <v>118</v>
      </c>
      <c r="C25" s="3"/>
      <c r="D25" s="3">
        <v>1500</v>
      </c>
      <c r="E25" s="16">
        <f>D25+C25</f>
        <v>1500</v>
      </c>
      <c r="F25" s="3">
        <v>980</v>
      </c>
      <c r="G25" s="3">
        <f t="shared" si="1"/>
        <v>520</v>
      </c>
    </row>
    <row r="26" spans="1:9" x14ac:dyDescent="0.25">
      <c r="A26" s="2"/>
      <c r="B26" s="2" t="s">
        <v>26</v>
      </c>
      <c r="C26" s="2">
        <f>SUM(C6:C25)</f>
        <v>620</v>
      </c>
      <c r="D26" s="2">
        <f>SUM(D6:D25)</f>
        <v>20200</v>
      </c>
      <c r="E26" s="2">
        <f>SUM(E6:E25)</f>
        <v>20820</v>
      </c>
      <c r="F26" s="2">
        <f>SUM(F6:F25)</f>
        <v>18680</v>
      </c>
      <c r="G26" s="2">
        <f>SUM(G6:G25)</f>
        <v>2140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5"/>
      <c r="B28" s="25"/>
      <c r="C28" s="25"/>
      <c r="D28" s="25"/>
      <c r="E28" s="25"/>
      <c r="F28" s="25"/>
      <c r="G28" s="25"/>
    </row>
    <row r="29" spans="1:9" x14ac:dyDescent="0.25">
      <c r="A29" s="25"/>
      <c r="B29" s="25"/>
      <c r="C29" s="25"/>
      <c r="D29" s="25"/>
      <c r="E29" s="25"/>
      <c r="F29" s="25"/>
      <c r="G29" s="25"/>
    </row>
    <row r="30" spans="1:9" x14ac:dyDescent="0.25">
      <c r="A30" s="26"/>
      <c r="B30" s="12" t="s">
        <v>44</v>
      </c>
      <c r="C30" s="12"/>
      <c r="D30" s="12"/>
      <c r="E30" s="12"/>
      <c r="F30" s="12" t="s">
        <v>43</v>
      </c>
      <c r="G30" s="12"/>
    </row>
    <row r="31" spans="1:9" ht="15.75" x14ac:dyDescent="0.25">
      <c r="A31" s="2"/>
      <c r="B31" s="11" t="s">
        <v>22</v>
      </c>
      <c r="C31" s="11" t="s">
        <v>23</v>
      </c>
      <c r="D31" s="11" t="s">
        <v>24</v>
      </c>
      <c r="E31" s="11" t="s">
        <v>25</v>
      </c>
      <c r="F31" s="13" t="s">
        <v>22</v>
      </c>
      <c r="G31" s="11" t="s">
        <v>23</v>
      </c>
      <c r="H31" s="11" t="s">
        <v>24</v>
      </c>
      <c r="I31" s="11" t="s">
        <v>25</v>
      </c>
    </row>
    <row r="32" spans="1:9" x14ac:dyDescent="0.25">
      <c r="A32" s="2"/>
      <c r="B32" s="3" t="s">
        <v>71</v>
      </c>
      <c r="C32" s="3">
        <f>D26</f>
        <v>20200</v>
      </c>
      <c r="D32" s="3"/>
      <c r="E32" s="3"/>
      <c r="F32" s="3" t="s">
        <v>71</v>
      </c>
      <c r="G32" s="3">
        <f>F26</f>
        <v>18680</v>
      </c>
      <c r="H32" s="3"/>
      <c r="I32" s="3"/>
    </row>
    <row r="33" spans="1:9" x14ac:dyDescent="0.25">
      <c r="A33" s="2"/>
      <c r="B33" s="3" t="s">
        <v>62</v>
      </c>
      <c r="C33" s="3">
        <f>'APRIL '!E40</f>
        <v>-100</v>
      </c>
      <c r="D33" s="3"/>
      <c r="E33" s="3"/>
      <c r="F33" s="3" t="s">
        <v>62</v>
      </c>
      <c r="G33">
        <f>'APRIL '!I40</f>
        <v>-720</v>
      </c>
      <c r="H33" s="3"/>
      <c r="I33" s="3"/>
    </row>
    <row r="34" spans="1:9" x14ac:dyDescent="0.25">
      <c r="A34" s="2"/>
      <c r="B34" s="3" t="s">
        <v>41</v>
      </c>
      <c r="C34" s="5">
        <v>0.1</v>
      </c>
      <c r="D34" s="3">
        <f>C34*C32</f>
        <v>2020</v>
      </c>
      <c r="E34" s="3"/>
      <c r="F34" s="3" t="s">
        <v>41</v>
      </c>
      <c r="G34" s="5">
        <v>0.1</v>
      </c>
      <c r="H34" s="3">
        <f>D34</f>
        <v>2020</v>
      </c>
      <c r="I34" s="3"/>
    </row>
    <row r="35" spans="1:9" x14ac:dyDescent="0.25">
      <c r="A35" s="2"/>
      <c r="B35" s="2" t="s">
        <v>115</v>
      </c>
      <c r="C35" s="3"/>
      <c r="D35" s="3"/>
      <c r="E35" s="3"/>
      <c r="F35" s="2" t="s">
        <v>115</v>
      </c>
      <c r="G35" s="3"/>
      <c r="H35" s="3"/>
      <c r="I35" s="3"/>
    </row>
    <row r="36" spans="1:9" x14ac:dyDescent="0.25">
      <c r="A36" s="2"/>
      <c r="B36" s="19" t="s">
        <v>152</v>
      </c>
      <c r="C36" s="3"/>
      <c r="D36" s="3">
        <v>18800</v>
      </c>
      <c r="E36" s="3"/>
      <c r="F36" s="19" t="s">
        <v>152</v>
      </c>
      <c r="G36" s="3"/>
      <c r="H36" s="3">
        <v>18800</v>
      </c>
      <c r="I36" s="3"/>
    </row>
    <row r="37" spans="1:9" x14ac:dyDescent="0.25">
      <c r="A37" s="2"/>
      <c r="B37" s="10" t="s">
        <v>154</v>
      </c>
      <c r="C37" s="3"/>
      <c r="D37" s="3">
        <v>1000</v>
      </c>
      <c r="E37" s="3"/>
      <c r="F37" s="10" t="s">
        <v>154</v>
      </c>
      <c r="G37" s="3"/>
      <c r="H37" s="3">
        <v>1000</v>
      </c>
      <c r="I37" s="3"/>
    </row>
    <row r="38" spans="1:9" x14ac:dyDescent="0.25">
      <c r="A38" s="2"/>
      <c r="B38" s="3" t="s">
        <v>11</v>
      </c>
      <c r="C38" s="3"/>
      <c r="D38" s="3">
        <v>1000</v>
      </c>
      <c r="E38" s="3"/>
      <c r="F38" s="3" t="s">
        <v>11</v>
      </c>
      <c r="G38" s="3"/>
      <c r="H38" s="3">
        <v>1000</v>
      </c>
      <c r="I38" s="3"/>
    </row>
    <row r="39" spans="1:9" x14ac:dyDescent="0.25">
      <c r="A39" s="2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24"/>
      <c r="B40" s="2" t="s">
        <v>26</v>
      </c>
      <c r="C40" s="2">
        <f>C32+C33-D34</f>
        <v>18080</v>
      </c>
      <c r="D40" s="2">
        <f>SUM(D36:D39)</f>
        <v>20800</v>
      </c>
      <c r="E40" s="2">
        <f>C40-D40</f>
        <v>-2720</v>
      </c>
      <c r="F40" s="2" t="s">
        <v>26</v>
      </c>
      <c r="G40" s="2">
        <f>G32+G33-H34</f>
        <v>15940</v>
      </c>
      <c r="H40" s="2">
        <f>SUM(H36:H39)</f>
        <v>20800</v>
      </c>
      <c r="I40" s="2">
        <f>G40-H40</f>
        <v>-4860</v>
      </c>
    </row>
    <row r="41" spans="1:9" x14ac:dyDescent="0.25">
      <c r="A41" s="25"/>
      <c r="B41" t="s">
        <v>33</v>
      </c>
      <c r="D41" t="s">
        <v>49</v>
      </c>
      <c r="G41" t="s">
        <v>34</v>
      </c>
    </row>
    <row r="42" spans="1:9" x14ac:dyDescent="0.25">
      <c r="A42" s="25"/>
    </row>
    <row r="43" spans="1:9" x14ac:dyDescent="0.25">
      <c r="A43" s="25"/>
      <c r="B43" t="s">
        <v>35</v>
      </c>
      <c r="D43" t="s">
        <v>50</v>
      </c>
      <c r="G43" t="s">
        <v>51</v>
      </c>
    </row>
    <row r="44" spans="1:9" x14ac:dyDescent="0.25">
      <c r="A44" s="25"/>
    </row>
    <row r="55" spans="1:7" ht="18.75" x14ac:dyDescent="0.3">
      <c r="A55" s="25"/>
      <c r="C55" s="1" t="s">
        <v>42</v>
      </c>
      <c r="D55" s="21"/>
      <c r="E55" s="21"/>
      <c r="F55" s="21"/>
      <c r="G55" s="22"/>
    </row>
    <row r="56" spans="1:7" ht="15.75" x14ac:dyDescent="0.25">
      <c r="A56" s="25"/>
      <c r="C56" s="29" t="s">
        <v>0</v>
      </c>
      <c r="D56" s="29"/>
      <c r="E56" s="29"/>
      <c r="F56" s="29"/>
      <c r="G56" s="22"/>
    </row>
    <row r="57" spans="1:7" ht="15.75" x14ac:dyDescent="0.25">
      <c r="A57" s="25"/>
      <c r="C57" s="29" t="s">
        <v>153</v>
      </c>
      <c r="D57" s="29"/>
      <c r="E57" s="29"/>
      <c r="F57" s="29"/>
      <c r="G57" s="22"/>
    </row>
    <row r="58" spans="1:7" x14ac:dyDescent="0.25">
      <c r="A58" s="3"/>
      <c r="B58" s="18"/>
      <c r="C58" s="48" t="s">
        <v>139</v>
      </c>
      <c r="D58" s="49"/>
      <c r="E58" s="30"/>
      <c r="F58" s="31"/>
      <c r="G58" s="3"/>
    </row>
    <row r="59" spans="1:7" x14ac:dyDescent="0.25">
      <c r="A59" s="2" t="s">
        <v>27</v>
      </c>
      <c r="B59" s="2" t="s">
        <v>2</v>
      </c>
      <c r="C59" s="2" t="s">
        <v>4</v>
      </c>
      <c r="D59" s="2" t="s">
        <v>3</v>
      </c>
      <c r="E59" s="2" t="s">
        <v>5</v>
      </c>
      <c r="F59" s="2" t="s">
        <v>6</v>
      </c>
      <c r="G59" s="2" t="s">
        <v>25</v>
      </c>
    </row>
    <row r="60" spans="1:7" x14ac:dyDescent="0.25">
      <c r="A60" s="3">
        <v>1</v>
      </c>
      <c r="B60" s="18"/>
      <c r="C60" s="3"/>
      <c r="D60" s="3"/>
      <c r="E60" s="16">
        <f>C60+D60</f>
        <v>0</v>
      </c>
      <c r="F60" s="3"/>
      <c r="G60" s="3">
        <f>E60-F60</f>
        <v>0</v>
      </c>
    </row>
    <row r="61" spans="1:7" x14ac:dyDescent="0.25">
      <c r="A61" s="3">
        <v>2</v>
      </c>
      <c r="B61" s="18" t="s">
        <v>140</v>
      </c>
      <c r="C61" s="3"/>
      <c r="D61" s="3">
        <v>2500</v>
      </c>
      <c r="E61" s="16">
        <f t="shared" ref="E61:E69" si="2">C61+D61</f>
        <v>2500</v>
      </c>
      <c r="F61" s="3"/>
      <c r="G61" s="3">
        <f t="shared" ref="G61:G69" si="3">E61-F61</f>
        <v>2500</v>
      </c>
    </row>
    <row r="62" spans="1:7" x14ac:dyDescent="0.25">
      <c r="A62" s="3">
        <v>3</v>
      </c>
      <c r="B62" s="18" t="s">
        <v>149</v>
      </c>
      <c r="C62" s="3"/>
      <c r="D62" s="3">
        <v>1000</v>
      </c>
      <c r="E62" s="16">
        <f t="shared" si="2"/>
        <v>1000</v>
      </c>
      <c r="F62" s="3"/>
      <c r="G62" s="3">
        <f t="shared" si="3"/>
        <v>1000</v>
      </c>
    </row>
    <row r="63" spans="1:7" x14ac:dyDescent="0.25">
      <c r="A63" s="3">
        <v>4</v>
      </c>
      <c r="B63" s="18" t="s">
        <v>144</v>
      </c>
      <c r="C63" s="3"/>
      <c r="D63" s="3">
        <v>2500</v>
      </c>
      <c r="E63" s="16">
        <f t="shared" si="2"/>
        <v>2500</v>
      </c>
      <c r="F63" s="3">
        <v>2500</v>
      </c>
      <c r="G63" s="3">
        <f t="shared" si="3"/>
        <v>0</v>
      </c>
    </row>
    <row r="64" spans="1:7" x14ac:dyDescent="0.25">
      <c r="A64" s="3">
        <v>5</v>
      </c>
      <c r="B64" s="18" t="s">
        <v>155</v>
      </c>
      <c r="C64" s="3"/>
      <c r="D64" s="3"/>
      <c r="E64" s="16">
        <f t="shared" si="2"/>
        <v>0</v>
      </c>
      <c r="F64" s="3"/>
      <c r="G64" s="3">
        <f t="shared" si="3"/>
        <v>0</v>
      </c>
    </row>
    <row r="65" spans="1:12" x14ac:dyDescent="0.25">
      <c r="A65" s="3">
        <v>6</v>
      </c>
      <c r="B65" s="18"/>
      <c r="C65" s="3"/>
      <c r="D65" s="3"/>
      <c r="E65" s="16">
        <f t="shared" si="2"/>
        <v>0</v>
      </c>
      <c r="F65" s="3"/>
      <c r="G65" s="3">
        <f t="shared" si="3"/>
        <v>0</v>
      </c>
    </row>
    <row r="66" spans="1:12" x14ac:dyDescent="0.25">
      <c r="A66" s="3">
        <v>7</v>
      </c>
      <c r="B66" s="18"/>
      <c r="C66" s="3"/>
      <c r="D66" s="3"/>
      <c r="E66" s="16">
        <f t="shared" si="2"/>
        <v>0</v>
      </c>
      <c r="F66" s="3"/>
      <c r="G66" s="3">
        <f t="shared" si="3"/>
        <v>0</v>
      </c>
    </row>
    <row r="67" spans="1:12" x14ac:dyDescent="0.25">
      <c r="A67" s="3">
        <v>8</v>
      </c>
      <c r="B67" s="18"/>
      <c r="C67" s="3"/>
      <c r="D67" s="3"/>
      <c r="E67" s="16">
        <f t="shared" si="2"/>
        <v>0</v>
      </c>
      <c r="F67" s="3"/>
      <c r="G67" s="3">
        <f t="shared" si="3"/>
        <v>0</v>
      </c>
      <c r="L67">
        <v>2500</v>
      </c>
    </row>
    <row r="68" spans="1:12" x14ac:dyDescent="0.25">
      <c r="A68" s="3">
        <v>9</v>
      </c>
      <c r="B68" s="18"/>
      <c r="C68" s="3"/>
      <c r="D68" s="3"/>
      <c r="E68" s="16">
        <f t="shared" si="2"/>
        <v>0</v>
      </c>
      <c r="F68" s="3"/>
      <c r="G68" s="3">
        <f t="shared" si="3"/>
        <v>0</v>
      </c>
      <c r="L68">
        <v>666</v>
      </c>
    </row>
    <row r="69" spans="1:12" x14ac:dyDescent="0.25">
      <c r="A69" s="3">
        <v>10</v>
      </c>
      <c r="B69" s="18"/>
      <c r="C69" s="3"/>
      <c r="D69" s="3"/>
      <c r="E69" s="16">
        <f t="shared" si="2"/>
        <v>0</v>
      </c>
      <c r="F69" s="3"/>
      <c r="G69" s="3">
        <f t="shared" si="3"/>
        <v>0</v>
      </c>
    </row>
    <row r="70" spans="1:12" x14ac:dyDescent="0.25">
      <c r="A70" s="3"/>
      <c r="B70" s="18"/>
      <c r="C70" s="3"/>
      <c r="D70" s="3"/>
      <c r="E70" s="16"/>
      <c r="F70" s="3"/>
      <c r="G70" s="3"/>
      <c r="L70">
        <f>SUM(L67:L69)</f>
        <v>3166</v>
      </c>
    </row>
    <row r="71" spans="1:12" x14ac:dyDescent="0.25">
      <c r="A71" s="3"/>
      <c r="B71" s="18"/>
      <c r="C71" s="3"/>
      <c r="D71" s="3"/>
      <c r="E71" s="16"/>
      <c r="F71" s="3"/>
      <c r="G71" s="3"/>
    </row>
    <row r="72" spans="1:12" x14ac:dyDescent="0.25">
      <c r="A72" s="3"/>
      <c r="B72" s="2" t="s">
        <v>26</v>
      </c>
      <c r="C72" s="2">
        <f>SUM(C60:C71)</f>
        <v>0</v>
      </c>
      <c r="D72" s="2">
        <f>SUM(D60:D71)</f>
        <v>6000</v>
      </c>
      <c r="E72" s="2">
        <f>SUM(E60:E71)</f>
        <v>6000</v>
      </c>
      <c r="F72" s="2">
        <f>SUM(F60:F71)</f>
        <v>2500</v>
      </c>
      <c r="G72" s="2">
        <f>SUM(G60:G71)</f>
        <v>3500</v>
      </c>
    </row>
    <row r="74" spans="1:12" x14ac:dyDescent="0.25">
      <c r="A74" s="12"/>
      <c r="B74" s="12" t="s">
        <v>44</v>
      </c>
      <c r="C74" s="12"/>
      <c r="D74" s="12"/>
      <c r="E74" s="12"/>
      <c r="F74" s="12" t="s">
        <v>43</v>
      </c>
      <c r="G74" s="12"/>
    </row>
    <row r="75" spans="1:12" ht="15.75" x14ac:dyDescent="0.25">
      <c r="B75" s="11" t="s">
        <v>22</v>
      </c>
      <c r="C75" s="11" t="s">
        <v>23</v>
      </c>
      <c r="D75" s="11" t="s">
        <v>24</v>
      </c>
      <c r="E75" s="11" t="s">
        <v>25</v>
      </c>
      <c r="F75" s="13" t="s">
        <v>22</v>
      </c>
      <c r="G75" s="11" t="s">
        <v>23</v>
      </c>
      <c r="H75" s="11" t="s">
        <v>24</v>
      </c>
      <c r="I75" s="11" t="s">
        <v>25</v>
      </c>
    </row>
    <row r="76" spans="1:12" x14ac:dyDescent="0.25">
      <c r="B76" s="3" t="s">
        <v>71</v>
      </c>
      <c r="C76" s="3">
        <f>D72</f>
        <v>6000</v>
      </c>
      <c r="D76" s="3"/>
      <c r="E76" s="3"/>
      <c r="F76" s="3" t="s">
        <v>71</v>
      </c>
      <c r="G76" s="3">
        <f>F72</f>
        <v>2500</v>
      </c>
      <c r="H76" s="3"/>
      <c r="I76" s="3"/>
    </row>
    <row r="77" spans="1:12" x14ac:dyDescent="0.25">
      <c r="B77" s="3" t="s">
        <v>62</v>
      </c>
      <c r="C77" s="3">
        <f>'APRIL '!E84</f>
        <v>0</v>
      </c>
      <c r="D77" s="3"/>
      <c r="E77" s="3"/>
      <c r="F77" s="3" t="s">
        <v>62</v>
      </c>
      <c r="G77">
        <f>'APRIL '!I84</f>
        <v>0</v>
      </c>
      <c r="H77" s="3"/>
      <c r="I77" s="3"/>
    </row>
    <row r="78" spans="1:12" x14ac:dyDescent="0.25">
      <c r="B78" s="3" t="s">
        <v>41</v>
      </c>
      <c r="C78" s="5">
        <v>0.1</v>
      </c>
      <c r="D78" s="3">
        <f>C78*C76</f>
        <v>600</v>
      </c>
      <c r="E78" s="3"/>
      <c r="F78" s="3" t="s">
        <v>41</v>
      </c>
      <c r="G78" s="5">
        <v>0.1</v>
      </c>
      <c r="H78" s="3">
        <f>D78</f>
        <v>600</v>
      </c>
      <c r="I78" s="3"/>
    </row>
    <row r="79" spans="1:12" x14ac:dyDescent="0.25">
      <c r="B79" s="2" t="s">
        <v>115</v>
      </c>
      <c r="C79" s="3"/>
      <c r="D79" s="3"/>
      <c r="E79" s="3"/>
      <c r="F79" s="2" t="s">
        <v>115</v>
      </c>
      <c r="G79" s="3"/>
      <c r="H79" s="3"/>
      <c r="I79" s="3"/>
    </row>
    <row r="80" spans="1:12" x14ac:dyDescent="0.25">
      <c r="B80" s="19" t="s">
        <v>152</v>
      </c>
      <c r="C80" s="3"/>
      <c r="D80" s="3">
        <v>6750</v>
      </c>
      <c r="E80" s="3"/>
      <c r="F80" s="19" t="s">
        <v>152</v>
      </c>
      <c r="G80" s="3"/>
      <c r="H80" s="3">
        <v>6750</v>
      </c>
      <c r="I80" s="3"/>
    </row>
    <row r="81" spans="2:9" x14ac:dyDescent="0.25">
      <c r="B81" s="10"/>
      <c r="C81" s="3"/>
      <c r="D81" s="3"/>
      <c r="E81" s="3"/>
      <c r="F81" s="10"/>
      <c r="G81" s="3"/>
      <c r="H81" s="3"/>
      <c r="I81" s="3"/>
    </row>
    <row r="82" spans="2:9" x14ac:dyDescent="0.25">
      <c r="B82" s="10"/>
      <c r="C82" s="3"/>
      <c r="D82" s="3"/>
      <c r="E82" s="3"/>
      <c r="F82" s="10"/>
      <c r="G82" s="3"/>
      <c r="H82" s="3"/>
      <c r="I82" s="3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2" t="s">
        <v>26</v>
      </c>
      <c r="C84" s="2">
        <f>C76+C77-D78</f>
        <v>5400</v>
      </c>
      <c r="D84" s="2">
        <f>SUM(D80:D83)</f>
        <v>6750</v>
      </c>
      <c r="E84" s="2">
        <f>C84-D84</f>
        <v>-1350</v>
      </c>
      <c r="F84" s="2" t="s">
        <v>26</v>
      </c>
      <c r="G84" s="2">
        <f>G76+G77-H78</f>
        <v>1900</v>
      </c>
      <c r="H84" s="2">
        <f>SUM(H80:H83)</f>
        <v>6750</v>
      </c>
      <c r="I84" s="2">
        <f>G84-H84</f>
        <v>-4850</v>
      </c>
    </row>
    <row r="87" spans="2:9" x14ac:dyDescent="0.25">
      <c r="B87" t="s">
        <v>33</v>
      </c>
      <c r="D87" t="s">
        <v>49</v>
      </c>
      <c r="G87" t="s">
        <v>34</v>
      </c>
    </row>
    <row r="89" spans="2:9" x14ac:dyDescent="0.25">
      <c r="B89" t="s">
        <v>35</v>
      </c>
      <c r="D89" t="s">
        <v>50</v>
      </c>
      <c r="G89" t="s">
        <v>51</v>
      </c>
    </row>
    <row r="94" spans="2:9" x14ac:dyDescent="0.25">
      <c r="F94">
        <f>D84+D40</f>
        <v>27550</v>
      </c>
    </row>
  </sheetData>
  <mergeCells count="1">
    <mergeCell ref="C58:D58"/>
  </mergeCells>
  <pageMargins left="0.25" right="0.25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8" workbookViewId="0">
      <selection activeCell="I28" sqref="I28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9.28515625" customWidth="1"/>
    <col min="7" max="7" width="9.425781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156</v>
      </c>
      <c r="D3" s="28"/>
      <c r="E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114</v>
      </c>
      <c r="C6" s="3"/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/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8" x14ac:dyDescent="0.25">
      <c r="A8" s="16">
        <v>3</v>
      </c>
      <c r="B8" s="18" t="s">
        <v>137</v>
      </c>
      <c r="C8" s="16"/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8" x14ac:dyDescent="0.25">
      <c r="A9" s="16">
        <v>4</v>
      </c>
      <c r="B9" s="16" t="s">
        <v>148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  <c r="H9" t="s">
        <v>161</v>
      </c>
    </row>
    <row r="10" spans="1:8" x14ac:dyDescent="0.25">
      <c r="A10" s="16">
        <v>5</v>
      </c>
      <c r="B10" s="16" t="s">
        <v>10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8</v>
      </c>
      <c r="B13" s="16" t="s">
        <v>45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8" x14ac:dyDescent="0.25">
      <c r="A14" s="16">
        <v>9</v>
      </c>
      <c r="B14" s="3" t="s">
        <v>30</v>
      </c>
      <c r="C14" s="3">
        <v>500</v>
      </c>
      <c r="D14" s="3">
        <v>1000</v>
      </c>
      <c r="E14" s="3">
        <f>D14+C14</f>
        <v>1500</v>
      </c>
      <c r="F14" s="3"/>
      <c r="G14" s="3">
        <f>E14-F14</f>
        <v>1500</v>
      </c>
    </row>
    <row r="15" spans="1:8" x14ac:dyDescent="0.25">
      <c r="A15" s="16">
        <v>10</v>
      </c>
      <c r="B15" s="16" t="s">
        <v>45</v>
      </c>
      <c r="C15" s="16"/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18" t="s">
        <v>136</v>
      </c>
      <c r="C16" s="3"/>
      <c r="D16" s="18">
        <v>1000</v>
      </c>
      <c r="E16" s="18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 t="s">
        <v>116</v>
      </c>
      <c r="C17" s="3">
        <v>1100</v>
      </c>
      <c r="D17" s="3">
        <v>1000</v>
      </c>
      <c r="E17" s="3">
        <f t="shared" si="0"/>
        <v>2100</v>
      </c>
      <c r="F17" s="3">
        <v>500</v>
      </c>
      <c r="G17" s="3">
        <f t="shared" si="1"/>
        <v>1600</v>
      </c>
    </row>
    <row r="18" spans="1:9" x14ac:dyDescent="0.25">
      <c r="A18" s="16">
        <v>13</v>
      </c>
      <c r="B18" s="16" t="s">
        <v>102</v>
      </c>
      <c r="C18" s="16"/>
      <c r="D18" s="16">
        <v>1000</v>
      </c>
      <c r="E18" s="16">
        <f t="shared" si="0"/>
        <v>1000</v>
      </c>
      <c r="F18" s="16"/>
      <c r="G18" s="3">
        <f t="shared" si="1"/>
        <v>1000</v>
      </c>
    </row>
    <row r="19" spans="1:9" x14ac:dyDescent="0.25">
      <c r="A19" s="16">
        <v>14</v>
      </c>
      <c r="B19" s="16" t="s">
        <v>102</v>
      </c>
      <c r="C19" s="16"/>
      <c r="D19" s="16">
        <v>1000</v>
      </c>
      <c r="E19" s="16">
        <f t="shared" si="0"/>
        <v>1000</v>
      </c>
      <c r="F19" s="16"/>
      <c r="G19" s="3">
        <f>E19-F19</f>
        <v>1000</v>
      </c>
    </row>
    <row r="20" spans="1:9" x14ac:dyDescent="0.25">
      <c r="A20" s="16">
        <v>15</v>
      </c>
      <c r="B20" s="16" t="s">
        <v>137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16" t="s">
        <v>145</v>
      </c>
      <c r="C21" s="16"/>
      <c r="D21" s="16">
        <v>1000</v>
      </c>
      <c r="E21" s="16">
        <f t="shared" si="0"/>
        <v>1000</v>
      </c>
      <c r="F21" s="16">
        <v>1000</v>
      </c>
      <c r="G21" s="3">
        <f t="shared" si="1"/>
        <v>0</v>
      </c>
    </row>
    <row r="22" spans="1:9" x14ac:dyDescent="0.25">
      <c r="A22" s="16">
        <v>17</v>
      </c>
      <c r="B22" s="16" t="s">
        <v>47</v>
      </c>
      <c r="C22" s="16"/>
      <c r="D22" s="16">
        <v>1500</v>
      </c>
      <c r="E22" s="16">
        <f t="shared" si="0"/>
        <v>1500</v>
      </c>
      <c r="F22" s="16">
        <v>1000</v>
      </c>
      <c r="G22" s="3">
        <f t="shared" si="1"/>
        <v>500</v>
      </c>
    </row>
    <row r="23" spans="1:9" x14ac:dyDescent="0.25">
      <c r="A23" s="3">
        <v>18</v>
      </c>
      <c r="B23" s="18" t="s">
        <v>130</v>
      </c>
      <c r="C23" s="3">
        <v>20</v>
      </c>
      <c r="D23" s="3">
        <v>1500</v>
      </c>
      <c r="E23" s="16">
        <f t="shared" si="0"/>
        <v>1520</v>
      </c>
      <c r="F23" s="3">
        <v>1470</v>
      </c>
      <c r="G23" s="3">
        <f t="shared" si="1"/>
        <v>50</v>
      </c>
    </row>
    <row r="24" spans="1:9" x14ac:dyDescent="0.25">
      <c r="A24" s="3">
        <v>19</v>
      </c>
      <c r="B24" s="18" t="s">
        <v>135</v>
      </c>
      <c r="C24" s="3"/>
      <c r="D24" s="3">
        <v>1500</v>
      </c>
      <c r="E24" s="16">
        <f t="shared" si="0"/>
        <v>1500</v>
      </c>
      <c r="F24" s="3">
        <v>1500</v>
      </c>
      <c r="G24" s="3">
        <f t="shared" si="1"/>
        <v>0</v>
      </c>
    </row>
    <row r="25" spans="1:9" x14ac:dyDescent="0.25">
      <c r="A25" s="3">
        <v>20</v>
      </c>
      <c r="B25" s="18" t="s">
        <v>118</v>
      </c>
      <c r="C25" s="3">
        <v>520</v>
      </c>
      <c r="D25" s="3">
        <v>1500</v>
      </c>
      <c r="E25" s="16">
        <f>D25+C25</f>
        <v>2020</v>
      </c>
      <c r="F25" s="3">
        <v>2000</v>
      </c>
      <c r="G25" s="3">
        <f t="shared" si="1"/>
        <v>20</v>
      </c>
    </row>
    <row r="26" spans="1:9" x14ac:dyDescent="0.25">
      <c r="A26" s="2"/>
      <c r="B26" s="2" t="s">
        <v>26</v>
      </c>
      <c r="C26" s="2">
        <f>SUM(C6:C25)</f>
        <v>2140</v>
      </c>
      <c r="D26" s="2">
        <f>SUM(D6:D25)</f>
        <v>22000</v>
      </c>
      <c r="E26" s="2">
        <f>SUM(E6:E25)</f>
        <v>24140</v>
      </c>
      <c r="F26" s="2">
        <f>SUM(F6:F25)</f>
        <v>18470</v>
      </c>
      <c r="G26" s="2">
        <f>SUM(G6:G25)</f>
        <v>5670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5"/>
      <c r="B28" s="25"/>
      <c r="C28" s="25"/>
      <c r="D28" s="25"/>
      <c r="E28" s="25"/>
      <c r="F28" s="25"/>
      <c r="G28" s="25"/>
    </row>
    <row r="29" spans="1:9" x14ac:dyDescent="0.25">
      <c r="A29" s="25"/>
      <c r="B29" s="25"/>
      <c r="C29" s="25"/>
      <c r="D29" s="25"/>
      <c r="E29" s="25"/>
      <c r="F29" s="25"/>
      <c r="G29" s="25"/>
    </row>
    <row r="30" spans="1:9" x14ac:dyDescent="0.25">
      <c r="A30" s="26"/>
      <c r="B30" s="12" t="s">
        <v>44</v>
      </c>
      <c r="C30" s="12"/>
      <c r="D30" s="12"/>
      <c r="E30" s="33"/>
      <c r="F30" s="12" t="s">
        <v>43</v>
      </c>
      <c r="G30" s="12"/>
    </row>
    <row r="31" spans="1:9" ht="15.75" x14ac:dyDescent="0.25">
      <c r="A31" s="2"/>
      <c r="B31" s="11" t="s">
        <v>22</v>
      </c>
      <c r="C31" s="11" t="s">
        <v>23</v>
      </c>
      <c r="D31" s="11" t="s">
        <v>24</v>
      </c>
      <c r="E31" s="11" t="s">
        <v>25</v>
      </c>
      <c r="F31" s="13" t="s">
        <v>22</v>
      </c>
      <c r="G31" s="11" t="s">
        <v>23</v>
      </c>
      <c r="H31" s="11" t="s">
        <v>24</v>
      </c>
      <c r="I31" s="11" t="s">
        <v>25</v>
      </c>
    </row>
    <row r="32" spans="1:9" x14ac:dyDescent="0.25">
      <c r="A32" s="2"/>
      <c r="B32" s="3" t="s">
        <v>157</v>
      </c>
      <c r="C32" s="3">
        <f>D26</f>
        <v>22000</v>
      </c>
      <c r="D32" s="3"/>
      <c r="E32" s="3"/>
      <c r="F32" s="3" t="s">
        <v>157</v>
      </c>
      <c r="G32" s="3">
        <f>F26</f>
        <v>18470</v>
      </c>
      <c r="H32" s="3"/>
      <c r="I32" s="3"/>
    </row>
    <row r="33" spans="1:9" x14ac:dyDescent="0.25">
      <c r="A33" s="2"/>
      <c r="B33" s="3" t="s">
        <v>62</v>
      </c>
      <c r="C33" s="3">
        <f>'MAY '!E40</f>
        <v>-2720</v>
      </c>
      <c r="D33" s="3"/>
      <c r="E33" s="3"/>
      <c r="F33" s="3" t="s">
        <v>62</v>
      </c>
      <c r="G33">
        <f>'MAY '!I40</f>
        <v>-4860</v>
      </c>
      <c r="H33" s="3"/>
      <c r="I33" s="3"/>
    </row>
    <row r="34" spans="1:9" x14ac:dyDescent="0.25">
      <c r="A34" s="2"/>
      <c r="B34" s="3" t="s">
        <v>41</v>
      </c>
      <c r="C34" s="5">
        <v>0.1</v>
      </c>
      <c r="D34" s="3">
        <f>C34*C32</f>
        <v>2200</v>
      </c>
      <c r="E34" s="3"/>
      <c r="F34" s="3" t="s">
        <v>41</v>
      </c>
      <c r="G34" s="5">
        <v>0.1</v>
      </c>
      <c r="H34" s="3">
        <f>D34</f>
        <v>2200</v>
      </c>
      <c r="I34" s="3"/>
    </row>
    <row r="35" spans="1:9" x14ac:dyDescent="0.25">
      <c r="A35" s="2"/>
      <c r="B35" s="2" t="s">
        <v>115</v>
      </c>
      <c r="C35" s="3"/>
      <c r="D35" s="3"/>
      <c r="E35" s="3"/>
      <c r="F35" s="2" t="s">
        <v>115</v>
      </c>
      <c r="G35" s="3"/>
      <c r="H35" s="3"/>
      <c r="I35" s="3"/>
    </row>
    <row r="36" spans="1:9" x14ac:dyDescent="0.25">
      <c r="A36" s="2"/>
      <c r="B36" s="19" t="s">
        <v>158</v>
      </c>
      <c r="C36" s="3"/>
      <c r="D36" s="3">
        <v>17080</v>
      </c>
      <c r="E36" s="3"/>
      <c r="F36" s="19" t="s">
        <v>158</v>
      </c>
      <c r="G36" s="3"/>
      <c r="H36" s="3">
        <v>17080</v>
      </c>
      <c r="I36" s="3"/>
    </row>
    <row r="37" spans="1:9" x14ac:dyDescent="0.25">
      <c r="A37" s="2"/>
      <c r="B37" s="10" t="s">
        <v>160</v>
      </c>
      <c r="C37" s="3"/>
      <c r="D37" s="3">
        <v>1000</v>
      </c>
      <c r="E37" s="3"/>
      <c r="F37" s="10" t="s">
        <v>160</v>
      </c>
      <c r="G37" s="3"/>
      <c r="H37" s="3">
        <v>1000</v>
      </c>
      <c r="I37" s="3"/>
    </row>
    <row r="38" spans="1:9" x14ac:dyDescent="0.25">
      <c r="A38" s="2"/>
      <c r="B38" s="10" t="s">
        <v>154</v>
      </c>
      <c r="C38" s="3"/>
      <c r="D38" s="3">
        <v>1000</v>
      </c>
      <c r="E38" s="3"/>
      <c r="F38" s="10" t="s">
        <v>154</v>
      </c>
      <c r="G38" s="3"/>
      <c r="H38" s="3">
        <v>1000</v>
      </c>
      <c r="I38" s="3"/>
    </row>
    <row r="39" spans="1:9" x14ac:dyDescent="0.25">
      <c r="A39" s="2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24"/>
      <c r="B40" s="2" t="s">
        <v>26</v>
      </c>
      <c r="C40" s="2">
        <f>C32+C33-D34</f>
        <v>17080</v>
      </c>
      <c r="D40" s="2">
        <f>SUM(D36:D39)</f>
        <v>19080</v>
      </c>
      <c r="E40" s="2">
        <f>C40-D40</f>
        <v>-2000</v>
      </c>
      <c r="F40" s="2" t="s">
        <v>26</v>
      </c>
      <c r="G40" s="2">
        <f>G32+G33-H34</f>
        <v>11410</v>
      </c>
      <c r="H40" s="2">
        <f>SUM(H36:H39)</f>
        <v>19080</v>
      </c>
      <c r="I40" s="2">
        <f>G40-H40</f>
        <v>-7670</v>
      </c>
    </row>
    <row r="41" spans="1:9" x14ac:dyDescent="0.25">
      <c r="A41" s="25"/>
      <c r="B41" t="s">
        <v>33</v>
      </c>
      <c r="D41" t="s">
        <v>49</v>
      </c>
      <c r="G41" t="s">
        <v>34</v>
      </c>
    </row>
    <row r="42" spans="1:9" x14ac:dyDescent="0.25">
      <c r="A42" s="25"/>
    </row>
    <row r="43" spans="1:9" x14ac:dyDescent="0.25">
      <c r="A43" s="25"/>
      <c r="B43" t="s">
        <v>35</v>
      </c>
      <c r="D43" t="s">
        <v>50</v>
      </c>
      <c r="G43" t="s">
        <v>51</v>
      </c>
    </row>
    <row r="44" spans="1:9" x14ac:dyDescent="0.25">
      <c r="A44" s="25"/>
    </row>
    <row r="55" spans="1:7" ht="18.75" x14ac:dyDescent="0.3">
      <c r="A55" s="25"/>
      <c r="C55" s="1" t="s">
        <v>42</v>
      </c>
      <c r="D55" s="21"/>
      <c r="E55" s="21"/>
      <c r="F55" s="21"/>
      <c r="G55" s="22"/>
    </row>
    <row r="56" spans="1:7" ht="15.75" x14ac:dyDescent="0.25">
      <c r="A56" s="25"/>
      <c r="C56" s="29" t="s">
        <v>0</v>
      </c>
      <c r="D56" s="29"/>
      <c r="E56" s="29"/>
      <c r="F56" s="29"/>
      <c r="G56" s="22"/>
    </row>
    <row r="57" spans="1:7" ht="15.75" x14ac:dyDescent="0.25">
      <c r="A57" s="25"/>
      <c r="C57" s="29" t="s">
        <v>156</v>
      </c>
      <c r="D57" s="29"/>
      <c r="E57" s="29"/>
      <c r="F57" s="29"/>
      <c r="G57" s="22"/>
    </row>
    <row r="58" spans="1:7" x14ac:dyDescent="0.25">
      <c r="A58" s="3"/>
      <c r="B58" s="18"/>
      <c r="C58" s="48" t="s">
        <v>139</v>
      </c>
      <c r="D58" s="49"/>
      <c r="E58" s="30"/>
      <c r="F58" s="31"/>
      <c r="G58" s="3"/>
    </row>
    <row r="59" spans="1:7" x14ac:dyDescent="0.25">
      <c r="A59" s="2" t="s">
        <v>27</v>
      </c>
      <c r="B59" s="2" t="s">
        <v>2</v>
      </c>
      <c r="C59" s="2" t="s">
        <v>4</v>
      </c>
      <c r="D59" s="2" t="s">
        <v>3</v>
      </c>
      <c r="E59" s="2" t="s">
        <v>5</v>
      </c>
      <c r="F59" s="2" t="s">
        <v>6</v>
      </c>
      <c r="G59" s="2" t="s">
        <v>25</v>
      </c>
    </row>
    <row r="60" spans="1:7" x14ac:dyDescent="0.25">
      <c r="A60" s="3">
        <v>1</v>
      </c>
      <c r="B60" s="18"/>
      <c r="C60" s="3"/>
      <c r="D60" s="3"/>
      <c r="E60" s="16">
        <f>C60+D60</f>
        <v>0</v>
      </c>
      <c r="F60" s="3"/>
      <c r="G60" s="3">
        <f>E60-F60</f>
        <v>0</v>
      </c>
    </row>
    <row r="61" spans="1:7" x14ac:dyDescent="0.25">
      <c r="A61" s="3">
        <v>2</v>
      </c>
      <c r="B61" s="18" t="s">
        <v>140</v>
      </c>
      <c r="C61" s="3">
        <v>2500</v>
      </c>
      <c r="D61" s="3">
        <v>2500</v>
      </c>
      <c r="E61" s="16">
        <f t="shared" ref="E61:E69" si="2">C61+D61</f>
        <v>5000</v>
      </c>
      <c r="F61" s="3">
        <v>5000</v>
      </c>
      <c r="G61" s="3">
        <f t="shared" ref="G61:G69" si="3">E61-F61</f>
        <v>0</v>
      </c>
    </row>
    <row r="62" spans="1:7" x14ac:dyDescent="0.25">
      <c r="A62" s="3">
        <v>3</v>
      </c>
      <c r="B62" s="18" t="s">
        <v>149</v>
      </c>
      <c r="C62" s="3">
        <v>1000</v>
      </c>
      <c r="D62" s="3">
        <v>250</v>
      </c>
      <c r="E62" s="16">
        <f t="shared" si="2"/>
        <v>1250</v>
      </c>
      <c r="F62" s="3">
        <v>1250</v>
      </c>
      <c r="G62" s="3">
        <f t="shared" si="3"/>
        <v>0</v>
      </c>
    </row>
    <row r="63" spans="1:7" x14ac:dyDescent="0.25">
      <c r="A63" s="3">
        <v>4</v>
      </c>
      <c r="B63" s="18" t="s">
        <v>144</v>
      </c>
      <c r="C63" s="3"/>
      <c r="D63" s="3">
        <v>2500</v>
      </c>
      <c r="E63" s="16">
        <f t="shared" si="2"/>
        <v>2500</v>
      </c>
      <c r="F63" s="3">
        <v>2500</v>
      </c>
      <c r="G63" s="3">
        <f t="shared" si="3"/>
        <v>0</v>
      </c>
    </row>
    <row r="64" spans="1:7" x14ac:dyDescent="0.25">
      <c r="A64" s="3">
        <v>5</v>
      </c>
      <c r="B64" s="18" t="s">
        <v>155</v>
      </c>
      <c r="C64" s="3"/>
      <c r="D64" s="3">
        <v>2500</v>
      </c>
      <c r="E64" s="16">
        <f t="shared" si="2"/>
        <v>2500</v>
      </c>
      <c r="F64" s="3">
        <v>2500</v>
      </c>
      <c r="G64" s="3">
        <f t="shared" si="3"/>
        <v>0</v>
      </c>
    </row>
    <row r="65" spans="1:9" x14ac:dyDescent="0.25">
      <c r="A65" s="3">
        <v>6</v>
      </c>
      <c r="B65" s="18"/>
      <c r="C65" s="3"/>
      <c r="D65" s="3"/>
      <c r="E65" s="16">
        <f t="shared" si="2"/>
        <v>0</v>
      </c>
      <c r="F65" s="3"/>
      <c r="G65" s="3">
        <f t="shared" si="3"/>
        <v>0</v>
      </c>
    </row>
    <row r="66" spans="1:9" x14ac:dyDescent="0.25">
      <c r="A66" s="3">
        <v>7</v>
      </c>
      <c r="B66" s="18"/>
      <c r="C66" s="3"/>
      <c r="D66" s="3"/>
      <c r="E66" s="16">
        <f t="shared" si="2"/>
        <v>0</v>
      </c>
      <c r="F66" s="3"/>
      <c r="G66" s="3">
        <f t="shared" si="3"/>
        <v>0</v>
      </c>
    </row>
    <row r="67" spans="1:9" x14ac:dyDescent="0.25">
      <c r="A67" s="3">
        <v>8</v>
      </c>
      <c r="B67" s="18"/>
      <c r="C67" s="3"/>
      <c r="D67" s="3"/>
      <c r="E67" s="16">
        <f t="shared" si="2"/>
        <v>0</v>
      </c>
      <c r="F67" s="3"/>
      <c r="G67" s="3">
        <f t="shared" si="3"/>
        <v>0</v>
      </c>
    </row>
    <row r="68" spans="1:9" x14ac:dyDescent="0.25">
      <c r="A68" s="3">
        <v>9</v>
      </c>
      <c r="B68" s="18"/>
      <c r="C68" s="3"/>
      <c r="D68" s="3"/>
      <c r="E68" s="16">
        <f t="shared" si="2"/>
        <v>0</v>
      </c>
      <c r="F68" s="3"/>
      <c r="G68" s="3">
        <f t="shared" si="3"/>
        <v>0</v>
      </c>
    </row>
    <row r="69" spans="1:9" x14ac:dyDescent="0.25">
      <c r="A69" s="3">
        <v>10</v>
      </c>
      <c r="B69" s="18"/>
      <c r="C69" s="3"/>
      <c r="D69" s="3"/>
      <c r="E69" s="16">
        <f t="shared" si="2"/>
        <v>0</v>
      </c>
      <c r="F69" s="3"/>
      <c r="G69" s="3">
        <f t="shared" si="3"/>
        <v>0</v>
      </c>
    </row>
    <row r="70" spans="1:9" x14ac:dyDescent="0.25">
      <c r="A70" s="3"/>
      <c r="B70" s="18"/>
      <c r="C70" s="3"/>
      <c r="D70" s="3"/>
      <c r="E70" s="16"/>
      <c r="F70" s="3"/>
      <c r="G70" s="3"/>
    </row>
    <row r="71" spans="1:9" x14ac:dyDescent="0.25">
      <c r="A71" s="3"/>
      <c r="B71" s="18"/>
      <c r="C71" s="3"/>
      <c r="D71" s="3"/>
      <c r="E71" s="16"/>
      <c r="F71" s="3"/>
      <c r="G71" s="3"/>
    </row>
    <row r="72" spans="1:9" x14ac:dyDescent="0.25">
      <c r="A72" s="3"/>
      <c r="B72" s="2" t="s">
        <v>26</v>
      </c>
      <c r="C72" s="2">
        <f>SUM(C60:C71)</f>
        <v>3500</v>
      </c>
      <c r="D72" s="2">
        <f>SUM(D60:D71)</f>
        <v>7750</v>
      </c>
      <c r="E72" s="2">
        <f>SUM(E60:E71)</f>
        <v>11250</v>
      </c>
      <c r="F72" s="2">
        <f>SUM(F60:F71)</f>
        <v>11250</v>
      </c>
      <c r="G72" s="2">
        <f>SUM(G60:G71)</f>
        <v>0</v>
      </c>
    </row>
    <row r="74" spans="1:9" x14ac:dyDescent="0.25">
      <c r="A74" s="12"/>
      <c r="B74" s="12" t="s">
        <v>44</v>
      </c>
      <c r="C74" s="12"/>
      <c r="D74" s="12"/>
      <c r="E74" s="12"/>
      <c r="F74" s="34" t="s">
        <v>43</v>
      </c>
      <c r="G74" s="12"/>
    </row>
    <row r="75" spans="1:9" ht="15.75" x14ac:dyDescent="0.25">
      <c r="B75" s="11" t="s">
        <v>22</v>
      </c>
      <c r="C75" s="11" t="s">
        <v>23</v>
      </c>
      <c r="D75" s="11" t="s">
        <v>24</v>
      </c>
      <c r="E75" s="11" t="s">
        <v>25</v>
      </c>
      <c r="F75" s="13" t="s">
        <v>22</v>
      </c>
      <c r="G75" s="11" t="s">
        <v>23</v>
      </c>
      <c r="H75" s="11" t="s">
        <v>24</v>
      </c>
      <c r="I75" s="11" t="s">
        <v>25</v>
      </c>
    </row>
    <row r="76" spans="1:9" x14ac:dyDescent="0.25">
      <c r="B76" s="3" t="s">
        <v>81</v>
      </c>
      <c r="C76" s="3">
        <f>D72</f>
        <v>7750</v>
      </c>
      <c r="D76" s="3"/>
      <c r="E76" s="3"/>
      <c r="F76" s="3" t="s">
        <v>157</v>
      </c>
      <c r="G76" s="3">
        <f>F72</f>
        <v>11250</v>
      </c>
      <c r="H76" s="3"/>
      <c r="I76" s="3"/>
    </row>
    <row r="77" spans="1:9" x14ac:dyDescent="0.25">
      <c r="B77" s="3" t="s">
        <v>62</v>
      </c>
      <c r="C77" s="3">
        <f>'MAY '!E84</f>
        <v>-1350</v>
      </c>
      <c r="D77" s="3"/>
      <c r="E77" s="3"/>
      <c r="F77" s="3" t="s">
        <v>62</v>
      </c>
      <c r="G77">
        <f>'MAY '!I84</f>
        <v>-4850</v>
      </c>
      <c r="H77" s="3"/>
      <c r="I77" s="3"/>
    </row>
    <row r="78" spans="1:9" x14ac:dyDescent="0.25">
      <c r="B78" s="3" t="s">
        <v>41</v>
      </c>
      <c r="C78" s="5">
        <v>0.1</v>
      </c>
      <c r="D78" s="3">
        <f>C78*C76</f>
        <v>775</v>
      </c>
      <c r="E78" s="3"/>
      <c r="F78" s="3" t="s">
        <v>41</v>
      </c>
      <c r="G78" s="5">
        <v>0.1</v>
      </c>
      <c r="H78" s="3">
        <f>D78</f>
        <v>775</v>
      </c>
      <c r="I78" s="3"/>
    </row>
    <row r="79" spans="1:9" x14ac:dyDescent="0.25">
      <c r="B79" s="2" t="s">
        <v>115</v>
      </c>
      <c r="C79" s="3"/>
      <c r="D79" s="3"/>
      <c r="E79" s="3"/>
      <c r="F79" s="2" t="s">
        <v>115</v>
      </c>
      <c r="G79" s="3"/>
      <c r="H79" s="3"/>
      <c r="I79" s="3"/>
    </row>
    <row r="80" spans="1:9" x14ac:dyDescent="0.25">
      <c r="B80" s="19" t="s">
        <v>163</v>
      </c>
      <c r="C80" s="3"/>
      <c r="D80" s="3">
        <v>2500</v>
      </c>
      <c r="E80" s="3"/>
      <c r="F80" s="19" t="s">
        <v>163</v>
      </c>
      <c r="G80" s="3"/>
      <c r="H80" s="3">
        <v>2500</v>
      </c>
      <c r="I80" s="3"/>
    </row>
    <row r="81" spans="2:9" x14ac:dyDescent="0.25">
      <c r="B81" s="10" t="s">
        <v>158</v>
      </c>
      <c r="C81" s="3"/>
      <c r="D81" s="3">
        <v>4170</v>
      </c>
      <c r="E81" s="3"/>
      <c r="F81" s="10" t="s">
        <v>158</v>
      </c>
      <c r="G81" s="3"/>
      <c r="H81" s="3">
        <v>4170</v>
      </c>
      <c r="I81" s="3"/>
    </row>
    <row r="82" spans="2:9" x14ac:dyDescent="0.25">
      <c r="B82" s="10"/>
      <c r="C82" s="3"/>
      <c r="D82" s="3"/>
      <c r="E82" s="3"/>
      <c r="F82" s="10"/>
      <c r="G82" s="3"/>
      <c r="H82" s="3"/>
      <c r="I82" s="3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2" t="s">
        <v>26</v>
      </c>
      <c r="C84" s="2">
        <f>C76+C77-D78</f>
        <v>5625</v>
      </c>
      <c r="D84" s="2">
        <f>SUM(D80:D83)</f>
        <v>6670</v>
      </c>
      <c r="E84" s="2">
        <f>C84-D84</f>
        <v>-1045</v>
      </c>
      <c r="F84" s="2" t="s">
        <v>26</v>
      </c>
      <c r="G84" s="2">
        <f>G76+G77-H78</f>
        <v>5625</v>
      </c>
      <c r="H84" s="2">
        <f>SUM(H80:H83)</f>
        <v>6670</v>
      </c>
      <c r="I84" s="2">
        <f>G84-H84</f>
        <v>-1045</v>
      </c>
    </row>
    <row r="87" spans="2:9" x14ac:dyDescent="0.25">
      <c r="B87" t="s">
        <v>33</v>
      </c>
      <c r="D87" t="s">
        <v>49</v>
      </c>
      <c r="G87" t="s">
        <v>34</v>
      </c>
    </row>
    <row r="89" spans="2:9" x14ac:dyDescent="0.25">
      <c r="B89" t="s">
        <v>35</v>
      </c>
      <c r="D89" t="s">
        <v>50</v>
      </c>
      <c r="G89" t="s">
        <v>51</v>
      </c>
    </row>
    <row r="94" spans="2:9" x14ac:dyDescent="0.25">
      <c r="F94">
        <f>D84+D40</f>
        <v>25750</v>
      </c>
    </row>
  </sheetData>
  <mergeCells count="1">
    <mergeCell ref="C58:D5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7" workbookViewId="0">
      <selection activeCell="K37" sqref="K37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10.5703125" customWidth="1"/>
    <col min="7" max="7" width="9.425781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5.75" x14ac:dyDescent="0.25">
      <c r="C2" s="28" t="s">
        <v>0</v>
      </c>
      <c r="D2" s="28"/>
      <c r="E2" s="28"/>
      <c r="F2" s="28"/>
      <c r="G2" s="22"/>
    </row>
    <row r="3" spans="1:7" ht="15.75" x14ac:dyDescent="0.25">
      <c r="C3" s="28" t="s">
        <v>162</v>
      </c>
      <c r="D3" s="28"/>
      <c r="E3" s="28"/>
      <c r="F3" s="28"/>
      <c r="G3" s="22"/>
    </row>
    <row r="4" spans="1:7" ht="18.75" x14ac:dyDescent="0.3">
      <c r="D4" s="27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/>
      <c r="C6" s="3"/>
      <c r="D6" s="3"/>
      <c r="E6" s="3">
        <f>D6+C6</f>
        <v>0</v>
      </c>
      <c r="F6" s="3"/>
      <c r="G6" s="3">
        <f>E6-F6</f>
        <v>0</v>
      </c>
    </row>
    <row r="7" spans="1:7" x14ac:dyDescent="0.25">
      <c r="A7" s="3">
        <v>2</v>
      </c>
      <c r="B7" s="16" t="s">
        <v>109</v>
      </c>
      <c r="C7" s="3"/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7" x14ac:dyDescent="0.25">
      <c r="A8" s="16">
        <v>3</v>
      </c>
      <c r="B8" s="18" t="s">
        <v>137</v>
      </c>
      <c r="C8" s="16"/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7" x14ac:dyDescent="0.25">
      <c r="A9" s="16">
        <v>4</v>
      </c>
      <c r="B9" s="16"/>
      <c r="C9" s="16"/>
      <c r="D9" s="16"/>
      <c r="E9" s="16">
        <f t="shared" si="0"/>
        <v>0</v>
      </c>
      <c r="F9" s="16"/>
      <c r="G9" s="3">
        <f t="shared" si="1"/>
        <v>0</v>
      </c>
    </row>
    <row r="10" spans="1:7" x14ac:dyDescent="0.25">
      <c r="A10" s="16">
        <v>5</v>
      </c>
      <c r="B10" s="16" t="s">
        <v>10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6</v>
      </c>
      <c r="B11" s="16" t="s">
        <v>69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7</v>
      </c>
      <c r="B12" s="16" t="s">
        <v>28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8</v>
      </c>
      <c r="B13" s="16" t="s">
        <v>45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9</v>
      </c>
      <c r="B14" s="3"/>
      <c r="C14" s="3"/>
      <c r="D14" s="3"/>
      <c r="E14" s="16">
        <f t="shared" si="0"/>
        <v>0</v>
      </c>
      <c r="F14" s="3"/>
      <c r="G14" s="3"/>
    </row>
    <row r="15" spans="1:7" x14ac:dyDescent="0.25">
      <c r="A15" s="16">
        <v>10</v>
      </c>
      <c r="B15" s="16" t="s">
        <v>164</v>
      </c>
      <c r="C15" s="16"/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7" x14ac:dyDescent="0.25">
      <c r="A16" s="16">
        <v>11</v>
      </c>
      <c r="B16" s="18" t="s">
        <v>136</v>
      </c>
      <c r="C16" s="3"/>
      <c r="D16" s="18">
        <v>1000</v>
      </c>
      <c r="E16" s="16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 t="s">
        <v>116</v>
      </c>
      <c r="C17" s="3">
        <v>1600</v>
      </c>
      <c r="D17" s="3">
        <v>1000</v>
      </c>
      <c r="E17" s="16">
        <f t="shared" si="0"/>
        <v>2600</v>
      </c>
      <c r="F17" s="3">
        <v>2600</v>
      </c>
      <c r="G17" s="3">
        <f t="shared" si="1"/>
        <v>0</v>
      </c>
      <c r="H17" t="s">
        <v>46</v>
      </c>
    </row>
    <row r="18" spans="1:9" x14ac:dyDescent="0.25">
      <c r="A18" s="16">
        <v>13</v>
      </c>
      <c r="B18" s="16"/>
      <c r="C18" s="16">
        <v>1000</v>
      </c>
      <c r="D18" s="16"/>
      <c r="E18" s="16">
        <f t="shared" si="0"/>
        <v>1000</v>
      </c>
      <c r="F18" s="16"/>
      <c r="G18" s="3">
        <f t="shared" si="1"/>
        <v>1000</v>
      </c>
    </row>
    <row r="19" spans="1:9" x14ac:dyDescent="0.25">
      <c r="A19" s="16">
        <v>14</v>
      </c>
      <c r="B19" s="16"/>
      <c r="C19" s="16">
        <v>1000</v>
      </c>
      <c r="D19" s="16"/>
      <c r="E19" s="16">
        <f t="shared" si="0"/>
        <v>1000</v>
      </c>
      <c r="F19" s="16"/>
      <c r="G19" s="3">
        <f>E19-F19</f>
        <v>1000</v>
      </c>
    </row>
    <row r="20" spans="1:9" x14ac:dyDescent="0.25">
      <c r="A20" s="16">
        <v>15</v>
      </c>
      <c r="B20" s="16" t="s">
        <v>137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3" t="s">
        <v>30</v>
      </c>
      <c r="C21" s="3">
        <v>1500</v>
      </c>
      <c r="D21" s="3">
        <v>1000</v>
      </c>
      <c r="E21" s="3">
        <f>D21+C21</f>
        <v>2500</v>
      </c>
      <c r="F21" s="3"/>
      <c r="G21" s="3">
        <f>E21-F21</f>
        <v>2500</v>
      </c>
    </row>
    <row r="22" spans="1:9" x14ac:dyDescent="0.25">
      <c r="A22" s="16">
        <v>17</v>
      </c>
      <c r="B22" s="16" t="s">
        <v>47</v>
      </c>
      <c r="C22" s="16">
        <v>500</v>
      </c>
      <c r="D22" s="16">
        <v>1500</v>
      </c>
      <c r="E22" s="16">
        <f t="shared" si="0"/>
        <v>2000</v>
      </c>
      <c r="F22" s="16">
        <v>2000</v>
      </c>
      <c r="G22" s="3">
        <f t="shared" si="1"/>
        <v>0</v>
      </c>
    </row>
    <row r="23" spans="1:9" x14ac:dyDescent="0.25">
      <c r="A23" s="3">
        <v>18</v>
      </c>
      <c r="B23" s="18"/>
      <c r="C23" s="3">
        <v>50</v>
      </c>
      <c r="D23" s="3"/>
      <c r="E23" s="16">
        <f t="shared" si="0"/>
        <v>50</v>
      </c>
      <c r="F23" s="3">
        <v>50</v>
      </c>
      <c r="G23" s="3">
        <f t="shared" si="1"/>
        <v>0</v>
      </c>
      <c r="H23" t="s">
        <v>46</v>
      </c>
    </row>
    <row r="24" spans="1:9" x14ac:dyDescent="0.25">
      <c r="A24" s="3">
        <v>19</v>
      </c>
      <c r="B24" s="18" t="s">
        <v>135</v>
      </c>
      <c r="C24" s="3"/>
      <c r="D24" s="3">
        <v>1500</v>
      </c>
      <c r="E24" s="16">
        <f t="shared" si="0"/>
        <v>1500</v>
      </c>
      <c r="F24" s="3">
        <v>1000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v>20</v>
      </c>
      <c r="D25" s="3">
        <v>1500</v>
      </c>
      <c r="E25" s="16">
        <f>D25+C25</f>
        <v>1520</v>
      </c>
      <c r="F25" s="3">
        <v>1000</v>
      </c>
      <c r="G25" s="3">
        <f t="shared" si="1"/>
        <v>520</v>
      </c>
    </row>
    <row r="26" spans="1:9" x14ac:dyDescent="0.25">
      <c r="A26" s="2"/>
      <c r="B26" s="2" t="s">
        <v>26</v>
      </c>
      <c r="C26" s="2">
        <f>SUM(C6:C25)</f>
        <v>5670</v>
      </c>
      <c r="D26" s="2">
        <f>SUM(D6:D25)</f>
        <v>15500</v>
      </c>
      <c r="E26" s="2">
        <f>SUM(E6:E25)</f>
        <v>21170</v>
      </c>
      <c r="F26" s="2">
        <f>SUM(F6:F25)</f>
        <v>15650</v>
      </c>
      <c r="G26" s="2">
        <f>SUM(G6:G25)</f>
        <v>5520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6"/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A29" s="2"/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A30" s="2"/>
      <c r="B30" s="3" t="s">
        <v>86</v>
      </c>
      <c r="C30" s="3">
        <f>D26</f>
        <v>15500</v>
      </c>
      <c r="D30" s="3"/>
      <c r="E30" s="3"/>
      <c r="F30" s="3" t="s">
        <v>86</v>
      </c>
      <c r="G30" s="3">
        <f>F26</f>
        <v>15650</v>
      </c>
      <c r="H30" s="3"/>
      <c r="I30" s="3"/>
    </row>
    <row r="31" spans="1:9" x14ac:dyDescent="0.25">
      <c r="A31" s="2"/>
      <c r="B31" s="3" t="s">
        <v>62</v>
      </c>
      <c r="C31" s="3">
        <f>'JUNE '!E40</f>
        <v>-2000</v>
      </c>
      <c r="D31" s="3"/>
      <c r="E31" s="3"/>
      <c r="F31" s="3" t="s">
        <v>62</v>
      </c>
      <c r="G31">
        <f>'JUNE '!I40</f>
        <v>-7670</v>
      </c>
      <c r="H31" s="3"/>
      <c r="I31" s="3"/>
    </row>
    <row r="32" spans="1:9" x14ac:dyDescent="0.25">
      <c r="A32" s="2"/>
      <c r="B32" s="3" t="s">
        <v>41</v>
      </c>
      <c r="C32" s="5">
        <v>0.1</v>
      </c>
      <c r="D32" s="3">
        <f>C32*C30</f>
        <v>1550</v>
      </c>
      <c r="E32" s="3"/>
      <c r="F32" s="3" t="s">
        <v>41</v>
      </c>
      <c r="G32" s="5">
        <v>0.1</v>
      </c>
      <c r="H32" s="3">
        <f>D32</f>
        <v>1550</v>
      </c>
      <c r="I32" s="3"/>
    </row>
    <row r="33" spans="1:9" x14ac:dyDescent="0.25">
      <c r="A33" s="2"/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1:9" x14ac:dyDescent="0.25">
      <c r="A34" s="2"/>
      <c r="B34" s="19" t="s">
        <v>168</v>
      </c>
      <c r="C34" s="3"/>
      <c r="D34" s="3">
        <v>2600</v>
      </c>
      <c r="E34" s="3"/>
      <c r="F34" s="19" t="s">
        <v>168</v>
      </c>
      <c r="G34" s="3"/>
      <c r="H34" s="3">
        <v>2600</v>
      </c>
      <c r="I34" s="3"/>
    </row>
    <row r="35" spans="1:9" x14ac:dyDescent="0.25">
      <c r="A35" s="24"/>
      <c r="B35" s="19" t="s">
        <v>169</v>
      </c>
      <c r="C35" s="3"/>
      <c r="D35" s="3">
        <v>9350</v>
      </c>
      <c r="E35" s="3"/>
      <c r="F35" s="19" t="s">
        <v>169</v>
      </c>
      <c r="G35" s="3"/>
      <c r="H35" s="3">
        <v>9350</v>
      </c>
      <c r="I35" s="3"/>
    </row>
    <row r="36" spans="1:9" x14ac:dyDescent="0.25">
      <c r="A36" s="24"/>
      <c r="B36" s="19" t="s">
        <v>170</v>
      </c>
      <c r="C36" s="3"/>
      <c r="D36" s="3">
        <v>50</v>
      </c>
      <c r="E36" s="3"/>
      <c r="F36" s="19" t="s">
        <v>170</v>
      </c>
      <c r="G36" s="3"/>
      <c r="H36" s="3">
        <v>50</v>
      </c>
      <c r="I36" s="3"/>
    </row>
    <row r="37" spans="1:9" x14ac:dyDescent="0.25">
      <c r="A37" s="2"/>
      <c r="B37" s="2" t="s">
        <v>26</v>
      </c>
      <c r="C37" s="2">
        <f>C30+C31-D32</f>
        <v>11950</v>
      </c>
      <c r="D37" s="2">
        <f>SUM(D34:D36)</f>
        <v>12000</v>
      </c>
      <c r="E37" s="2">
        <f>C37-D37</f>
        <v>-50</v>
      </c>
      <c r="F37" s="2" t="s">
        <v>26</v>
      </c>
      <c r="G37" s="2">
        <f>G30+G31-H32</f>
        <v>6430</v>
      </c>
      <c r="H37" s="2">
        <f>SUM(H34:H36)</f>
        <v>12000</v>
      </c>
      <c r="I37" s="2">
        <f>G37-H37</f>
        <v>-5570</v>
      </c>
    </row>
    <row r="38" spans="1:9" x14ac:dyDescent="0.25">
      <c r="A38" s="25"/>
      <c r="B38" t="s">
        <v>33</v>
      </c>
      <c r="D38" t="s">
        <v>49</v>
      </c>
      <c r="G38" t="s">
        <v>34</v>
      </c>
    </row>
    <row r="39" spans="1:9" x14ac:dyDescent="0.25">
      <c r="A39" s="25"/>
    </row>
    <row r="40" spans="1:9" x14ac:dyDescent="0.25">
      <c r="A40" s="25"/>
      <c r="B40" t="s">
        <v>35</v>
      </c>
      <c r="D40" t="s">
        <v>50</v>
      </c>
      <c r="G40" t="s">
        <v>51</v>
      </c>
    </row>
    <row r="41" spans="1:9" x14ac:dyDescent="0.25">
      <c r="A41" s="25"/>
    </row>
    <row r="42" spans="1:9" ht="18.75" x14ac:dyDescent="0.3">
      <c r="A42" s="25"/>
      <c r="C42" s="1" t="s">
        <v>42</v>
      </c>
      <c r="D42" s="21"/>
      <c r="E42" s="21"/>
      <c r="F42" s="21"/>
      <c r="G42" s="22"/>
    </row>
    <row r="43" spans="1:9" ht="15.75" x14ac:dyDescent="0.25">
      <c r="A43" s="25"/>
      <c r="C43" s="29" t="s">
        <v>0</v>
      </c>
      <c r="D43" s="29"/>
      <c r="E43" s="29"/>
      <c r="F43" s="29"/>
      <c r="G43" s="22"/>
    </row>
    <row r="44" spans="1:9" ht="15.75" x14ac:dyDescent="0.25">
      <c r="A44" s="25"/>
      <c r="C44" s="29" t="s">
        <v>162</v>
      </c>
      <c r="D44" s="29"/>
      <c r="E44" s="29"/>
      <c r="F44" s="29"/>
      <c r="G44" s="22"/>
    </row>
    <row r="45" spans="1:9" x14ac:dyDescent="0.25">
      <c r="A45" s="3"/>
      <c r="B45" s="18"/>
      <c r="C45" s="48" t="s">
        <v>139</v>
      </c>
      <c r="D45" s="49"/>
      <c r="E45" s="30"/>
      <c r="F45" s="31"/>
      <c r="G45" s="3"/>
    </row>
    <row r="46" spans="1:9" x14ac:dyDescent="0.25">
      <c r="A46" s="2" t="s">
        <v>27</v>
      </c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1:9" x14ac:dyDescent="0.25">
      <c r="A47" s="3">
        <v>1</v>
      </c>
      <c r="B47" s="18"/>
      <c r="C47" s="3"/>
      <c r="D47" s="3"/>
      <c r="E47" s="16">
        <f>C47+D47</f>
        <v>0</v>
      </c>
      <c r="F47" s="3"/>
      <c r="G47" s="3">
        <f>E47-F47</f>
        <v>0</v>
      </c>
    </row>
    <row r="48" spans="1:9" x14ac:dyDescent="0.25">
      <c r="A48" s="3">
        <v>2</v>
      </c>
      <c r="B48" s="18" t="s">
        <v>167</v>
      </c>
      <c r="C48" s="3"/>
      <c r="D48" s="3">
        <v>2000</v>
      </c>
      <c r="E48" s="16">
        <f t="shared" ref="E48:E56" si="2">C48+D48</f>
        <v>2000</v>
      </c>
      <c r="F48" s="3">
        <v>2000</v>
      </c>
      <c r="G48" s="3">
        <f t="shared" ref="G48:G56" si="3">E48-F48</f>
        <v>0</v>
      </c>
    </row>
    <row r="49" spans="1:9" x14ac:dyDescent="0.25">
      <c r="A49" s="3">
        <v>3</v>
      </c>
      <c r="B49" s="18"/>
      <c r="C49" s="3"/>
      <c r="D49" s="3"/>
      <c r="E49" s="16">
        <f t="shared" si="2"/>
        <v>0</v>
      </c>
      <c r="F49" s="3"/>
      <c r="G49" s="3">
        <f t="shared" si="3"/>
        <v>0</v>
      </c>
    </row>
    <row r="50" spans="1:9" x14ac:dyDescent="0.25">
      <c r="A50" s="3">
        <v>4</v>
      </c>
      <c r="B50" s="18" t="s">
        <v>144</v>
      </c>
      <c r="C50" s="3"/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1:9" x14ac:dyDescent="0.25">
      <c r="A51" s="3">
        <v>5</v>
      </c>
      <c r="B51" s="18" t="s">
        <v>155</v>
      </c>
      <c r="C51" s="3"/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 s="3">
        <v>6</v>
      </c>
      <c r="B52" s="18" t="s">
        <v>165</v>
      </c>
      <c r="C52" s="3"/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 s="3">
        <v>7</v>
      </c>
      <c r="B53" s="18" t="s">
        <v>166</v>
      </c>
      <c r="C53" s="3"/>
      <c r="D53" s="3">
        <v>2000</v>
      </c>
      <c r="E53" s="16">
        <f t="shared" si="2"/>
        <v>2000</v>
      </c>
      <c r="F53" s="3">
        <v>1700</v>
      </c>
      <c r="G53" s="3">
        <f t="shared" si="3"/>
        <v>300</v>
      </c>
    </row>
    <row r="54" spans="1:9" x14ac:dyDescent="0.25">
      <c r="A54" s="3">
        <v>8</v>
      </c>
      <c r="B54" s="18"/>
      <c r="C54" s="3"/>
      <c r="D54" s="3"/>
      <c r="E54" s="16">
        <f t="shared" si="2"/>
        <v>0</v>
      </c>
      <c r="F54" s="3"/>
      <c r="G54" s="3">
        <f t="shared" si="3"/>
        <v>0</v>
      </c>
    </row>
    <row r="55" spans="1:9" x14ac:dyDescent="0.25">
      <c r="A55" s="3">
        <v>9</v>
      </c>
      <c r="B55" s="18"/>
      <c r="C55" s="3"/>
      <c r="D55" s="3"/>
      <c r="E55" s="16">
        <f t="shared" si="2"/>
        <v>0</v>
      </c>
      <c r="F55" s="3"/>
      <c r="G55" s="3">
        <f t="shared" si="3"/>
        <v>0</v>
      </c>
    </row>
    <row r="56" spans="1:9" x14ac:dyDescent="0.25">
      <c r="A56" s="3">
        <v>10</v>
      </c>
      <c r="B56" s="18"/>
      <c r="C56" s="3"/>
      <c r="D56" s="3"/>
      <c r="E56" s="16">
        <f t="shared" si="2"/>
        <v>0</v>
      </c>
      <c r="F56" s="3"/>
      <c r="G56" s="3">
        <f t="shared" si="3"/>
        <v>0</v>
      </c>
    </row>
    <row r="57" spans="1:9" x14ac:dyDescent="0.25">
      <c r="A57" s="3"/>
      <c r="B57" s="18"/>
      <c r="C57" s="3"/>
      <c r="D57" s="3"/>
      <c r="E57" s="16"/>
      <c r="F57" s="3"/>
      <c r="G57" s="3"/>
    </row>
    <row r="58" spans="1:9" x14ac:dyDescent="0.25">
      <c r="A58" s="3"/>
      <c r="B58" s="18"/>
      <c r="C58" s="3"/>
      <c r="D58" s="3"/>
      <c r="E58" s="16"/>
      <c r="F58" s="3"/>
      <c r="G58" s="3"/>
    </row>
    <row r="59" spans="1:9" x14ac:dyDescent="0.25">
      <c r="A59" s="3"/>
      <c r="B59" s="2" t="s">
        <v>26</v>
      </c>
      <c r="C59" s="2">
        <f>SUM(C47:C58)</f>
        <v>0</v>
      </c>
      <c r="D59" s="2">
        <f>SUM(D47:D58)</f>
        <v>10000</v>
      </c>
      <c r="E59" s="2">
        <f>SUM(E47:E58)</f>
        <v>10000</v>
      </c>
      <c r="F59" s="2">
        <f>SUM(F47:F58)</f>
        <v>9700</v>
      </c>
      <c r="G59" s="2">
        <f>SUM(G47:G58)</f>
        <v>300</v>
      </c>
    </row>
    <row r="61" spans="1:9" x14ac:dyDescent="0.25">
      <c r="A61" s="12"/>
      <c r="B61" s="12" t="s">
        <v>44</v>
      </c>
      <c r="C61" s="12"/>
      <c r="D61" s="12"/>
      <c r="E61" s="12"/>
      <c r="F61" s="34" t="s">
        <v>43</v>
      </c>
      <c r="G61" s="12"/>
    </row>
    <row r="62" spans="1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1:9" x14ac:dyDescent="0.25">
      <c r="B63" s="3" t="s">
        <v>86</v>
      </c>
      <c r="C63" s="3">
        <f>D59</f>
        <v>10000</v>
      </c>
      <c r="D63" s="3"/>
      <c r="E63" s="3"/>
      <c r="F63" s="3" t="s">
        <v>86</v>
      </c>
      <c r="G63" s="3">
        <f>F59</f>
        <v>9700</v>
      </c>
      <c r="H63" s="3"/>
      <c r="I63" s="3"/>
    </row>
    <row r="64" spans="1:9" x14ac:dyDescent="0.25">
      <c r="B64" s="3" t="s">
        <v>62</v>
      </c>
      <c r="C64" s="3">
        <f>'JUNE '!E84</f>
        <v>-1045</v>
      </c>
      <c r="D64" s="3"/>
      <c r="E64" s="3"/>
      <c r="F64" s="3" t="s">
        <v>62</v>
      </c>
      <c r="G64">
        <f>'JUNE '!I84</f>
        <v>-1045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1000</v>
      </c>
      <c r="E65" s="3"/>
      <c r="F65" s="3" t="s">
        <v>41</v>
      </c>
      <c r="G65" s="5">
        <v>0.1</v>
      </c>
      <c r="H65" s="3">
        <f>D65</f>
        <v>1000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H66" s="3"/>
      <c r="I66" s="3"/>
    </row>
    <row r="67" spans="2:9" x14ac:dyDescent="0.25">
      <c r="B67" s="19" t="s">
        <v>169</v>
      </c>
      <c r="C67" s="3"/>
      <c r="D67" s="3">
        <v>7900</v>
      </c>
      <c r="E67" s="3"/>
      <c r="F67" s="19" t="s">
        <v>169</v>
      </c>
      <c r="G67" s="3"/>
      <c r="H67" s="3">
        <v>7900</v>
      </c>
      <c r="I67" s="3"/>
    </row>
    <row r="68" spans="2:9" x14ac:dyDescent="0.25">
      <c r="B68" s="10"/>
      <c r="C68" s="3"/>
      <c r="D68" s="3"/>
      <c r="E68" s="3"/>
      <c r="F68" s="10"/>
      <c r="G68" s="3"/>
      <c r="H68" s="3"/>
      <c r="I68" s="3"/>
    </row>
    <row r="69" spans="2:9" x14ac:dyDescent="0.25">
      <c r="B69" s="2" t="s">
        <v>26</v>
      </c>
      <c r="C69" s="2">
        <f>C63+C64-D65</f>
        <v>7955</v>
      </c>
      <c r="D69" s="2">
        <f>SUM(D67:D68)</f>
        <v>7900</v>
      </c>
      <c r="E69" s="2">
        <f>C69-D69</f>
        <v>55</v>
      </c>
      <c r="F69" s="2" t="s">
        <v>26</v>
      </c>
      <c r="G69" s="2">
        <f>G63+G64-H65</f>
        <v>7655</v>
      </c>
      <c r="H69" s="2">
        <f>SUM(H67:H68)</f>
        <v>7900</v>
      </c>
      <c r="I69" s="2">
        <f>G69-H69</f>
        <v>-245</v>
      </c>
    </row>
    <row r="72" spans="2:9" x14ac:dyDescent="0.25">
      <c r="B72" t="s">
        <v>33</v>
      </c>
      <c r="D72" t="s">
        <v>49</v>
      </c>
      <c r="G72" t="s">
        <v>34</v>
      </c>
    </row>
    <row r="74" spans="2:9" x14ac:dyDescent="0.25">
      <c r="B74" t="s">
        <v>35</v>
      </c>
      <c r="D74" t="s">
        <v>50</v>
      </c>
      <c r="G74" t="s">
        <v>51</v>
      </c>
    </row>
  </sheetData>
  <mergeCells count="1">
    <mergeCell ref="C45:D4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28" sqref="D28"/>
    </sheetView>
  </sheetViews>
  <sheetFormatPr defaultRowHeight="15" x14ac:dyDescent="0.25"/>
  <cols>
    <col min="1" max="1" width="4.7109375" customWidth="1"/>
    <col min="2" max="2" width="20.7109375" customWidth="1"/>
    <col min="3" max="3" width="8.7109375" customWidth="1"/>
    <col min="4" max="4" width="8.5703125" customWidth="1"/>
    <col min="5" max="5" width="10.285156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40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30</v>
      </c>
      <c r="C5" s="3"/>
      <c r="D5" s="3">
        <v>1000</v>
      </c>
      <c r="E5" s="3">
        <f>C5+D5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3" t="s">
        <v>7</v>
      </c>
      <c r="C6" s="3"/>
      <c r="D6" s="3">
        <v>1000</v>
      </c>
      <c r="E6" s="3">
        <f t="shared" ref="E6:E19" si="0">C6+D6</f>
        <v>1000</v>
      </c>
      <c r="F6" s="3">
        <v>1000</v>
      </c>
      <c r="G6" s="3">
        <f t="shared" ref="G6:G20" si="1">E6-F6</f>
        <v>0</v>
      </c>
    </row>
    <row r="7" spans="1:8" x14ac:dyDescent="0.25">
      <c r="A7" s="3">
        <v>3</v>
      </c>
      <c r="B7" s="3" t="s">
        <v>8</v>
      </c>
      <c r="C7" s="3"/>
      <c r="D7" s="3">
        <v>1000</v>
      </c>
      <c r="E7" s="3">
        <f t="shared" si="0"/>
        <v>1000</v>
      </c>
      <c r="F7" s="3">
        <v>1000</v>
      </c>
      <c r="G7" s="3">
        <f t="shared" si="1"/>
        <v>0</v>
      </c>
      <c r="H7" t="s">
        <v>46</v>
      </c>
    </row>
    <row r="8" spans="1:8" x14ac:dyDescent="0.25">
      <c r="A8" s="3">
        <v>4</v>
      </c>
      <c r="B8" s="3" t="s">
        <v>18</v>
      </c>
      <c r="C8" s="3"/>
      <c r="D8" s="3">
        <v>1000</v>
      </c>
      <c r="E8" s="3">
        <f t="shared" si="0"/>
        <v>1000</v>
      </c>
      <c r="F8" s="3">
        <v>1000</v>
      </c>
      <c r="G8" s="3">
        <f t="shared" si="1"/>
        <v>0</v>
      </c>
    </row>
    <row r="9" spans="1:8" x14ac:dyDescent="0.25">
      <c r="A9" s="3">
        <v>5</v>
      </c>
      <c r="B9" s="3" t="s">
        <v>9</v>
      </c>
      <c r="C9" s="3"/>
      <c r="D9" s="3">
        <v>1000</v>
      </c>
      <c r="E9" s="3">
        <f t="shared" si="0"/>
        <v>1000</v>
      </c>
      <c r="F9" s="3">
        <v>1000</v>
      </c>
      <c r="G9" s="3">
        <f t="shared" si="1"/>
        <v>0</v>
      </c>
    </row>
    <row r="10" spans="1:8" x14ac:dyDescent="0.25">
      <c r="A10" s="3">
        <v>6</v>
      </c>
      <c r="B10" s="3" t="s">
        <v>28</v>
      </c>
      <c r="C10" s="3"/>
      <c r="D10" s="3">
        <v>1000</v>
      </c>
      <c r="E10" s="3">
        <f t="shared" si="0"/>
        <v>1000</v>
      </c>
      <c r="F10" s="3">
        <v>1000</v>
      </c>
      <c r="G10" s="3">
        <f t="shared" si="1"/>
        <v>0</v>
      </c>
    </row>
    <row r="11" spans="1:8" x14ac:dyDescent="0.25">
      <c r="A11" s="3">
        <v>7</v>
      </c>
      <c r="B11" s="3" t="s">
        <v>10</v>
      </c>
      <c r="C11" s="3"/>
      <c r="D11" s="3">
        <v>1000</v>
      </c>
      <c r="E11" s="3">
        <f t="shared" si="0"/>
        <v>1000</v>
      </c>
      <c r="F11" s="3">
        <v>1000</v>
      </c>
      <c r="G11" s="3">
        <f t="shared" si="1"/>
        <v>0</v>
      </c>
    </row>
    <row r="12" spans="1:8" x14ac:dyDescent="0.25">
      <c r="A12" s="3">
        <v>8</v>
      </c>
      <c r="B12" s="3" t="s">
        <v>11</v>
      </c>
      <c r="C12" s="3"/>
      <c r="D12" s="3">
        <v>1000</v>
      </c>
      <c r="E12" s="3">
        <f t="shared" si="0"/>
        <v>1000</v>
      </c>
      <c r="F12" s="3">
        <v>1000</v>
      </c>
      <c r="G12" s="3">
        <f t="shared" si="1"/>
        <v>0</v>
      </c>
    </row>
    <row r="13" spans="1:8" x14ac:dyDescent="0.25">
      <c r="A13" s="3">
        <v>9</v>
      </c>
      <c r="B13" s="3" t="s">
        <v>12</v>
      </c>
      <c r="C13" s="3"/>
      <c r="D13" s="3">
        <v>1000</v>
      </c>
      <c r="E13" s="3">
        <f t="shared" si="0"/>
        <v>1000</v>
      </c>
      <c r="F13" s="3">
        <v>1000</v>
      </c>
      <c r="G13" s="3">
        <f t="shared" si="1"/>
        <v>0</v>
      </c>
    </row>
    <row r="14" spans="1:8" x14ac:dyDescent="0.25">
      <c r="A14" s="3">
        <v>10</v>
      </c>
      <c r="B14" s="3" t="s">
        <v>15</v>
      </c>
      <c r="C14" s="3"/>
      <c r="D14" s="3"/>
      <c r="E14" s="3"/>
      <c r="F14" s="3"/>
      <c r="G14" s="3"/>
    </row>
    <row r="15" spans="1:8" x14ac:dyDescent="0.25">
      <c r="A15" s="3">
        <v>11</v>
      </c>
      <c r="B15" s="3" t="s">
        <v>14</v>
      </c>
      <c r="C15" s="3"/>
      <c r="D15" s="3">
        <v>1000</v>
      </c>
      <c r="E15" s="3">
        <f t="shared" si="0"/>
        <v>1000</v>
      </c>
      <c r="F15" s="3">
        <v>1000</v>
      </c>
      <c r="G15" s="3">
        <f t="shared" si="1"/>
        <v>0</v>
      </c>
      <c r="H15" t="s">
        <v>46</v>
      </c>
    </row>
    <row r="16" spans="1:8" x14ac:dyDescent="0.25">
      <c r="A16" s="3">
        <v>12</v>
      </c>
      <c r="B16" s="3" t="s">
        <v>31</v>
      </c>
      <c r="C16" s="3"/>
      <c r="D16" s="3">
        <v>1000</v>
      </c>
      <c r="E16" s="3">
        <f t="shared" si="0"/>
        <v>1000</v>
      </c>
      <c r="F16" s="3">
        <v>1000</v>
      </c>
      <c r="G16" s="3">
        <f t="shared" si="1"/>
        <v>0</v>
      </c>
      <c r="H16" t="s">
        <v>46</v>
      </c>
    </row>
    <row r="17" spans="1:8" x14ac:dyDescent="0.25">
      <c r="A17" s="3">
        <v>13</v>
      </c>
      <c r="B17" s="3" t="s">
        <v>16</v>
      </c>
      <c r="C17" s="3"/>
      <c r="D17" s="3">
        <v>1000</v>
      </c>
      <c r="E17" s="3">
        <f t="shared" si="0"/>
        <v>1000</v>
      </c>
      <c r="F17" s="3">
        <v>1000</v>
      </c>
      <c r="G17" s="3">
        <f t="shared" si="1"/>
        <v>0</v>
      </c>
    </row>
    <row r="18" spans="1:8" x14ac:dyDescent="0.25">
      <c r="A18" s="3">
        <v>14</v>
      </c>
      <c r="B18" s="3" t="s">
        <v>29</v>
      </c>
      <c r="C18" s="3"/>
      <c r="D18" s="3">
        <v>1000</v>
      </c>
      <c r="E18" s="3">
        <f t="shared" si="0"/>
        <v>1000</v>
      </c>
      <c r="F18" s="3">
        <v>1000</v>
      </c>
      <c r="G18" s="3">
        <f t="shared" si="1"/>
        <v>0</v>
      </c>
    </row>
    <row r="19" spans="1:8" x14ac:dyDescent="0.25">
      <c r="A19" s="3">
        <v>15</v>
      </c>
      <c r="B19" s="3" t="s">
        <v>17</v>
      </c>
      <c r="C19" s="3"/>
      <c r="D19" s="3">
        <v>1000</v>
      </c>
      <c r="E19" s="3">
        <f t="shared" si="0"/>
        <v>1000</v>
      </c>
      <c r="F19" s="3">
        <v>1000</v>
      </c>
      <c r="G19" s="3">
        <f t="shared" si="1"/>
        <v>0</v>
      </c>
    </row>
    <row r="20" spans="1:8" x14ac:dyDescent="0.25">
      <c r="A20" s="3">
        <v>16</v>
      </c>
      <c r="B20" s="3" t="s">
        <v>15</v>
      </c>
      <c r="C20" s="3"/>
      <c r="D20" s="3"/>
      <c r="E20" s="3"/>
      <c r="F20" s="3"/>
      <c r="G20" s="3">
        <f t="shared" si="1"/>
        <v>0</v>
      </c>
    </row>
    <row r="21" spans="1:8" ht="15.75" thickBot="1" x14ac:dyDescent="0.3">
      <c r="A21" s="2"/>
      <c r="B21" s="2" t="s">
        <v>26</v>
      </c>
      <c r="C21" s="2"/>
      <c r="D21" s="6">
        <f>SUM(D5:D20)</f>
        <v>14000</v>
      </c>
      <c r="E21" s="6">
        <f>SUM(E5:E20)</f>
        <v>14000</v>
      </c>
      <c r="F21" s="6">
        <f>SUM(F5:F20)</f>
        <v>14000</v>
      </c>
      <c r="G21" s="6">
        <f>SUM(G5:G20)</f>
        <v>0</v>
      </c>
    </row>
    <row r="22" spans="1:8" ht="15.75" thickTop="1" x14ac:dyDescent="0.25"/>
    <row r="23" spans="1:8" x14ac:dyDescent="0.25">
      <c r="A23" s="12"/>
      <c r="B23" s="12" t="s">
        <v>44</v>
      </c>
      <c r="C23" s="12"/>
      <c r="D23" s="12"/>
      <c r="E23" s="12"/>
      <c r="F23" s="12" t="s">
        <v>43</v>
      </c>
      <c r="G23" s="12"/>
    </row>
    <row r="24" spans="1:8" ht="15.75" x14ac:dyDescent="0.25">
      <c r="B24" s="11" t="s">
        <v>22</v>
      </c>
      <c r="C24" s="11" t="s">
        <v>23</v>
      </c>
      <c r="D24" s="11" t="s">
        <v>24</v>
      </c>
      <c r="E24" s="11" t="s">
        <v>25</v>
      </c>
      <c r="F24" s="11" t="s">
        <v>23</v>
      </c>
      <c r="G24" s="11" t="s">
        <v>24</v>
      </c>
      <c r="H24" s="11" t="s">
        <v>25</v>
      </c>
    </row>
    <row r="25" spans="1:8" x14ac:dyDescent="0.25">
      <c r="B25" s="3" t="s">
        <v>39</v>
      </c>
      <c r="C25" s="3">
        <f>D21</f>
        <v>14000</v>
      </c>
      <c r="D25" s="3"/>
      <c r="E25" s="3"/>
      <c r="F25" s="3">
        <f>F21</f>
        <v>14000</v>
      </c>
      <c r="G25" s="3"/>
      <c r="H25" s="3"/>
    </row>
    <row r="26" spans="1:8" x14ac:dyDescent="0.25">
      <c r="B26" s="3"/>
      <c r="C26" s="3"/>
      <c r="D26" s="3"/>
      <c r="E26" s="3"/>
      <c r="F26" s="3"/>
      <c r="G26" s="3"/>
      <c r="H26" s="3"/>
    </row>
    <row r="27" spans="1:8" x14ac:dyDescent="0.25">
      <c r="B27" s="3"/>
      <c r="C27" s="3"/>
      <c r="D27" s="3"/>
      <c r="E27" s="3"/>
      <c r="F27" s="3"/>
      <c r="G27" s="3"/>
      <c r="H27" s="3"/>
    </row>
    <row r="28" spans="1:8" x14ac:dyDescent="0.25">
      <c r="B28" s="2" t="s">
        <v>20</v>
      </c>
      <c r="C28" s="3"/>
      <c r="D28" s="3"/>
      <c r="E28" s="3"/>
      <c r="F28" s="3"/>
      <c r="G28" s="3"/>
      <c r="H28" s="3"/>
    </row>
    <row r="29" spans="1:8" x14ac:dyDescent="0.25">
      <c r="B29" s="3" t="s">
        <v>21</v>
      </c>
      <c r="C29" s="5">
        <v>0.1</v>
      </c>
      <c r="D29" s="3">
        <f>C29*C25</f>
        <v>1400</v>
      </c>
      <c r="E29" s="3"/>
      <c r="F29" s="3" t="s">
        <v>41</v>
      </c>
      <c r="G29" s="3">
        <f>C29*C25</f>
        <v>1400</v>
      </c>
      <c r="H29" s="3"/>
    </row>
    <row r="30" spans="1:8" x14ac:dyDescent="0.25">
      <c r="B30" s="10">
        <v>43150</v>
      </c>
      <c r="C30" s="3"/>
      <c r="D30" s="3">
        <v>9600</v>
      </c>
      <c r="E30" s="3"/>
      <c r="F30" s="10">
        <v>43150</v>
      </c>
      <c r="G30" s="3">
        <v>9600</v>
      </c>
      <c r="H30" s="3"/>
    </row>
    <row r="31" spans="1:8" x14ac:dyDescent="0.25">
      <c r="B31" s="3" t="s">
        <v>32</v>
      </c>
      <c r="C31" s="3"/>
      <c r="D31" s="3">
        <f>F7+F16+F17</f>
        <v>3000</v>
      </c>
      <c r="E31" s="3"/>
      <c r="F31" s="3" t="s">
        <v>46</v>
      </c>
      <c r="G31" s="3">
        <f>D31</f>
        <v>3000</v>
      </c>
      <c r="H31" s="3"/>
    </row>
    <row r="32" spans="1:8" x14ac:dyDescent="0.25">
      <c r="B32" s="9"/>
      <c r="C32" s="3"/>
      <c r="D32" s="3"/>
      <c r="E32" s="3"/>
      <c r="F32" s="3"/>
      <c r="G32" s="3"/>
      <c r="H32" s="3"/>
    </row>
    <row r="33" spans="2:8" ht="15.75" thickBot="1" x14ac:dyDescent="0.3">
      <c r="B33" s="2" t="s">
        <v>26</v>
      </c>
      <c r="C33" s="8">
        <f>C25</f>
        <v>14000</v>
      </c>
      <c r="D33" s="7">
        <f>SUM(D29:D32)</f>
        <v>14000</v>
      </c>
      <c r="E33" s="7">
        <f>C33-D33</f>
        <v>0</v>
      </c>
      <c r="F33" s="3">
        <f>F25</f>
        <v>14000</v>
      </c>
      <c r="G33" s="3">
        <f>SUM(G29:G32)</f>
        <v>14000</v>
      </c>
      <c r="H33" s="3">
        <f>F33-G33</f>
        <v>0</v>
      </c>
    </row>
    <row r="34" spans="2:8" ht="15.75" thickTop="1" x14ac:dyDescent="0.25"/>
    <row r="35" spans="2:8" x14ac:dyDescent="0.25">
      <c r="B35" t="s">
        <v>33</v>
      </c>
      <c r="D35" t="s">
        <v>34</v>
      </c>
    </row>
    <row r="37" spans="2:8" x14ac:dyDescent="0.25">
      <c r="B37" t="s">
        <v>35</v>
      </c>
      <c r="D37" t="s">
        <v>36</v>
      </c>
    </row>
  </sheetData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10" workbookViewId="0">
      <selection activeCell="J35" sqref="J35"/>
    </sheetView>
  </sheetViews>
  <sheetFormatPr defaultRowHeight="15" x14ac:dyDescent="0.25"/>
  <cols>
    <col min="1" max="1" width="3.85546875" customWidth="1"/>
    <col min="2" max="2" width="20" bestFit="1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5.75" x14ac:dyDescent="0.25">
      <c r="C2" s="28" t="s">
        <v>0</v>
      </c>
      <c r="D2" s="28"/>
      <c r="E2" s="28"/>
      <c r="F2" s="28"/>
      <c r="G2" s="22"/>
    </row>
    <row r="3" spans="1:7" ht="15.75" x14ac:dyDescent="0.25">
      <c r="C3" s="28" t="s">
        <v>171</v>
      </c>
      <c r="D3" s="28"/>
      <c r="E3" s="28"/>
      <c r="F3" s="28"/>
      <c r="G3" s="22"/>
    </row>
    <row r="4" spans="1:7" ht="18.75" x14ac:dyDescent="0.3">
      <c r="D4" s="27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/>
      <c r="C6" s="3">
        <f>'JULLY '!G6:G26</f>
        <v>0</v>
      </c>
      <c r="D6" s="3"/>
      <c r="E6" s="3">
        <f>D6+C6</f>
        <v>0</v>
      </c>
      <c r="F6" s="3"/>
      <c r="G6" s="3">
        <f>E6-F6</f>
        <v>0</v>
      </c>
    </row>
    <row r="7" spans="1:7" x14ac:dyDescent="0.25">
      <c r="A7" s="3">
        <v>2</v>
      </c>
      <c r="B7" s="16" t="s">
        <v>109</v>
      </c>
      <c r="C7" s="3">
        <f>'JULLY '!G7:G27</f>
        <v>0</v>
      </c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7" x14ac:dyDescent="0.25">
      <c r="A8" s="16">
        <v>3</v>
      </c>
      <c r="B8" s="18" t="s">
        <v>137</v>
      </c>
      <c r="C8" s="3">
        <f>'JULLY '!G8:G28</f>
        <v>0</v>
      </c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7" x14ac:dyDescent="0.25">
      <c r="A9" s="16">
        <v>4</v>
      </c>
      <c r="B9" s="16"/>
      <c r="C9" s="3">
        <f>'JULLY '!G9:G29</f>
        <v>0</v>
      </c>
      <c r="D9" s="16"/>
      <c r="E9" s="16"/>
      <c r="F9" s="16"/>
      <c r="G9" s="3">
        <f t="shared" si="1"/>
        <v>0</v>
      </c>
    </row>
    <row r="10" spans="1:7" x14ac:dyDescent="0.25">
      <c r="A10" s="16">
        <v>5</v>
      </c>
      <c r="B10" s="16" t="s">
        <v>10</v>
      </c>
      <c r="C10" s="3">
        <f>'JULLY '!G10:G30</f>
        <v>0</v>
      </c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6</v>
      </c>
      <c r="B11" s="16" t="s">
        <v>69</v>
      </c>
      <c r="C11" s="3">
        <f>'JULLY '!G11:G31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7</v>
      </c>
      <c r="B12" s="16" t="s">
        <v>28</v>
      </c>
      <c r="C12" s="3">
        <f>'JULLY '!G12:G32</f>
        <v>0</v>
      </c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8</v>
      </c>
      <c r="B13" s="16" t="s">
        <v>177</v>
      </c>
      <c r="C13" s="3">
        <f>'JULLY '!G13:G33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9</v>
      </c>
      <c r="B14" s="3"/>
      <c r="C14" s="3">
        <f>'JULLY '!G14:G34</f>
        <v>0</v>
      </c>
      <c r="D14" s="3"/>
      <c r="E14" s="16">
        <f t="shared" si="0"/>
        <v>0</v>
      </c>
      <c r="F14" s="3"/>
      <c r="G14" s="3"/>
    </row>
    <row r="15" spans="1:7" x14ac:dyDescent="0.25">
      <c r="A15" s="16">
        <v>10</v>
      </c>
      <c r="B15" s="16" t="s">
        <v>164</v>
      </c>
      <c r="C15" s="3">
        <f>'JULLY '!G15:G35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7" x14ac:dyDescent="0.25">
      <c r="A16" s="16">
        <v>11</v>
      </c>
      <c r="B16" s="18" t="s">
        <v>136</v>
      </c>
      <c r="C16" s="3">
        <f>'JULLY '!G16:G36</f>
        <v>0</v>
      </c>
      <c r="D16" s="18">
        <v>1000</v>
      </c>
      <c r="E16" s="16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/>
      <c r="C17" s="3"/>
      <c r="D17" s="3"/>
      <c r="E17" s="16"/>
      <c r="F17" s="3"/>
      <c r="G17" s="3"/>
    </row>
    <row r="18" spans="1:9" x14ac:dyDescent="0.25">
      <c r="A18" s="16">
        <v>13</v>
      </c>
      <c r="B18" s="16"/>
      <c r="C18" s="3"/>
      <c r="D18" s="16"/>
      <c r="E18" s="16"/>
      <c r="F18" s="16"/>
      <c r="G18" s="3">
        <f t="shared" si="1"/>
        <v>0</v>
      </c>
    </row>
    <row r="19" spans="1:9" x14ac:dyDescent="0.25">
      <c r="A19" s="16">
        <v>14</v>
      </c>
      <c r="B19" s="16"/>
      <c r="C19" s="3"/>
      <c r="D19" s="16"/>
      <c r="E19" s="16"/>
      <c r="F19" s="16"/>
      <c r="G19" s="3"/>
    </row>
    <row r="20" spans="1:9" x14ac:dyDescent="0.25">
      <c r="A20" s="16">
        <v>15</v>
      </c>
      <c r="B20" s="16" t="s">
        <v>137</v>
      </c>
      <c r="C20" s="3">
        <f>'JULLY '!G20:G40</f>
        <v>0</v>
      </c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3" t="s">
        <v>30</v>
      </c>
      <c r="C21" s="3">
        <f>'JULLY '!G21:G41</f>
        <v>2500</v>
      </c>
      <c r="D21" s="3">
        <v>1000</v>
      </c>
      <c r="E21" s="3">
        <f>D21+C21</f>
        <v>3500</v>
      </c>
      <c r="F21" s="3">
        <f>1500+2000</f>
        <v>3500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'JULLY '!G22:G42</f>
        <v>0</v>
      </c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18" t="s">
        <v>45</v>
      </c>
      <c r="C23" s="3">
        <f>'JULLY '!G23:G43</f>
        <v>0</v>
      </c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  <c r="H23" t="s">
        <v>46</v>
      </c>
    </row>
    <row r="24" spans="1:9" x14ac:dyDescent="0.25">
      <c r="A24" s="3">
        <v>19</v>
      </c>
      <c r="B24" s="18" t="s">
        <v>135</v>
      </c>
      <c r="C24" s="3">
        <f>'JULLY '!G24:G44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'JULLY '!G25:G45</f>
        <v>520</v>
      </c>
      <c r="D25" s="3">
        <v>1500</v>
      </c>
      <c r="E25" s="16">
        <f>D25+C25</f>
        <v>2020</v>
      </c>
      <c r="F25" s="3">
        <v>1700</v>
      </c>
      <c r="G25" s="3">
        <f t="shared" si="1"/>
        <v>320</v>
      </c>
    </row>
    <row r="26" spans="1:9" x14ac:dyDescent="0.25">
      <c r="A26" s="2"/>
      <c r="B26" s="2" t="s">
        <v>26</v>
      </c>
      <c r="C26" s="3">
        <f>'JULLY '!G26:G46</f>
        <v>5520</v>
      </c>
      <c r="D26" s="2">
        <f>SUM(D6:D25)</f>
        <v>16000</v>
      </c>
      <c r="E26" s="2">
        <f>SUM(E6:E25)</f>
        <v>19520</v>
      </c>
      <c r="F26" s="2">
        <f>SUM(F6:F25)</f>
        <v>18700</v>
      </c>
      <c r="G26" s="2">
        <f>SUM(G6:G25)</f>
        <v>820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6"/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A29" s="2"/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A30" s="2"/>
      <c r="B30" s="3" t="s">
        <v>172</v>
      </c>
      <c r="C30" s="3">
        <f>D26</f>
        <v>16000</v>
      </c>
      <c r="D30" s="3"/>
      <c r="E30" s="3"/>
      <c r="F30" s="3" t="s">
        <v>172</v>
      </c>
      <c r="G30" s="3">
        <f>F26</f>
        <v>18700</v>
      </c>
      <c r="H30" s="3"/>
      <c r="I30" s="3"/>
    </row>
    <row r="31" spans="1:9" x14ac:dyDescent="0.25">
      <c r="A31" s="2"/>
      <c r="B31" s="3" t="s">
        <v>62</v>
      </c>
      <c r="C31" s="3">
        <f>'JULLY '!E37</f>
        <v>-50</v>
      </c>
      <c r="D31" s="3"/>
      <c r="E31" s="3"/>
      <c r="F31" s="3" t="s">
        <v>62</v>
      </c>
      <c r="G31">
        <f>'JULLY '!I37</f>
        <v>-5570</v>
      </c>
      <c r="H31" s="3"/>
      <c r="I31" s="3"/>
    </row>
    <row r="32" spans="1:9" x14ac:dyDescent="0.25">
      <c r="A32" s="2"/>
      <c r="B32" s="3" t="s">
        <v>41</v>
      </c>
      <c r="C32" s="5">
        <v>0.1</v>
      </c>
      <c r="D32" s="3">
        <f>C32*C30</f>
        <v>1600</v>
      </c>
      <c r="E32" s="3"/>
      <c r="F32" s="3" t="s">
        <v>41</v>
      </c>
      <c r="G32" s="5">
        <v>0.1</v>
      </c>
      <c r="H32" s="3">
        <f>D32</f>
        <v>1600</v>
      </c>
      <c r="I32" s="3"/>
    </row>
    <row r="33" spans="1:9" x14ac:dyDescent="0.25">
      <c r="A33" s="2"/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1:9" x14ac:dyDescent="0.25">
      <c r="A34" s="2"/>
      <c r="B34" s="19" t="s">
        <v>174</v>
      </c>
      <c r="C34" s="3"/>
      <c r="D34" s="3">
        <v>3000</v>
      </c>
      <c r="E34" s="3"/>
      <c r="F34" s="19" t="s">
        <v>174</v>
      </c>
      <c r="G34" s="3"/>
      <c r="H34" s="3">
        <v>3000</v>
      </c>
      <c r="I34" s="3"/>
    </row>
    <row r="35" spans="1:9" x14ac:dyDescent="0.25">
      <c r="A35" s="24"/>
      <c r="B35" s="19" t="s">
        <v>45</v>
      </c>
      <c r="C35" s="3"/>
      <c r="D35" s="3">
        <v>1500</v>
      </c>
      <c r="E35" s="3"/>
      <c r="F35" s="19" t="s">
        <v>45</v>
      </c>
      <c r="G35" s="3"/>
      <c r="H35" s="3">
        <v>1500</v>
      </c>
      <c r="I35" s="3"/>
    </row>
    <row r="36" spans="1:9" x14ac:dyDescent="0.25">
      <c r="A36" s="24"/>
      <c r="B36" s="19" t="s">
        <v>175</v>
      </c>
      <c r="C36" s="3"/>
      <c r="D36" s="3">
        <v>9850</v>
      </c>
      <c r="E36" s="3"/>
      <c r="F36" s="19" t="s">
        <v>175</v>
      </c>
      <c r="G36" s="3"/>
      <c r="H36" s="3">
        <v>9850</v>
      </c>
      <c r="I36" s="3"/>
    </row>
    <row r="37" spans="1:9" x14ac:dyDescent="0.25">
      <c r="A37" s="2"/>
      <c r="B37" s="2" t="s">
        <v>26</v>
      </c>
      <c r="C37" s="2">
        <f>C30+C31-D32</f>
        <v>14350</v>
      </c>
      <c r="D37" s="2">
        <f>SUM(D34:D36)</f>
        <v>14350</v>
      </c>
      <c r="E37" s="2">
        <f>C37-D37</f>
        <v>0</v>
      </c>
      <c r="F37" s="2" t="s">
        <v>26</v>
      </c>
      <c r="G37" s="2">
        <f>G30+G31-H32</f>
        <v>11530</v>
      </c>
      <c r="H37" s="2">
        <f>SUM(H34:H36)</f>
        <v>14350</v>
      </c>
      <c r="I37" s="2">
        <f>G37-H37</f>
        <v>-2820</v>
      </c>
    </row>
    <row r="38" spans="1:9" x14ac:dyDescent="0.25">
      <c r="A38" s="25"/>
      <c r="B38" t="s">
        <v>33</v>
      </c>
      <c r="D38" t="s">
        <v>49</v>
      </c>
      <c r="G38" t="s">
        <v>34</v>
      </c>
    </row>
    <row r="39" spans="1:9" x14ac:dyDescent="0.25">
      <c r="A39" s="25"/>
    </row>
    <row r="40" spans="1:9" x14ac:dyDescent="0.25">
      <c r="A40" s="25"/>
      <c r="B40" t="s">
        <v>35</v>
      </c>
      <c r="D40" t="s">
        <v>50</v>
      </c>
      <c r="G40" t="s">
        <v>51</v>
      </c>
    </row>
    <row r="41" spans="1:9" x14ac:dyDescent="0.25">
      <c r="A41" s="25"/>
    </row>
    <row r="42" spans="1:9" ht="18.75" x14ac:dyDescent="0.3">
      <c r="A42" s="25"/>
      <c r="C42" s="1" t="s">
        <v>42</v>
      </c>
      <c r="D42" s="21"/>
      <c r="E42" s="21"/>
      <c r="F42" s="21"/>
      <c r="G42" s="22"/>
    </row>
    <row r="43" spans="1:9" ht="15.75" x14ac:dyDescent="0.25">
      <c r="A43" s="25"/>
      <c r="C43" s="29" t="s">
        <v>0</v>
      </c>
      <c r="D43" s="29"/>
      <c r="E43" s="29"/>
      <c r="F43" s="29"/>
      <c r="G43" s="22"/>
    </row>
    <row r="44" spans="1:9" ht="15.75" x14ac:dyDescent="0.25">
      <c r="A44" s="25"/>
      <c r="C44" s="29" t="s">
        <v>171</v>
      </c>
      <c r="D44" s="29"/>
      <c r="E44" s="29"/>
      <c r="F44" s="29"/>
      <c r="G44" s="22"/>
    </row>
    <row r="45" spans="1:9" x14ac:dyDescent="0.25">
      <c r="A45" s="3"/>
      <c r="B45" s="18"/>
      <c r="C45" s="48" t="s">
        <v>139</v>
      </c>
      <c r="D45" s="49"/>
      <c r="E45" s="30"/>
      <c r="F45" s="31"/>
      <c r="G45" s="3"/>
    </row>
    <row r="46" spans="1:9" x14ac:dyDescent="0.25">
      <c r="A46" s="2" t="s">
        <v>27</v>
      </c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1:9" x14ac:dyDescent="0.25">
      <c r="A47" s="3">
        <v>1</v>
      </c>
      <c r="B47" s="18"/>
      <c r="C47" s="3">
        <f>'JULLY '!G47:G59</f>
        <v>0</v>
      </c>
      <c r="D47" s="3"/>
      <c r="E47" s="16">
        <f>C47+D47</f>
        <v>0</v>
      </c>
      <c r="F47" s="3"/>
      <c r="G47" s="3">
        <f>E47-F47</f>
        <v>0</v>
      </c>
    </row>
    <row r="48" spans="1:9" x14ac:dyDescent="0.25">
      <c r="A48" s="3">
        <v>2</v>
      </c>
      <c r="B48" s="18" t="s">
        <v>167</v>
      </c>
      <c r="C48" s="3">
        <f>'JULLY '!G48:G60</f>
        <v>0</v>
      </c>
      <c r="D48" s="3">
        <v>2000</v>
      </c>
      <c r="E48" s="16">
        <f t="shared" ref="E48:E56" si="2">C48+D48</f>
        <v>2000</v>
      </c>
      <c r="F48" s="3">
        <v>2000</v>
      </c>
      <c r="G48" s="3">
        <f t="shared" ref="G48:G56" si="3">E48-F48</f>
        <v>0</v>
      </c>
      <c r="H48" t="s">
        <v>46</v>
      </c>
    </row>
    <row r="49" spans="1:9" x14ac:dyDescent="0.25">
      <c r="A49" s="3">
        <v>3</v>
      </c>
      <c r="B49" s="18" t="s">
        <v>45</v>
      </c>
      <c r="C49" s="3">
        <f>'JULLY '!G49:G61</f>
        <v>0</v>
      </c>
      <c r="D49" s="3">
        <v>2000</v>
      </c>
      <c r="E49" s="16">
        <f t="shared" si="2"/>
        <v>2000</v>
      </c>
      <c r="F49" s="3">
        <v>2000</v>
      </c>
      <c r="G49" s="3">
        <f t="shared" si="3"/>
        <v>0</v>
      </c>
      <c r="H49" t="s">
        <v>46</v>
      </c>
    </row>
    <row r="50" spans="1:9" x14ac:dyDescent="0.25">
      <c r="A50" s="3">
        <v>4</v>
      </c>
      <c r="B50" s="18" t="s">
        <v>144</v>
      </c>
      <c r="C50" s="3">
        <f>'JULLY '!G50:G62</f>
        <v>0</v>
      </c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1:9" x14ac:dyDescent="0.25">
      <c r="A51" s="3">
        <v>5</v>
      </c>
      <c r="B51" s="18" t="s">
        <v>155</v>
      </c>
      <c r="C51" s="3">
        <f>'JULLY '!G51:G63</f>
        <v>0</v>
      </c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 s="3">
        <v>6</v>
      </c>
      <c r="B52" s="18" t="s">
        <v>165</v>
      </c>
      <c r="C52" s="3">
        <f>'JULLY '!G52:G64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 s="3">
        <v>7</v>
      </c>
      <c r="B53" s="18" t="s">
        <v>166</v>
      </c>
      <c r="C53" s="3">
        <f>'JULLY '!G53:G65</f>
        <v>300</v>
      </c>
      <c r="D53" s="3">
        <v>2000</v>
      </c>
      <c r="E53" s="16">
        <f t="shared" si="2"/>
        <v>2300</v>
      </c>
      <c r="F53" s="3">
        <v>1000</v>
      </c>
      <c r="G53" s="3">
        <f t="shared" si="3"/>
        <v>1300</v>
      </c>
    </row>
    <row r="54" spans="1:9" x14ac:dyDescent="0.25">
      <c r="A54" s="3">
        <v>8</v>
      </c>
      <c r="B54" s="18"/>
      <c r="C54" s="3">
        <f>'JULLY '!G54:G66</f>
        <v>0</v>
      </c>
      <c r="D54" s="3"/>
      <c r="E54" s="16">
        <f t="shared" si="2"/>
        <v>0</v>
      </c>
      <c r="F54" s="3"/>
      <c r="G54" s="3">
        <f t="shared" si="3"/>
        <v>0</v>
      </c>
    </row>
    <row r="55" spans="1:9" x14ac:dyDescent="0.25">
      <c r="A55" s="3">
        <v>9</v>
      </c>
      <c r="B55" s="18"/>
      <c r="C55" s="3">
        <f>'JULLY '!G55:G67</f>
        <v>0</v>
      </c>
      <c r="D55" s="3"/>
      <c r="E55" s="16">
        <f t="shared" si="2"/>
        <v>0</v>
      </c>
      <c r="F55" s="3"/>
      <c r="G55" s="3">
        <f t="shared" si="3"/>
        <v>0</v>
      </c>
    </row>
    <row r="56" spans="1:9" x14ac:dyDescent="0.25">
      <c r="A56" s="3">
        <v>10</v>
      </c>
      <c r="B56" s="18"/>
      <c r="C56" s="3">
        <f>'JULLY '!G56:G68</f>
        <v>0</v>
      </c>
      <c r="D56" s="3"/>
      <c r="E56" s="16">
        <f t="shared" si="2"/>
        <v>0</v>
      </c>
      <c r="F56" s="3"/>
      <c r="G56" s="3">
        <f t="shared" si="3"/>
        <v>0</v>
      </c>
    </row>
    <row r="57" spans="1:9" x14ac:dyDescent="0.25">
      <c r="A57" s="3"/>
      <c r="B57" s="18"/>
      <c r="C57" s="3">
        <f>'JULLY '!G57:G69</f>
        <v>0</v>
      </c>
      <c r="D57" s="3"/>
      <c r="E57" s="16"/>
      <c r="F57" s="3"/>
      <c r="G57" s="3"/>
    </row>
    <row r="58" spans="1:9" x14ac:dyDescent="0.25">
      <c r="A58" s="3"/>
      <c r="B58" s="18"/>
      <c r="C58" s="3">
        <f>'JULLY '!G58:G70</f>
        <v>0</v>
      </c>
      <c r="D58" s="3"/>
      <c r="E58" s="16"/>
      <c r="F58" s="3"/>
      <c r="G58" s="3"/>
    </row>
    <row r="59" spans="1:9" x14ac:dyDescent="0.25">
      <c r="A59" s="3"/>
      <c r="B59" s="2" t="s">
        <v>26</v>
      </c>
      <c r="C59" s="3">
        <f>'JULLY '!G59:G71</f>
        <v>300</v>
      </c>
      <c r="D59" s="2">
        <f>SUM(D47:D58)</f>
        <v>12000</v>
      </c>
      <c r="E59" s="2">
        <f>SUM(E47:E58)</f>
        <v>12300</v>
      </c>
      <c r="F59" s="2">
        <f>SUM(F47:F58)</f>
        <v>11000</v>
      </c>
      <c r="G59" s="2">
        <f>SUM(G47:G58)</f>
        <v>1300</v>
      </c>
    </row>
    <row r="61" spans="1:9" x14ac:dyDescent="0.25">
      <c r="A61" s="12"/>
      <c r="B61" s="12" t="s">
        <v>44</v>
      </c>
      <c r="C61" s="12"/>
      <c r="D61" s="12"/>
      <c r="E61" s="12"/>
      <c r="F61" s="34" t="s">
        <v>43</v>
      </c>
      <c r="G61" s="12"/>
    </row>
    <row r="62" spans="1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1:9" x14ac:dyDescent="0.25">
      <c r="B63" s="3" t="s">
        <v>92</v>
      </c>
      <c r="C63" s="3">
        <f>D59</f>
        <v>12000</v>
      </c>
      <c r="D63" s="3"/>
      <c r="E63" s="3"/>
      <c r="F63" s="3" t="s">
        <v>92</v>
      </c>
      <c r="G63" s="3">
        <f>F59</f>
        <v>11000</v>
      </c>
      <c r="H63" s="3"/>
      <c r="I63" s="3"/>
    </row>
    <row r="64" spans="1:9" x14ac:dyDescent="0.25">
      <c r="B64" s="3" t="s">
        <v>62</v>
      </c>
      <c r="C64" s="3">
        <f>'JULLY '!E69</f>
        <v>55</v>
      </c>
      <c r="D64" s="3"/>
      <c r="E64" s="3"/>
      <c r="F64" s="3" t="s">
        <v>62</v>
      </c>
      <c r="G64">
        <f>'JULLY '!I69</f>
        <v>-245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1200</v>
      </c>
      <c r="E65" s="3"/>
      <c r="F65" s="3" t="s">
        <v>41</v>
      </c>
      <c r="G65" s="5">
        <v>0.1</v>
      </c>
      <c r="H65" s="3">
        <f>D65</f>
        <v>1200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H66" s="3"/>
      <c r="I66" s="3"/>
    </row>
    <row r="67" spans="2:9" x14ac:dyDescent="0.25">
      <c r="B67" s="19" t="s">
        <v>173</v>
      </c>
      <c r="C67" s="3"/>
      <c r="D67" s="3">
        <v>4000</v>
      </c>
      <c r="E67" s="3"/>
      <c r="F67" s="19" t="s">
        <v>173</v>
      </c>
      <c r="G67" s="3"/>
      <c r="H67" s="3">
        <v>4000</v>
      </c>
      <c r="I67" s="3"/>
    </row>
    <row r="68" spans="2:9" x14ac:dyDescent="0.25">
      <c r="B68" s="10" t="s">
        <v>176</v>
      </c>
      <c r="C68" s="3"/>
      <c r="D68" s="3">
        <v>6855</v>
      </c>
      <c r="E68" s="3"/>
      <c r="F68" s="10" t="s">
        <v>176</v>
      </c>
      <c r="G68" s="3"/>
      <c r="H68" s="3">
        <v>6855</v>
      </c>
      <c r="I68" s="3"/>
    </row>
    <row r="69" spans="2:9" x14ac:dyDescent="0.25">
      <c r="B69" s="2" t="s">
        <v>26</v>
      </c>
      <c r="C69" s="2">
        <f>C63+C64-D65</f>
        <v>10855</v>
      </c>
      <c r="D69" s="2">
        <f>SUM(D67:D68)</f>
        <v>10855</v>
      </c>
      <c r="E69" s="2">
        <f>C69-D69</f>
        <v>0</v>
      </c>
      <c r="F69" s="2" t="s">
        <v>26</v>
      </c>
      <c r="G69" s="2">
        <f>G63+G64-H65</f>
        <v>9555</v>
      </c>
      <c r="H69" s="2">
        <f>SUM(H67:H68)</f>
        <v>10855</v>
      </c>
      <c r="I69" s="2">
        <f>G69-H69</f>
        <v>-1300</v>
      </c>
    </row>
    <row r="72" spans="2:9" x14ac:dyDescent="0.25">
      <c r="B72" t="s">
        <v>33</v>
      </c>
      <c r="D72" t="s">
        <v>49</v>
      </c>
      <c r="G72" t="s">
        <v>34</v>
      </c>
    </row>
    <row r="74" spans="2:9" x14ac:dyDescent="0.25">
      <c r="B74" t="s">
        <v>35</v>
      </c>
      <c r="D74" t="s">
        <v>50</v>
      </c>
      <c r="G74" t="s">
        <v>51</v>
      </c>
    </row>
  </sheetData>
  <mergeCells count="1">
    <mergeCell ref="C45:D4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3" workbookViewId="0">
      <selection activeCell="L33" sqref="L33"/>
    </sheetView>
  </sheetViews>
  <sheetFormatPr defaultRowHeight="15" x14ac:dyDescent="0.25"/>
  <cols>
    <col min="2" max="2" width="20" bestFit="1" customWidth="1"/>
  </cols>
  <sheetData>
    <row r="1" spans="1:9" ht="18.75" x14ac:dyDescent="0.3">
      <c r="C1" s="1" t="s">
        <v>42</v>
      </c>
      <c r="D1" s="21"/>
      <c r="E1" s="21"/>
      <c r="F1" s="21"/>
      <c r="G1" s="22"/>
    </row>
    <row r="2" spans="1:9" ht="15.75" x14ac:dyDescent="0.25">
      <c r="C2" s="28" t="s">
        <v>0</v>
      </c>
      <c r="D2" s="28"/>
      <c r="E2" s="28"/>
      <c r="F2" s="28"/>
      <c r="G2" s="22"/>
    </row>
    <row r="3" spans="1:9" ht="15.75" x14ac:dyDescent="0.25">
      <c r="C3" s="28" t="s">
        <v>180</v>
      </c>
      <c r="D3" s="28"/>
      <c r="E3" s="28"/>
      <c r="F3" s="28"/>
      <c r="G3" s="22"/>
    </row>
    <row r="4" spans="1:9" ht="18.75" x14ac:dyDescent="0.3">
      <c r="D4" s="27" t="s">
        <v>143</v>
      </c>
      <c r="E4" s="1"/>
      <c r="F4" s="1"/>
    </row>
    <row r="5" spans="1:9" x14ac:dyDescent="0.25"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9" x14ac:dyDescent="0.25">
      <c r="A6" s="2" t="s">
        <v>27</v>
      </c>
      <c r="B6" s="3"/>
      <c r="C6" s="3">
        <f>AUGUST19!G6:G26</f>
        <v>0</v>
      </c>
      <c r="D6" s="3"/>
      <c r="E6" s="3">
        <f>D6+C6</f>
        <v>0</v>
      </c>
      <c r="F6" s="3"/>
      <c r="G6" s="3">
        <f>E6-F6</f>
        <v>0</v>
      </c>
    </row>
    <row r="7" spans="1:9" x14ac:dyDescent="0.25">
      <c r="A7" s="3">
        <v>1</v>
      </c>
      <c r="B7" s="16" t="s">
        <v>109</v>
      </c>
      <c r="C7" s="3">
        <f>AUGUST19!G7:G27</f>
        <v>0</v>
      </c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9" x14ac:dyDescent="0.25">
      <c r="A8" s="3">
        <v>2</v>
      </c>
      <c r="B8" s="18" t="s">
        <v>137</v>
      </c>
      <c r="C8" s="3">
        <f>AUGUST19!G8:G28</f>
        <v>0</v>
      </c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9" x14ac:dyDescent="0.25">
      <c r="A9" s="16">
        <v>3</v>
      </c>
      <c r="B9" s="16"/>
      <c r="C9" s="3">
        <f>AUGUST19!G9:G29</f>
        <v>0</v>
      </c>
      <c r="D9" s="16"/>
      <c r="E9" s="16"/>
      <c r="F9" s="16"/>
      <c r="G9" s="3">
        <f t="shared" si="1"/>
        <v>0</v>
      </c>
    </row>
    <row r="10" spans="1:9" x14ac:dyDescent="0.25">
      <c r="A10" s="16">
        <v>4</v>
      </c>
      <c r="B10" s="16" t="s">
        <v>10</v>
      </c>
      <c r="C10" s="3">
        <f>AUGUST19!G10:G30</f>
        <v>0</v>
      </c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9" x14ac:dyDescent="0.25">
      <c r="A11" s="16">
        <v>5</v>
      </c>
      <c r="B11" s="16" t="s">
        <v>69</v>
      </c>
      <c r="C11" s="3">
        <f>AUGUST19!G11:G31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9" x14ac:dyDescent="0.25">
      <c r="A12" s="16">
        <v>6</v>
      </c>
      <c r="B12" s="16" t="s">
        <v>28</v>
      </c>
      <c r="C12" s="3">
        <f>AUGUST19!G12:G32</f>
        <v>0</v>
      </c>
      <c r="D12" s="16">
        <v>1000</v>
      </c>
      <c r="E12" s="16">
        <f t="shared" si="0"/>
        <v>1000</v>
      </c>
      <c r="F12" s="16"/>
      <c r="G12" s="3">
        <f t="shared" si="1"/>
        <v>1000</v>
      </c>
    </row>
    <row r="13" spans="1:9" x14ac:dyDescent="0.25">
      <c r="A13" s="16">
        <v>7</v>
      </c>
      <c r="B13" s="16" t="s">
        <v>177</v>
      </c>
      <c r="C13" s="3">
        <f>AUGUST19!G13:G33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9" x14ac:dyDescent="0.25">
      <c r="A14" s="16">
        <v>8</v>
      </c>
      <c r="B14" s="3"/>
      <c r="C14" s="3">
        <f>AUGUST19!G14:G34</f>
        <v>0</v>
      </c>
      <c r="D14" s="3"/>
      <c r="E14" s="16">
        <f t="shared" si="0"/>
        <v>0</v>
      </c>
      <c r="F14" s="3"/>
      <c r="G14" s="3"/>
    </row>
    <row r="15" spans="1:9" x14ac:dyDescent="0.25">
      <c r="A15" s="16">
        <v>9</v>
      </c>
      <c r="B15" s="16" t="s">
        <v>164</v>
      </c>
      <c r="C15" s="3">
        <f>AUGUST19!G15:G35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  <c r="H15">
        <f>200+200</f>
        <v>400</v>
      </c>
      <c r="I15" t="s">
        <v>184</v>
      </c>
    </row>
    <row r="16" spans="1:9" x14ac:dyDescent="0.25">
      <c r="A16" s="16">
        <v>10</v>
      </c>
      <c r="B16" s="18" t="s">
        <v>136</v>
      </c>
      <c r="C16" s="3">
        <f>AUGUST19!G16:G36</f>
        <v>0</v>
      </c>
      <c r="D16" s="18">
        <v>1000</v>
      </c>
      <c r="E16" s="16">
        <f t="shared" si="0"/>
        <v>1000</v>
      </c>
      <c r="F16" s="18">
        <v>1000</v>
      </c>
      <c r="G16" s="14">
        <f t="shared" si="1"/>
        <v>0</v>
      </c>
      <c r="H16" t="s">
        <v>159</v>
      </c>
    </row>
    <row r="17" spans="1:9" x14ac:dyDescent="0.25">
      <c r="A17" s="16">
        <v>11</v>
      </c>
      <c r="B17" s="3"/>
      <c r="C17" s="3">
        <f>AUGUST19!G17:G37</f>
        <v>0</v>
      </c>
      <c r="D17" s="3"/>
      <c r="E17" s="16"/>
      <c r="F17" s="3"/>
      <c r="G17" s="3"/>
    </row>
    <row r="18" spans="1:9" x14ac:dyDescent="0.25">
      <c r="A18" s="16">
        <v>12</v>
      </c>
      <c r="B18" s="16"/>
      <c r="C18" s="3">
        <f>AUGUST19!G18:G38</f>
        <v>0</v>
      </c>
      <c r="D18" s="16"/>
      <c r="E18" s="16"/>
      <c r="F18" s="16"/>
      <c r="G18" s="3">
        <f t="shared" si="1"/>
        <v>0</v>
      </c>
    </row>
    <row r="19" spans="1:9" x14ac:dyDescent="0.25">
      <c r="A19" s="16">
        <v>13</v>
      </c>
      <c r="B19" s="16"/>
      <c r="C19" s="3">
        <f>AUGUST19!G19:G39</f>
        <v>0</v>
      </c>
      <c r="D19" s="16"/>
      <c r="E19" s="16"/>
      <c r="F19" s="16"/>
      <c r="G19" s="3"/>
    </row>
    <row r="20" spans="1:9" x14ac:dyDescent="0.25">
      <c r="A20" s="16">
        <v>14</v>
      </c>
      <c r="B20" s="16" t="s">
        <v>137</v>
      </c>
      <c r="C20" s="3">
        <f>AUGUST19!G20:G40</f>
        <v>0</v>
      </c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15</v>
      </c>
      <c r="B21" s="3" t="s">
        <v>30</v>
      </c>
      <c r="C21" s="3">
        <f>AUGUST19!G21:G41</f>
        <v>0</v>
      </c>
      <c r="D21" s="3">
        <v>1000</v>
      </c>
      <c r="E21" s="3">
        <f>D21+C21</f>
        <v>1000</v>
      </c>
      <c r="F21" s="3">
        <v>1000</v>
      </c>
      <c r="G21" s="3">
        <f>E21-F21</f>
        <v>0</v>
      </c>
    </row>
    <row r="22" spans="1:9" x14ac:dyDescent="0.25">
      <c r="A22" s="16">
        <v>16</v>
      </c>
      <c r="B22" s="16" t="s">
        <v>47</v>
      </c>
      <c r="C22" s="3">
        <f>AUGUST19!G22:G42</f>
        <v>0</v>
      </c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16">
        <v>17</v>
      </c>
      <c r="B23" s="18" t="s">
        <v>178</v>
      </c>
      <c r="C23" s="3">
        <f>AUGUST19!G23:G43</f>
        <v>0</v>
      </c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</row>
    <row r="24" spans="1:9" x14ac:dyDescent="0.25">
      <c r="A24" s="3">
        <v>18</v>
      </c>
      <c r="B24" s="18" t="s">
        <v>135</v>
      </c>
      <c r="C24" s="3">
        <f>AUGUST19!G24:G44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19</v>
      </c>
      <c r="B25" s="18" t="s">
        <v>118</v>
      </c>
      <c r="C25" s="3">
        <f>AUGUST19!G25:G45</f>
        <v>320</v>
      </c>
      <c r="D25" s="3">
        <v>1500</v>
      </c>
      <c r="E25" s="16">
        <f>D25+C25</f>
        <v>1820</v>
      </c>
      <c r="F25" s="3">
        <v>800</v>
      </c>
      <c r="G25" s="3">
        <f t="shared" si="1"/>
        <v>1020</v>
      </c>
    </row>
    <row r="26" spans="1:9" x14ac:dyDescent="0.25">
      <c r="A26" s="3">
        <v>20</v>
      </c>
      <c r="B26" s="2" t="s">
        <v>26</v>
      </c>
      <c r="C26" s="3">
        <f>AUGUST19!G26:G46</f>
        <v>820</v>
      </c>
      <c r="D26" s="2">
        <f>SUM(D6:D25)</f>
        <v>16000</v>
      </c>
      <c r="E26" s="2">
        <f>SUM(E6:E25)</f>
        <v>16820</v>
      </c>
      <c r="F26" s="2">
        <f>SUM(F6:F25)</f>
        <v>14300</v>
      </c>
      <c r="G26" s="2">
        <f>SUM(G6:G25)</f>
        <v>2520</v>
      </c>
    </row>
    <row r="27" spans="1:9" x14ac:dyDescent="0.25">
      <c r="B27" s="25"/>
      <c r="C27" s="25"/>
      <c r="D27" s="25"/>
      <c r="E27" s="25"/>
      <c r="F27" s="25"/>
      <c r="G27" s="25"/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182</v>
      </c>
      <c r="C30" s="3">
        <f>D26</f>
        <v>16000</v>
      </c>
      <c r="D30" s="3"/>
      <c r="E30" s="3"/>
      <c r="F30" s="3" t="s">
        <v>181</v>
      </c>
      <c r="G30" s="3">
        <f>F26</f>
        <v>14300</v>
      </c>
      <c r="H30" s="3"/>
      <c r="I30" s="3"/>
    </row>
    <row r="31" spans="1:9" x14ac:dyDescent="0.25">
      <c r="B31" s="3" t="s">
        <v>62</v>
      </c>
      <c r="C31" s="3">
        <f>AUGUST19!E37</f>
        <v>0</v>
      </c>
      <c r="D31" s="3"/>
      <c r="E31" s="3"/>
      <c r="F31" s="3" t="s">
        <v>62</v>
      </c>
      <c r="G31">
        <f>AUGUST19!I37</f>
        <v>-2820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1600</v>
      </c>
      <c r="E32" s="3"/>
      <c r="F32" s="3" t="s">
        <v>41</v>
      </c>
      <c r="G32" s="5">
        <v>0.1</v>
      </c>
      <c r="H32" s="3">
        <f>D32</f>
        <v>1600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183</v>
      </c>
      <c r="C34" s="3"/>
      <c r="D34" s="3">
        <v>14400</v>
      </c>
      <c r="E34" s="3"/>
      <c r="F34" s="19" t="s">
        <v>183</v>
      </c>
      <c r="G34" s="3"/>
      <c r="H34" s="3">
        <v>14400</v>
      </c>
      <c r="I34" s="3"/>
    </row>
    <row r="35" spans="2:9" x14ac:dyDescent="0.25">
      <c r="B35" s="19" t="s">
        <v>188</v>
      </c>
      <c r="C35" s="3"/>
      <c r="D35" s="3">
        <f>D16</f>
        <v>1000</v>
      </c>
      <c r="E35" s="3"/>
      <c r="F35" s="19" t="s">
        <v>188</v>
      </c>
      <c r="G35" s="3"/>
      <c r="H35" s="3">
        <f>D35</f>
        <v>1000</v>
      </c>
      <c r="I35" s="3"/>
    </row>
    <row r="36" spans="2:9" x14ac:dyDescent="0.25">
      <c r="B36" s="19"/>
      <c r="C36" s="3"/>
      <c r="D36" s="3"/>
      <c r="E36" s="3"/>
      <c r="F36" s="19"/>
      <c r="G36" s="3"/>
      <c r="H36" s="3"/>
      <c r="I36" s="3"/>
    </row>
    <row r="37" spans="2:9" x14ac:dyDescent="0.25">
      <c r="B37" s="2" t="s">
        <v>26</v>
      </c>
      <c r="C37" s="2">
        <f>C30+C31-D32</f>
        <v>14400</v>
      </c>
      <c r="D37" s="2">
        <f>SUM(D34:D36)</f>
        <v>15400</v>
      </c>
      <c r="E37" s="2">
        <f>C37-D37</f>
        <v>-1000</v>
      </c>
      <c r="F37" s="2" t="s">
        <v>26</v>
      </c>
      <c r="G37" s="2">
        <f>G30+G31-H32</f>
        <v>9880</v>
      </c>
      <c r="H37" s="2">
        <f>SUM(H34:H36)</f>
        <v>15400</v>
      </c>
      <c r="I37" s="2">
        <f>G37-H37</f>
        <v>-5520</v>
      </c>
    </row>
    <row r="38" spans="2:9" x14ac:dyDescent="0.25">
      <c r="B38" t="s">
        <v>33</v>
      </c>
      <c r="D38" t="s">
        <v>49</v>
      </c>
      <c r="G38" t="s">
        <v>34</v>
      </c>
    </row>
    <row r="40" spans="2:9" x14ac:dyDescent="0.25">
      <c r="B40" t="s">
        <v>179</v>
      </c>
      <c r="D40" t="s">
        <v>50</v>
      </c>
      <c r="G40" t="s">
        <v>51</v>
      </c>
    </row>
    <row r="42" spans="2:9" ht="18.75" x14ac:dyDescent="0.3">
      <c r="C42" s="1" t="s">
        <v>42</v>
      </c>
      <c r="D42" s="21"/>
      <c r="E42" s="21"/>
      <c r="F42" s="21"/>
      <c r="G42" s="22"/>
    </row>
    <row r="43" spans="2:9" ht="15.75" x14ac:dyDescent="0.25">
      <c r="C43" s="29" t="s">
        <v>0</v>
      </c>
      <c r="D43" s="29"/>
      <c r="E43" s="29"/>
      <c r="F43" s="29"/>
      <c r="G43" s="22"/>
    </row>
    <row r="44" spans="2:9" ht="15.75" x14ac:dyDescent="0.25">
      <c r="C44" s="29" t="s">
        <v>180</v>
      </c>
      <c r="D44" s="29"/>
      <c r="E44" s="29"/>
      <c r="F44" s="29"/>
      <c r="G44" s="22"/>
    </row>
    <row r="45" spans="2:9" x14ac:dyDescent="0.25">
      <c r="B45" s="18"/>
      <c r="C45" s="48" t="s">
        <v>139</v>
      </c>
      <c r="D45" s="49"/>
      <c r="E45" s="30"/>
      <c r="F45" s="31"/>
      <c r="G45" s="3"/>
    </row>
    <row r="46" spans="2:9" x14ac:dyDescent="0.25"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2:9" x14ac:dyDescent="0.25">
      <c r="B47" s="18"/>
      <c r="C47" s="3">
        <f>AUGUST19!G47:G59</f>
        <v>0</v>
      </c>
      <c r="D47" s="3"/>
      <c r="E47" s="16">
        <f>C47+D47</f>
        <v>0</v>
      </c>
      <c r="F47" s="3"/>
      <c r="G47" s="3">
        <f>E47-F47</f>
        <v>0</v>
      </c>
    </row>
    <row r="48" spans="2:9" x14ac:dyDescent="0.25">
      <c r="B48" s="18" t="s">
        <v>167</v>
      </c>
      <c r="C48" s="3">
        <f>AUGUST19!G48:G60</f>
        <v>0</v>
      </c>
      <c r="D48" s="3">
        <v>2000</v>
      </c>
      <c r="E48" s="16">
        <f t="shared" ref="E48:E56" si="2">C48+D48</f>
        <v>2000</v>
      </c>
      <c r="F48" s="3">
        <v>2000</v>
      </c>
      <c r="G48" s="3">
        <f t="shared" ref="G48:G56" si="3">E48-F48</f>
        <v>0</v>
      </c>
      <c r="H48" t="s">
        <v>187</v>
      </c>
    </row>
    <row r="49" spans="2:9" x14ac:dyDescent="0.25">
      <c r="B49" s="18"/>
      <c r="C49" s="3">
        <f>AUGUST19!G49:G61</f>
        <v>0</v>
      </c>
      <c r="D49" s="3"/>
      <c r="E49" s="16">
        <f t="shared" si="2"/>
        <v>0</v>
      </c>
      <c r="F49" s="3"/>
      <c r="G49" s="3">
        <f t="shared" si="3"/>
        <v>0</v>
      </c>
    </row>
    <row r="50" spans="2:9" x14ac:dyDescent="0.25">
      <c r="B50" s="18" t="s">
        <v>144</v>
      </c>
      <c r="C50" s="3">
        <f>AUGUST19!G50:G62</f>
        <v>0</v>
      </c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2:9" x14ac:dyDescent="0.25">
      <c r="B51" s="18" t="s">
        <v>155</v>
      </c>
      <c r="C51" s="3">
        <f>AUGUST19!G51:G63</f>
        <v>0</v>
      </c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2:9" x14ac:dyDescent="0.25">
      <c r="B52" s="18" t="s">
        <v>165</v>
      </c>
      <c r="C52" s="3">
        <f>AUGUST19!G52:G64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  <c r="H52" t="s">
        <v>187</v>
      </c>
    </row>
    <row r="53" spans="2:9" x14ac:dyDescent="0.25">
      <c r="B53" s="18" t="s">
        <v>166</v>
      </c>
      <c r="C53" s="3">
        <f>AUGUST19!G53:G65</f>
        <v>1300</v>
      </c>
      <c r="D53" s="3">
        <v>2000</v>
      </c>
      <c r="E53" s="16">
        <f t="shared" si="2"/>
        <v>3300</v>
      </c>
      <c r="F53" s="3">
        <v>2000</v>
      </c>
      <c r="G53" s="3">
        <f t="shared" si="3"/>
        <v>1300</v>
      </c>
    </row>
    <row r="54" spans="2:9" x14ac:dyDescent="0.25">
      <c r="B54" s="18" t="s">
        <v>192</v>
      </c>
      <c r="C54" s="3">
        <f>AUGUST19!G54:G66</f>
        <v>0</v>
      </c>
      <c r="D54" s="3">
        <v>2000</v>
      </c>
      <c r="E54" s="16">
        <f t="shared" si="2"/>
        <v>2000</v>
      </c>
      <c r="F54" s="3">
        <v>2000</v>
      </c>
      <c r="G54" s="3">
        <f t="shared" si="3"/>
        <v>0</v>
      </c>
      <c r="H54" t="s">
        <v>46</v>
      </c>
    </row>
    <row r="55" spans="2:9" x14ac:dyDescent="0.25">
      <c r="B55" s="18"/>
      <c r="C55" s="3">
        <f>AUGUST19!G55:G67</f>
        <v>0</v>
      </c>
      <c r="D55" s="3"/>
      <c r="E55" s="16">
        <f t="shared" si="2"/>
        <v>0</v>
      </c>
      <c r="F55" s="3"/>
      <c r="G55" s="3">
        <f t="shared" si="3"/>
        <v>0</v>
      </c>
    </row>
    <row r="56" spans="2:9" x14ac:dyDescent="0.25">
      <c r="B56" s="18"/>
      <c r="C56" s="3">
        <f>AUGUST19!G56:G68</f>
        <v>0</v>
      </c>
      <c r="D56" s="3"/>
      <c r="E56" s="16">
        <f t="shared" si="2"/>
        <v>0</v>
      </c>
      <c r="F56" s="3"/>
      <c r="G56" s="3">
        <f t="shared" si="3"/>
        <v>0</v>
      </c>
    </row>
    <row r="57" spans="2:9" x14ac:dyDescent="0.25">
      <c r="B57" s="18"/>
      <c r="C57" s="3">
        <f>AUGUST19!G57:G69</f>
        <v>0</v>
      </c>
      <c r="D57" s="3"/>
      <c r="E57" s="16"/>
      <c r="F57" s="3"/>
      <c r="G57" s="3"/>
    </row>
    <row r="58" spans="2:9" x14ac:dyDescent="0.25">
      <c r="B58" s="18"/>
      <c r="C58" s="3">
        <f>AUGUST19!G58:G70</f>
        <v>0</v>
      </c>
      <c r="D58" s="3"/>
      <c r="E58" s="16"/>
      <c r="F58" s="3"/>
      <c r="G58" s="3"/>
    </row>
    <row r="59" spans="2:9" x14ac:dyDescent="0.25">
      <c r="B59" s="2" t="s">
        <v>26</v>
      </c>
      <c r="C59" s="3">
        <f>AUGUST19!G59:G71</f>
        <v>1300</v>
      </c>
      <c r="D59" s="2">
        <f>SUM(D47:D58)</f>
        <v>12000</v>
      </c>
      <c r="E59" s="2">
        <f>SUM(E47:E58)</f>
        <v>13300</v>
      </c>
      <c r="F59" s="2">
        <f>SUM(F47:F58)</f>
        <v>12000</v>
      </c>
      <c r="G59" s="2">
        <f>SUM(G47:G58)</f>
        <v>1300</v>
      </c>
    </row>
    <row r="61" spans="2:9" x14ac:dyDescent="0.25">
      <c r="B61" s="12" t="s">
        <v>44</v>
      </c>
      <c r="C61" s="12"/>
      <c r="D61" s="12"/>
      <c r="E61" s="12"/>
      <c r="F61" s="34" t="s">
        <v>43</v>
      </c>
      <c r="G61" s="12"/>
    </row>
    <row r="62" spans="2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2:9" x14ac:dyDescent="0.25">
      <c r="B63" s="3" t="s">
        <v>181</v>
      </c>
      <c r="C63" s="3">
        <f>D59</f>
        <v>12000</v>
      </c>
      <c r="D63" s="3"/>
      <c r="E63" s="3"/>
      <c r="F63" s="3" t="s">
        <v>181</v>
      </c>
      <c r="G63" s="3">
        <f>F59</f>
        <v>12000</v>
      </c>
      <c r="H63" s="3"/>
      <c r="I63" s="3"/>
    </row>
    <row r="64" spans="2:9" x14ac:dyDescent="0.25">
      <c r="B64" s="3" t="s">
        <v>62</v>
      </c>
      <c r="C64" s="3">
        <f>AUGUST19!E69</f>
        <v>0</v>
      </c>
      <c r="D64" s="3"/>
      <c r="E64" s="3"/>
      <c r="F64" s="3" t="s">
        <v>62</v>
      </c>
      <c r="G64">
        <f>AUGUST19!I69</f>
        <v>-1300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1200</v>
      </c>
      <c r="E65" s="3"/>
      <c r="F65" s="3" t="s">
        <v>41</v>
      </c>
      <c r="G65" s="5">
        <v>0.1</v>
      </c>
      <c r="H65" s="3">
        <f>D65</f>
        <v>1200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I66" s="3"/>
    </row>
    <row r="67" spans="2:9" x14ac:dyDescent="0.25">
      <c r="B67" s="35" t="s">
        <v>183</v>
      </c>
      <c r="C67" s="19"/>
      <c r="D67" s="3">
        <v>10800</v>
      </c>
      <c r="E67" s="3"/>
      <c r="F67" s="35" t="s">
        <v>183</v>
      </c>
      <c r="G67" s="19"/>
      <c r="H67" s="3">
        <v>10800</v>
      </c>
      <c r="I67" s="3"/>
    </row>
    <row r="68" spans="2:9" x14ac:dyDescent="0.25">
      <c r="B68" s="10" t="s">
        <v>189</v>
      </c>
      <c r="C68" s="3" t="s">
        <v>201</v>
      </c>
      <c r="D68" s="3">
        <f>D48+D52+D54</f>
        <v>6000</v>
      </c>
      <c r="E68" s="3"/>
      <c r="F68" s="10" t="s">
        <v>202</v>
      </c>
      <c r="G68" s="3"/>
      <c r="H68" s="3">
        <f>D68</f>
        <v>6000</v>
      </c>
      <c r="I68" s="3"/>
    </row>
    <row r="69" spans="2:9" x14ac:dyDescent="0.25">
      <c r="B69" s="2" t="s">
        <v>26</v>
      </c>
      <c r="C69" s="2">
        <f>C63+C64-D65</f>
        <v>10800</v>
      </c>
      <c r="D69" s="2">
        <f>SUM(D67:D68)</f>
        <v>16800</v>
      </c>
      <c r="E69" s="2">
        <f>C69-D69</f>
        <v>-6000</v>
      </c>
      <c r="F69" s="2" t="s">
        <v>26</v>
      </c>
      <c r="G69" s="2">
        <f>G63+G64-H65</f>
        <v>9500</v>
      </c>
      <c r="H69" s="2">
        <f>SUM(H67:H68)</f>
        <v>16800</v>
      </c>
      <c r="I69" s="2">
        <f>G69-H69</f>
        <v>-7300</v>
      </c>
    </row>
    <row r="71" spans="2:9" x14ac:dyDescent="0.25">
      <c r="B71" t="s">
        <v>33</v>
      </c>
      <c r="D71" t="s">
        <v>49</v>
      </c>
      <c r="G71" t="s">
        <v>34</v>
      </c>
    </row>
    <row r="73" spans="2:9" x14ac:dyDescent="0.25">
      <c r="B73" t="s">
        <v>179</v>
      </c>
      <c r="D73" t="s">
        <v>50</v>
      </c>
      <c r="G73" t="s">
        <v>51</v>
      </c>
    </row>
  </sheetData>
  <mergeCells count="1">
    <mergeCell ref="C45:D45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" workbookViewId="0">
      <selection activeCell="I25" sqref="I25"/>
    </sheetView>
  </sheetViews>
  <sheetFormatPr defaultRowHeight="15" x14ac:dyDescent="0.25"/>
  <cols>
    <col min="1" max="2" width="4.7109375" customWidth="1"/>
    <col min="3" max="3" width="19.42578125" customWidth="1"/>
    <col min="4" max="4" width="7.28515625" customWidth="1"/>
    <col min="5" max="5" width="6.85546875" customWidth="1"/>
    <col min="6" max="6" width="6.5703125" customWidth="1"/>
    <col min="9" max="9" width="10" bestFit="1" customWidth="1"/>
  </cols>
  <sheetData>
    <row r="1" spans="1:9" ht="18.75" x14ac:dyDescent="0.3">
      <c r="D1" s="1" t="s">
        <v>42</v>
      </c>
      <c r="E1" s="21"/>
      <c r="F1" s="21"/>
      <c r="G1" s="21"/>
      <c r="H1" s="22"/>
    </row>
    <row r="2" spans="1:9" ht="15.75" x14ac:dyDescent="0.25">
      <c r="D2" s="28" t="s">
        <v>0</v>
      </c>
      <c r="E2" s="28"/>
      <c r="F2" s="28"/>
      <c r="G2" s="28"/>
      <c r="H2" s="22"/>
    </row>
    <row r="3" spans="1:9" ht="15.75" x14ac:dyDescent="0.25">
      <c r="D3" s="28" t="s">
        <v>186</v>
      </c>
      <c r="E3" s="28"/>
      <c r="F3" s="28"/>
      <c r="G3" s="28"/>
      <c r="H3" s="22"/>
    </row>
    <row r="4" spans="1:9" ht="18.75" x14ac:dyDescent="0.3">
      <c r="E4" s="27" t="s">
        <v>143</v>
      </c>
      <c r="F4" s="1"/>
      <c r="G4" s="1"/>
    </row>
    <row r="5" spans="1:9" x14ac:dyDescent="0.25">
      <c r="A5" s="2"/>
      <c r="B5" s="2" t="s">
        <v>27</v>
      </c>
      <c r="C5" s="2" t="s">
        <v>2</v>
      </c>
      <c r="D5" s="2" t="s">
        <v>4</v>
      </c>
      <c r="E5" s="2" t="s">
        <v>3</v>
      </c>
      <c r="F5" s="2" t="s">
        <v>5</v>
      </c>
      <c r="G5" s="2" t="s">
        <v>6</v>
      </c>
      <c r="H5" s="2" t="s">
        <v>25</v>
      </c>
    </row>
    <row r="6" spans="1:9" x14ac:dyDescent="0.25">
      <c r="A6" s="3"/>
      <c r="B6" s="3">
        <v>1</v>
      </c>
      <c r="C6" s="3" t="s">
        <v>197</v>
      </c>
      <c r="D6" s="3">
        <f>'SEPTEMBER 19'!G6:G25</f>
        <v>0</v>
      </c>
      <c r="E6" s="3">
        <v>1000</v>
      </c>
      <c r="F6" s="3">
        <f>E6+D6</f>
        <v>1000</v>
      </c>
      <c r="G6" s="3">
        <v>1000</v>
      </c>
      <c r="H6" s="3">
        <f>F6-G6</f>
        <v>0</v>
      </c>
      <c r="I6" t="s">
        <v>46</v>
      </c>
    </row>
    <row r="7" spans="1:9" x14ac:dyDescent="0.25">
      <c r="A7" s="3"/>
      <c r="B7" s="3">
        <v>2</v>
      </c>
      <c r="C7" s="16" t="s">
        <v>109</v>
      </c>
      <c r="D7" s="3">
        <f>'SEPTEMBER 19'!G7:G26</f>
        <v>0</v>
      </c>
      <c r="E7" s="3">
        <v>1000</v>
      </c>
      <c r="F7" s="3">
        <f t="shared" ref="F7:F24" si="0">E7+D7</f>
        <v>1000</v>
      </c>
      <c r="G7" s="3">
        <v>1000</v>
      </c>
      <c r="H7" s="3">
        <f t="shared" ref="H7:H25" si="1">F7-G7</f>
        <v>0</v>
      </c>
    </row>
    <row r="8" spans="1:9" x14ac:dyDescent="0.25">
      <c r="A8" s="16"/>
      <c r="B8" s="16">
        <v>3</v>
      </c>
      <c r="C8" s="18" t="s">
        <v>137</v>
      </c>
      <c r="D8" s="3">
        <f>'SEPTEMBER 19'!G8:G27</f>
        <v>0</v>
      </c>
      <c r="E8" s="18">
        <v>1000</v>
      </c>
      <c r="F8" s="16">
        <f>E8+D8</f>
        <v>1000</v>
      </c>
      <c r="G8" s="16"/>
      <c r="H8" s="3">
        <f>F8-G8</f>
        <v>1000</v>
      </c>
    </row>
    <row r="9" spans="1:9" x14ac:dyDescent="0.25">
      <c r="A9" s="16"/>
      <c r="B9" s="16">
        <v>4</v>
      </c>
      <c r="C9" s="16"/>
      <c r="D9" s="3">
        <f>'SEPTEMBER 19'!G9:G28</f>
        <v>0</v>
      </c>
      <c r="E9" s="16"/>
      <c r="F9" s="16"/>
      <c r="G9" s="16"/>
      <c r="H9" s="3">
        <f t="shared" si="1"/>
        <v>0</v>
      </c>
    </row>
    <row r="10" spans="1:9" x14ac:dyDescent="0.25">
      <c r="A10" s="16"/>
      <c r="B10" s="16">
        <v>5</v>
      </c>
      <c r="C10" s="16" t="s">
        <v>10</v>
      </c>
      <c r="D10" s="3">
        <f>'SEPTEMBER 19'!G10:G29</f>
        <v>0</v>
      </c>
      <c r="E10" s="16">
        <v>1000</v>
      </c>
      <c r="F10" s="16">
        <f t="shared" si="0"/>
        <v>1000</v>
      </c>
      <c r="G10" s="16">
        <v>1000</v>
      </c>
      <c r="H10" s="3">
        <f t="shared" si="1"/>
        <v>0</v>
      </c>
    </row>
    <row r="11" spans="1:9" x14ac:dyDescent="0.25">
      <c r="A11" s="16"/>
      <c r="B11" s="16">
        <v>6</v>
      </c>
      <c r="C11" s="16" t="s">
        <v>69</v>
      </c>
      <c r="D11" s="3">
        <f>'SEPTEMBER 19'!G11:G30</f>
        <v>0</v>
      </c>
      <c r="E11" s="16">
        <v>1000</v>
      </c>
      <c r="F11" s="16">
        <f t="shared" si="0"/>
        <v>1000</v>
      </c>
      <c r="G11" s="16">
        <v>1000</v>
      </c>
      <c r="H11" s="3">
        <f t="shared" si="1"/>
        <v>0</v>
      </c>
    </row>
    <row r="12" spans="1:9" x14ac:dyDescent="0.25">
      <c r="A12" s="16"/>
      <c r="B12" s="16">
        <v>7</v>
      </c>
      <c r="C12" s="16" t="s">
        <v>28</v>
      </c>
      <c r="D12" s="3">
        <f>'SEPTEMBER 19'!G12:G31</f>
        <v>1000</v>
      </c>
      <c r="E12" s="16">
        <v>1000</v>
      </c>
      <c r="F12" s="16">
        <f t="shared" si="0"/>
        <v>2000</v>
      </c>
      <c r="G12" s="16">
        <v>1000</v>
      </c>
      <c r="H12" s="3">
        <f t="shared" si="1"/>
        <v>1000</v>
      </c>
    </row>
    <row r="13" spans="1:9" x14ac:dyDescent="0.25">
      <c r="A13" s="16"/>
      <c r="B13" s="16">
        <v>8</v>
      </c>
      <c r="C13" s="16" t="s">
        <v>177</v>
      </c>
      <c r="D13" s="3">
        <f>'SEPTEMBER 19'!G13:G32</f>
        <v>0</v>
      </c>
      <c r="E13" s="16">
        <v>1000</v>
      </c>
      <c r="F13" s="16">
        <f t="shared" si="0"/>
        <v>1000</v>
      </c>
      <c r="G13" s="16">
        <v>1000</v>
      </c>
      <c r="H13" s="3">
        <f t="shared" si="1"/>
        <v>0</v>
      </c>
    </row>
    <row r="14" spans="1:9" x14ac:dyDescent="0.25">
      <c r="A14" s="16"/>
      <c r="B14" s="16">
        <v>9</v>
      </c>
      <c r="C14" s="3" t="s">
        <v>194</v>
      </c>
      <c r="D14" s="3">
        <f>'SEPTEMBER 19'!G14:G33</f>
        <v>0</v>
      </c>
      <c r="E14" s="3">
        <v>1000</v>
      </c>
      <c r="F14" s="16">
        <f t="shared" si="0"/>
        <v>1000</v>
      </c>
      <c r="G14" s="3">
        <v>1000</v>
      </c>
      <c r="H14" s="3">
        <f t="shared" si="1"/>
        <v>0</v>
      </c>
      <c r="I14" t="s">
        <v>195</v>
      </c>
    </row>
    <row r="15" spans="1:9" x14ac:dyDescent="0.25">
      <c r="A15" s="16"/>
      <c r="B15" s="16">
        <v>10</v>
      </c>
      <c r="C15" s="16" t="s">
        <v>164</v>
      </c>
      <c r="D15" s="3">
        <f>'SEPTEMBER 19'!G15:G34</f>
        <v>0</v>
      </c>
      <c r="E15" s="16">
        <v>1000</v>
      </c>
      <c r="F15" s="16">
        <f t="shared" si="0"/>
        <v>1000</v>
      </c>
      <c r="G15" s="16">
        <v>1000</v>
      </c>
      <c r="H15" s="3">
        <f>F15-G15</f>
        <v>0</v>
      </c>
    </row>
    <row r="16" spans="1:9" x14ac:dyDescent="0.25">
      <c r="A16" s="16"/>
      <c r="B16" s="16">
        <v>11</v>
      </c>
      <c r="C16" s="18" t="s">
        <v>196</v>
      </c>
      <c r="D16" s="3">
        <f>'SEPTEMBER 19'!G16:G35</f>
        <v>0</v>
      </c>
      <c r="E16" s="18">
        <v>1000</v>
      </c>
      <c r="F16" s="16">
        <f t="shared" si="0"/>
        <v>1000</v>
      </c>
      <c r="G16" s="18">
        <v>1000</v>
      </c>
      <c r="H16" s="14">
        <f t="shared" si="1"/>
        <v>0</v>
      </c>
    </row>
    <row r="17" spans="1:10" x14ac:dyDescent="0.25">
      <c r="A17" s="16"/>
      <c r="B17" s="16">
        <v>12</v>
      </c>
      <c r="C17" s="3"/>
      <c r="D17" s="3">
        <f>'SEPTEMBER 19'!G17:G36</f>
        <v>0</v>
      </c>
      <c r="E17" s="3"/>
      <c r="F17" s="16"/>
      <c r="G17" s="3"/>
      <c r="H17" s="3"/>
    </row>
    <row r="18" spans="1:10" x14ac:dyDescent="0.25">
      <c r="A18" s="16"/>
      <c r="B18" s="16">
        <v>13</v>
      </c>
      <c r="C18" s="16"/>
      <c r="D18" s="3">
        <f>'SEPTEMBER 19'!G18:G37</f>
        <v>0</v>
      </c>
      <c r="E18" s="16"/>
      <c r="F18" s="16"/>
      <c r="G18" s="16"/>
      <c r="H18" s="3">
        <f t="shared" si="1"/>
        <v>0</v>
      </c>
    </row>
    <row r="19" spans="1:10" x14ac:dyDescent="0.25">
      <c r="A19" s="16"/>
      <c r="B19" s="16">
        <v>14</v>
      </c>
      <c r="C19" s="16"/>
      <c r="D19" s="3">
        <f>'SEPTEMBER 19'!G19:G38</f>
        <v>0</v>
      </c>
      <c r="E19" s="16"/>
      <c r="F19" s="16"/>
      <c r="G19" s="16"/>
      <c r="H19" s="3"/>
    </row>
    <row r="20" spans="1:10" x14ac:dyDescent="0.25">
      <c r="A20" s="16"/>
      <c r="B20" s="16">
        <v>15</v>
      </c>
      <c r="C20" s="16" t="s">
        <v>137</v>
      </c>
      <c r="D20" s="3">
        <f>'SEPTEMBER 19'!G20:G39</f>
        <v>0</v>
      </c>
      <c r="E20" s="16">
        <v>1000</v>
      </c>
      <c r="F20" s="16">
        <f t="shared" si="0"/>
        <v>1000</v>
      </c>
      <c r="G20" s="16">
        <v>1000</v>
      </c>
      <c r="H20" s="3">
        <f t="shared" si="1"/>
        <v>0</v>
      </c>
    </row>
    <row r="21" spans="1:10" x14ac:dyDescent="0.25">
      <c r="A21" s="16"/>
      <c r="B21" s="16">
        <v>16</v>
      </c>
      <c r="C21" s="3" t="s">
        <v>30</v>
      </c>
      <c r="D21" s="3">
        <f>'SEPTEMBER 19'!G21:G40</f>
        <v>0</v>
      </c>
      <c r="E21" s="3">
        <v>1000</v>
      </c>
      <c r="F21" s="3">
        <f>E21+D21</f>
        <v>1000</v>
      </c>
      <c r="G21" s="3">
        <v>1000</v>
      </c>
      <c r="H21" s="3">
        <f>F21-G21</f>
        <v>0</v>
      </c>
    </row>
    <row r="22" spans="1:10" x14ac:dyDescent="0.25">
      <c r="A22" s="16"/>
      <c r="B22" s="16">
        <v>17</v>
      </c>
      <c r="C22" s="16" t="s">
        <v>47</v>
      </c>
      <c r="D22" s="3">
        <f>'SEPTEMBER 19'!G22:G41</f>
        <v>0</v>
      </c>
      <c r="E22" s="16">
        <v>1500</v>
      </c>
      <c r="F22" s="16">
        <f t="shared" si="0"/>
        <v>1500</v>
      </c>
      <c r="G22" s="16">
        <v>1000</v>
      </c>
      <c r="H22" s="3">
        <f t="shared" si="1"/>
        <v>500</v>
      </c>
    </row>
    <row r="23" spans="1:10" x14ac:dyDescent="0.25">
      <c r="A23" s="3"/>
      <c r="B23" s="3">
        <v>18</v>
      </c>
      <c r="C23" s="18" t="s">
        <v>178</v>
      </c>
      <c r="D23" s="3">
        <f>'SEPTEMBER 19'!G23:G42</f>
        <v>0</v>
      </c>
      <c r="E23" s="3">
        <v>1500</v>
      </c>
      <c r="F23" s="16">
        <f t="shared" si="0"/>
        <v>1500</v>
      </c>
      <c r="G23" s="3">
        <v>1500</v>
      </c>
      <c r="H23" s="3">
        <f t="shared" si="1"/>
        <v>0</v>
      </c>
    </row>
    <row r="24" spans="1:10" x14ac:dyDescent="0.25">
      <c r="A24" s="3"/>
      <c r="B24" s="3">
        <v>19</v>
      </c>
      <c r="C24" s="18" t="s">
        <v>135</v>
      </c>
      <c r="D24" s="3">
        <f>'SEPTEMBER 19'!G24:G43</f>
        <v>500</v>
      </c>
      <c r="E24" s="3">
        <v>1500</v>
      </c>
      <c r="F24" s="16">
        <f t="shared" si="0"/>
        <v>2000</v>
      </c>
      <c r="G24" s="3">
        <v>1500</v>
      </c>
      <c r="H24" s="3">
        <f t="shared" si="1"/>
        <v>500</v>
      </c>
    </row>
    <row r="25" spans="1:10" x14ac:dyDescent="0.25">
      <c r="A25" s="3"/>
      <c r="B25" s="3">
        <v>20</v>
      </c>
      <c r="C25" s="18" t="s">
        <v>118</v>
      </c>
      <c r="D25" s="3">
        <f>'SEPTEMBER 19'!G25:G44</f>
        <v>1020</v>
      </c>
      <c r="E25" s="3">
        <v>1500</v>
      </c>
      <c r="F25" s="16">
        <f>E25+D25</f>
        <v>2520</v>
      </c>
      <c r="G25" s="3">
        <v>1200</v>
      </c>
      <c r="H25" s="3">
        <f t="shared" si="1"/>
        <v>1320</v>
      </c>
    </row>
    <row r="26" spans="1:10" x14ac:dyDescent="0.25">
      <c r="C26" s="2" t="s">
        <v>26</v>
      </c>
      <c r="D26" s="3">
        <f>'SEPTEMBER 19'!G26:G45</f>
        <v>2520</v>
      </c>
      <c r="E26" s="2">
        <f>SUM(E6:E25)</f>
        <v>18000</v>
      </c>
      <c r="F26" s="2">
        <f>SUM(F6:F25)</f>
        <v>20520</v>
      </c>
      <c r="G26" s="2">
        <f>SUM(G6:G25)</f>
        <v>16200</v>
      </c>
      <c r="H26" s="2">
        <f>SUM(H6:H25)</f>
        <v>4320</v>
      </c>
    </row>
    <row r="28" spans="1:10" x14ac:dyDescent="0.25">
      <c r="C28" s="12" t="s">
        <v>44</v>
      </c>
      <c r="D28" s="12"/>
      <c r="E28" s="12"/>
      <c r="F28" s="33"/>
      <c r="G28" s="12" t="s">
        <v>43</v>
      </c>
      <c r="H28" s="12"/>
    </row>
    <row r="29" spans="1:10" ht="15.75" x14ac:dyDescent="0.25">
      <c r="C29" s="11" t="s">
        <v>22</v>
      </c>
      <c r="D29" s="11" t="s">
        <v>23</v>
      </c>
      <c r="E29" s="11" t="s">
        <v>24</v>
      </c>
      <c r="F29" s="11" t="s">
        <v>25</v>
      </c>
      <c r="G29" s="13" t="s">
        <v>22</v>
      </c>
      <c r="H29" s="11" t="s">
        <v>23</v>
      </c>
      <c r="I29" s="11" t="s">
        <v>24</v>
      </c>
      <c r="J29" s="11" t="s">
        <v>25</v>
      </c>
    </row>
    <row r="30" spans="1:10" x14ac:dyDescent="0.25">
      <c r="C30" s="3" t="s">
        <v>185</v>
      </c>
      <c r="D30" s="3">
        <f>E26</f>
        <v>18000</v>
      </c>
      <c r="E30" s="3"/>
      <c r="F30" s="3"/>
      <c r="G30" s="3" t="s">
        <v>185</v>
      </c>
      <c r="H30" s="3">
        <f>G26</f>
        <v>16200</v>
      </c>
      <c r="I30" s="3"/>
      <c r="J30" s="3"/>
    </row>
    <row r="31" spans="1:10" x14ac:dyDescent="0.25">
      <c r="C31" s="3" t="s">
        <v>62</v>
      </c>
      <c r="D31" s="3">
        <f>'SEPTEMBER 19'!E37</f>
        <v>-1000</v>
      </c>
      <c r="E31" s="3"/>
      <c r="F31" s="3"/>
      <c r="G31" s="3" t="s">
        <v>62</v>
      </c>
      <c r="H31">
        <f>'SEPTEMBER 19'!I37</f>
        <v>-5520</v>
      </c>
      <c r="I31" s="3"/>
      <c r="J31" s="3"/>
    </row>
    <row r="32" spans="1:10" x14ac:dyDescent="0.25">
      <c r="C32" s="3" t="s">
        <v>41</v>
      </c>
      <c r="D32" s="5">
        <v>0.1</v>
      </c>
      <c r="E32" s="3">
        <f>D32*D30</f>
        <v>1800</v>
      </c>
      <c r="F32" s="3"/>
      <c r="G32" s="3" t="s">
        <v>41</v>
      </c>
      <c r="H32" s="5">
        <v>0.1</v>
      </c>
      <c r="I32" s="3">
        <f>E32</f>
        <v>1800</v>
      </c>
      <c r="J32" s="3"/>
    </row>
    <row r="33" spans="2:10" x14ac:dyDescent="0.25">
      <c r="C33" s="2" t="s">
        <v>115</v>
      </c>
      <c r="D33" s="3"/>
      <c r="E33" s="3"/>
      <c r="F33" s="3"/>
      <c r="G33" s="2" t="s">
        <v>115</v>
      </c>
      <c r="H33" s="3"/>
      <c r="I33" s="3"/>
      <c r="J33" s="3"/>
    </row>
    <row r="34" spans="2:10" x14ac:dyDescent="0.25">
      <c r="C34" s="19" t="s">
        <v>200</v>
      </c>
      <c r="D34" s="3"/>
      <c r="E34" s="3">
        <v>2000</v>
      </c>
      <c r="F34" s="3"/>
      <c r="G34" s="19" t="s">
        <v>200</v>
      </c>
      <c r="H34" s="3"/>
      <c r="I34" s="3">
        <v>2000</v>
      </c>
      <c r="J34" s="3"/>
    </row>
    <row r="35" spans="2:10" x14ac:dyDescent="0.25">
      <c r="C35" s="19" t="s">
        <v>191</v>
      </c>
      <c r="D35" s="3"/>
      <c r="E35" s="3">
        <v>12300</v>
      </c>
      <c r="F35" s="3"/>
      <c r="G35" s="19" t="s">
        <v>191</v>
      </c>
      <c r="H35" s="3"/>
      <c r="I35" s="3">
        <v>12300</v>
      </c>
      <c r="J35" s="3"/>
    </row>
    <row r="36" spans="2:10" x14ac:dyDescent="0.25">
      <c r="C36" s="19"/>
      <c r="D36" s="3"/>
      <c r="E36" s="3"/>
      <c r="F36" s="3"/>
      <c r="G36" s="19"/>
      <c r="H36" s="3"/>
      <c r="I36" s="3"/>
      <c r="J36" s="3"/>
    </row>
    <row r="37" spans="2:10" x14ac:dyDescent="0.25">
      <c r="C37" s="2" t="s">
        <v>26</v>
      </c>
      <c r="D37" s="2">
        <f>D30+D31-E32</f>
        <v>15200</v>
      </c>
      <c r="E37" s="2">
        <f>SUM(E34:E36)</f>
        <v>14300</v>
      </c>
      <c r="F37" s="2">
        <f>D37-E37</f>
        <v>900</v>
      </c>
      <c r="G37" s="2" t="s">
        <v>26</v>
      </c>
      <c r="H37" s="2">
        <f>H30+H31-I32</f>
        <v>8880</v>
      </c>
      <c r="I37" s="2">
        <f>SUM(I34:I36)</f>
        <v>14300</v>
      </c>
      <c r="J37" s="2">
        <f>H37-I37</f>
        <v>-5420</v>
      </c>
    </row>
    <row r="38" spans="2:10" x14ac:dyDescent="0.25">
      <c r="C38" t="s">
        <v>33</v>
      </c>
      <c r="E38" t="s">
        <v>49</v>
      </c>
      <c r="H38" t="s">
        <v>34</v>
      </c>
    </row>
    <row r="40" spans="2:10" x14ac:dyDescent="0.25">
      <c r="C40" t="s">
        <v>179</v>
      </c>
      <c r="E40" t="s">
        <v>50</v>
      </c>
      <c r="H40" t="s">
        <v>51</v>
      </c>
    </row>
    <row r="42" spans="2:10" ht="18.75" x14ac:dyDescent="0.3">
      <c r="D42" s="1" t="s">
        <v>42</v>
      </c>
      <c r="E42" s="21"/>
      <c r="F42" s="21"/>
      <c r="G42" s="21"/>
      <c r="H42" s="22"/>
    </row>
    <row r="43" spans="2:10" ht="15.75" x14ac:dyDescent="0.25">
      <c r="D43" s="29" t="s">
        <v>0</v>
      </c>
      <c r="E43" s="29"/>
      <c r="F43" s="29"/>
      <c r="G43" s="29"/>
      <c r="H43" s="22"/>
    </row>
    <row r="44" spans="2:10" ht="15.75" x14ac:dyDescent="0.25">
      <c r="D44" s="29" t="s">
        <v>186</v>
      </c>
      <c r="E44" s="29"/>
      <c r="F44" s="29"/>
      <c r="G44" s="29"/>
      <c r="H44" s="22"/>
    </row>
    <row r="45" spans="2:10" x14ac:dyDescent="0.25">
      <c r="C45" s="18"/>
      <c r="D45" s="48" t="s">
        <v>139</v>
      </c>
      <c r="E45" s="49"/>
      <c r="F45" s="30"/>
      <c r="G45" s="31"/>
      <c r="H45" s="3"/>
    </row>
    <row r="46" spans="2:10" x14ac:dyDescent="0.25">
      <c r="C46" s="2" t="s">
        <v>2</v>
      </c>
      <c r="D46" s="2" t="s">
        <v>4</v>
      </c>
      <c r="E46" s="2" t="s">
        <v>3</v>
      </c>
      <c r="F46" s="2" t="s">
        <v>5</v>
      </c>
      <c r="G46" s="2" t="s">
        <v>6</v>
      </c>
      <c r="H46" s="2" t="s">
        <v>25</v>
      </c>
    </row>
    <row r="47" spans="2:10" x14ac:dyDescent="0.25">
      <c r="B47">
        <v>1</v>
      </c>
      <c r="C47" s="18" t="s">
        <v>190</v>
      </c>
      <c r="D47" s="3">
        <f>'SEPTEMBER 19'!G47:G59</f>
        <v>0</v>
      </c>
      <c r="E47" s="3">
        <v>2000</v>
      </c>
      <c r="F47" s="16">
        <f>D47+E47</f>
        <v>2000</v>
      </c>
      <c r="G47" s="3">
        <v>2000</v>
      </c>
      <c r="H47" s="3">
        <f>F47-G47</f>
        <v>0</v>
      </c>
    </row>
    <row r="48" spans="2:10" x14ac:dyDescent="0.25">
      <c r="B48">
        <v>2</v>
      </c>
      <c r="C48" s="18"/>
      <c r="D48" s="3">
        <f>'SEPTEMBER 19'!G48:G60</f>
        <v>0</v>
      </c>
      <c r="E48" s="3"/>
      <c r="F48" s="16">
        <f>D48+E48</f>
        <v>0</v>
      </c>
      <c r="G48" s="3"/>
      <c r="H48" s="3">
        <f t="shared" ref="H48:H56" si="2">F48-G48</f>
        <v>0</v>
      </c>
    </row>
    <row r="49" spans="2:10" x14ac:dyDescent="0.25">
      <c r="B49">
        <v>3</v>
      </c>
      <c r="C49" s="18" t="s">
        <v>193</v>
      </c>
      <c r="D49" s="3"/>
      <c r="E49" s="3">
        <v>2000</v>
      </c>
      <c r="F49" s="16">
        <f t="shared" ref="F49:F56" si="3">D49+E49</f>
        <v>2000</v>
      </c>
      <c r="G49" s="3">
        <v>2000</v>
      </c>
      <c r="H49" s="3">
        <f t="shared" si="2"/>
        <v>0</v>
      </c>
    </row>
    <row r="50" spans="2:10" x14ac:dyDescent="0.25">
      <c r="B50">
        <v>4</v>
      </c>
      <c r="C50" s="18" t="s">
        <v>144</v>
      </c>
      <c r="D50" s="3">
        <f>'SEPTEMBER 19'!G50:G62</f>
        <v>0</v>
      </c>
      <c r="E50" s="3">
        <v>2000</v>
      </c>
      <c r="F50" s="16">
        <f t="shared" si="3"/>
        <v>2000</v>
      </c>
      <c r="G50" s="3">
        <v>2000</v>
      </c>
      <c r="H50" s="3">
        <f t="shared" si="2"/>
        <v>0</v>
      </c>
    </row>
    <row r="51" spans="2:10" x14ac:dyDescent="0.25">
      <c r="B51">
        <v>5</v>
      </c>
      <c r="C51" s="18" t="s">
        <v>155</v>
      </c>
      <c r="D51" s="3">
        <f>'SEPTEMBER 19'!G51:G63</f>
        <v>0</v>
      </c>
      <c r="E51" s="3">
        <v>2000</v>
      </c>
      <c r="F51" s="16">
        <f t="shared" si="3"/>
        <v>2000</v>
      </c>
      <c r="G51" s="3">
        <v>2000</v>
      </c>
      <c r="H51" s="3">
        <f t="shared" si="2"/>
        <v>0</v>
      </c>
    </row>
    <row r="52" spans="2:10" x14ac:dyDescent="0.25">
      <c r="B52">
        <v>6</v>
      </c>
      <c r="C52" s="18" t="s">
        <v>165</v>
      </c>
      <c r="D52" s="3">
        <f>'SEPTEMBER 19'!G52:G64</f>
        <v>0</v>
      </c>
      <c r="E52" s="3">
        <v>2000</v>
      </c>
      <c r="F52" s="16">
        <f t="shared" si="3"/>
        <v>2000</v>
      </c>
      <c r="G52" s="3">
        <v>2000</v>
      </c>
      <c r="H52" s="3">
        <f t="shared" si="2"/>
        <v>0</v>
      </c>
    </row>
    <row r="53" spans="2:10" x14ac:dyDescent="0.25">
      <c r="B53">
        <v>7</v>
      </c>
      <c r="C53" s="18" t="s">
        <v>166</v>
      </c>
      <c r="D53" s="3">
        <f>'SEPTEMBER 19'!G53:G65</f>
        <v>1300</v>
      </c>
      <c r="E53" s="3">
        <v>2000</v>
      </c>
      <c r="F53" s="16">
        <f t="shared" si="3"/>
        <v>3300</v>
      </c>
      <c r="G53" s="3">
        <v>2000</v>
      </c>
      <c r="H53" s="3">
        <f t="shared" si="2"/>
        <v>1300</v>
      </c>
    </row>
    <row r="54" spans="2:10" x14ac:dyDescent="0.25">
      <c r="B54">
        <v>8</v>
      </c>
      <c r="C54" s="18" t="s">
        <v>192</v>
      </c>
      <c r="D54" s="3">
        <f>'SEPTEMBER 19'!G54:G66</f>
        <v>0</v>
      </c>
      <c r="E54" s="3">
        <v>2000</v>
      </c>
      <c r="F54" s="16">
        <f t="shared" si="3"/>
        <v>2000</v>
      </c>
      <c r="G54" s="3">
        <v>1600</v>
      </c>
      <c r="H54" s="3">
        <f t="shared" si="2"/>
        <v>400</v>
      </c>
      <c r="I54">
        <v>757678677</v>
      </c>
    </row>
    <row r="55" spans="2:10" x14ac:dyDescent="0.25">
      <c r="C55" s="18"/>
      <c r="D55" s="3">
        <f>'SEPTEMBER 19'!G55:G67</f>
        <v>0</v>
      </c>
      <c r="E55" s="3"/>
      <c r="F55" s="16">
        <f t="shared" si="3"/>
        <v>0</v>
      </c>
      <c r="G55" s="3"/>
      <c r="H55" s="3">
        <f t="shared" si="2"/>
        <v>0</v>
      </c>
    </row>
    <row r="56" spans="2:10" x14ac:dyDescent="0.25">
      <c r="C56" s="18"/>
      <c r="D56" s="3">
        <f>'SEPTEMBER 19'!G56:G68</f>
        <v>0</v>
      </c>
      <c r="E56" s="3"/>
      <c r="F56" s="16">
        <f t="shared" si="3"/>
        <v>0</v>
      </c>
      <c r="G56" s="3"/>
      <c r="H56" s="3">
        <f t="shared" si="2"/>
        <v>0</v>
      </c>
    </row>
    <row r="57" spans="2:10" x14ac:dyDescent="0.25">
      <c r="C57" s="18"/>
      <c r="D57" s="3">
        <f>'SEPTEMBER 19'!G57:G69</f>
        <v>0</v>
      </c>
      <c r="E57" s="3"/>
      <c r="F57" s="16"/>
      <c r="G57" s="3"/>
      <c r="H57" s="3"/>
    </row>
    <row r="58" spans="2:10" x14ac:dyDescent="0.25">
      <c r="C58" s="18"/>
      <c r="D58" s="3">
        <f>'SEPTEMBER 19'!G58:G70</f>
        <v>0</v>
      </c>
      <c r="E58" s="3"/>
      <c r="F58" s="16"/>
      <c r="G58" s="3"/>
      <c r="H58" s="3"/>
    </row>
    <row r="59" spans="2:10" x14ac:dyDescent="0.25">
      <c r="C59" s="2" t="s">
        <v>26</v>
      </c>
      <c r="D59" s="3">
        <f>'SEPTEMBER 19'!G59:G71</f>
        <v>1300</v>
      </c>
      <c r="E59" s="2">
        <f>SUM(E47:E58)</f>
        <v>14000</v>
      </c>
      <c r="F59" s="2">
        <f>SUM(F47:F58)</f>
        <v>15300</v>
      </c>
      <c r="G59" s="2">
        <f>SUM(G47:G58)</f>
        <v>13600</v>
      </c>
      <c r="H59" s="2">
        <f>SUM(H47:H58)</f>
        <v>1700</v>
      </c>
    </row>
    <row r="61" spans="2:10" x14ac:dyDescent="0.25">
      <c r="C61" s="12" t="s">
        <v>44</v>
      </c>
      <c r="D61" s="12"/>
      <c r="E61" s="12"/>
      <c r="F61" s="12"/>
      <c r="G61" s="34" t="s">
        <v>43</v>
      </c>
      <c r="H61" s="12"/>
    </row>
    <row r="62" spans="2:10" ht="15.75" x14ac:dyDescent="0.25">
      <c r="C62" s="11" t="s">
        <v>22</v>
      </c>
      <c r="D62" s="11" t="s">
        <v>23</v>
      </c>
      <c r="E62" s="11" t="s">
        <v>24</v>
      </c>
      <c r="F62" s="11" t="s">
        <v>25</v>
      </c>
      <c r="G62" s="13" t="s">
        <v>22</v>
      </c>
      <c r="H62" s="11" t="s">
        <v>23</v>
      </c>
      <c r="I62" s="11" t="s">
        <v>24</v>
      </c>
      <c r="J62" s="11" t="s">
        <v>25</v>
      </c>
    </row>
    <row r="63" spans="2:10" x14ac:dyDescent="0.25">
      <c r="C63" s="3" t="s">
        <v>185</v>
      </c>
      <c r="D63" s="3">
        <f>E59</f>
        <v>14000</v>
      </c>
      <c r="E63" s="3"/>
      <c r="F63" s="3"/>
      <c r="G63" s="3" t="s">
        <v>185</v>
      </c>
      <c r="H63" s="3">
        <f>G59</f>
        <v>13600</v>
      </c>
      <c r="I63" s="3"/>
      <c r="J63" s="3"/>
    </row>
    <row r="64" spans="2:10" x14ac:dyDescent="0.25">
      <c r="C64" s="3" t="s">
        <v>62</v>
      </c>
      <c r="D64" s="3">
        <f>'SEPTEMBER 19'!E69</f>
        <v>-6000</v>
      </c>
      <c r="E64" s="3"/>
      <c r="F64" s="3"/>
      <c r="G64" s="3" t="s">
        <v>62</v>
      </c>
      <c r="H64">
        <f>'SEPTEMBER 19'!I69</f>
        <v>-7300</v>
      </c>
      <c r="I64" s="3"/>
      <c r="J64" s="3"/>
    </row>
    <row r="65" spans="3:10" x14ac:dyDescent="0.25">
      <c r="C65" s="3" t="s">
        <v>41</v>
      </c>
      <c r="D65" s="5">
        <v>0.1</v>
      </c>
      <c r="E65" s="3">
        <f>D65*D63</f>
        <v>1400</v>
      </c>
      <c r="F65" s="3"/>
      <c r="G65" s="3" t="s">
        <v>41</v>
      </c>
      <c r="H65" s="5">
        <v>0.1</v>
      </c>
      <c r="I65" s="3">
        <f>E65</f>
        <v>1400</v>
      </c>
      <c r="J65" s="3"/>
    </row>
    <row r="66" spans="3:10" x14ac:dyDescent="0.25">
      <c r="C66" s="2" t="s">
        <v>115</v>
      </c>
      <c r="D66" s="3"/>
      <c r="E66" s="3"/>
      <c r="F66" s="3"/>
      <c r="G66" s="2" t="s">
        <v>115</v>
      </c>
      <c r="H66" s="3"/>
      <c r="I66" s="3"/>
      <c r="J66" s="3"/>
    </row>
    <row r="67" spans="3:10" x14ac:dyDescent="0.25">
      <c r="C67" s="35" t="s">
        <v>191</v>
      </c>
      <c r="D67" s="19"/>
      <c r="E67" s="3">
        <v>6600</v>
      </c>
      <c r="F67" s="3"/>
      <c r="G67" s="35" t="s">
        <v>191</v>
      </c>
      <c r="H67" s="19"/>
      <c r="I67" s="3">
        <v>6600</v>
      </c>
      <c r="J67" s="3"/>
    </row>
    <row r="68" spans="3:10" x14ac:dyDescent="0.25">
      <c r="C68" s="10"/>
      <c r="D68" s="3"/>
      <c r="E68" s="3"/>
      <c r="F68" s="3"/>
      <c r="G68" s="10"/>
      <c r="H68" s="3"/>
      <c r="I68" s="3"/>
      <c r="J68" s="3"/>
    </row>
    <row r="69" spans="3:10" x14ac:dyDescent="0.25">
      <c r="C69" s="2" t="s">
        <v>26</v>
      </c>
      <c r="D69" s="2">
        <f>D63+D64-E65</f>
        <v>6600</v>
      </c>
      <c r="E69" s="2">
        <f>SUM(E67:E68)</f>
        <v>6600</v>
      </c>
      <c r="F69" s="2">
        <f>D69-E69</f>
        <v>0</v>
      </c>
      <c r="G69" s="2" t="s">
        <v>26</v>
      </c>
      <c r="H69" s="2">
        <f>H63+H64-I65</f>
        <v>4900</v>
      </c>
      <c r="I69" s="2">
        <f>SUM(I67:I68)</f>
        <v>6600</v>
      </c>
      <c r="J69" s="2">
        <f>H69-I69</f>
        <v>-1700</v>
      </c>
    </row>
    <row r="71" spans="3:10" x14ac:dyDescent="0.25">
      <c r="C71" t="s">
        <v>33</v>
      </c>
      <c r="E71" t="s">
        <v>49</v>
      </c>
      <c r="H71" t="s">
        <v>34</v>
      </c>
    </row>
    <row r="73" spans="3:10" x14ac:dyDescent="0.25">
      <c r="C73" t="s">
        <v>179</v>
      </c>
      <c r="E73" t="s">
        <v>50</v>
      </c>
      <c r="H73" t="s">
        <v>51</v>
      </c>
    </row>
  </sheetData>
  <mergeCells count="1">
    <mergeCell ref="D45:E45"/>
  </mergeCells>
  <pageMargins left="0.7" right="0.7" top="0.75" bottom="0.75" header="0.3" footer="0.3"/>
  <pageSetup paperSize="262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1" workbookViewId="0">
      <selection activeCell="F25" sqref="F25"/>
    </sheetView>
  </sheetViews>
  <sheetFormatPr defaultRowHeight="15" x14ac:dyDescent="0.25"/>
  <cols>
    <col min="2" max="2" width="17.85546875" customWidth="1"/>
  </cols>
  <sheetData>
    <row r="1" spans="1:8" ht="18.75" x14ac:dyDescent="0.3">
      <c r="C1" s="1" t="s">
        <v>42</v>
      </c>
      <c r="D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199</v>
      </c>
      <c r="D3" s="28"/>
      <c r="E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'OCTOBER 19'!H6:H26</f>
        <v>0</v>
      </c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>
        <f>'OCTOBER 19'!H7:H27</f>
        <v>0</v>
      </c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8" x14ac:dyDescent="0.25">
      <c r="A8" s="16">
        <v>3</v>
      </c>
      <c r="B8" s="18" t="s">
        <v>137</v>
      </c>
      <c r="C8" s="3">
        <f>'OCTOBER 19'!H8:H28</f>
        <v>1000</v>
      </c>
      <c r="D8" s="18">
        <v>1000</v>
      </c>
      <c r="E8" s="16">
        <f>D8+C8</f>
        <v>2000</v>
      </c>
      <c r="F8" s="16">
        <v>2000</v>
      </c>
      <c r="G8" s="3">
        <f>E8-F8</f>
        <v>0</v>
      </c>
    </row>
    <row r="9" spans="1:8" x14ac:dyDescent="0.25">
      <c r="A9" s="16">
        <v>4</v>
      </c>
      <c r="B9" s="16"/>
      <c r="C9" s="3">
        <f>'OCTOBER 19'!H9:H29</f>
        <v>0</v>
      </c>
      <c r="D9" s="16"/>
      <c r="E9" s="16"/>
      <c r="F9" s="16"/>
      <c r="G9" s="3">
        <f t="shared" si="1"/>
        <v>0</v>
      </c>
    </row>
    <row r="10" spans="1:8" x14ac:dyDescent="0.25">
      <c r="A10" s="16">
        <v>5</v>
      </c>
      <c r="B10" s="16" t="s">
        <v>10</v>
      </c>
      <c r="C10" s="3">
        <f>'OCTOBER 19'!H10:H30</f>
        <v>0</v>
      </c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3">
        <f>'OCTOBER 19'!H11:H31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'OCTOBER 19'!H12:H32</f>
        <v>1000</v>
      </c>
      <c r="D12" s="16">
        <v>1000</v>
      </c>
      <c r="E12" s="16">
        <f t="shared" si="0"/>
        <v>2000</v>
      </c>
      <c r="F12" s="16">
        <v>1000</v>
      </c>
      <c r="G12" s="3">
        <f t="shared" si="1"/>
        <v>1000</v>
      </c>
    </row>
    <row r="13" spans="1:8" x14ac:dyDescent="0.25">
      <c r="A13" s="16">
        <v>8</v>
      </c>
      <c r="B13" s="16"/>
      <c r="C13" s="3">
        <f>'OCTOBER 19'!H13:H33</f>
        <v>0</v>
      </c>
      <c r="D13" s="16"/>
      <c r="E13" s="16">
        <f t="shared" si="0"/>
        <v>0</v>
      </c>
      <c r="F13" s="16"/>
      <c r="G13" s="3">
        <f t="shared" si="1"/>
        <v>0</v>
      </c>
    </row>
    <row r="14" spans="1:8" x14ac:dyDescent="0.25">
      <c r="A14" s="16">
        <v>9</v>
      </c>
      <c r="B14" s="3" t="s">
        <v>194</v>
      </c>
      <c r="C14" s="3">
        <f>'OCTOBER 19'!H14:H34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  <c r="H14" t="s">
        <v>208</v>
      </c>
    </row>
    <row r="15" spans="1:8" x14ac:dyDescent="0.25">
      <c r="A15" s="16">
        <v>10</v>
      </c>
      <c r="B15" s="16" t="s">
        <v>164</v>
      </c>
      <c r="C15" s="3">
        <f>'OCTOBER 19'!H15:H35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18" t="s">
        <v>196</v>
      </c>
      <c r="C16" s="3">
        <f>'OCTOBER 19'!H16:H36</f>
        <v>0</v>
      </c>
      <c r="D16" s="18">
        <v>1000</v>
      </c>
      <c r="E16" s="16">
        <f>D16+C16</f>
        <v>1000</v>
      </c>
      <c r="F16" s="18">
        <v>1000</v>
      </c>
      <c r="G16" s="14">
        <f t="shared" si="1"/>
        <v>0</v>
      </c>
      <c r="H16" t="s">
        <v>159</v>
      </c>
    </row>
    <row r="17" spans="1:9" x14ac:dyDescent="0.25">
      <c r="A17" s="16">
        <v>12</v>
      </c>
      <c r="B17" s="3"/>
      <c r="C17" s="3">
        <f>'OCTOBER 19'!H17:H37</f>
        <v>0</v>
      </c>
      <c r="D17" s="3"/>
      <c r="E17" s="16">
        <f>D17+C17</f>
        <v>0</v>
      </c>
      <c r="F17" s="3"/>
      <c r="G17" s="3"/>
    </row>
    <row r="18" spans="1:9" x14ac:dyDescent="0.25">
      <c r="A18" s="16">
        <v>13</v>
      </c>
      <c r="B18" s="16" t="s">
        <v>204</v>
      </c>
      <c r="C18" s="3">
        <f>'OCTOBER 19'!H18:H38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209</v>
      </c>
      <c r="C19" s="3">
        <f>'OCTOBER 19'!H19:H39</f>
        <v>0</v>
      </c>
      <c r="D19" s="16">
        <v>1000</v>
      </c>
      <c r="E19" s="16">
        <f>D19+C19</f>
        <v>1000</v>
      </c>
      <c r="F19" s="16">
        <v>1000</v>
      </c>
      <c r="G19" s="3">
        <f t="shared" si="1"/>
        <v>0</v>
      </c>
    </row>
    <row r="20" spans="1:9" x14ac:dyDescent="0.25">
      <c r="A20" s="16">
        <v>15</v>
      </c>
      <c r="B20" s="16" t="s">
        <v>137</v>
      </c>
      <c r="C20" s="3">
        <f>'OCTOBER 19'!H20:H40</f>
        <v>0</v>
      </c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3" t="s">
        <v>30</v>
      </c>
      <c r="C21" s="3">
        <f>'OCTOBER 19'!H21:H41</f>
        <v>0</v>
      </c>
      <c r="D21" s="3">
        <v>1000</v>
      </c>
      <c r="E21" s="3">
        <f>D21+C21</f>
        <v>1000</v>
      </c>
      <c r="F21" s="3">
        <v>1000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'OCTOBER 19'!H22:H42</f>
        <v>500</v>
      </c>
      <c r="D22" s="16">
        <v>1500</v>
      </c>
      <c r="E22" s="16">
        <f t="shared" si="0"/>
        <v>2000</v>
      </c>
      <c r="F22" s="16">
        <v>2000</v>
      </c>
      <c r="G22" s="3">
        <f t="shared" si="1"/>
        <v>0</v>
      </c>
    </row>
    <row r="23" spans="1:9" x14ac:dyDescent="0.25">
      <c r="A23" s="3">
        <v>18</v>
      </c>
      <c r="B23" s="36" t="s">
        <v>203</v>
      </c>
      <c r="C23" s="3">
        <f>'OCTOBER 19'!H23:H43</f>
        <v>0</v>
      </c>
      <c r="D23" s="3"/>
      <c r="E23" s="16">
        <f t="shared" si="0"/>
        <v>0</v>
      </c>
      <c r="F23" s="3"/>
      <c r="G23" s="3">
        <f t="shared" si="1"/>
        <v>0</v>
      </c>
    </row>
    <row r="24" spans="1:9" x14ac:dyDescent="0.25">
      <c r="A24" s="3">
        <v>19</v>
      </c>
      <c r="B24" s="18" t="s">
        <v>135</v>
      </c>
      <c r="C24" s="3">
        <f>'OCTOBER 19'!H24:H44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'OCTOBER 19'!H25:H45</f>
        <v>1320</v>
      </c>
      <c r="D25" s="3">
        <v>1500</v>
      </c>
      <c r="E25" s="16">
        <f>D25+C25</f>
        <v>2820</v>
      </c>
      <c r="F25" s="3"/>
      <c r="G25" s="3">
        <f t="shared" si="1"/>
        <v>2820</v>
      </c>
    </row>
    <row r="26" spans="1:9" x14ac:dyDescent="0.25">
      <c r="B26" s="2" t="s">
        <v>26</v>
      </c>
      <c r="C26" s="3">
        <f>SUM(C6:C25)</f>
        <v>4320</v>
      </c>
      <c r="D26" s="2">
        <f>SUM(D6:D25)</f>
        <v>17500</v>
      </c>
      <c r="E26" s="2">
        <f>SUM(E6:E25)</f>
        <v>21820</v>
      </c>
      <c r="F26" s="2">
        <f>SUM(F6:F25)</f>
        <v>17500</v>
      </c>
      <c r="G26" s="2">
        <f>SUM(G6:G25)</f>
        <v>4320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198</v>
      </c>
      <c r="C30" s="3">
        <f>D26</f>
        <v>17500</v>
      </c>
      <c r="D30" s="3"/>
      <c r="E30" s="3"/>
      <c r="F30" s="3" t="s">
        <v>198</v>
      </c>
      <c r="G30" s="3">
        <f>F26</f>
        <v>17500</v>
      </c>
      <c r="H30" s="3"/>
      <c r="I30" s="3"/>
    </row>
    <row r="31" spans="1:9" x14ac:dyDescent="0.25">
      <c r="B31" s="3" t="s">
        <v>62</v>
      </c>
      <c r="C31" s="3">
        <f>'OCTOBER 19'!F37</f>
        <v>900</v>
      </c>
      <c r="D31" s="3"/>
      <c r="E31" s="3"/>
      <c r="F31" s="3" t="s">
        <v>62</v>
      </c>
      <c r="G31">
        <f>'OCTOBER 19'!J37</f>
        <v>-5420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1750</v>
      </c>
      <c r="E32" s="3"/>
      <c r="F32" s="3" t="s">
        <v>41</v>
      </c>
      <c r="G32" s="5">
        <v>0.1</v>
      </c>
      <c r="H32" s="3">
        <f>D32</f>
        <v>1750</v>
      </c>
      <c r="I32" s="3"/>
    </row>
    <row r="33" spans="1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1:9" x14ac:dyDescent="0.25">
      <c r="B34" s="19" t="s">
        <v>206</v>
      </c>
      <c r="C34" s="3"/>
      <c r="D34" s="3">
        <v>16650</v>
      </c>
      <c r="E34" s="3"/>
      <c r="F34" s="19" t="s">
        <v>206</v>
      </c>
      <c r="G34" s="3"/>
      <c r="H34" s="3">
        <v>16650</v>
      </c>
      <c r="I34" s="3"/>
    </row>
    <row r="35" spans="1:9" x14ac:dyDescent="0.25">
      <c r="B35" s="19" t="s">
        <v>210</v>
      </c>
      <c r="C35" s="3"/>
      <c r="D35" s="3">
        <f>D16</f>
        <v>1000</v>
      </c>
      <c r="E35" s="3"/>
      <c r="F35" s="19" t="s">
        <v>210</v>
      </c>
      <c r="G35" s="3"/>
      <c r="H35" s="3">
        <f>D35</f>
        <v>1000</v>
      </c>
      <c r="I35" s="3"/>
    </row>
    <row r="36" spans="1:9" x14ac:dyDescent="0.25">
      <c r="B36" s="19"/>
      <c r="C36" s="3"/>
      <c r="D36" s="3"/>
      <c r="E36" s="3"/>
      <c r="F36" s="19"/>
      <c r="G36" s="3"/>
      <c r="H36" s="3"/>
      <c r="I36" s="3"/>
    </row>
    <row r="37" spans="1:9" x14ac:dyDescent="0.25">
      <c r="B37" s="2" t="s">
        <v>26</v>
      </c>
      <c r="C37" s="2">
        <f>C30+C31-D32</f>
        <v>16650</v>
      </c>
      <c r="D37" s="2">
        <f>SUM(D34:D36)</f>
        <v>17650</v>
      </c>
      <c r="E37" s="2">
        <f>C37-D37</f>
        <v>-1000</v>
      </c>
      <c r="F37" s="2" t="s">
        <v>26</v>
      </c>
      <c r="G37" s="2">
        <f>G30+G31-H32</f>
        <v>10330</v>
      </c>
      <c r="H37" s="2">
        <f>SUM(H34:H36)</f>
        <v>17650</v>
      </c>
      <c r="I37" s="2">
        <f>G37-H37</f>
        <v>-7320</v>
      </c>
    </row>
    <row r="38" spans="1:9" x14ac:dyDescent="0.25">
      <c r="B38" t="s">
        <v>33</v>
      </c>
      <c r="D38" t="s">
        <v>49</v>
      </c>
      <c r="G38" t="s">
        <v>34</v>
      </c>
    </row>
    <row r="40" spans="1:9" x14ac:dyDescent="0.25">
      <c r="B40" t="s">
        <v>179</v>
      </c>
      <c r="D40" t="s">
        <v>50</v>
      </c>
      <c r="G40" t="s">
        <v>51</v>
      </c>
    </row>
    <row r="42" spans="1:9" ht="18.75" x14ac:dyDescent="0.3">
      <c r="C42" s="1" t="s">
        <v>42</v>
      </c>
      <c r="D42" s="21"/>
      <c r="E42" s="21"/>
      <c r="F42" s="21"/>
      <c r="G42" s="22"/>
    </row>
    <row r="43" spans="1:9" ht="15.75" x14ac:dyDescent="0.25">
      <c r="C43" s="29" t="s">
        <v>0</v>
      </c>
      <c r="D43" s="29"/>
      <c r="E43" s="29"/>
      <c r="F43" s="29"/>
      <c r="G43" s="22"/>
    </row>
    <row r="44" spans="1:9" ht="15.75" x14ac:dyDescent="0.25">
      <c r="C44" s="29" t="s">
        <v>199</v>
      </c>
      <c r="D44" s="29"/>
      <c r="E44" s="29"/>
      <c r="F44" s="29"/>
      <c r="G44" s="22"/>
    </row>
    <row r="45" spans="1:9" x14ac:dyDescent="0.25">
      <c r="B45" s="18"/>
      <c r="C45" s="48" t="s">
        <v>139</v>
      </c>
      <c r="D45" s="49"/>
      <c r="E45" s="30"/>
      <c r="F45" s="31"/>
      <c r="G45" s="3"/>
    </row>
    <row r="46" spans="1:9" x14ac:dyDescent="0.25"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1:9" x14ac:dyDescent="0.25">
      <c r="A47">
        <v>1</v>
      </c>
      <c r="B47" s="18" t="s">
        <v>190</v>
      </c>
      <c r="C47" s="3">
        <f>'OCTOBER 19'!H47:H59</f>
        <v>0</v>
      </c>
      <c r="D47" s="3">
        <v>2000</v>
      </c>
      <c r="E47" s="16">
        <f>C47+D47</f>
        <v>2000</v>
      </c>
      <c r="F47" s="3">
        <v>2000</v>
      </c>
      <c r="G47" s="3">
        <f>E47-F47</f>
        <v>0</v>
      </c>
    </row>
    <row r="48" spans="1:9" x14ac:dyDescent="0.25">
      <c r="A48">
        <v>2</v>
      </c>
      <c r="B48" s="18"/>
      <c r="C48" s="3">
        <f>'OCTOBER 19'!H48:H60</f>
        <v>0</v>
      </c>
      <c r="D48" s="3"/>
      <c r="E48" s="16">
        <f t="shared" ref="E48:E56" si="2">C48+D48</f>
        <v>0</v>
      </c>
      <c r="F48" s="3"/>
      <c r="G48" s="3">
        <f t="shared" ref="G48:G56" si="3">E48-F48</f>
        <v>0</v>
      </c>
    </row>
    <row r="49" spans="1:9" x14ac:dyDescent="0.25">
      <c r="A49">
        <v>3</v>
      </c>
      <c r="B49" s="18" t="s">
        <v>193</v>
      </c>
      <c r="C49" s="3">
        <f>'OCTOBER 19'!H49:H61</f>
        <v>0</v>
      </c>
      <c r="D49" s="3">
        <v>2000</v>
      </c>
      <c r="E49" s="16">
        <f t="shared" si="2"/>
        <v>2000</v>
      </c>
      <c r="F49" s="3">
        <v>2000</v>
      </c>
      <c r="G49" s="3">
        <f t="shared" si="3"/>
        <v>0</v>
      </c>
    </row>
    <row r="50" spans="1:9" x14ac:dyDescent="0.25">
      <c r="A50">
        <v>4</v>
      </c>
      <c r="B50" s="18" t="s">
        <v>144</v>
      </c>
      <c r="C50" s="3">
        <f>'OCTOBER 19'!H50:H62</f>
        <v>0</v>
      </c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1:9" x14ac:dyDescent="0.25">
      <c r="A51">
        <v>5</v>
      </c>
      <c r="B51" s="18" t="s">
        <v>155</v>
      </c>
      <c r="C51" s="3">
        <f>'OCTOBER 19'!H51:H63</f>
        <v>0</v>
      </c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>
        <v>6</v>
      </c>
      <c r="B52" s="18" t="s">
        <v>165</v>
      </c>
      <c r="C52" s="3">
        <f>'OCTOBER 19'!H52:H64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7</v>
      </c>
      <c r="B53" s="18" t="s">
        <v>166</v>
      </c>
      <c r="C53" s="3">
        <f>'OCTOBER 19'!H53:H65</f>
        <v>1300</v>
      </c>
      <c r="D53" s="3">
        <v>2000</v>
      </c>
      <c r="E53" s="16">
        <f t="shared" si="2"/>
        <v>3300</v>
      </c>
      <c r="F53" s="3">
        <v>1000</v>
      </c>
      <c r="G53" s="3">
        <f t="shared" si="3"/>
        <v>2300</v>
      </c>
    </row>
    <row r="54" spans="1:9" x14ac:dyDescent="0.25">
      <c r="A54">
        <v>8</v>
      </c>
      <c r="B54" s="18" t="s">
        <v>192</v>
      </c>
      <c r="C54" s="3">
        <f>'OCTOBER 19'!H54:H66</f>
        <v>400</v>
      </c>
      <c r="D54" s="3">
        <v>2000</v>
      </c>
      <c r="E54" s="16">
        <f t="shared" si="2"/>
        <v>2400</v>
      </c>
      <c r="F54" s="3">
        <v>1500</v>
      </c>
      <c r="G54" s="3">
        <f t="shared" si="3"/>
        <v>900</v>
      </c>
      <c r="H54">
        <v>757678677</v>
      </c>
    </row>
    <row r="55" spans="1:9" x14ac:dyDescent="0.25">
      <c r="A55">
        <v>9</v>
      </c>
      <c r="B55" s="18"/>
      <c r="C55" s="3">
        <f>'OCTOBER 19'!H55:H67</f>
        <v>0</v>
      </c>
      <c r="D55" s="3"/>
      <c r="E55" s="16">
        <f t="shared" si="2"/>
        <v>0</v>
      </c>
      <c r="F55" s="3"/>
      <c r="G55" s="3">
        <f t="shared" si="3"/>
        <v>0</v>
      </c>
    </row>
    <row r="56" spans="1:9" x14ac:dyDescent="0.25">
      <c r="A56">
        <v>10</v>
      </c>
      <c r="B56" s="18" t="s">
        <v>205</v>
      </c>
      <c r="C56" s="3">
        <f>'OCTOBER 19'!H56:H68</f>
        <v>0</v>
      </c>
      <c r="D56" s="3">
        <v>2000</v>
      </c>
      <c r="E56" s="16">
        <f t="shared" si="2"/>
        <v>2000</v>
      </c>
      <c r="F56" s="3">
        <v>2000</v>
      </c>
      <c r="G56" s="3">
        <f t="shared" si="3"/>
        <v>0</v>
      </c>
    </row>
    <row r="57" spans="1:9" x14ac:dyDescent="0.25">
      <c r="A57">
        <v>11</v>
      </c>
      <c r="B57" s="18"/>
      <c r="C57" s="3">
        <f>'OCTOBER 19'!H57:H69</f>
        <v>0</v>
      </c>
      <c r="D57" s="3"/>
      <c r="E57" s="16"/>
      <c r="F57" s="3"/>
      <c r="G57" s="3"/>
    </row>
    <row r="58" spans="1:9" x14ac:dyDescent="0.25">
      <c r="A58">
        <v>12</v>
      </c>
      <c r="B58" s="18"/>
      <c r="C58" s="3">
        <f>'OCTOBER 19'!H58:H70</f>
        <v>0</v>
      </c>
      <c r="D58" s="3"/>
      <c r="E58" s="16"/>
      <c r="F58" s="3"/>
      <c r="G58" s="3"/>
    </row>
    <row r="59" spans="1:9" x14ac:dyDescent="0.25">
      <c r="B59" s="2" t="s">
        <v>26</v>
      </c>
      <c r="C59" s="3">
        <f>'OCTOBER 19'!H59:H71</f>
        <v>1700</v>
      </c>
      <c r="D59" s="2">
        <f>SUM(D47:D58)</f>
        <v>16000</v>
      </c>
      <c r="E59" s="2">
        <f>SUM(E47:E58)</f>
        <v>17700</v>
      </c>
      <c r="F59" s="2">
        <f>SUM(F47:F58)</f>
        <v>14500</v>
      </c>
      <c r="G59" s="2">
        <f>SUM(G47:G58)</f>
        <v>3200</v>
      </c>
    </row>
    <row r="61" spans="1:9" x14ac:dyDescent="0.25">
      <c r="B61" s="12" t="s">
        <v>44</v>
      </c>
      <c r="C61" s="12"/>
      <c r="D61" s="12"/>
      <c r="E61" s="12"/>
      <c r="F61" s="34" t="s">
        <v>43</v>
      </c>
      <c r="G61" s="12"/>
    </row>
    <row r="62" spans="1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1:9" x14ac:dyDescent="0.25">
      <c r="B63" s="3" t="s">
        <v>198</v>
      </c>
      <c r="C63" s="3">
        <f>D59</f>
        <v>16000</v>
      </c>
      <c r="D63" s="3"/>
      <c r="E63" s="3"/>
      <c r="F63" s="3" t="s">
        <v>198</v>
      </c>
      <c r="G63" s="3">
        <f>F59</f>
        <v>14500</v>
      </c>
      <c r="H63" s="3"/>
      <c r="I63" s="3"/>
    </row>
    <row r="64" spans="1:9" x14ac:dyDescent="0.25">
      <c r="B64" s="3" t="s">
        <v>62</v>
      </c>
      <c r="C64" s="3">
        <f>'OCTOBER 19'!F69</f>
        <v>0</v>
      </c>
      <c r="D64" s="3"/>
      <c r="E64" s="3"/>
      <c r="F64" s="3" t="s">
        <v>62</v>
      </c>
      <c r="G64">
        <f>'OCTOBER 19'!J69</f>
        <v>-1700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1600</v>
      </c>
      <c r="E65" s="3"/>
      <c r="F65" s="3" t="s">
        <v>41</v>
      </c>
      <c r="G65" s="5">
        <v>0.1</v>
      </c>
      <c r="H65" s="3">
        <f>D65</f>
        <v>1600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H66" s="3"/>
      <c r="I66" s="3"/>
    </row>
    <row r="67" spans="2:9" x14ac:dyDescent="0.25">
      <c r="B67" s="35" t="s">
        <v>206</v>
      </c>
      <c r="C67" s="19"/>
      <c r="D67" s="3">
        <v>14400</v>
      </c>
      <c r="E67" s="3"/>
      <c r="F67" s="35" t="s">
        <v>206</v>
      </c>
      <c r="G67" s="19"/>
      <c r="H67" s="3">
        <v>14400</v>
      </c>
      <c r="I67" s="3"/>
    </row>
    <row r="68" spans="2:9" x14ac:dyDescent="0.25">
      <c r="B68" s="10" t="s">
        <v>201</v>
      </c>
      <c r="C68" s="3"/>
      <c r="D68" s="3">
        <v>900</v>
      </c>
      <c r="E68" s="3"/>
      <c r="F68" s="10"/>
      <c r="G68" s="3"/>
      <c r="H68" s="3"/>
      <c r="I68" s="3"/>
    </row>
    <row r="69" spans="2:9" x14ac:dyDescent="0.25">
      <c r="B69" s="2" t="s">
        <v>26</v>
      </c>
      <c r="C69" s="2">
        <f>C63+C64-D65</f>
        <v>14400</v>
      </c>
      <c r="D69" s="2">
        <f>SUM(D67:D68)</f>
        <v>15300</v>
      </c>
      <c r="E69" s="2">
        <f>C69-D69</f>
        <v>-900</v>
      </c>
      <c r="F69" s="2" t="s">
        <v>26</v>
      </c>
      <c r="G69" s="2">
        <f>G63+G64-H65</f>
        <v>11200</v>
      </c>
      <c r="H69" s="2">
        <f>SUM(H67:H68)</f>
        <v>14400</v>
      </c>
      <c r="I69" s="2">
        <f>G69-H69</f>
        <v>-3200</v>
      </c>
    </row>
    <row r="71" spans="2:9" x14ac:dyDescent="0.25">
      <c r="B71" t="s">
        <v>33</v>
      </c>
      <c r="D71" t="s">
        <v>49</v>
      </c>
      <c r="G71" t="s">
        <v>34</v>
      </c>
    </row>
    <row r="73" spans="2:9" x14ac:dyDescent="0.25">
      <c r="B73" t="s">
        <v>179</v>
      </c>
      <c r="D73" t="s">
        <v>50</v>
      </c>
      <c r="G73" t="s">
        <v>51</v>
      </c>
    </row>
  </sheetData>
  <mergeCells count="1">
    <mergeCell ref="C45:D4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0" workbookViewId="0">
      <selection activeCell="K43" sqref="K43"/>
    </sheetView>
  </sheetViews>
  <sheetFormatPr defaultRowHeight="15" x14ac:dyDescent="0.25"/>
  <cols>
    <col min="2" max="2" width="20" bestFit="1" customWidth="1"/>
    <col min="8" max="8" width="10" bestFit="1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212</v>
      </c>
      <c r="D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'NOVEMBER 19'!G6:G25</f>
        <v>0</v>
      </c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>
        <f>'NOVEMBER 19'!G7:G26</f>
        <v>0</v>
      </c>
      <c r="D7" s="3">
        <v>1000</v>
      </c>
      <c r="E7" s="3">
        <f t="shared" ref="E7:E24" si="0">D7+C7</f>
        <v>1000</v>
      </c>
      <c r="F7" s="3">
        <v>900</v>
      </c>
      <c r="G7" s="3">
        <f t="shared" ref="G7:G25" si="1">E7-F7</f>
        <v>100</v>
      </c>
    </row>
    <row r="8" spans="1:8" x14ac:dyDescent="0.25">
      <c r="A8" s="16">
        <v>3</v>
      </c>
      <c r="B8" s="18" t="s">
        <v>137</v>
      </c>
      <c r="C8" s="3">
        <f>'NOVEMBER 19'!G8:G27</f>
        <v>0</v>
      </c>
      <c r="D8" s="18">
        <v>1000</v>
      </c>
      <c r="E8" s="16">
        <f>D8+C8</f>
        <v>1000</v>
      </c>
      <c r="F8" s="16"/>
      <c r="G8" s="3">
        <f>E8-F8</f>
        <v>1000</v>
      </c>
    </row>
    <row r="9" spans="1:8" x14ac:dyDescent="0.25">
      <c r="A9" s="16">
        <v>4</v>
      </c>
      <c r="B9" s="16" t="s">
        <v>213</v>
      </c>
      <c r="C9" s="3">
        <f>'NOVEMBER 19'!G9:G28</f>
        <v>0</v>
      </c>
      <c r="D9" s="16">
        <v>1000</v>
      </c>
      <c r="E9" s="16">
        <f>D9+C9</f>
        <v>1000</v>
      </c>
      <c r="F9" s="16"/>
      <c r="G9" s="3">
        <f t="shared" si="1"/>
        <v>1000</v>
      </c>
    </row>
    <row r="10" spans="1:8" x14ac:dyDescent="0.25">
      <c r="A10" s="16">
        <v>5</v>
      </c>
      <c r="B10" s="16" t="s">
        <v>10</v>
      </c>
      <c r="C10" s="3">
        <f>'NOVEMBER 19'!G10:G29</f>
        <v>0</v>
      </c>
      <c r="D10" s="16">
        <v>1000</v>
      </c>
      <c r="E10" s="16">
        <f>D10+C10</f>
        <v>1000</v>
      </c>
      <c r="F10" s="16">
        <v>500</v>
      </c>
      <c r="G10" s="3">
        <f t="shared" si="1"/>
        <v>500</v>
      </c>
    </row>
    <row r="11" spans="1:8" x14ac:dyDescent="0.25">
      <c r="A11" s="16">
        <v>6</v>
      </c>
      <c r="B11" s="16" t="s">
        <v>69</v>
      </c>
      <c r="C11" s="3">
        <f>'NOVEMBER 19'!G11:G30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'NOVEMBER 19'!G12:G31</f>
        <v>1000</v>
      </c>
      <c r="D12" s="16">
        <v>1000</v>
      </c>
      <c r="E12" s="16">
        <f t="shared" si="0"/>
        <v>2000</v>
      </c>
      <c r="F12" s="16">
        <v>1000</v>
      </c>
      <c r="G12" s="3">
        <f t="shared" si="1"/>
        <v>1000</v>
      </c>
      <c r="H12" t="s">
        <v>46</v>
      </c>
    </row>
    <row r="13" spans="1:8" x14ac:dyDescent="0.25">
      <c r="A13" s="16">
        <v>8</v>
      </c>
      <c r="B13" s="16"/>
      <c r="C13" s="3">
        <f>'NOVEMBER 19'!G13:G32</f>
        <v>0</v>
      </c>
      <c r="D13" s="16"/>
      <c r="E13" s="16">
        <f t="shared" si="0"/>
        <v>0</v>
      </c>
      <c r="F13" s="16"/>
      <c r="G13" s="3">
        <f t="shared" si="1"/>
        <v>0</v>
      </c>
    </row>
    <row r="14" spans="1:8" x14ac:dyDescent="0.25">
      <c r="A14" s="16">
        <v>9</v>
      </c>
      <c r="B14" s="3" t="s">
        <v>194</v>
      </c>
      <c r="C14" s="3">
        <f>'NOVEMBER 19'!G14:G33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16">
        <v>10</v>
      </c>
      <c r="B15" s="16" t="s">
        <v>164</v>
      </c>
      <c r="C15" s="3">
        <f>'NOVEMBER 19'!G15:G34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36" t="s">
        <v>15</v>
      </c>
      <c r="C16" s="3"/>
      <c r="D16" s="18"/>
      <c r="E16" s="16"/>
      <c r="F16" s="18"/>
      <c r="G16" s="14">
        <f t="shared" si="1"/>
        <v>0</v>
      </c>
    </row>
    <row r="17" spans="1:9" x14ac:dyDescent="0.25">
      <c r="A17" s="16">
        <v>12</v>
      </c>
      <c r="B17" s="3"/>
      <c r="C17" s="3">
        <f>'NOVEMBER 19'!G17:G36</f>
        <v>0</v>
      </c>
      <c r="D17" s="3"/>
      <c r="E17" s="16">
        <f>D17+C17</f>
        <v>0</v>
      </c>
      <c r="F17" s="3"/>
      <c r="G17" s="3"/>
    </row>
    <row r="18" spans="1:9" x14ac:dyDescent="0.25">
      <c r="A18" s="16">
        <v>13</v>
      </c>
      <c r="B18" s="16" t="s">
        <v>204</v>
      </c>
      <c r="C18" s="3">
        <f>'NOVEMBER 19'!G18:G37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209</v>
      </c>
      <c r="C19" s="3">
        <f>'NOVEMBER 19'!G19:G38</f>
        <v>0</v>
      </c>
      <c r="D19" s="16">
        <v>1000</v>
      </c>
      <c r="E19" s="16">
        <f>D19+C19</f>
        <v>1000</v>
      </c>
      <c r="F19" s="16">
        <v>1000</v>
      </c>
      <c r="G19" s="3">
        <f t="shared" si="1"/>
        <v>0</v>
      </c>
    </row>
    <row r="20" spans="1:9" x14ac:dyDescent="0.25">
      <c r="A20" s="16">
        <v>15</v>
      </c>
      <c r="B20" s="16" t="s">
        <v>137</v>
      </c>
      <c r="C20" s="3">
        <f>'NOVEMBER 19'!G20:G39</f>
        <v>0</v>
      </c>
      <c r="D20" s="16">
        <v>1000</v>
      </c>
      <c r="E20" s="16">
        <f t="shared" si="0"/>
        <v>1000</v>
      </c>
      <c r="F20" s="16"/>
      <c r="G20" s="3">
        <f t="shared" si="1"/>
        <v>1000</v>
      </c>
    </row>
    <row r="21" spans="1:9" x14ac:dyDescent="0.25">
      <c r="A21" s="16">
        <v>16</v>
      </c>
      <c r="B21" s="3" t="s">
        <v>30</v>
      </c>
      <c r="C21" s="3">
        <f>'NOVEMBER 19'!G21:G40</f>
        <v>0</v>
      </c>
      <c r="D21" s="3">
        <v>1000</v>
      </c>
      <c r="E21" s="3">
        <f>D21+C21</f>
        <v>1000</v>
      </c>
      <c r="F21" s="3"/>
      <c r="G21" s="3">
        <f>E21-F21</f>
        <v>1000</v>
      </c>
    </row>
    <row r="22" spans="1:9" x14ac:dyDescent="0.25">
      <c r="A22" s="16">
        <v>17</v>
      </c>
      <c r="B22" s="16" t="s">
        <v>47</v>
      </c>
      <c r="C22" s="3">
        <f>'NOVEMBER 19'!G22:G41</f>
        <v>0</v>
      </c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36" t="s">
        <v>203</v>
      </c>
      <c r="C23" s="3">
        <f>'NOVEMBER 19'!G23:G42</f>
        <v>0</v>
      </c>
      <c r="D23" s="3"/>
      <c r="E23" s="16">
        <f t="shared" si="0"/>
        <v>0</v>
      </c>
      <c r="F23" s="3"/>
      <c r="G23" s="3">
        <f t="shared" si="1"/>
        <v>0</v>
      </c>
    </row>
    <row r="24" spans="1:9" x14ac:dyDescent="0.25">
      <c r="A24" s="3">
        <v>19</v>
      </c>
      <c r="B24" s="18" t="s">
        <v>135</v>
      </c>
      <c r="C24" s="3">
        <f>'NOVEMBER 19'!G24:G43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'NOVEMBER 19'!G25:G44</f>
        <v>2820</v>
      </c>
      <c r="D25" s="3">
        <v>1500</v>
      </c>
      <c r="E25" s="16">
        <f>D25+C25</f>
        <v>4320</v>
      </c>
      <c r="F25" s="3">
        <v>1500</v>
      </c>
      <c r="G25" s="3">
        <f t="shared" si="1"/>
        <v>2820</v>
      </c>
      <c r="H25" t="s">
        <v>46</v>
      </c>
    </row>
    <row r="26" spans="1:9" x14ac:dyDescent="0.25">
      <c r="B26" s="2" t="s">
        <v>26</v>
      </c>
      <c r="C26" s="3">
        <f>SUM(C6:C25)</f>
        <v>4320</v>
      </c>
      <c r="D26" s="2">
        <f>SUM(D6:D25)</f>
        <v>17500</v>
      </c>
      <c r="E26" s="2">
        <f>SUM(E6:E25)</f>
        <v>21820</v>
      </c>
      <c r="F26" s="2">
        <f>SUM(F6:F25)</f>
        <v>12900</v>
      </c>
      <c r="G26" s="2">
        <f>SUM(G6:G25)</f>
        <v>8920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211</v>
      </c>
      <c r="C30" s="3">
        <f>D26</f>
        <v>17500</v>
      </c>
      <c r="D30" s="3"/>
      <c r="E30" s="3"/>
      <c r="F30" s="3" t="s">
        <v>211</v>
      </c>
      <c r="G30" s="3">
        <f>F26</f>
        <v>12900</v>
      </c>
      <c r="H30" s="3"/>
      <c r="I30" s="3"/>
    </row>
    <row r="31" spans="1:9" x14ac:dyDescent="0.25">
      <c r="B31" s="3" t="s">
        <v>62</v>
      </c>
      <c r="C31" s="3">
        <f>'NOVEMBER 19'!E37</f>
        <v>-1000</v>
      </c>
      <c r="D31" s="3"/>
      <c r="E31" s="3"/>
      <c r="F31" s="3" t="s">
        <v>62</v>
      </c>
      <c r="G31">
        <f>'NOVEMBER 19'!I37</f>
        <v>-7320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1750</v>
      </c>
      <c r="E32" s="3"/>
      <c r="F32" s="3" t="s">
        <v>41</v>
      </c>
      <c r="G32" s="5">
        <v>0.1</v>
      </c>
      <c r="H32" s="3">
        <f>D32</f>
        <v>1750</v>
      </c>
      <c r="I32" s="3"/>
    </row>
    <row r="33" spans="1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1:9" x14ac:dyDescent="0.25">
      <c r="B34" s="19" t="s">
        <v>160</v>
      </c>
      <c r="C34" s="3"/>
      <c r="D34" s="3">
        <v>1500</v>
      </c>
      <c r="E34" s="3"/>
      <c r="F34" s="19" t="s">
        <v>160</v>
      </c>
      <c r="G34" s="3"/>
      <c r="H34" s="3">
        <v>1500</v>
      </c>
      <c r="I34" s="3"/>
    </row>
    <row r="35" spans="1:9" x14ac:dyDescent="0.25">
      <c r="B35" s="19" t="s">
        <v>28</v>
      </c>
      <c r="C35" s="3"/>
      <c r="D35" s="3">
        <v>1000</v>
      </c>
      <c r="E35" s="3"/>
      <c r="F35" s="19" t="s">
        <v>28</v>
      </c>
      <c r="G35" s="3"/>
      <c r="H35" s="3">
        <v>1000</v>
      </c>
      <c r="I35" s="3"/>
    </row>
    <row r="36" spans="1:9" x14ac:dyDescent="0.25">
      <c r="B36" s="19" t="s">
        <v>214</v>
      </c>
      <c r="C36" s="3"/>
      <c r="D36" s="3">
        <v>12250</v>
      </c>
      <c r="E36" s="3"/>
      <c r="F36" s="19" t="s">
        <v>214</v>
      </c>
      <c r="G36" s="3"/>
      <c r="H36" s="3">
        <v>12250</v>
      </c>
      <c r="I36" s="3"/>
    </row>
    <row r="37" spans="1:9" x14ac:dyDescent="0.25">
      <c r="B37" s="2" t="s">
        <v>26</v>
      </c>
      <c r="C37" s="2">
        <f>C30+C31-D32</f>
        <v>14750</v>
      </c>
      <c r="D37" s="2">
        <f>SUM(D34:D36)</f>
        <v>14750</v>
      </c>
      <c r="E37" s="2">
        <f>C37-D37</f>
        <v>0</v>
      </c>
      <c r="F37" s="2" t="s">
        <v>26</v>
      </c>
      <c r="G37" s="2">
        <f>G30+G31-H32</f>
        <v>3830</v>
      </c>
      <c r="H37" s="2">
        <f>SUM(H34:H36)</f>
        <v>14750</v>
      </c>
      <c r="I37" s="2">
        <f>G37-H37</f>
        <v>-10920</v>
      </c>
    </row>
    <row r="38" spans="1:9" x14ac:dyDescent="0.25">
      <c r="B38" t="s">
        <v>33</v>
      </c>
      <c r="D38" t="s">
        <v>49</v>
      </c>
      <c r="G38" t="s">
        <v>34</v>
      </c>
    </row>
    <row r="40" spans="1:9" x14ac:dyDescent="0.25">
      <c r="B40" t="s">
        <v>179</v>
      </c>
      <c r="D40" t="s">
        <v>50</v>
      </c>
      <c r="G40" t="s">
        <v>51</v>
      </c>
    </row>
    <row r="42" spans="1:9" ht="18.75" x14ac:dyDescent="0.3">
      <c r="C42" s="1" t="s">
        <v>42</v>
      </c>
      <c r="D42" s="21"/>
      <c r="E42" s="21"/>
      <c r="F42" s="21"/>
      <c r="G42" s="22"/>
    </row>
    <row r="43" spans="1:9" ht="15.75" x14ac:dyDescent="0.25">
      <c r="C43" s="29" t="s">
        <v>0</v>
      </c>
      <c r="D43" s="29"/>
      <c r="E43" s="29"/>
      <c r="F43" s="29"/>
      <c r="G43" s="22"/>
    </row>
    <row r="44" spans="1:9" ht="15.75" x14ac:dyDescent="0.25">
      <c r="C44" s="29" t="s">
        <v>212</v>
      </c>
      <c r="D44" s="29"/>
      <c r="E44" s="29"/>
      <c r="F44" s="29"/>
      <c r="G44" s="22"/>
    </row>
    <row r="45" spans="1:9" x14ac:dyDescent="0.25">
      <c r="B45" s="18"/>
      <c r="C45" s="48" t="s">
        <v>139</v>
      </c>
      <c r="D45" s="49"/>
      <c r="E45" s="30"/>
      <c r="F45" s="31"/>
      <c r="G45" s="3"/>
    </row>
    <row r="46" spans="1:9" x14ac:dyDescent="0.25"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1:9" x14ac:dyDescent="0.25">
      <c r="A47">
        <v>1</v>
      </c>
      <c r="B47" s="18" t="s">
        <v>190</v>
      </c>
      <c r="C47" s="3">
        <f>'NOVEMBER 19'!G47:G57</f>
        <v>0</v>
      </c>
      <c r="D47" s="3">
        <v>2000</v>
      </c>
      <c r="E47" s="16">
        <f>C47+D47</f>
        <v>2000</v>
      </c>
      <c r="F47" s="3">
        <v>2000</v>
      </c>
      <c r="G47" s="3">
        <f>E47-F47</f>
        <v>0</v>
      </c>
    </row>
    <row r="48" spans="1:9" x14ac:dyDescent="0.25">
      <c r="A48">
        <v>2</v>
      </c>
      <c r="B48" s="18"/>
      <c r="C48" s="3">
        <f>'NOVEMBER 19'!G48:G58</f>
        <v>0</v>
      </c>
      <c r="D48" s="3"/>
      <c r="E48" s="16">
        <f t="shared" ref="E48:E56" si="2">C48+D48</f>
        <v>0</v>
      </c>
      <c r="F48" s="3"/>
      <c r="G48" s="3">
        <f t="shared" ref="G48:G56" si="3">E48-F48</f>
        <v>0</v>
      </c>
    </row>
    <row r="49" spans="1:9" x14ac:dyDescent="0.25">
      <c r="A49">
        <v>3</v>
      </c>
      <c r="B49" s="18" t="s">
        <v>193</v>
      </c>
      <c r="C49" s="3">
        <f>'NOVEMBER 19'!G49:G59</f>
        <v>0</v>
      </c>
      <c r="D49" s="3">
        <v>2000</v>
      </c>
      <c r="E49" s="16">
        <f t="shared" si="2"/>
        <v>2000</v>
      </c>
      <c r="F49" s="3">
        <v>2000</v>
      </c>
      <c r="G49" s="3">
        <f t="shared" si="3"/>
        <v>0</v>
      </c>
    </row>
    <row r="50" spans="1:9" x14ac:dyDescent="0.25">
      <c r="A50">
        <v>4</v>
      </c>
      <c r="B50" s="18" t="s">
        <v>144</v>
      </c>
      <c r="C50" s="3">
        <f>'NOVEMBER 19'!G50:G60</f>
        <v>0</v>
      </c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1:9" x14ac:dyDescent="0.25">
      <c r="A51">
        <v>5</v>
      </c>
      <c r="B51" s="18" t="s">
        <v>155</v>
      </c>
      <c r="C51" s="3">
        <f>'NOVEMBER 19'!G51:G61</f>
        <v>0</v>
      </c>
      <c r="D51" s="3">
        <v>2000</v>
      </c>
      <c r="E51" s="16">
        <f t="shared" si="2"/>
        <v>2000</v>
      </c>
      <c r="F51" s="3"/>
      <c r="G51" s="3">
        <f t="shared" si="3"/>
        <v>2000</v>
      </c>
    </row>
    <row r="52" spans="1:9" x14ac:dyDescent="0.25">
      <c r="A52">
        <v>6</v>
      </c>
      <c r="B52" s="18" t="s">
        <v>165</v>
      </c>
      <c r="C52" s="3">
        <f>'NOVEMBER 19'!G52:G62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7</v>
      </c>
      <c r="B53" s="18" t="s">
        <v>166</v>
      </c>
      <c r="C53" s="3">
        <f>'NOVEMBER 19'!G53:G63</f>
        <v>2300</v>
      </c>
      <c r="D53" s="3">
        <v>2000</v>
      </c>
      <c r="E53" s="16">
        <f t="shared" si="2"/>
        <v>4300</v>
      </c>
      <c r="F53" s="3"/>
      <c r="G53" s="3">
        <f t="shared" si="3"/>
        <v>4300</v>
      </c>
    </row>
    <row r="54" spans="1:9" x14ac:dyDescent="0.25">
      <c r="A54">
        <v>8</v>
      </c>
      <c r="B54" s="18"/>
      <c r="C54" s="3"/>
      <c r="D54" s="3"/>
      <c r="E54" s="16">
        <f t="shared" si="2"/>
        <v>0</v>
      </c>
      <c r="F54" s="3"/>
      <c r="G54" s="3">
        <f t="shared" si="3"/>
        <v>0</v>
      </c>
    </row>
    <row r="55" spans="1:9" x14ac:dyDescent="0.25">
      <c r="A55">
        <v>9</v>
      </c>
      <c r="B55" s="18"/>
      <c r="C55" s="3">
        <f>'NOVEMBER 19'!G55:G65</f>
        <v>0</v>
      </c>
      <c r="D55" s="3"/>
      <c r="E55" s="16">
        <f t="shared" si="2"/>
        <v>0</v>
      </c>
      <c r="F55" s="3"/>
      <c r="G55" s="3">
        <f t="shared" si="3"/>
        <v>0</v>
      </c>
    </row>
    <row r="56" spans="1:9" x14ac:dyDescent="0.25">
      <c r="A56">
        <v>10</v>
      </c>
      <c r="B56" s="18" t="s">
        <v>205</v>
      </c>
      <c r="C56" s="3">
        <f>'NOVEMBER 19'!G56:G66</f>
        <v>0</v>
      </c>
      <c r="D56" s="3">
        <v>2000</v>
      </c>
      <c r="E56" s="16">
        <f t="shared" si="2"/>
        <v>2000</v>
      </c>
      <c r="F56" s="3">
        <v>2000</v>
      </c>
      <c r="G56" s="3">
        <f t="shared" si="3"/>
        <v>0</v>
      </c>
    </row>
    <row r="57" spans="1:9" x14ac:dyDescent="0.25">
      <c r="A57">
        <v>11</v>
      </c>
      <c r="B57" s="18"/>
      <c r="C57" s="3">
        <f>'NOVEMBER 19'!G57:G67</f>
        <v>0</v>
      </c>
      <c r="D57" s="3"/>
      <c r="E57" s="16"/>
      <c r="F57" s="3"/>
      <c r="G57" s="3"/>
    </row>
    <row r="58" spans="1:9" x14ac:dyDescent="0.25">
      <c r="A58">
        <v>12</v>
      </c>
      <c r="B58" s="18"/>
      <c r="C58" s="3">
        <f>'NOVEMBER 19'!G58:G68</f>
        <v>0</v>
      </c>
      <c r="D58" s="3"/>
      <c r="E58" s="16"/>
      <c r="F58" s="3"/>
      <c r="G58" s="3"/>
    </row>
    <row r="59" spans="1:9" x14ac:dyDescent="0.25">
      <c r="B59" s="2" t="s">
        <v>26</v>
      </c>
      <c r="C59" s="3">
        <f>SUM(C47:C58)</f>
        <v>2300</v>
      </c>
      <c r="D59" s="2">
        <f>SUM(D47:D58)</f>
        <v>14000</v>
      </c>
      <c r="E59" s="2">
        <f>SUM(E47:E58)</f>
        <v>16300</v>
      </c>
      <c r="F59" s="2">
        <f>SUM(F47:F58)</f>
        <v>10000</v>
      </c>
      <c r="G59" s="2">
        <f>SUM(G47:G58)</f>
        <v>6300</v>
      </c>
    </row>
    <row r="61" spans="1:9" x14ac:dyDescent="0.25">
      <c r="B61" s="12" t="s">
        <v>44</v>
      </c>
      <c r="C61" s="12"/>
      <c r="D61" s="12"/>
      <c r="E61" s="12"/>
      <c r="F61" s="34" t="s">
        <v>43</v>
      </c>
      <c r="G61" s="12"/>
    </row>
    <row r="62" spans="1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1:9" x14ac:dyDescent="0.25">
      <c r="B63" s="3" t="s">
        <v>211</v>
      </c>
      <c r="C63" s="3">
        <f>D59</f>
        <v>14000</v>
      </c>
      <c r="D63" s="3"/>
      <c r="E63" s="3"/>
      <c r="F63" s="3" t="s">
        <v>211</v>
      </c>
      <c r="G63" s="3">
        <f>F59</f>
        <v>10000</v>
      </c>
      <c r="H63" s="3"/>
      <c r="I63" s="3"/>
    </row>
    <row r="64" spans="1:9" x14ac:dyDescent="0.25">
      <c r="B64" s="3" t="s">
        <v>62</v>
      </c>
      <c r="C64" s="3">
        <f>'NOVEMBER 19'!E69</f>
        <v>-900</v>
      </c>
      <c r="D64" s="3"/>
      <c r="E64" s="3"/>
      <c r="F64" s="3" t="s">
        <v>62</v>
      </c>
      <c r="G64">
        <f>'NOVEMBER 19'!I69</f>
        <v>-3200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1400</v>
      </c>
      <c r="E65" s="3"/>
      <c r="F65" s="3" t="s">
        <v>41</v>
      </c>
      <c r="G65" s="5">
        <v>0.1</v>
      </c>
      <c r="H65" s="3">
        <f>D65</f>
        <v>1400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H66" s="3"/>
      <c r="I66" s="3"/>
    </row>
    <row r="67" spans="2:9" x14ac:dyDescent="0.25">
      <c r="B67" s="35" t="s">
        <v>214</v>
      </c>
      <c r="C67" s="19"/>
      <c r="D67" s="3">
        <v>11700</v>
      </c>
      <c r="E67" s="3"/>
      <c r="F67" s="35" t="s">
        <v>214</v>
      </c>
      <c r="G67" s="19"/>
      <c r="H67" s="3">
        <v>11700</v>
      </c>
      <c r="I67" s="3"/>
    </row>
    <row r="68" spans="2:9" x14ac:dyDescent="0.25">
      <c r="B68" s="10"/>
      <c r="C68" s="3"/>
      <c r="D68" s="3"/>
      <c r="E68" s="3"/>
      <c r="F68" s="10"/>
      <c r="G68" s="3"/>
      <c r="H68" s="3"/>
      <c r="I68" s="3"/>
    </row>
    <row r="69" spans="2:9" x14ac:dyDescent="0.25">
      <c r="B69" s="2" t="s">
        <v>26</v>
      </c>
      <c r="C69" s="2">
        <f>C63+C64-D65</f>
        <v>11700</v>
      </c>
      <c r="D69" s="2">
        <f>SUM(D67:D68)</f>
        <v>11700</v>
      </c>
      <c r="E69" s="2">
        <f>C69-D69</f>
        <v>0</v>
      </c>
      <c r="F69" s="2" t="s">
        <v>26</v>
      </c>
      <c r="G69" s="2">
        <f>G63+G64-H65</f>
        <v>5400</v>
      </c>
      <c r="H69" s="2">
        <f>SUM(H67:H68)</f>
        <v>11700</v>
      </c>
      <c r="I69" s="2">
        <f>G69-H69</f>
        <v>-6300</v>
      </c>
    </row>
    <row r="71" spans="2:9" x14ac:dyDescent="0.25">
      <c r="B71" t="s">
        <v>33</v>
      </c>
      <c r="D71" t="s">
        <v>49</v>
      </c>
      <c r="G71" t="s">
        <v>34</v>
      </c>
    </row>
    <row r="73" spans="2:9" x14ac:dyDescent="0.25">
      <c r="B73" t="s">
        <v>179</v>
      </c>
      <c r="D73" t="s">
        <v>50</v>
      </c>
      <c r="G73" t="s">
        <v>51</v>
      </c>
    </row>
  </sheetData>
  <mergeCells count="1">
    <mergeCell ref="C45:D45"/>
  </mergeCells>
  <pageMargins left="0.1" right="0.1" top="0" bottom="0" header="0.3" footer="0.05"/>
  <pageSetup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7" workbookViewId="0">
      <selection activeCell="M34" sqref="M34"/>
    </sheetView>
  </sheetViews>
  <sheetFormatPr defaultRowHeight="15" x14ac:dyDescent="0.25"/>
  <cols>
    <col min="2" max="2" width="20" bestFit="1" customWidth="1"/>
    <col min="8" max="8" width="10" bestFit="1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215</v>
      </c>
      <c r="D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'DECEMBER 19'!G6:G25</f>
        <v>0</v>
      </c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>
        <f>'DECEMBER 19'!G7:G26</f>
        <v>100</v>
      </c>
      <c r="D7" s="3">
        <v>1000</v>
      </c>
      <c r="E7" s="3">
        <f t="shared" ref="E7:E24" si="0">D7+C7</f>
        <v>1100</v>
      </c>
      <c r="F7" s="3">
        <v>1000</v>
      </c>
      <c r="G7" s="3">
        <f t="shared" ref="G7:G25" si="1">E7-F7</f>
        <v>100</v>
      </c>
    </row>
    <row r="8" spans="1:8" x14ac:dyDescent="0.25">
      <c r="A8" s="16">
        <v>3</v>
      </c>
      <c r="B8" s="18" t="s">
        <v>137</v>
      </c>
      <c r="C8" s="3">
        <f>'DECEMBER 19'!G8:G27</f>
        <v>1000</v>
      </c>
      <c r="D8" s="18">
        <v>1000</v>
      </c>
      <c r="E8" s="16">
        <f>D8+C8</f>
        <v>2000</v>
      </c>
      <c r="F8" s="16"/>
      <c r="G8" s="3">
        <f>E8-F8</f>
        <v>2000</v>
      </c>
    </row>
    <row r="9" spans="1:8" x14ac:dyDescent="0.25">
      <c r="A9" s="16">
        <v>4</v>
      </c>
      <c r="B9" s="16" t="s">
        <v>213</v>
      </c>
      <c r="C9" s="3">
        <f>'DECEMBER 19'!G9:G28</f>
        <v>1000</v>
      </c>
      <c r="D9" s="16">
        <v>1000</v>
      </c>
      <c r="E9" s="16">
        <f>D9+C9</f>
        <v>2000</v>
      </c>
      <c r="F9" s="16">
        <f>1000+1000</f>
        <v>2000</v>
      </c>
      <c r="G9" s="3">
        <f t="shared" si="1"/>
        <v>0</v>
      </c>
      <c r="H9" t="s">
        <v>151</v>
      </c>
    </row>
    <row r="10" spans="1:8" x14ac:dyDescent="0.25">
      <c r="A10" s="16">
        <v>5</v>
      </c>
      <c r="B10" s="16" t="s">
        <v>10</v>
      </c>
      <c r="C10" s="3">
        <f>'DECEMBER 19'!G10:G29</f>
        <v>500</v>
      </c>
      <c r="D10" s="16">
        <v>1000</v>
      </c>
      <c r="E10" s="16">
        <f>D10+C10</f>
        <v>1500</v>
      </c>
      <c r="F10" s="16">
        <v>1500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3">
        <f>'DECEMBER 19'!G11:G30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'DECEMBER 19'!G12:G31</f>
        <v>1000</v>
      </c>
      <c r="D12" s="16">
        <v>1000</v>
      </c>
      <c r="E12" s="16">
        <f t="shared" si="0"/>
        <v>2000</v>
      </c>
      <c r="F12" s="16">
        <f>1000+1000</f>
        <v>2000</v>
      </c>
      <c r="G12" s="3">
        <f t="shared" si="1"/>
        <v>0</v>
      </c>
      <c r="H12" t="s">
        <v>227</v>
      </c>
    </row>
    <row r="13" spans="1:8" x14ac:dyDescent="0.25">
      <c r="A13" s="16">
        <v>8</v>
      </c>
      <c r="B13" s="16" t="s">
        <v>220</v>
      </c>
      <c r="C13" s="3">
        <f>'DECEMBER 19'!G13:G32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  <c r="H13" t="s">
        <v>187</v>
      </c>
    </row>
    <row r="14" spans="1:8" x14ac:dyDescent="0.25">
      <c r="A14" s="16">
        <v>9</v>
      </c>
      <c r="B14" s="3" t="s">
        <v>194</v>
      </c>
      <c r="C14" s="3">
        <f>'DECEMBER 19'!G14:G33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16">
        <v>10</v>
      </c>
      <c r="B15" s="16" t="s">
        <v>164</v>
      </c>
      <c r="C15" s="3">
        <f>'DECEMBER 19'!G15:G34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36" t="s">
        <v>15</v>
      </c>
      <c r="C16" s="3">
        <f>'DECEMBER 19'!G16:G35</f>
        <v>0</v>
      </c>
      <c r="D16" s="18"/>
      <c r="E16" s="16"/>
      <c r="F16" s="18"/>
      <c r="G16" s="14">
        <f t="shared" si="1"/>
        <v>0</v>
      </c>
    </row>
    <row r="17" spans="1:9" x14ac:dyDescent="0.25">
      <c r="A17" s="16">
        <v>12</v>
      </c>
      <c r="B17" s="3"/>
      <c r="C17" s="3">
        <f>'DECEMBER 19'!G17:G36</f>
        <v>0</v>
      </c>
      <c r="D17" s="3"/>
      <c r="E17" s="16">
        <f>D17+C17</f>
        <v>0</v>
      </c>
      <c r="F17" s="3"/>
      <c r="G17" s="3"/>
    </row>
    <row r="18" spans="1:9" x14ac:dyDescent="0.25">
      <c r="A18" s="16">
        <v>13</v>
      </c>
      <c r="B18" s="16" t="s">
        <v>204</v>
      </c>
      <c r="C18" s="3">
        <f>'DECEMBER 19'!G18:G37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209</v>
      </c>
      <c r="C19" s="3">
        <f>'DECEMBER 19'!G19:G38</f>
        <v>0</v>
      </c>
      <c r="D19" s="16">
        <v>1000</v>
      </c>
      <c r="E19" s="16">
        <f>D19+C19</f>
        <v>1000</v>
      </c>
      <c r="F19" s="16">
        <v>1000</v>
      </c>
      <c r="G19" s="3">
        <f t="shared" si="1"/>
        <v>0</v>
      </c>
    </row>
    <row r="20" spans="1:9" x14ac:dyDescent="0.25">
      <c r="A20" s="16">
        <v>15</v>
      </c>
      <c r="B20" s="16" t="s">
        <v>137</v>
      </c>
      <c r="C20" s="3">
        <f>'DECEMBER 19'!G20:G39</f>
        <v>1000</v>
      </c>
      <c r="D20" s="16">
        <v>1000</v>
      </c>
      <c r="E20" s="16">
        <f t="shared" si="0"/>
        <v>2000</v>
      </c>
      <c r="F20" s="16"/>
      <c r="G20" s="3">
        <f t="shared" si="1"/>
        <v>2000</v>
      </c>
    </row>
    <row r="21" spans="1:9" x14ac:dyDescent="0.25">
      <c r="A21" s="16">
        <v>16</v>
      </c>
      <c r="B21" s="3" t="s">
        <v>30</v>
      </c>
      <c r="C21" s="3">
        <f>'DECEMBER 19'!G21:G40</f>
        <v>1000</v>
      </c>
      <c r="D21" s="3">
        <v>1000</v>
      </c>
      <c r="E21" s="3">
        <f>D21+C21</f>
        <v>2000</v>
      </c>
      <c r="F21" s="3"/>
      <c r="G21" s="3">
        <f>E21-F21</f>
        <v>2000</v>
      </c>
    </row>
    <row r="22" spans="1:9" x14ac:dyDescent="0.25">
      <c r="A22" s="16">
        <v>17</v>
      </c>
      <c r="B22" s="16" t="s">
        <v>47</v>
      </c>
      <c r="C22" s="3">
        <f>'DECEMBER 19'!G22:G41</f>
        <v>0</v>
      </c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36" t="s">
        <v>203</v>
      </c>
      <c r="C23" s="3">
        <f>'DECEMBER 19'!G23:G42</f>
        <v>0</v>
      </c>
      <c r="D23" s="3"/>
      <c r="E23" s="16">
        <f t="shared" si="0"/>
        <v>0</v>
      </c>
      <c r="F23" s="3"/>
      <c r="G23" s="3">
        <f t="shared" si="1"/>
        <v>0</v>
      </c>
    </row>
    <row r="24" spans="1:9" x14ac:dyDescent="0.25">
      <c r="A24" s="3">
        <v>19</v>
      </c>
      <c r="B24" s="18" t="s">
        <v>135</v>
      </c>
      <c r="C24" s="3">
        <f>'DECEMBER 19'!G24:G43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'DECEMBER 19'!G25:G44</f>
        <v>2820</v>
      </c>
      <c r="D25" s="3">
        <v>1500</v>
      </c>
      <c r="E25" s="16">
        <f>D25+C25</f>
        <v>4320</v>
      </c>
      <c r="F25" s="3">
        <f>1000+1000</f>
        <v>2000</v>
      </c>
      <c r="G25" s="3">
        <f t="shared" si="1"/>
        <v>2320</v>
      </c>
      <c r="H25" t="s">
        <v>151</v>
      </c>
    </row>
    <row r="26" spans="1:9" x14ac:dyDescent="0.25">
      <c r="B26" s="2" t="s">
        <v>26</v>
      </c>
      <c r="C26" s="3">
        <f>SUM(C6:C25)</f>
        <v>8920</v>
      </c>
      <c r="D26" s="2">
        <f>SUM(D6:D25)</f>
        <v>18500</v>
      </c>
      <c r="E26" s="2">
        <f>SUM(E6:E25)</f>
        <v>27420</v>
      </c>
      <c r="F26" s="2">
        <f>SUM(F6:F25)</f>
        <v>18500</v>
      </c>
      <c r="G26" s="2">
        <f>SUM(G6:G25)</f>
        <v>8920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216</v>
      </c>
      <c r="C30" s="3">
        <f>D26</f>
        <v>18500</v>
      </c>
      <c r="D30" s="3"/>
      <c r="E30" s="3"/>
      <c r="F30" s="3" t="s">
        <v>216</v>
      </c>
      <c r="G30" s="3">
        <f>F26</f>
        <v>18500</v>
      </c>
      <c r="H30" s="3"/>
      <c r="I30" s="3"/>
    </row>
    <row r="31" spans="1:9" x14ac:dyDescent="0.25">
      <c r="B31" s="3" t="s">
        <v>62</v>
      </c>
      <c r="C31" s="3">
        <f>'DECEMBER 19'!E37</f>
        <v>0</v>
      </c>
      <c r="D31" s="3"/>
      <c r="E31" s="3"/>
      <c r="F31" s="3" t="s">
        <v>62</v>
      </c>
      <c r="G31">
        <f>'DECEMBER 19'!I37</f>
        <v>-10920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1850</v>
      </c>
      <c r="E32" s="3"/>
      <c r="F32" s="3" t="s">
        <v>41</v>
      </c>
      <c r="G32" s="5">
        <v>0.1</v>
      </c>
      <c r="H32" s="3">
        <f>D32</f>
        <v>1850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217</v>
      </c>
      <c r="C34" s="3"/>
      <c r="D34" s="3">
        <v>1000</v>
      </c>
      <c r="E34" s="3"/>
      <c r="F34" s="19" t="s">
        <v>217</v>
      </c>
      <c r="G34" s="3"/>
      <c r="H34" s="3">
        <v>1000</v>
      </c>
      <c r="I34" s="3"/>
    </row>
    <row r="35" spans="2:9" x14ac:dyDescent="0.25">
      <c r="B35" s="19" t="s">
        <v>219</v>
      </c>
      <c r="C35" s="3"/>
      <c r="D35" s="3">
        <v>1000</v>
      </c>
      <c r="E35" s="3"/>
      <c r="F35" s="19" t="s">
        <v>219</v>
      </c>
      <c r="G35" s="3"/>
      <c r="H35" s="3">
        <v>1000</v>
      </c>
      <c r="I35" s="3"/>
    </row>
    <row r="36" spans="2:9" x14ac:dyDescent="0.25">
      <c r="B36" s="19" t="s">
        <v>220</v>
      </c>
      <c r="C36" s="3"/>
      <c r="D36" s="3">
        <v>1000</v>
      </c>
      <c r="E36" s="3"/>
      <c r="F36" s="19" t="s">
        <v>220</v>
      </c>
      <c r="G36" s="3"/>
      <c r="H36" s="3">
        <v>1000</v>
      </c>
      <c r="I36" s="3"/>
    </row>
    <row r="37" spans="2:9" x14ac:dyDescent="0.25">
      <c r="B37" s="19" t="s">
        <v>221</v>
      </c>
      <c r="C37" s="3"/>
      <c r="D37" s="3">
        <v>13650</v>
      </c>
      <c r="E37" s="3"/>
      <c r="F37" s="19" t="s">
        <v>221</v>
      </c>
      <c r="G37" s="3"/>
      <c r="H37" s="3">
        <v>13650</v>
      </c>
      <c r="I37" s="3"/>
    </row>
    <row r="38" spans="2:9" x14ac:dyDescent="0.25">
      <c r="B38" s="19" t="s">
        <v>28</v>
      </c>
      <c r="C38" s="3"/>
      <c r="D38" s="3">
        <v>1000</v>
      </c>
      <c r="E38" s="3"/>
      <c r="F38" s="19" t="s">
        <v>28</v>
      </c>
      <c r="G38" s="3"/>
      <c r="H38" s="3">
        <v>1000</v>
      </c>
      <c r="I38" s="3"/>
    </row>
    <row r="39" spans="2:9" x14ac:dyDescent="0.25">
      <c r="B39" s="2" t="s">
        <v>26</v>
      </c>
      <c r="C39" s="2">
        <f>C30+C31-D32</f>
        <v>16650</v>
      </c>
      <c r="D39" s="2">
        <f>SUM(D34:D38)</f>
        <v>17650</v>
      </c>
      <c r="E39" s="2">
        <f>C39-D39</f>
        <v>-1000</v>
      </c>
      <c r="F39" s="2" t="s">
        <v>26</v>
      </c>
      <c r="G39" s="2">
        <f>G30+G31-H32</f>
        <v>5730</v>
      </c>
      <c r="H39" s="2">
        <f>SUM(H34:H38)</f>
        <v>17650</v>
      </c>
      <c r="I39" s="2">
        <f>G39-H39</f>
        <v>-11920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179</v>
      </c>
      <c r="D42" t="s">
        <v>50</v>
      </c>
      <c r="G42" t="s">
        <v>51</v>
      </c>
    </row>
    <row r="44" spans="2:9" ht="18.75" x14ac:dyDescent="0.3">
      <c r="C44" s="1" t="s">
        <v>42</v>
      </c>
      <c r="D44" s="21"/>
      <c r="E44" s="21"/>
      <c r="F44" s="21"/>
      <c r="G44" s="22"/>
    </row>
    <row r="45" spans="2:9" ht="15.75" x14ac:dyDescent="0.25">
      <c r="C45" s="29" t="s">
        <v>0</v>
      </c>
      <c r="D45" s="29"/>
      <c r="E45" s="29"/>
      <c r="F45" s="29"/>
      <c r="G45" s="22"/>
    </row>
    <row r="46" spans="2:9" ht="15.75" x14ac:dyDescent="0.25">
      <c r="C46" s="29" t="s">
        <v>215</v>
      </c>
      <c r="D46" s="29"/>
      <c r="E46" s="29"/>
      <c r="F46" s="29"/>
      <c r="G46" s="22"/>
    </row>
    <row r="47" spans="2:9" x14ac:dyDescent="0.25">
      <c r="B47" s="18"/>
      <c r="C47" s="48" t="s">
        <v>139</v>
      </c>
      <c r="D47" s="49"/>
      <c r="E47" s="30"/>
      <c r="F47" s="31"/>
      <c r="G47" s="3"/>
    </row>
    <row r="48" spans="2:9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9" x14ac:dyDescent="0.25">
      <c r="A49">
        <v>1</v>
      </c>
      <c r="B49" s="18"/>
      <c r="C49" s="3">
        <f>'DECEMBER 19'!G47:G58</f>
        <v>0</v>
      </c>
      <c r="D49" s="3"/>
      <c r="E49" s="16">
        <f>C49+D49</f>
        <v>0</v>
      </c>
      <c r="F49" s="3"/>
      <c r="G49" s="3">
        <f>E49-F49</f>
        <v>0</v>
      </c>
    </row>
    <row r="50" spans="1:9" x14ac:dyDescent="0.25">
      <c r="A50">
        <v>2</v>
      </c>
      <c r="B50" s="18"/>
      <c r="C50" s="3">
        <f>'DECEMBER 19'!G48:G59</f>
        <v>0</v>
      </c>
      <c r="D50" s="3"/>
      <c r="E50" s="16">
        <f t="shared" ref="E50:E58" si="2">C50+D50</f>
        <v>0</v>
      </c>
      <c r="F50" s="3"/>
      <c r="G50" s="3">
        <f t="shared" ref="G50:G58" si="3">E50-F50</f>
        <v>0</v>
      </c>
    </row>
    <row r="51" spans="1:9" x14ac:dyDescent="0.25">
      <c r="A51">
        <v>3</v>
      </c>
      <c r="B51" s="18" t="s">
        <v>193</v>
      </c>
      <c r="C51" s="3"/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>
        <v>4</v>
      </c>
      <c r="B52" s="18" t="s">
        <v>144</v>
      </c>
      <c r="C52" s="3"/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5</v>
      </c>
      <c r="B53" s="18" t="s">
        <v>155</v>
      </c>
      <c r="C53" s="3">
        <v>2000</v>
      </c>
      <c r="D53" s="3">
        <v>2000</v>
      </c>
      <c r="E53" s="16">
        <f t="shared" si="2"/>
        <v>4000</v>
      </c>
      <c r="F53" s="3">
        <f>3000+1000</f>
        <v>4000</v>
      </c>
      <c r="G53" s="3">
        <f t="shared" si="3"/>
        <v>0</v>
      </c>
    </row>
    <row r="54" spans="1:9" x14ac:dyDescent="0.25">
      <c r="A54">
        <v>6</v>
      </c>
      <c r="B54" s="18" t="s">
        <v>165</v>
      </c>
      <c r="C54" s="3"/>
      <c r="D54" s="3">
        <v>2000</v>
      </c>
      <c r="E54" s="16">
        <f t="shared" si="2"/>
        <v>2000</v>
      </c>
      <c r="F54" s="3">
        <v>2000</v>
      </c>
      <c r="G54" s="3">
        <f t="shared" si="3"/>
        <v>0</v>
      </c>
    </row>
    <row r="55" spans="1:9" x14ac:dyDescent="0.25">
      <c r="A55">
        <v>7</v>
      </c>
      <c r="B55" s="18" t="s">
        <v>166</v>
      </c>
      <c r="C55" s="3">
        <v>4300</v>
      </c>
      <c r="D55" s="3">
        <v>2000</v>
      </c>
      <c r="E55" s="16">
        <f t="shared" si="2"/>
        <v>6300</v>
      </c>
      <c r="F55" s="3">
        <v>2000</v>
      </c>
      <c r="G55" s="3">
        <f t="shared" si="3"/>
        <v>4300</v>
      </c>
      <c r="H55" t="s">
        <v>223</v>
      </c>
    </row>
    <row r="56" spans="1:9" x14ac:dyDescent="0.25">
      <c r="A56">
        <v>8</v>
      </c>
      <c r="B56" s="18" t="s">
        <v>222</v>
      </c>
      <c r="C56" s="3">
        <f>'DECEMBER 19'!G54:G65</f>
        <v>0</v>
      </c>
      <c r="D56" s="3">
        <v>2000</v>
      </c>
      <c r="E56" s="16">
        <f t="shared" si="2"/>
        <v>2000</v>
      </c>
      <c r="F56" s="3">
        <v>2000</v>
      </c>
      <c r="G56" s="3">
        <f t="shared" si="3"/>
        <v>0</v>
      </c>
      <c r="H56">
        <v>724495989</v>
      </c>
    </row>
    <row r="57" spans="1:9" x14ac:dyDescent="0.25">
      <c r="A57">
        <v>9</v>
      </c>
      <c r="B57" s="18" t="s">
        <v>45</v>
      </c>
      <c r="C57" s="3">
        <f>'DECEMBER 19'!G55:G66</f>
        <v>0</v>
      </c>
      <c r="D57" s="3">
        <v>2000</v>
      </c>
      <c r="E57" s="16">
        <f t="shared" si="2"/>
        <v>2000</v>
      </c>
      <c r="F57" s="3">
        <v>2000</v>
      </c>
      <c r="G57" s="3">
        <f t="shared" si="3"/>
        <v>0</v>
      </c>
    </row>
    <row r="58" spans="1:9" x14ac:dyDescent="0.25">
      <c r="A58">
        <v>10</v>
      </c>
      <c r="B58" s="18" t="s">
        <v>190</v>
      </c>
      <c r="C58" s="3">
        <f>'DECEMBER 19'!G56:G67</f>
        <v>0</v>
      </c>
      <c r="D58" s="3">
        <v>2000</v>
      </c>
      <c r="E58" s="16">
        <f t="shared" si="2"/>
        <v>2000</v>
      </c>
      <c r="F58" s="3">
        <v>2000</v>
      </c>
      <c r="G58" s="3">
        <f t="shared" si="3"/>
        <v>0</v>
      </c>
    </row>
    <row r="59" spans="1:9" x14ac:dyDescent="0.25">
      <c r="A59">
        <v>11</v>
      </c>
      <c r="B59" s="18"/>
      <c r="C59" s="3"/>
      <c r="D59" s="3"/>
      <c r="E59" s="16"/>
      <c r="F59" s="3"/>
      <c r="G59" s="3"/>
    </row>
    <row r="60" spans="1:9" x14ac:dyDescent="0.25">
      <c r="A60">
        <v>12</v>
      </c>
      <c r="B60" s="18"/>
      <c r="C60" s="3"/>
      <c r="D60" s="3"/>
      <c r="E60" s="16"/>
      <c r="F60" s="3"/>
      <c r="G60" s="3"/>
    </row>
    <row r="61" spans="1:9" x14ac:dyDescent="0.25">
      <c r="B61" s="2" t="s">
        <v>26</v>
      </c>
      <c r="C61" s="3">
        <f>SUM(C49:C60)</f>
        <v>6300</v>
      </c>
      <c r="D61" s="2">
        <f>SUM(D49:D60)</f>
        <v>16000</v>
      </c>
      <c r="E61" s="2">
        <f>SUM(E49:E60)</f>
        <v>22300</v>
      </c>
      <c r="F61" s="2">
        <f>SUM(F49:F60)</f>
        <v>18000</v>
      </c>
      <c r="G61" s="2">
        <f>SUM(G49:G60)</f>
        <v>4300</v>
      </c>
    </row>
    <row r="63" spans="1:9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9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</row>
    <row r="65" spans="2:9" x14ac:dyDescent="0.25">
      <c r="B65" s="3" t="s">
        <v>216</v>
      </c>
      <c r="C65" s="3">
        <f>D61</f>
        <v>16000</v>
      </c>
      <c r="D65" s="3"/>
      <c r="E65" s="3"/>
      <c r="F65" s="3" t="s">
        <v>216</v>
      </c>
      <c r="G65" s="3">
        <f>F61</f>
        <v>18000</v>
      </c>
      <c r="H65" s="3"/>
      <c r="I65" s="3"/>
    </row>
    <row r="66" spans="2:9" x14ac:dyDescent="0.25">
      <c r="B66" s="3" t="s">
        <v>62</v>
      </c>
      <c r="C66" s="3">
        <f>'DECEMBER 19'!E69</f>
        <v>0</v>
      </c>
      <c r="D66" s="3"/>
      <c r="E66" s="3"/>
      <c r="F66" s="3" t="s">
        <v>62</v>
      </c>
      <c r="G66">
        <f>'DECEMBER 19'!I69</f>
        <v>-6300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D67</f>
        <v>1600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218</v>
      </c>
      <c r="C69" s="19"/>
      <c r="D69" s="3">
        <v>2000</v>
      </c>
      <c r="E69" s="3"/>
      <c r="F69" s="35" t="s">
        <v>218</v>
      </c>
      <c r="G69" s="19"/>
      <c r="H69" s="3">
        <v>2000</v>
      </c>
      <c r="I69" s="3"/>
    </row>
    <row r="70" spans="2:9" x14ac:dyDescent="0.25">
      <c r="B70" s="10" t="s">
        <v>221</v>
      </c>
      <c r="C70" s="3"/>
      <c r="D70" s="3">
        <v>12400</v>
      </c>
      <c r="E70" s="3"/>
      <c r="F70" s="10" t="s">
        <v>221</v>
      </c>
      <c r="G70" s="3"/>
      <c r="H70" s="3">
        <v>12400</v>
      </c>
      <c r="I70" s="3"/>
    </row>
    <row r="71" spans="2:9" x14ac:dyDescent="0.25">
      <c r="B71" s="2" t="s">
        <v>26</v>
      </c>
      <c r="C71" s="2">
        <f>C65+C66-D67</f>
        <v>14400</v>
      </c>
      <c r="D71" s="2">
        <f>SUM(D69:D70)</f>
        <v>14400</v>
      </c>
      <c r="E71" s="2">
        <f>C71-D71</f>
        <v>0</v>
      </c>
      <c r="F71" s="2" t="s">
        <v>26</v>
      </c>
      <c r="G71" s="2">
        <f>G65+G66-H67</f>
        <v>10100</v>
      </c>
      <c r="H71" s="2">
        <f>SUM(H69:H70)</f>
        <v>14400</v>
      </c>
      <c r="I71" s="2">
        <f>G71-H71</f>
        <v>-4300</v>
      </c>
    </row>
    <row r="73" spans="2:9" x14ac:dyDescent="0.25">
      <c r="B73" t="s">
        <v>33</v>
      </c>
      <c r="D73" t="s">
        <v>49</v>
      </c>
      <c r="G73" t="s">
        <v>34</v>
      </c>
    </row>
    <row r="75" spans="2:9" x14ac:dyDescent="0.25">
      <c r="B75" t="s">
        <v>179</v>
      </c>
      <c r="D75" t="s">
        <v>50</v>
      </c>
      <c r="G75" t="s">
        <v>51</v>
      </c>
    </row>
  </sheetData>
  <mergeCells count="1">
    <mergeCell ref="C47:D47"/>
  </mergeCells>
  <pageMargins left="0" right="0" top="0" bottom="0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3" workbookViewId="0">
      <selection activeCell="F56" sqref="F56"/>
    </sheetView>
  </sheetViews>
  <sheetFormatPr defaultRowHeight="15" x14ac:dyDescent="0.25"/>
  <cols>
    <col min="1" max="1" width="3" customWidth="1"/>
    <col min="2" max="2" width="20" bestFit="1" customWidth="1"/>
    <col min="3" max="3" width="6.42578125" customWidth="1"/>
    <col min="4" max="4" width="7" customWidth="1"/>
    <col min="5" max="5" width="6.5703125" customWidth="1"/>
    <col min="6" max="6" width="11.85546875" bestFit="1" customWidth="1"/>
    <col min="7" max="7" width="7.5703125" customWidth="1"/>
    <col min="8" max="8" width="10" bestFit="1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225</v>
      </c>
      <c r="D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'JANUARY 20'!G6:G25</f>
        <v>0</v>
      </c>
      <c r="D6" s="3">
        <v>1000</v>
      </c>
      <c r="E6" s="3">
        <f>D6+C6</f>
        <v>1000</v>
      </c>
      <c r="F6" s="3"/>
      <c r="G6" s="3">
        <f>E6-F6</f>
        <v>1000</v>
      </c>
    </row>
    <row r="7" spans="1:8" x14ac:dyDescent="0.25">
      <c r="A7" s="3">
        <v>2</v>
      </c>
      <c r="B7" s="16" t="s">
        <v>109</v>
      </c>
      <c r="C7" s="3">
        <f>'JANUARY 20'!G7:G26</f>
        <v>100</v>
      </c>
      <c r="D7" s="3">
        <v>1000</v>
      </c>
      <c r="E7" s="3">
        <f t="shared" ref="E7:E24" si="0">D7+C7</f>
        <v>1100</v>
      </c>
      <c r="F7" s="3">
        <v>1000</v>
      </c>
      <c r="G7" s="3">
        <f t="shared" ref="G7:G25" si="1">E7-F7</f>
        <v>100</v>
      </c>
    </row>
    <row r="8" spans="1:8" x14ac:dyDescent="0.25">
      <c r="A8" s="16">
        <v>3</v>
      </c>
      <c r="B8" s="18" t="s">
        <v>137</v>
      </c>
      <c r="C8" s="3">
        <f>'JANUARY 20'!G8:G27</f>
        <v>2000</v>
      </c>
      <c r="D8" s="18">
        <v>1000</v>
      </c>
      <c r="E8" s="16">
        <f>D8+C8</f>
        <v>3000</v>
      </c>
      <c r="F8" s="16">
        <v>1000</v>
      </c>
      <c r="G8" s="3">
        <f>E8-F8</f>
        <v>2000</v>
      </c>
    </row>
    <row r="9" spans="1:8" x14ac:dyDescent="0.25">
      <c r="A9" s="16">
        <v>4</v>
      </c>
      <c r="B9" s="16" t="s">
        <v>213</v>
      </c>
      <c r="C9" s="3">
        <f>'JANUARY 20'!G9:G28</f>
        <v>0</v>
      </c>
      <c r="D9" s="16">
        <v>1000</v>
      </c>
      <c r="E9" s="16">
        <f>D9+C9</f>
        <v>1000</v>
      </c>
      <c r="F9" s="16">
        <v>1000</v>
      </c>
      <c r="G9" s="3">
        <f>E9-F9</f>
        <v>0</v>
      </c>
    </row>
    <row r="10" spans="1:8" x14ac:dyDescent="0.25">
      <c r="A10" s="16">
        <v>5</v>
      </c>
      <c r="B10" s="16" t="s">
        <v>10</v>
      </c>
      <c r="C10" s="3">
        <f>'JANUARY 20'!G10:G29</f>
        <v>0</v>
      </c>
      <c r="D10" s="16">
        <v>1000</v>
      </c>
      <c r="E10" s="16">
        <f>D10+C10</f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3">
        <f>'JANUARY 20'!G11:G30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'JANUARY 20'!G12:G31</f>
        <v>0</v>
      </c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8</v>
      </c>
      <c r="B13" s="16" t="s">
        <v>220</v>
      </c>
      <c r="C13" s="3">
        <f>'JANUARY 20'!G13:G32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  <c r="H13" t="s">
        <v>187</v>
      </c>
    </row>
    <row r="14" spans="1:8" x14ac:dyDescent="0.25">
      <c r="A14" s="16">
        <v>9</v>
      </c>
      <c r="B14" s="3" t="s">
        <v>194</v>
      </c>
      <c r="C14" s="3">
        <f>'JANUARY 20'!G14:G33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16">
        <v>10</v>
      </c>
      <c r="B15" s="16" t="s">
        <v>164</v>
      </c>
      <c r="C15" s="3">
        <f>'JANUARY 20'!G15:G34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  <c r="H15" t="s">
        <v>159</v>
      </c>
    </row>
    <row r="16" spans="1:8" x14ac:dyDescent="0.25">
      <c r="A16" s="16">
        <v>11</v>
      </c>
      <c r="B16" s="36" t="s">
        <v>15</v>
      </c>
      <c r="C16" s="3">
        <f>'JANUARY 20'!G16:G35</f>
        <v>0</v>
      </c>
      <c r="D16" s="18"/>
      <c r="E16" s="16"/>
      <c r="F16" s="18"/>
      <c r="G16" s="14">
        <f t="shared" si="1"/>
        <v>0</v>
      </c>
    </row>
    <row r="17" spans="1:9" x14ac:dyDescent="0.25">
      <c r="A17" s="16">
        <v>12</v>
      </c>
      <c r="B17" s="3"/>
      <c r="C17" s="3">
        <f>'JANUARY 20'!G17:G36</f>
        <v>0</v>
      </c>
      <c r="D17" s="3"/>
      <c r="E17" s="16">
        <f>D17+C17</f>
        <v>0</v>
      </c>
      <c r="F17" s="3"/>
      <c r="G17" s="3"/>
    </row>
    <row r="18" spans="1:9" x14ac:dyDescent="0.25">
      <c r="A18" s="16">
        <v>13</v>
      </c>
      <c r="B18" s="16" t="s">
        <v>204</v>
      </c>
      <c r="C18" s="3">
        <f>'JANUARY 20'!G18:G37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209</v>
      </c>
      <c r="C19" s="3">
        <f>'JANUARY 20'!G19:G38</f>
        <v>0</v>
      </c>
      <c r="D19" s="16">
        <v>1000</v>
      </c>
      <c r="E19" s="16">
        <f>D19+C19</f>
        <v>1000</v>
      </c>
      <c r="F19" s="16">
        <v>970</v>
      </c>
      <c r="G19" s="3">
        <f t="shared" si="1"/>
        <v>30</v>
      </c>
    </row>
    <row r="20" spans="1:9" x14ac:dyDescent="0.25">
      <c r="A20" s="16">
        <v>15</v>
      </c>
      <c r="B20" s="16" t="s">
        <v>137</v>
      </c>
      <c r="C20" s="3">
        <f>'JANUARY 20'!G20:G39</f>
        <v>2000</v>
      </c>
      <c r="D20" s="16">
        <v>1000</v>
      </c>
      <c r="E20" s="16">
        <f t="shared" si="0"/>
        <v>3000</v>
      </c>
      <c r="F20" s="16"/>
      <c r="G20" s="3">
        <f t="shared" si="1"/>
        <v>3000</v>
      </c>
    </row>
    <row r="21" spans="1:9" x14ac:dyDescent="0.25">
      <c r="A21" s="16">
        <v>16</v>
      </c>
      <c r="B21" s="3" t="s">
        <v>30</v>
      </c>
      <c r="C21" s="3">
        <f>'JANUARY 20'!G21:G40</f>
        <v>2000</v>
      </c>
      <c r="D21" s="3">
        <v>1000</v>
      </c>
      <c r="E21" s="3">
        <f>D21+C21</f>
        <v>3000</v>
      </c>
      <c r="F21" s="3">
        <f>500+1000+500+1000</f>
        <v>3000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'JANUARY 20'!G22:G41</f>
        <v>0</v>
      </c>
      <c r="D22" s="16">
        <v>1500</v>
      </c>
      <c r="E22" s="16">
        <f t="shared" si="0"/>
        <v>1500</v>
      </c>
      <c r="F22" s="16"/>
      <c r="G22" s="3">
        <f t="shared" si="1"/>
        <v>1500</v>
      </c>
    </row>
    <row r="23" spans="1:9" x14ac:dyDescent="0.25">
      <c r="A23" s="3">
        <v>18</v>
      </c>
      <c r="B23" s="36" t="s">
        <v>203</v>
      </c>
      <c r="C23" s="3">
        <f>'JANUARY 20'!G23:G42</f>
        <v>0</v>
      </c>
      <c r="D23" s="3"/>
      <c r="E23" s="16">
        <f t="shared" si="0"/>
        <v>0</v>
      </c>
      <c r="F23" s="3"/>
      <c r="G23" s="3">
        <f t="shared" si="1"/>
        <v>0</v>
      </c>
    </row>
    <row r="24" spans="1:9" x14ac:dyDescent="0.25">
      <c r="A24" s="3">
        <v>19</v>
      </c>
      <c r="B24" s="18" t="s">
        <v>135</v>
      </c>
      <c r="C24" s="3">
        <f>'JANUARY 20'!G24:G43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'JANUARY 20'!G25:G44</f>
        <v>2320</v>
      </c>
      <c r="D25" s="3">
        <v>1500</v>
      </c>
      <c r="E25" s="16">
        <f>D25+C25</f>
        <v>3820</v>
      </c>
      <c r="F25" s="3"/>
      <c r="G25" s="3">
        <f t="shared" si="1"/>
        <v>3820</v>
      </c>
    </row>
    <row r="26" spans="1:9" x14ac:dyDescent="0.25">
      <c r="B26" s="2" t="s">
        <v>26</v>
      </c>
      <c r="C26" s="3">
        <f>SUM(C6:C25)</f>
        <v>8920</v>
      </c>
      <c r="D26" s="2">
        <f>SUM(D6:D25)</f>
        <v>18500</v>
      </c>
      <c r="E26" s="2">
        <f>SUM(E6:E25)</f>
        <v>27420</v>
      </c>
      <c r="F26" s="2">
        <f>SUM(F6:F25)</f>
        <v>15470</v>
      </c>
      <c r="G26" s="2">
        <f>SUM(G6:G25)</f>
        <v>11950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224</v>
      </c>
      <c r="C30" s="3">
        <f>D26</f>
        <v>18500</v>
      </c>
      <c r="D30" s="3"/>
      <c r="E30" s="3"/>
      <c r="F30" s="3" t="s">
        <v>224</v>
      </c>
      <c r="G30" s="3">
        <f>F26</f>
        <v>15470</v>
      </c>
      <c r="H30" s="3"/>
      <c r="I30" s="3"/>
    </row>
    <row r="31" spans="1:9" x14ac:dyDescent="0.25">
      <c r="B31" s="3" t="s">
        <v>62</v>
      </c>
      <c r="C31" s="3">
        <f>'JANUARY 20'!E39</f>
        <v>-1000</v>
      </c>
      <c r="D31" s="3"/>
      <c r="E31" s="3"/>
      <c r="F31" s="3" t="s">
        <v>62</v>
      </c>
      <c r="G31">
        <f>'JANUARY 20'!I39</f>
        <v>-11920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1850</v>
      </c>
      <c r="E32" s="3"/>
      <c r="F32" s="3" t="s">
        <v>41</v>
      </c>
      <c r="G32" s="5">
        <v>0.1</v>
      </c>
      <c r="H32" s="3">
        <f>D32</f>
        <v>1850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226</v>
      </c>
      <c r="C34" s="3"/>
      <c r="D34" s="3">
        <v>1000</v>
      </c>
      <c r="E34" s="3"/>
      <c r="F34" s="19" t="s">
        <v>226</v>
      </c>
      <c r="G34" s="3"/>
      <c r="H34" s="3">
        <v>1000</v>
      </c>
      <c r="I34" s="3"/>
    </row>
    <row r="35" spans="2:9" x14ac:dyDescent="0.25">
      <c r="B35" s="19" t="s">
        <v>230</v>
      </c>
      <c r="C35" s="3"/>
      <c r="D35" s="3">
        <v>14650</v>
      </c>
      <c r="E35" s="3"/>
      <c r="F35" s="19" t="s">
        <v>230</v>
      </c>
      <c r="G35" s="3"/>
      <c r="H35" s="3">
        <v>14650</v>
      </c>
      <c r="I35" s="3"/>
    </row>
    <row r="36" spans="2:9" x14ac:dyDescent="0.25">
      <c r="B36" s="19" t="s">
        <v>164</v>
      </c>
      <c r="C36" s="3"/>
      <c r="D36" s="3">
        <v>1000</v>
      </c>
      <c r="E36" s="3"/>
      <c r="F36" s="19" t="s">
        <v>164</v>
      </c>
      <c r="G36" s="3"/>
      <c r="H36" s="3">
        <v>1000</v>
      </c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2" t="s">
        <v>26</v>
      </c>
      <c r="C39" s="2">
        <f>C30+C31-D32</f>
        <v>15650</v>
      </c>
      <c r="D39" s="2">
        <f>SUM(D34:D38)</f>
        <v>16650</v>
      </c>
      <c r="E39" s="2">
        <f>C39-D39</f>
        <v>-1000</v>
      </c>
      <c r="F39" s="2" t="s">
        <v>26</v>
      </c>
      <c r="G39" s="2">
        <f>G30+G31-H32</f>
        <v>1700</v>
      </c>
      <c r="H39" s="2">
        <f>SUM(H34:H38)</f>
        <v>16650</v>
      </c>
      <c r="I39" s="2">
        <f>G39-H39</f>
        <v>-14950</v>
      </c>
    </row>
    <row r="40" spans="2:9" x14ac:dyDescent="0.25">
      <c r="B40" t="s">
        <v>33</v>
      </c>
      <c r="D40" t="s">
        <v>49</v>
      </c>
      <c r="G40" t="s">
        <v>34</v>
      </c>
    </row>
    <row r="41" spans="2:9" x14ac:dyDescent="0.25">
      <c r="B41" t="s">
        <v>179</v>
      </c>
      <c r="D41" t="s">
        <v>50</v>
      </c>
      <c r="G41" t="s">
        <v>51</v>
      </c>
    </row>
    <row r="44" spans="2:9" ht="18.75" x14ac:dyDescent="0.3">
      <c r="C44" s="1" t="s">
        <v>42</v>
      </c>
      <c r="D44" s="21"/>
      <c r="E44" s="21"/>
      <c r="F44" s="21"/>
      <c r="G44" s="22"/>
    </row>
    <row r="45" spans="2:9" ht="15.75" x14ac:dyDescent="0.25">
      <c r="C45" s="29" t="s">
        <v>0</v>
      </c>
      <c r="D45" s="29"/>
      <c r="E45" s="29"/>
      <c r="F45" s="29"/>
      <c r="G45" s="22"/>
    </row>
    <row r="46" spans="2:9" ht="15.75" x14ac:dyDescent="0.25">
      <c r="C46" s="29" t="s">
        <v>225</v>
      </c>
      <c r="D46" s="29"/>
      <c r="E46" s="29"/>
      <c r="F46" s="29"/>
      <c r="G46" s="22"/>
    </row>
    <row r="47" spans="2:9" x14ac:dyDescent="0.25">
      <c r="B47" s="18"/>
      <c r="C47" s="48" t="s">
        <v>139</v>
      </c>
      <c r="D47" s="49"/>
      <c r="E47" s="30"/>
      <c r="F47" s="31"/>
      <c r="G47" s="3"/>
    </row>
    <row r="48" spans="2:9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9" x14ac:dyDescent="0.25">
      <c r="A49">
        <v>1</v>
      </c>
      <c r="B49" s="18"/>
      <c r="C49" s="3">
        <f>'JANUARY 20'!G49:G60</f>
        <v>0</v>
      </c>
      <c r="D49" s="3"/>
      <c r="E49" s="16">
        <f>C49+D49</f>
        <v>0</v>
      </c>
      <c r="F49" s="3"/>
      <c r="G49" s="3">
        <f>E49-F49</f>
        <v>0</v>
      </c>
    </row>
    <row r="50" spans="1:9" x14ac:dyDescent="0.25">
      <c r="A50">
        <v>2</v>
      </c>
      <c r="B50" s="18"/>
      <c r="C50" s="3">
        <f>'JANUARY 20'!G50:G61</f>
        <v>0</v>
      </c>
      <c r="D50" s="3"/>
      <c r="E50" s="16">
        <f t="shared" ref="E50:E58" si="2">C50+D50</f>
        <v>0</v>
      </c>
      <c r="F50" s="3"/>
      <c r="G50" s="3">
        <f t="shared" ref="G50:G58" si="3">E50-F50</f>
        <v>0</v>
      </c>
    </row>
    <row r="51" spans="1:9" x14ac:dyDescent="0.25">
      <c r="A51">
        <v>3</v>
      </c>
      <c r="B51" s="18" t="s">
        <v>193</v>
      </c>
      <c r="C51" s="3">
        <f>'JANUARY 20'!G51:G62</f>
        <v>0</v>
      </c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>
        <v>4</v>
      </c>
      <c r="B52" s="18" t="s">
        <v>144</v>
      </c>
      <c r="C52" s="3">
        <f>'JANUARY 20'!G52:G63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5</v>
      </c>
      <c r="B53" s="18" t="s">
        <v>229</v>
      </c>
      <c r="C53" s="3">
        <f>'JANUARY 20'!G53:G64</f>
        <v>0</v>
      </c>
      <c r="D53" s="3">
        <v>2000</v>
      </c>
      <c r="E53" s="16">
        <f t="shared" si="2"/>
        <v>2000</v>
      </c>
      <c r="F53" s="3">
        <v>2000</v>
      </c>
      <c r="G53" s="3">
        <f t="shared" si="3"/>
        <v>0</v>
      </c>
    </row>
    <row r="54" spans="1:9" x14ac:dyDescent="0.25">
      <c r="A54">
        <v>6</v>
      </c>
      <c r="B54" s="18" t="s">
        <v>165</v>
      </c>
      <c r="C54" s="3">
        <f>'JANUARY 20'!G54:G65</f>
        <v>0</v>
      </c>
      <c r="D54" s="3">
        <v>2000</v>
      </c>
      <c r="E54" s="16">
        <f t="shared" si="2"/>
        <v>2000</v>
      </c>
      <c r="F54" s="3">
        <v>2000</v>
      </c>
      <c r="G54" s="3">
        <f t="shared" si="3"/>
        <v>0</v>
      </c>
    </row>
    <row r="55" spans="1:9" x14ac:dyDescent="0.25">
      <c r="A55">
        <v>7</v>
      </c>
      <c r="B55" s="18" t="s">
        <v>166</v>
      </c>
      <c r="C55" s="3">
        <f>'JANUARY 20'!G55:G66</f>
        <v>4300</v>
      </c>
      <c r="D55" s="3">
        <v>2000</v>
      </c>
      <c r="E55" s="16">
        <f t="shared" si="2"/>
        <v>6300</v>
      </c>
      <c r="F55" s="3">
        <v>2000</v>
      </c>
      <c r="G55" s="3">
        <f t="shared" si="3"/>
        <v>4300</v>
      </c>
    </row>
    <row r="56" spans="1:9" x14ac:dyDescent="0.25">
      <c r="A56">
        <v>8</v>
      </c>
      <c r="B56" s="18" t="s">
        <v>222</v>
      </c>
      <c r="C56" s="3">
        <f>'JANUARY 20'!G56:G67</f>
        <v>0</v>
      </c>
      <c r="D56" s="3">
        <v>2000</v>
      </c>
      <c r="E56" s="16">
        <f t="shared" si="2"/>
        <v>2000</v>
      </c>
      <c r="F56" s="3"/>
      <c r="G56" s="3">
        <f t="shared" si="3"/>
        <v>2000</v>
      </c>
      <c r="H56">
        <v>724495989</v>
      </c>
    </row>
    <row r="57" spans="1:9" x14ac:dyDescent="0.25">
      <c r="A57">
        <v>9</v>
      </c>
      <c r="B57" s="18" t="s">
        <v>190</v>
      </c>
      <c r="C57" s="3">
        <f>'JANUARY 20'!G57:G68</f>
        <v>0</v>
      </c>
      <c r="D57" s="3">
        <v>2000</v>
      </c>
      <c r="E57" s="16">
        <f t="shared" si="2"/>
        <v>2000</v>
      </c>
      <c r="F57" s="3">
        <v>2000</v>
      </c>
      <c r="G57" s="3">
        <f t="shared" si="3"/>
        <v>0</v>
      </c>
    </row>
    <row r="58" spans="1:9" x14ac:dyDescent="0.25">
      <c r="A58">
        <v>10</v>
      </c>
      <c r="B58" s="18" t="s">
        <v>228</v>
      </c>
      <c r="C58" s="3">
        <f>'JANUARY 20'!G58:G69</f>
        <v>0</v>
      </c>
      <c r="D58" s="3">
        <v>2000</v>
      </c>
      <c r="E58" s="16">
        <f t="shared" si="2"/>
        <v>2000</v>
      </c>
      <c r="F58" s="3"/>
      <c r="G58" s="3">
        <f t="shared" si="3"/>
        <v>2000</v>
      </c>
    </row>
    <row r="59" spans="1:9" x14ac:dyDescent="0.25">
      <c r="A59">
        <v>11</v>
      </c>
      <c r="B59" s="18"/>
      <c r="C59" s="3">
        <f>'JANUARY 20'!G59:G70</f>
        <v>0</v>
      </c>
      <c r="D59" s="3"/>
      <c r="E59" s="16"/>
      <c r="F59" s="3"/>
      <c r="G59" s="3"/>
    </row>
    <row r="60" spans="1:9" x14ac:dyDescent="0.25">
      <c r="A60">
        <v>12</v>
      </c>
      <c r="B60" s="18"/>
      <c r="C60" s="3">
        <f>'JANUARY 20'!G60:G71</f>
        <v>0</v>
      </c>
      <c r="D60" s="3"/>
      <c r="E60" s="16"/>
      <c r="F60" s="3"/>
      <c r="G60" s="3"/>
    </row>
    <row r="61" spans="1:9" x14ac:dyDescent="0.25">
      <c r="B61" s="2" t="s">
        <v>26</v>
      </c>
      <c r="C61" s="3">
        <f>SUM(C49:C60)</f>
        <v>4300</v>
      </c>
      <c r="D61" s="2">
        <f>SUM(D49:D60)</f>
        <v>16000</v>
      </c>
      <c r="E61" s="2">
        <f>SUM(E49:E60)</f>
        <v>20300</v>
      </c>
      <c r="F61" s="2">
        <f>SUM(F49:F60)</f>
        <v>12000</v>
      </c>
      <c r="G61" s="2">
        <f>SUM(G49:G60)</f>
        <v>8300</v>
      </c>
    </row>
    <row r="63" spans="1:9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9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</row>
    <row r="65" spans="2:9" x14ac:dyDescent="0.25">
      <c r="B65" s="3" t="s">
        <v>224</v>
      </c>
      <c r="C65" s="3">
        <f>D61</f>
        <v>16000</v>
      </c>
      <c r="D65" s="3"/>
      <c r="E65" s="3"/>
      <c r="F65" s="3" t="s">
        <v>224</v>
      </c>
      <c r="G65" s="3">
        <f>F61</f>
        <v>12000</v>
      </c>
      <c r="H65" s="3"/>
      <c r="I65" s="3"/>
    </row>
    <row r="66" spans="2:9" x14ac:dyDescent="0.25">
      <c r="B66" s="3" t="s">
        <v>62</v>
      </c>
      <c r="C66" s="3">
        <f>'JANUARY 20'!E71</f>
        <v>0</v>
      </c>
      <c r="D66" s="3"/>
      <c r="E66" s="3"/>
      <c r="F66" s="3" t="s">
        <v>62</v>
      </c>
      <c r="G66">
        <f>'JANUARY 20'!I71</f>
        <v>-4300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D67</f>
        <v>1600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230</v>
      </c>
      <c r="C69" s="19"/>
      <c r="D69" s="3">
        <v>14400</v>
      </c>
      <c r="E69" s="3"/>
      <c r="F69" s="35" t="s">
        <v>230</v>
      </c>
      <c r="G69" s="19"/>
      <c r="H69" s="3">
        <v>14400</v>
      </c>
      <c r="I69" s="3"/>
    </row>
    <row r="70" spans="2:9" x14ac:dyDescent="0.25">
      <c r="B70" s="10"/>
      <c r="C70" s="3"/>
      <c r="D70" s="3"/>
      <c r="E70" s="3"/>
      <c r="F70" s="10"/>
      <c r="G70" s="3"/>
      <c r="H70" s="3"/>
      <c r="I70" s="3"/>
    </row>
    <row r="71" spans="2:9" x14ac:dyDescent="0.25">
      <c r="B71" s="2" t="s">
        <v>26</v>
      </c>
      <c r="C71" s="2">
        <f>C65+C66-D67</f>
        <v>14400</v>
      </c>
      <c r="D71" s="2">
        <f>SUM(D69:D70)</f>
        <v>14400</v>
      </c>
      <c r="E71" s="2">
        <f>C71-D71</f>
        <v>0</v>
      </c>
      <c r="F71" s="2" t="s">
        <v>26</v>
      </c>
      <c r="G71" s="2">
        <f>G65+G66-H67</f>
        <v>6100</v>
      </c>
      <c r="H71" s="2">
        <f>SUM(H69:H70)</f>
        <v>14400</v>
      </c>
      <c r="I71" s="2">
        <f>G71-H71</f>
        <v>-8300</v>
      </c>
    </row>
    <row r="73" spans="2:9" x14ac:dyDescent="0.25">
      <c r="B73" t="s">
        <v>33</v>
      </c>
      <c r="D73" t="s">
        <v>49</v>
      </c>
      <c r="G73" t="s">
        <v>34</v>
      </c>
    </row>
    <row r="75" spans="2:9" x14ac:dyDescent="0.25">
      <c r="B75" t="s">
        <v>179</v>
      </c>
      <c r="D75" t="s">
        <v>50</v>
      </c>
      <c r="G75" t="s">
        <v>51</v>
      </c>
    </row>
  </sheetData>
  <mergeCells count="1">
    <mergeCell ref="C47:D47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" workbookViewId="0">
      <selection activeCell="G73" sqref="G73"/>
    </sheetView>
  </sheetViews>
  <sheetFormatPr defaultRowHeight="15" x14ac:dyDescent="0.25"/>
  <cols>
    <col min="1" max="1" width="3.140625" customWidth="1"/>
    <col min="2" max="2" width="19.285156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231</v>
      </c>
      <c r="D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FEBRUARY!G6:G25</f>
        <v>1000</v>
      </c>
      <c r="D6" s="3">
        <v>1000</v>
      </c>
      <c r="E6" s="3">
        <f>D6+C6</f>
        <v>2000</v>
      </c>
      <c r="F6" s="3">
        <f>1000+200</f>
        <v>1200</v>
      </c>
      <c r="G6" s="3">
        <f>E6-F6</f>
        <v>800</v>
      </c>
    </row>
    <row r="7" spans="1:8" x14ac:dyDescent="0.25">
      <c r="A7" s="3">
        <v>2</v>
      </c>
      <c r="B7" s="16" t="s">
        <v>109</v>
      </c>
      <c r="C7" s="3">
        <f>FEBRUARY!G7:G26</f>
        <v>100</v>
      </c>
      <c r="D7" s="3">
        <v>1000</v>
      </c>
      <c r="E7" s="3">
        <f t="shared" ref="E7:E24" si="0">D7+C7</f>
        <v>1100</v>
      </c>
      <c r="F7" s="3">
        <v>1000</v>
      </c>
      <c r="G7" s="3">
        <f t="shared" ref="G7:G25" si="1">E7-F7</f>
        <v>100</v>
      </c>
    </row>
    <row r="8" spans="1:8" x14ac:dyDescent="0.25">
      <c r="A8" s="16">
        <v>3</v>
      </c>
      <c r="B8" s="18" t="s">
        <v>137</v>
      </c>
      <c r="C8" s="3">
        <f>FEBRUARY!G8:G27</f>
        <v>2000</v>
      </c>
      <c r="D8" s="18">
        <v>1000</v>
      </c>
      <c r="E8" s="16">
        <f>D8+C8</f>
        <v>3000</v>
      </c>
      <c r="F8" s="16">
        <v>3000</v>
      </c>
      <c r="G8" s="3">
        <f>E8-F8</f>
        <v>0</v>
      </c>
      <c r="H8" t="s">
        <v>187</v>
      </c>
    </row>
    <row r="9" spans="1:8" x14ac:dyDescent="0.25">
      <c r="A9" s="16">
        <v>4</v>
      </c>
      <c r="B9" s="16" t="s">
        <v>238</v>
      </c>
      <c r="C9" s="3">
        <f>FEBRUARY!G9:G28</f>
        <v>0</v>
      </c>
      <c r="D9" s="16">
        <v>1000</v>
      </c>
      <c r="E9" s="16">
        <f>D9+C9</f>
        <v>1000</v>
      </c>
      <c r="F9" s="16">
        <v>1000</v>
      </c>
      <c r="G9" s="3"/>
    </row>
    <row r="10" spans="1:8" x14ac:dyDescent="0.25">
      <c r="A10" s="16">
        <v>5</v>
      </c>
      <c r="B10" s="16" t="s">
        <v>10</v>
      </c>
      <c r="C10" s="3">
        <f>FEBRUARY!G10:G29</f>
        <v>0</v>
      </c>
      <c r="D10" s="16">
        <v>1000</v>
      </c>
      <c r="E10" s="16">
        <f>D10+C10</f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3">
        <f>FEBRUARY!G11:G30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FEBRUARY!G12:G31</f>
        <v>0</v>
      </c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8</v>
      </c>
      <c r="B13" s="16" t="s">
        <v>220</v>
      </c>
      <c r="C13" s="3">
        <f>FEBRUARY!G13:G32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  <c r="H13" t="s">
        <v>187</v>
      </c>
    </row>
    <row r="14" spans="1:8" x14ac:dyDescent="0.25">
      <c r="A14" s="16">
        <v>9</v>
      </c>
      <c r="B14" s="3" t="s">
        <v>194</v>
      </c>
      <c r="C14" s="3">
        <f>FEBRUARY!G14:G33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16">
        <v>10</v>
      </c>
      <c r="B15" s="16" t="s">
        <v>232</v>
      </c>
      <c r="C15" s="3"/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18" t="s">
        <v>233</v>
      </c>
      <c r="C16" s="3">
        <f>FEBRUARY!G16:G35</f>
        <v>0</v>
      </c>
      <c r="D16" s="18">
        <v>1000</v>
      </c>
      <c r="E16" s="16">
        <f t="shared" si="0"/>
        <v>1000</v>
      </c>
      <c r="F16" s="18">
        <v>1000</v>
      </c>
      <c r="G16" s="14">
        <f t="shared" si="1"/>
        <v>0</v>
      </c>
    </row>
    <row r="17" spans="1:11" x14ac:dyDescent="0.25">
      <c r="A17" s="16">
        <v>12</v>
      </c>
      <c r="B17" s="3" t="s">
        <v>234</v>
      </c>
      <c r="C17" s="3">
        <f>FEBRUARY!G17:G36</f>
        <v>0</v>
      </c>
      <c r="D17" s="3">
        <v>1000</v>
      </c>
      <c r="E17" s="16">
        <f>D17+C17</f>
        <v>1000</v>
      </c>
      <c r="F17" s="3">
        <v>1000</v>
      </c>
      <c r="G17" s="3"/>
    </row>
    <row r="18" spans="1:11" x14ac:dyDescent="0.25">
      <c r="A18" s="16">
        <v>13</v>
      </c>
      <c r="B18" s="16" t="s">
        <v>204</v>
      </c>
      <c r="C18" s="3">
        <f>FEBRUARY!G18:G37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11" x14ac:dyDescent="0.25">
      <c r="A19" s="16">
        <v>14</v>
      </c>
      <c r="B19" s="16" t="s">
        <v>209</v>
      </c>
      <c r="C19" s="3">
        <f>FEBRUARY!G19:G38</f>
        <v>30</v>
      </c>
      <c r="D19" s="16">
        <v>1000</v>
      </c>
      <c r="E19" s="16">
        <f>D19+C19</f>
        <v>1030</v>
      </c>
      <c r="F19" s="16">
        <v>1000</v>
      </c>
      <c r="G19" s="3">
        <f t="shared" si="1"/>
        <v>30</v>
      </c>
    </row>
    <row r="20" spans="1:11" x14ac:dyDescent="0.25">
      <c r="A20" s="16">
        <v>15</v>
      </c>
      <c r="B20" s="16" t="s">
        <v>137</v>
      </c>
      <c r="C20" s="3">
        <f>FEBRUARY!G20:G39</f>
        <v>3000</v>
      </c>
      <c r="D20" s="16">
        <v>1000</v>
      </c>
      <c r="E20" s="16">
        <f t="shared" si="0"/>
        <v>4000</v>
      </c>
      <c r="F20" s="16">
        <v>4000</v>
      </c>
      <c r="G20" s="3">
        <f t="shared" si="1"/>
        <v>0</v>
      </c>
      <c r="H20" t="s">
        <v>187</v>
      </c>
    </row>
    <row r="21" spans="1:11" x14ac:dyDescent="0.25">
      <c r="A21" s="16">
        <v>16</v>
      </c>
      <c r="B21" s="3" t="s">
        <v>30</v>
      </c>
      <c r="C21" s="3">
        <f>FEBRUARY!G21:G40</f>
        <v>0</v>
      </c>
      <c r="D21" s="3">
        <v>1000</v>
      </c>
      <c r="E21" s="3">
        <f>D21+C21</f>
        <v>1000</v>
      </c>
      <c r="F21" s="3">
        <v>1000</v>
      </c>
      <c r="G21" s="3">
        <f>E21-F21</f>
        <v>0</v>
      </c>
    </row>
    <row r="22" spans="1:11" x14ac:dyDescent="0.25">
      <c r="A22" s="16">
        <v>17</v>
      </c>
      <c r="B22" s="16" t="s">
        <v>47</v>
      </c>
      <c r="C22" s="3">
        <f>FEBRUARY!G22:G41</f>
        <v>1500</v>
      </c>
      <c r="D22" s="16">
        <v>1500</v>
      </c>
      <c r="E22" s="16">
        <f t="shared" si="0"/>
        <v>3000</v>
      </c>
      <c r="F22" s="16">
        <f>2000+500+500</f>
        <v>3000</v>
      </c>
      <c r="G22" s="3">
        <f t="shared" si="1"/>
        <v>0</v>
      </c>
    </row>
    <row r="23" spans="1:11" x14ac:dyDescent="0.25">
      <c r="A23" s="3">
        <v>18</v>
      </c>
      <c r="B23" s="18" t="s">
        <v>235</v>
      </c>
      <c r="C23" s="3">
        <f>FEBRUARY!G23:G42</f>
        <v>0</v>
      </c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</row>
    <row r="24" spans="1:11" x14ac:dyDescent="0.25">
      <c r="A24" s="3">
        <v>19</v>
      </c>
      <c r="B24" s="18" t="s">
        <v>135</v>
      </c>
      <c r="C24" s="3">
        <f>FEBRUARY!G24:G43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11" x14ac:dyDescent="0.25">
      <c r="A25" s="3">
        <v>20</v>
      </c>
      <c r="B25" s="18" t="s">
        <v>118</v>
      </c>
      <c r="C25" s="3">
        <f>FEBRUARY!G25:G44</f>
        <v>3820</v>
      </c>
      <c r="D25" s="3">
        <v>1500</v>
      </c>
      <c r="E25" s="16">
        <f>D25+C25</f>
        <v>5320</v>
      </c>
      <c r="F25" s="3">
        <f>1500+1300+2000+500</f>
        <v>5300</v>
      </c>
      <c r="G25" s="3">
        <f t="shared" si="1"/>
        <v>20</v>
      </c>
    </row>
    <row r="26" spans="1:11" x14ac:dyDescent="0.25">
      <c r="B26" s="2" t="s">
        <v>26</v>
      </c>
      <c r="C26" s="3">
        <f>SUM(C6:C25)</f>
        <v>11950</v>
      </c>
      <c r="D26" s="2">
        <f>SUM(D6:D25)</f>
        <v>22000</v>
      </c>
      <c r="E26" s="2">
        <f>SUM(E6:E25)</f>
        <v>33950</v>
      </c>
      <c r="F26" s="2">
        <f>SUM(F6:F25)</f>
        <v>32500</v>
      </c>
      <c r="G26" s="2">
        <f>SUM(G6:G25)</f>
        <v>1450</v>
      </c>
    </row>
    <row r="27" spans="1:11" x14ac:dyDescent="0.25">
      <c r="K27">
        <f>G25+1500</f>
        <v>1520</v>
      </c>
    </row>
    <row r="28" spans="1:11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1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1" x14ac:dyDescent="0.25">
      <c r="B30" s="3" t="s">
        <v>48</v>
      </c>
      <c r="C30" s="3">
        <f>D26</f>
        <v>22000</v>
      </c>
      <c r="D30" s="3"/>
      <c r="E30" s="3"/>
      <c r="F30" s="3" t="s">
        <v>48</v>
      </c>
      <c r="G30" s="3">
        <f>F26</f>
        <v>32500</v>
      </c>
      <c r="H30" s="3"/>
      <c r="I30" s="3"/>
    </row>
    <row r="31" spans="1:11" x14ac:dyDescent="0.25">
      <c r="B31" s="3" t="s">
        <v>62</v>
      </c>
      <c r="C31" s="3">
        <f>FEBRUARY!E39</f>
        <v>-1000</v>
      </c>
      <c r="D31" s="3"/>
      <c r="E31" s="3"/>
      <c r="F31" s="3" t="s">
        <v>62</v>
      </c>
      <c r="G31">
        <f>FEBRUARY!I39</f>
        <v>-14950</v>
      </c>
      <c r="H31" s="3"/>
      <c r="I31" s="3"/>
    </row>
    <row r="32" spans="1:11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D32</f>
        <v>2200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220</v>
      </c>
      <c r="C34" s="3"/>
      <c r="D34" s="3">
        <v>1000</v>
      </c>
      <c r="E34" s="3"/>
      <c r="F34" s="19" t="s">
        <v>220</v>
      </c>
      <c r="G34" s="3"/>
      <c r="H34" s="3">
        <v>1000</v>
      </c>
      <c r="I34" s="3"/>
    </row>
    <row r="35" spans="2:9" x14ac:dyDescent="0.25">
      <c r="B35" s="19" t="s">
        <v>236</v>
      </c>
      <c r="C35" s="3"/>
      <c r="D35" s="3">
        <f>E20+E8</f>
        <v>7000</v>
      </c>
      <c r="E35" s="3"/>
      <c r="F35" s="19" t="s">
        <v>236</v>
      </c>
      <c r="G35" s="3"/>
      <c r="H35" s="3">
        <f>E20+E8</f>
        <v>7000</v>
      </c>
      <c r="I35" s="3"/>
    </row>
    <row r="36" spans="2:9" x14ac:dyDescent="0.25">
      <c r="B36" s="19" t="s">
        <v>237</v>
      </c>
      <c r="C36" s="3"/>
      <c r="D36" s="3">
        <v>9450</v>
      </c>
      <c r="E36" s="3"/>
      <c r="F36" s="19" t="s">
        <v>237</v>
      </c>
      <c r="G36" s="3"/>
      <c r="H36" s="3">
        <v>9450</v>
      </c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2" t="s">
        <v>26</v>
      </c>
      <c r="C39" s="2">
        <f>C30+C31-D32</f>
        <v>18800</v>
      </c>
      <c r="D39" s="2">
        <f>SUM(D34:D38)</f>
        <v>17450</v>
      </c>
      <c r="E39" s="2">
        <f>C39-D39</f>
        <v>1350</v>
      </c>
      <c r="F39" s="2" t="s">
        <v>26</v>
      </c>
      <c r="G39" s="2">
        <f>G30+G31-H32</f>
        <v>15350</v>
      </c>
      <c r="H39" s="2">
        <f>SUM(H34:H38)</f>
        <v>17450</v>
      </c>
      <c r="I39" s="2">
        <f>G39-H39</f>
        <v>-2100</v>
      </c>
    </row>
    <row r="40" spans="2:9" x14ac:dyDescent="0.25">
      <c r="B40" t="s">
        <v>33</v>
      </c>
      <c r="D40" t="s">
        <v>49</v>
      </c>
      <c r="G40" t="s">
        <v>34</v>
      </c>
    </row>
    <row r="41" spans="2:9" x14ac:dyDescent="0.25">
      <c r="B41" t="s">
        <v>179</v>
      </c>
      <c r="D41" t="s">
        <v>50</v>
      </c>
      <c r="G41" t="s">
        <v>51</v>
      </c>
    </row>
    <row r="44" spans="2:9" ht="18.75" x14ac:dyDescent="0.3">
      <c r="C44" s="1" t="s">
        <v>42</v>
      </c>
      <c r="D44" s="21"/>
      <c r="E44" s="21"/>
      <c r="F44" s="21"/>
      <c r="G44" s="22"/>
    </row>
    <row r="45" spans="2:9" ht="15.75" x14ac:dyDescent="0.25">
      <c r="C45" s="29" t="s">
        <v>0</v>
      </c>
      <c r="D45" s="29"/>
      <c r="E45" s="29"/>
      <c r="F45" s="29"/>
      <c r="G45" s="22"/>
    </row>
    <row r="46" spans="2:9" ht="15.75" x14ac:dyDescent="0.25">
      <c r="C46" s="29" t="s">
        <v>231</v>
      </c>
      <c r="D46" s="29"/>
      <c r="E46" s="29"/>
      <c r="F46" s="29"/>
      <c r="G46" s="22"/>
    </row>
    <row r="47" spans="2:9" x14ac:dyDescent="0.25">
      <c r="B47" s="18"/>
      <c r="C47" s="48" t="s">
        <v>139</v>
      </c>
      <c r="D47" s="49"/>
      <c r="E47" s="30"/>
      <c r="F47" s="31"/>
      <c r="G47" s="3"/>
    </row>
    <row r="48" spans="2:9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9" x14ac:dyDescent="0.25">
      <c r="A49">
        <v>1</v>
      </c>
      <c r="B49" s="18"/>
      <c r="C49" s="3">
        <f>FEBRUARY!G49:G60</f>
        <v>0</v>
      </c>
      <c r="D49" s="3"/>
      <c r="E49" s="16">
        <f>C49+D49</f>
        <v>0</v>
      </c>
      <c r="F49" s="3"/>
      <c r="G49" s="3">
        <f>E49-F49</f>
        <v>0</v>
      </c>
    </row>
    <row r="50" spans="1:9" x14ac:dyDescent="0.25">
      <c r="A50">
        <v>2</v>
      </c>
      <c r="B50" s="18"/>
      <c r="C50" s="3">
        <f>FEBRUARY!G50:G61</f>
        <v>0</v>
      </c>
      <c r="D50" s="3"/>
      <c r="E50" s="16">
        <f t="shared" ref="E50:E58" si="2">C50+D50</f>
        <v>0</v>
      </c>
      <c r="F50" s="3"/>
      <c r="G50" s="3">
        <f t="shared" ref="G50:G58" si="3">E50-F50</f>
        <v>0</v>
      </c>
    </row>
    <row r="51" spans="1:9" x14ac:dyDescent="0.25">
      <c r="A51">
        <v>3</v>
      </c>
      <c r="B51" s="18" t="s">
        <v>193</v>
      </c>
      <c r="C51" s="3">
        <f>FEBRUARY!G51:G62</f>
        <v>0</v>
      </c>
      <c r="D51" s="3">
        <v>2000</v>
      </c>
      <c r="E51" s="16">
        <f t="shared" si="2"/>
        <v>2000</v>
      </c>
      <c r="F51" s="3">
        <f>1500+500</f>
        <v>2000</v>
      </c>
      <c r="G51" s="3">
        <f t="shared" si="3"/>
        <v>0</v>
      </c>
    </row>
    <row r="52" spans="1:9" x14ac:dyDescent="0.25">
      <c r="A52">
        <v>4</v>
      </c>
      <c r="B52" s="18" t="s">
        <v>144</v>
      </c>
      <c r="C52" s="3">
        <f>FEBRUARY!G52:G63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5</v>
      </c>
      <c r="B53" s="18" t="s">
        <v>229</v>
      </c>
      <c r="C53" s="3">
        <f>FEBRUARY!G53:G64</f>
        <v>0</v>
      </c>
      <c r="D53" s="3">
        <v>2000</v>
      </c>
      <c r="E53" s="16">
        <f t="shared" si="2"/>
        <v>2000</v>
      </c>
      <c r="F53" s="3">
        <v>2000</v>
      </c>
      <c r="G53" s="3">
        <f t="shared" si="3"/>
        <v>0</v>
      </c>
    </row>
    <row r="54" spans="1:9" x14ac:dyDescent="0.25">
      <c r="A54">
        <v>6</v>
      </c>
      <c r="B54" s="18" t="s">
        <v>165</v>
      </c>
      <c r="C54" s="3">
        <f>FEBRUARY!G54:G65</f>
        <v>0</v>
      </c>
      <c r="D54" s="3">
        <v>2000</v>
      </c>
      <c r="E54" s="16">
        <f t="shared" si="2"/>
        <v>2000</v>
      </c>
      <c r="F54" s="3">
        <v>2000</v>
      </c>
      <c r="G54" s="3">
        <f t="shared" si="3"/>
        <v>0</v>
      </c>
    </row>
    <row r="55" spans="1:9" x14ac:dyDescent="0.25">
      <c r="A55">
        <v>7</v>
      </c>
      <c r="B55" s="18" t="s">
        <v>166</v>
      </c>
      <c r="C55" s="3">
        <f>FEBRUARY!G55:G66</f>
        <v>4300</v>
      </c>
      <c r="D55" s="3">
        <v>2000</v>
      </c>
      <c r="E55" s="16">
        <f t="shared" si="2"/>
        <v>6300</v>
      </c>
      <c r="F55" s="3">
        <f>2550+1000+2050+700</f>
        <v>6300</v>
      </c>
      <c r="G55" s="3">
        <f t="shared" si="3"/>
        <v>0</v>
      </c>
    </row>
    <row r="56" spans="1:9" x14ac:dyDescent="0.25">
      <c r="A56">
        <v>8</v>
      </c>
      <c r="B56" s="18" t="s">
        <v>222</v>
      </c>
      <c r="C56" s="3">
        <f>FEBRUARY!G56:G67</f>
        <v>2000</v>
      </c>
      <c r="D56" s="3">
        <v>2000</v>
      </c>
      <c r="E56" s="16">
        <f t="shared" si="2"/>
        <v>4000</v>
      </c>
      <c r="F56" s="3"/>
      <c r="G56" s="3">
        <f t="shared" si="3"/>
        <v>4000</v>
      </c>
      <c r="H56" t="s">
        <v>245</v>
      </c>
    </row>
    <row r="57" spans="1:9" x14ac:dyDescent="0.25">
      <c r="A57">
        <v>9</v>
      </c>
      <c r="B57" s="18" t="s">
        <v>190</v>
      </c>
      <c r="C57" s="3">
        <f>FEBRUARY!G57:G68</f>
        <v>0</v>
      </c>
      <c r="D57" s="3">
        <v>2000</v>
      </c>
      <c r="E57" s="16">
        <f t="shared" si="2"/>
        <v>2000</v>
      </c>
      <c r="F57" s="3">
        <v>2000</v>
      </c>
      <c r="G57" s="3">
        <f t="shared" si="3"/>
        <v>0</v>
      </c>
    </row>
    <row r="58" spans="1:9" x14ac:dyDescent="0.25">
      <c r="A58">
        <v>10</v>
      </c>
      <c r="B58" s="18" t="s">
        <v>228</v>
      </c>
      <c r="C58" s="3">
        <f>FEBRUARY!G58:G69</f>
        <v>2000</v>
      </c>
      <c r="D58" s="3">
        <v>2000</v>
      </c>
      <c r="E58" s="16">
        <f t="shared" si="2"/>
        <v>4000</v>
      </c>
      <c r="F58" s="3">
        <f>2000+2000</f>
        <v>4000</v>
      </c>
      <c r="G58" s="3">
        <f t="shared" si="3"/>
        <v>0</v>
      </c>
    </row>
    <row r="59" spans="1:9" x14ac:dyDescent="0.25">
      <c r="A59">
        <v>11</v>
      </c>
      <c r="B59" s="18"/>
      <c r="C59" s="3">
        <f>FEBRUARY!G59:G70</f>
        <v>0</v>
      </c>
      <c r="D59" s="3"/>
      <c r="E59" s="16"/>
      <c r="F59" s="3"/>
      <c r="G59" s="3"/>
    </row>
    <row r="60" spans="1:9" x14ac:dyDescent="0.25">
      <c r="A60">
        <v>12</v>
      </c>
      <c r="B60" s="18"/>
      <c r="C60" s="3">
        <f>FEBRUARY!G60:G71</f>
        <v>0</v>
      </c>
      <c r="D60" s="3"/>
      <c r="E60" s="16"/>
      <c r="F60" s="3"/>
      <c r="G60" s="3"/>
    </row>
    <row r="61" spans="1:9" x14ac:dyDescent="0.25">
      <c r="B61" s="2" t="s">
        <v>26</v>
      </c>
      <c r="C61" s="3">
        <f>SUM(C49:C60)</f>
        <v>8300</v>
      </c>
      <c r="D61" s="2">
        <f>SUM(D49:D60)</f>
        <v>16000</v>
      </c>
      <c r="E61" s="2">
        <f>SUM(E49:E60)</f>
        <v>24300</v>
      </c>
      <c r="F61" s="2">
        <f>SUM(F49:F60)</f>
        <v>20300</v>
      </c>
      <c r="G61" s="2">
        <f>SUM(G49:G60)</f>
        <v>4000</v>
      </c>
    </row>
    <row r="63" spans="1:9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9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</row>
    <row r="65" spans="2:9" x14ac:dyDescent="0.25">
      <c r="B65" s="3" t="s">
        <v>48</v>
      </c>
      <c r="C65" s="3">
        <f>D61</f>
        <v>16000</v>
      </c>
      <c r="D65" s="3"/>
      <c r="E65" s="3"/>
      <c r="F65" s="3" t="s">
        <v>48</v>
      </c>
      <c r="G65" s="3">
        <f>F61</f>
        <v>20300</v>
      </c>
      <c r="H65" s="3"/>
      <c r="I65" s="3"/>
    </row>
    <row r="66" spans="2:9" x14ac:dyDescent="0.25">
      <c r="B66" s="3" t="s">
        <v>62</v>
      </c>
      <c r="C66" s="3">
        <f>FEBRUARY!E71</f>
        <v>0</v>
      </c>
      <c r="D66" s="3"/>
      <c r="E66" s="3"/>
      <c r="F66" s="3" t="s">
        <v>62</v>
      </c>
      <c r="G66">
        <f>FEBRUARY!I71</f>
        <v>-8300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D67</f>
        <v>1600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237</v>
      </c>
      <c r="C69" s="19"/>
      <c r="D69" s="3">
        <v>14400</v>
      </c>
      <c r="E69" s="3"/>
      <c r="F69" s="35" t="s">
        <v>237</v>
      </c>
      <c r="G69" s="19"/>
      <c r="H69" s="3">
        <v>14400</v>
      </c>
      <c r="I69" s="3"/>
    </row>
    <row r="70" spans="2:9" x14ac:dyDescent="0.25">
      <c r="B70" s="10" t="s">
        <v>240</v>
      </c>
      <c r="C70" s="3"/>
      <c r="D70" s="3">
        <v>2000</v>
      </c>
      <c r="E70" s="3"/>
      <c r="F70" s="10" t="s">
        <v>240</v>
      </c>
      <c r="G70" s="3"/>
      <c r="H70" s="3"/>
      <c r="I70" s="3"/>
    </row>
    <row r="71" spans="2:9" x14ac:dyDescent="0.25">
      <c r="B71" s="2" t="s">
        <v>26</v>
      </c>
      <c r="C71" s="2">
        <f>C65+C66-D67</f>
        <v>14400</v>
      </c>
      <c r="D71" s="2">
        <f>SUM(D69:D70)</f>
        <v>16400</v>
      </c>
      <c r="E71" s="2">
        <f>C71-D71</f>
        <v>-2000</v>
      </c>
      <c r="F71" s="2" t="s">
        <v>26</v>
      </c>
      <c r="G71" s="2">
        <f>G65+G66-H67</f>
        <v>10400</v>
      </c>
      <c r="H71" s="2">
        <f>SUM(H69:H70)</f>
        <v>14400</v>
      </c>
      <c r="I71" s="2">
        <f>G71-H71</f>
        <v>-4000</v>
      </c>
    </row>
    <row r="73" spans="2:9" x14ac:dyDescent="0.25">
      <c r="B73" t="s">
        <v>33</v>
      </c>
      <c r="D73" t="s">
        <v>49</v>
      </c>
      <c r="G73" t="s">
        <v>34</v>
      </c>
    </row>
    <row r="75" spans="2:9" x14ac:dyDescent="0.25">
      <c r="B75" t="s">
        <v>179</v>
      </c>
      <c r="D75" t="s">
        <v>50</v>
      </c>
      <c r="G75" t="s">
        <v>51</v>
      </c>
    </row>
  </sheetData>
  <mergeCells count="1">
    <mergeCell ref="C47:D47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3" workbookViewId="0">
      <selection activeCell="K40" sqref="K40"/>
    </sheetView>
  </sheetViews>
  <sheetFormatPr defaultRowHeight="15" x14ac:dyDescent="0.25"/>
  <cols>
    <col min="1" max="1" width="3.85546875" customWidth="1"/>
    <col min="2" max="2" width="20.42578125" customWidth="1"/>
    <col min="3" max="3" width="6.85546875" customWidth="1"/>
    <col min="4" max="4" width="7.5703125" customWidth="1"/>
    <col min="5" max="5" width="8.140625" customWidth="1"/>
    <col min="6" max="6" width="6.140625" customWidth="1"/>
    <col min="7" max="7" width="9.28515625" customWidth="1"/>
    <col min="8" max="8" width="7.85546875" customWidth="1"/>
    <col min="9" max="9" width="7.1406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239</v>
      </c>
      <c r="D3" s="28"/>
      <c r="F3" s="28"/>
      <c r="G3" s="22"/>
    </row>
    <row r="4" spans="1:8" ht="18.75" x14ac:dyDescent="0.3">
      <c r="D4" s="23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'MARCH 20'!G6:G25</f>
        <v>800</v>
      </c>
      <c r="D6" s="3">
        <v>1000</v>
      </c>
      <c r="E6" s="3">
        <f>D6+C6</f>
        <v>1800</v>
      </c>
      <c r="F6" s="15">
        <v>1000</v>
      </c>
      <c r="G6" s="3">
        <f>E6-F6</f>
        <v>800</v>
      </c>
    </row>
    <row r="7" spans="1:8" x14ac:dyDescent="0.25">
      <c r="A7" s="3">
        <v>2</v>
      </c>
      <c r="B7" s="16" t="s">
        <v>109</v>
      </c>
      <c r="C7" s="3">
        <f>'MARCH 20'!G7:G26</f>
        <v>100</v>
      </c>
      <c r="D7" s="3">
        <v>1000</v>
      </c>
      <c r="E7" s="3">
        <f t="shared" ref="E7:E24" si="0">D7+C7</f>
        <v>1100</v>
      </c>
      <c r="F7" s="15">
        <v>500</v>
      </c>
      <c r="G7" s="3">
        <f t="shared" ref="G7:G25" si="1">E7-F7</f>
        <v>600</v>
      </c>
    </row>
    <row r="8" spans="1:8" x14ac:dyDescent="0.25">
      <c r="A8" s="16">
        <v>3</v>
      </c>
      <c r="B8" s="18" t="s">
        <v>137</v>
      </c>
      <c r="C8" s="3">
        <f>'MARCH 20'!G8:G27</f>
        <v>0</v>
      </c>
      <c r="D8" s="18">
        <v>1000</v>
      </c>
      <c r="E8" s="16">
        <f>D8+C8</f>
        <v>1000</v>
      </c>
      <c r="F8" s="15">
        <v>1000</v>
      </c>
      <c r="G8" s="3">
        <f>E8-F8</f>
        <v>0</v>
      </c>
    </row>
    <row r="9" spans="1:8" x14ac:dyDescent="0.25">
      <c r="A9" s="16">
        <v>4</v>
      </c>
      <c r="B9" s="16" t="s">
        <v>238</v>
      </c>
      <c r="C9" s="3">
        <f>'MARCH 20'!G9:G28</f>
        <v>0</v>
      </c>
      <c r="D9" s="16">
        <v>1000</v>
      </c>
      <c r="E9" s="16">
        <f>D9+C9</f>
        <v>1000</v>
      </c>
      <c r="F9" s="15">
        <f>500+500</f>
        <v>1000</v>
      </c>
      <c r="G9" s="3">
        <f>E9-F9</f>
        <v>0</v>
      </c>
    </row>
    <row r="10" spans="1:8" x14ac:dyDescent="0.25">
      <c r="A10" s="16">
        <v>5</v>
      </c>
      <c r="B10" s="16" t="s">
        <v>10</v>
      </c>
      <c r="C10" s="3">
        <f>'MARCH 20'!G10:G29</f>
        <v>0</v>
      </c>
      <c r="D10" s="16">
        <v>1000</v>
      </c>
      <c r="E10" s="16">
        <f>D10+C10</f>
        <v>1000</v>
      </c>
      <c r="F10" s="15"/>
      <c r="G10" s="3">
        <f t="shared" si="1"/>
        <v>1000</v>
      </c>
      <c r="H10" t="s">
        <v>249</v>
      </c>
    </row>
    <row r="11" spans="1:8" x14ac:dyDescent="0.25">
      <c r="A11" s="16">
        <v>6</v>
      </c>
      <c r="B11" s="16" t="s">
        <v>69</v>
      </c>
      <c r="C11" s="3">
        <f>'MARCH 20'!G11:G30</f>
        <v>0</v>
      </c>
      <c r="D11" s="16">
        <v>1000</v>
      </c>
      <c r="E11" s="16">
        <f t="shared" si="0"/>
        <v>1000</v>
      </c>
      <c r="F11" s="15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'MARCH 20'!G12:G31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si="1"/>
        <v>0</v>
      </c>
    </row>
    <row r="13" spans="1:8" x14ac:dyDescent="0.25">
      <c r="A13" s="16">
        <v>8</v>
      </c>
      <c r="B13" s="16" t="s">
        <v>220</v>
      </c>
      <c r="C13" s="3">
        <f>'MARCH 20'!G13:G32</f>
        <v>0</v>
      </c>
      <c r="D13" s="16">
        <v>1000</v>
      </c>
      <c r="E13" s="16">
        <f t="shared" si="0"/>
        <v>1000</v>
      </c>
      <c r="F13" s="15"/>
      <c r="G13" s="3">
        <f t="shared" si="1"/>
        <v>1000</v>
      </c>
    </row>
    <row r="14" spans="1:8" x14ac:dyDescent="0.25">
      <c r="A14" s="16">
        <v>9</v>
      </c>
      <c r="B14" s="3" t="s">
        <v>194</v>
      </c>
      <c r="C14" s="3">
        <f>'MARCH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</row>
    <row r="15" spans="1:8" x14ac:dyDescent="0.25">
      <c r="A15" s="16">
        <v>10</v>
      </c>
      <c r="B15" s="16" t="s">
        <v>232</v>
      </c>
      <c r="C15" s="3">
        <f>'MARCH 20'!G15:G34</f>
        <v>0</v>
      </c>
      <c r="D15" s="16">
        <v>1000</v>
      </c>
      <c r="E15" s="16">
        <f t="shared" si="0"/>
        <v>1000</v>
      </c>
      <c r="F15" s="15">
        <v>1000</v>
      </c>
      <c r="G15" s="3">
        <f>E15-F15</f>
        <v>0</v>
      </c>
    </row>
    <row r="16" spans="1:8" x14ac:dyDescent="0.25">
      <c r="A16" s="16">
        <v>11</v>
      </c>
      <c r="B16" s="18" t="s">
        <v>242</v>
      </c>
      <c r="C16" s="3">
        <f>'MARCH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</row>
    <row r="17" spans="1:13" x14ac:dyDescent="0.25">
      <c r="A17" s="16">
        <v>12</v>
      </c>
      <c r="B17" s="3" t="s">
        <v>234</v>
      </c>
      <c r="C17" s="3">
        <f>'MARCH 20'!G17:G36</f>
        <v>0</v>
      </c>
      <c r="D17" s="3"/>
      <c r="E17" s="16">
        <f>D17+C17</f>
        <v>0</v>
      </c>
      <c r="F17" s="15"/>
      <c r="G17" s="14">
        <f>E17-F17</f>
        <v>0</v>
      </c>
      <c r="H17" t="s">
        <v>159</v>
      </c>
    </row>
    <row r="18" spans="1:13" x14ac:dyDescent="0.25">
      <c r="A18" s="16">
        <v>13</v>
      </c>
      <c r="B18" s="16" t="s">
        <v>204</v>
      </c>
      <c r="C18" s="3">
        <f>'MARCH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</row>
    <row r="19" spans="1:13" x14ac:dyDescent="0.25">
      <c r="A19" s="16">
        <v>14</v>
      </c>
      <c r="B19" s="16" t="s">
        <v>209</v>
      </c>
      <c r="C19" s="3">
        <f>'MARCH 20'!G19:G38</f>
        <v>30</v>
      </c>
      <c r="D19" s="16">
        <v>1000</v>
      </c>
      <c r="E19" s="16">
        <f>D19+C19</f>
        <v>1030</v>
      </c>
      <c r="F19" s="15">
        <v>1000</v>
      </c>
      <c r="G19" s="3">
        <f t="shared" si="1"/>
        <v>30</v>
      </c>
    </row>
    <row r="20" spans="1:13" x14ac:dyDescent="0.25">
      <c r="A20" s="16">
        <v>15</v>
      </c>
      <c r="B20" s="16" t="s">
        <v>137</v>
      </c>
      <c r="C20" s="3">
        <f>'MARCH 20'!G20:G39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1"/>
        <v>0</v>
      </c>
      <c r="H20" t="s">
        <v>46</v>
      </c>
    </row>
    <row r="21" spans="1:13" x14ac:dyDescent="0.25">
      <c r="A21" s="16">
        <v>16</v>
      </c>
      <c r="B21" s="3" t="s">
        <v>30</v>
      </c>
      <c r="C21" s="3">
        <f>'MARCH 20'!G21:G40</f>
        <v>0</v>
      </c>
      <c r="D21" s="3">
        <v>1000</v>
      </c>
      <c r="E21" s="3">
        <f>D21+C21</f>
        <v>1000</v>
      </c>
      <c r="F21" s="15">
        <v>1000</v>
      </c>
      <c r="G21" s="3">
        <f>E21-F21</f>
        <v>0</v>
      </c>
    </row>
    <row r="22" spans="1:13" x14ac:dyDescent="0.25">
      <c r="A22" s="16">
        <v>17</v>
      </c>
      <c r="B22" s="16" t="s">
        <v>47</v>
      </c>
      <c r="C22" s="3">
        <f>'MARCH 20'!G22:G41</f>
        <v>0</v>
      </c>
      <c r="D22" s="16">
        <v>1500</v>
      </c>
      <c r="E22" s="16">
        <f t="shared" si="0"/>
        <v>1500</v>
      </c>
      <c r="F22" s="15">
        <f>1000+500</f>
        <v>1500</v>
      </c>
      <c r="G22" s="3">
        <f t="shared" si="1"/>
        <v>0</v>
      </c>
    </row>
    <row r="23" spans="1:13" x14ac:dyDescent="0.25">
      <c r="A23" s="3">
        <v>18</v>
      </c>
      <c r="B23" s="18" t="s">
        <v>235</v>
      </c>
      <c r="C23" s="3">
        <f>'MARCH 20'!G23:G42</f>
        <v>0</v>
      </c>
      <c r="D23" s="3">
        <v>1500</v>
      </c>
      <c r="E23" s="16">
        <f t="shared" si="0"/>
        <v>1500</v>
      </c>
      <c r="F23" s="15">
        <v>1500</v>
      </c>
      <c r="G23" s="3">
        <f t="shared" si="1"/>
        <v>0</v>
      </c>
    </row>
    <row r="24" spans="1:13" x14ac:dyDescent="0.25">
      <c r="A24" s="3">
        <v>19</v>
      </c>
      <c r="B24" s="18" t="s">
        <v>135</v>
      </c>
      <c r="C24" s="3">
        <f>'MARCH 20'!G24:G43</f>
        <v>500</v>
      </c>
      <c r="D24" s="3">
        <v>1500</v>
      </c>
      <c r="E24" s="16">
        <f t="shared" si="0"/>
        <v>2000</v>
      </c>
      <c r="F24" s="15">
        <v>1500</v>
      </c>
      <c r="G24" s="3">
        <f t="shared" si="1"/>
        <v>500</v>
      </c>
    </row>
    <row r="25" spans="1:13" x14ac:dyDescent="0.25">
      <c r="A25" s="3">
        <v>20</v>
      </c>
      <c r="B25" s="18" t="s">
        <v>118</v>
      </c>
      <c r="C25" s="3">
        <f>'MARCH 20'!G25:G44</f>
        <v>20</v>
      </c>
      <c r="D25" s="3">
        <v>1500</v>
      </c>
      <c r="E25" s="16">
        <f>D25+C25</f>
        <v>1520</v>
      </c>
      <c r="F25" s="15"/>
      <c r="G25" s="3">
        <f t="shared" si="1"/>
        <v>1520</v>
      </c>
      <c r="H25" t="s">
        <v>248</v>
      </c>
    </row>
    <row r="26" spans="1:13" x14ac:dyDescent="0.25">
      <c r="B26" s="2" t="s">
        <v>26</v>
      </c>
      <c r="C26" s="3">
        <f>SUM(C6:C25)</f>
        <v>1450</v>
      </c>
      <c r="D26" s="2">
        <f>SUM(D6:D25)</f>
        <v>21000</v>
      </c>
      <c r="E26" s="2">
        <f>SUM(E6:E25)</f>
        <v>22450</v>
      </c>
      <c r="F26" s="39">
        <f>SUM(F6:F25)</f>
        <v>17000</v>
      </c>
      <c r="G26" s="2">
        <f>SUM(G6:G25)</f>
        <v>5450</v>
      </c>
    </row>
    <row r="28" spans="1:13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3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3" ht="15.75" x14ac:dyDescent="0.25">
      <c r="B30" s="3" t="s">
        <v>61</v>
      </c>
      <c r="C30" s="3">
        <f>D26</f>
        <v>21000</v>
      </c>
      <c r="D30" s="3"/>
      <c r="E30" s="3"/>
      <c r="F30" s="3" t="s">
        <v>61</v>
      </c>
      <c r="G30" s="3">
        <f>F26</f>
        <v>17000</v>
      </c>
      <c r="H30" s="3"/>
      <c r="I30" s="3"/>
      <c r="J30" s="40"/>
      <c r="K30" s="41"/>
      <c r="M30" s="12"/>
    </row>
    <row r="31" spans="1:13" x14ac:dyDescent="0.25">
      <c r="B31" s="3" t="s">
        <v>62</v>
      </c>
      <c r="C31" s="3">
        <f>'MARCH 20'!E39</f>
        <v>1350</v>
      </c>
      <c r="D31" s="3"/>
      <c r="E31" s="3"/>
      <c r="F31" s="3" t="s">
        <v>62</v>
      </c>
      <c r="G31">
        <f>'MARCH 20'!I39</f>
        <v>-2100</v>
      </c>
      <c r="H31" s="3"/>
      <c r="I31" s="3"/>
      <c r="J31" s="41"/>
      <c r="K31" s="41"/>
      <c r="M31" s="12"/>
    </row>
    <row r="32" spans="1:13" x14ac:dyDescent="0.25">
      <c r="B32" s="3" t="s">
        <v>41</v>
      </c>
      <c r="C32" s="5">
        <v>0.1</v>
      </c>
      <c r="D32" s="3">
        <f>C32*C30</f>
        <v>2100</v>
      </c>
      <c r="E32" s="3"/>
      <c r="F32" s="3" t="s">
        <v>41</v>
      </c>
      <c r="G32" s="5">
        <v>0.1</v>
      </c>
      <c r="H32" s="3">
        <f>G32*G30</f>
        <v>1700</v>
      </c>
      <c r="I32" s="3"/>
      <c r="J32" s="41"/>
      <c r="K32" s="41"/>
      <c r="M32" s="12"/>
    </row>
    <row r="33" spans="2:13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  <c r="M33" s="12"/>
    </row>
    <row r="34" spans="2:13" x14ac:dyDescent="0.25">
      <c r="B34" s="19" t="s">
        <v>137</v>
      </c>
      <c r="C34" s="3"/>
      <c r="D34" s="3">
        <v>1000</v>
      </c>
      <c r="E34" s="3"/>
      <c r="F34" s="19" t="s">
        <v>137</v>
      </c>
      <c r="G34" s="3"/>
      <c r="H34" s="3">
        <v>1000</v>
      </c>
      <c r="I34" s="3"/>
      <c r="J34" s="41"/>
      <c r="K34" s="41"/>
      <c r="M34" s="12"/>
    </row>
    <row r="35" spans="2:13" x14ac:dyDescent="0.25">
      <c r="B35" s="19"/>
      <c r="C35" s="3"/>
      <c r="D35" s="3"/>
      <c r="E35" s="3"/>
      <c r="F35" s="19"/>
      <c r="G35" s="3"/>
      <c r="H35" s="3"/>
      <c r="I35" s="3"/>
      <c r="J35" s="42"/>
      <c r="K35" s="42"/>
    </row>
    <row r="36" spans="2:13" x14ac:dyDescent="0.25">
      <c r="B36" s="19" t="s">
        <v>241</v>
      </c>
      <c r="C36" s="3"/>
      <c r="D36" s="3">
        <v>8800</v>
      </c>
      <c r="E36" s="3"/>
      <c r="F36" s="19" t="s">
        <v>241</v>
      </c>
      <c r="G36" s="3"/>
      <c r="H36" s="3">
        <v>8800</v>
      </c>
      <c r="I36" s="3"/>
    </row>
    <row r="37" spans="2:13" x14ac:dyDescent="0.25">
      <c r="B37" s="19" t="s">
        <v>243</v>
      </c>
      <c r="C37" s="3"/>
      <c r="D37" s="3">
        <v>2250</v>
      </c>
      <c r="E37" s="3"/>
      <c r="F37" s="19" t="s">
        <v>243</v>
      </c>
      <c r="G37" s="3"/>
      <c r="H37" s="3">
        <v>2250</v>
      </c>
      <c r="I37" s="3"/>
      <c r="J37" s="43"/>
    </row>
    <row r="38" spans="2:13" x14ac:dyDescent="0.25">
      <c r="B38" s="19" t="s">
        <v>247</v>
      </c>
      <c r="C38" s="3"/>
      <c r="D38" s="3">
        <v>450</v>
      </c>
      <c r="E38" s="3"/>
      <c r="F38" s="19" t="s">
        <v>247</v>
      </c>
      <c r="G38" s="3"/>
      <c r="H38" s="3">
        <v>450</v>
      </c>
      <c r="I38" s="3"/>
      <c r="J38" s="43"/>
    </row>
    <row r="39" spans="2:13" x14ac:dyDescent="0.25">
      <c r="B39" s="19" t="s">
        <v>250</v>
      </c>
      <c r="C39" s="3"/>
      <c r="D39" s="3">
        <v>1350</v>
      </c>
      <c r="E39" s="3"/>
      <c r="F39" s="19" t="s">
        <v>250</v>
      </c>
      <c r="G39" s="3"/>
      <c r="H39" s="3">
        <v>1350</v>
      </c>
      <c r="I39" s="3"/>
    </row>
    <row r="40" spans="2:13" x14ac:dyDescent="0.25">
      <c r="B40" s="2" t="s">
        <v>26</v>
      </c>
      <c r="C40" s="2">
        <f>C30+C31-D32</f>
        <v>20250</v>
      </c>
      <c r="D40" s="2">
        <f>SUM(D34:D39)</f>
        <v>13850</v>
      </c>
      <c r="E40" s="2">
        <f>C40-D40</f>
        <v>6400</v>
      </c>
      <c r="F40" s="2" t="s">
        <v>26</v>
      </c>
      <c r="G40" s="2">
        <f>G30+G31-H32</f>
        <v>13200</v>
      </c>
      <c r="H40" s="2">
        <f>SUM(H34:H39)</f>
        <v>13850</v>
      </c>
      <c r="I40" s="2">
        <f>G40-H40</f>
        <v>-650</v>
      </c>
    </row>
    <row r="41" spans="2:13" x14ac:dyDescent="0.25">
      <c r="B41" t="s">
        <v>33</v>
      </c>
      <c r="D41" t="s">
        <v>49</v>
      </c>
      <c r="G41" t="s">
        <v>34</v>
      </c>
    </row>
    <row r="42" spans="2:13" x14ac:dyDescent="0.25">
      <c r="B42" t="s">
        <v>179</v>
      </c>
      <c r="D42" t="s">
        <v>50</v>
      </c>
      <c r="G42" t="s">
        <v>51</v>
      </c>
    </row>
    <row r="45" spans="2:13" ht="18.75" x14ac:dyDescent="0.3">
      <c r="C45" s="1" t="s">
        <v>42</v>
      </c>
      <c r="D45" s="21"/>
      <c r="E45" s="21"/>
      <c r="F45" s="21"/>
      <c r="G45" s="22"/>
    </row>
    <row r="46" spans="2:13" ht="15.75" x14ac:dyDescent="0.25">
      <c r="C46" s="21" t="s">
        <v>0</v>
      </c>
      <c r="D46" s="29"/>
      <c r="E46" s="29"/>
      <c r="F46" s="29"/>
      <c r="G46" s="22"/>
    </row>
    <row r="47" spans="2:13" ht="15.75" x14ac:dyDescent="0.25">
      <c r="C47" s="21" t="s">
        <v>239</v>
      </c>
      <c r="D47" s="29"/>
      <c r="E47" s="29"/>
      <c r="F47" s="29"/>
      <c r="G47" s="22"/>
    </row>
    <row r="48" spans="2:13" ht="18.75" x14ac:dyDescent="0.3">
      <c r="B48" s="18"/>
      <c r="C48" s="46" t="s">
        <v>139</v>
      </c>
      <c r="D48" s="47"/>
      <c r="E48" s="30"/>
      <c r="F48" s="31"/>
      <c r="G48" s="3"/>
    </row>
    <row r="49" spans="1:13" x14ac:dyDescent="0.25">
      <c r="B49" s="2" t="s">
        <v>2</v>
      </c>
      <c r="C49" s="2" t="s">
        <v>4</v>
      </c>
      <c r="D49" s="2" t="s">
        <v>3</v>
      </c>
      <c r="E49" s="2" t="s">
        <v>5</v>
      </c>
      <c r="F49" s="2" t="s">
        <v>6</v>
      </c>
      <c r="G49" s="2" t="s">
        <v>25</v>
      </c>
    </row>
    <row r="50" spans="1:13" x14ac:dyDescent="0.25">
      <c r="A50">
        <v>1</v>
      </c>
      <c r="B50" s="18"/>
      <c r="C50" s="3">
        <f>'MARCH 20'!G49:G60</f>
        <v>0</v>
      </c>
      <c r="D50" s="3"/>
      <c r="E50" s="16">
        <f>C50+D50</f>
        <v>0</v>
      </c>
      <c r="F50" s="15"/>
      <c r="G50" s="3">
        <f>E50-F50</f>
        <v>0</v>
      </c>
    </row>
    <row r="51" spans="1:13" x14ac:dyDescent="0.25">
      <c r="A51">
        <v>2</v>
      </c>
      <c r="B51" s="18"/>
      <c r="C51" s="3">
        <f>'MARCH 20'!G50:G61</f>
        <v>0</v>
      </c>
      <c r="D51" s="3"/>
      <c r="E51" s="16">
        <f t="shared" ref="E51:E59" si="2">C51+D51</f>
        <v>0</v>
      </c>
      <c r="F51" s="15"/>
      <c r="G51" s="3">
        <f t="shared" ref="G51:G58" si="3">E51-F51</f>
        <v>0</v>
      </c>
    </row>
    <row r="52" spans="1:13" x14ac:dyDescent="0.25">
      <c r="A52">
        <v>3</v>
      </c>
      <c r="B52" s="18" t="s">
        <v>193</v>
      </c>
      <c r="C52" s="3">
        <f>'MARCH 20'!G51:G62</f>
        <v>0</v>
      </c>
      <c r="D52" s="3">
        <v>2000</v>
      </c>
      <c r="E52" s="16">
        <f t="shared" si="2"/>
        <v>2000</v>
      </c>
      <c r="F52" s="15">
        <f>1500</f>
        <v>1500</v>
      </c>
      <c r="G52" s="3">
        <f t="shared" si="3"/>
        <v>500</v>
      </c>
    </row>
    <row r="53" spans="1:13" x14ac:dyDescent="0.25">
      <c r="A53">
        <v>4</v>
      </c>
      <c r="B53" s="18" t="s">
        <v>144</v>
      </c>
      <c r="C53" s="3">
        <f>'MARCH 20'!G52:G63</f>
        <v>0</v>
      </c>
      <c r="D53" s="3">
        <v>2000</v>
      </c>
      <c r="E53" s="16">
        <f t="shared" si="2"/>
        <v>2000</v>
      </c>
      <c r="F53" s="15">
        <v>2000</v>
      </c>
      <c r="G53" s="3">
        <f t="shared" si="3"/>
        <v>0</v>
      </c>
    </row>
    <row r="54" spans="1:13" x14ac:dyDescent="0.25">
      <c r="A54">
        <v>5</v>
      </c>
      <c r="B54" s="18" t="s">
        <v>229</v>
      </c>
      <c r="C54" s="3">
        <f>'MARCH 20'!G53:G64</f>
        <v>0</v>
      </c>
      <c r="D54" s="3"/>
      <c r="E54" s="16">
        <f t="shared" si="2"/>
        <v>0</v>
      </c>
      <c r="F54" s="15"/>
      <c r="G54" s="3">
        <f t="shared" si="3"/>
        <v>0</v>
      </c>
    </row>
    <row r="55" spans="1:13" x14ac:dyDescent="0.25">
      <c r="A55">
        <v>6</v>
      </c>
      <c r="B55" s="18" t="s">
        <v>165</v>
      </c>
      <c r="C55" s="3">
        <f>'MARCH 20'!G54:G65</f>
        <v>0</v>
      </c>
      <c r="D55" s="3">
        <v>2000</v>
      </c>
      <c r="E55" s="16">
        <f t="shared" si="2"/>
        <v>2000</v>
      </c>
      <c r="F55" s="15">
        <v>2000</v>
      </c>
      <c r="G55" s="3">
        <f t="shared" si="3"/>
        <v>0</v>
      </c>
      <c r="M55">
        <f>K34+K69+'[1]APRIL 20'!$K$44</f>
        <v>0</v>
      </c>
    </row>
    <row r="56" spans="1:13" x14ac:dyDescent="0.25">
      <c r="A56">
        <v>7</v>
      </c>
      <c r="B56" s="18" t="s">
        <v>166</v>
      </c>
      <c r="C56" s="3"/>
      <c r="D56" s="3">
        <v>2000</v>
      </c>
      <c r="E56" s="16">
        <f t="shared" si="2"/>
        <v>2000</v>
      </c>
      <c r="F56" s="15">
        <v>500</v>
      </c>
      <c r="G56" s="3">
        <f t="shared" si="3"/>
        <v>1500</v>
      </c>
    </row>
    <row r="57" spans="1:13" x14ac:dyDescent="0.25">
      <c r="A57">
        <v>8</v>
      </c>
      <c r="B57" s="18" t="s">
        <v>222</v>
      </c>
      <c r="C57" s="3">
        <f>'MARCH 20'!G56</f>
        <v>4000</v>
      </c>
      <c r="D57" s="3"/>
      <c r="E57" s="16">
        <f t="shared" si="2"/>
        <v>4000</v>
      </c>
      <c r="F57" s="15"/>
      <c r="G57" s="3">
        <f t="shared" si="3"/>
        <v>4000</v>
      </c>
      <c r="H57" t="s">
        <v>244</v>
      </c>
    </row>
    <row r="58" spans="1:13" x14ac:dyDescent="0.25">
      <c r="A58">
        <v>9</v>
      </c>
      <c r="B58" s="18" t="s">
        <v>190</v>
      </c>
      <c r="C58" s="3">
        <f>'MARCH 20'!G57:G68</f>
        <v>0</v>
      </c>
      <c r="D58" s="3">
        <v>2000</v>
      </c>
      <c r="E58" s="16">
        <f t="shared" si="2"/>
        <v>2000</v>
      </c>
      <c r="F58" s="15">
        <v>2000</v>
      </c>
      <c r="G58" s="3">
        <f t="shared" si="3"/>
        <v>0</v>
      </c>
    </row>
    <row r="59" spans="1:13" x14ac:dyDescent="0.25">
      <c r="A59">
        <v>10</v>
      </c>
      <c r="B59" s="18" t="s">
        <v>228</v>
      </c>
      <c r="C59" s="3">
        <f>'MARCH 20'!G58:G69</f>
        <v>0</v>
      </c>
      <c r="D59" s="3">
        <v>2000</v>
      </c>
      <c r="E59" s="16">
        <f t="shared" si="2"/>
        <v>2000</v>
      </c>
      <c r="F59" s="15">
        <v>1000</v>
      </c>
      <c r="G59" s="3">
        <f>E59-F59</f>
        <v>1000</v>
      </c>
    </row>
    <row r="60" spans="1:13" x14ac:dyDescent="0.25">
      <c r="A60">
        <v>11</v>
      </c>
      <c r="B60" s="18"/>
      <c r="C60" s="3">
        <f>'MARCH 20'!G59:G70</f>
        <v>0</v>
      </c>
      <c r="D60" s="3"/>
      <c r="E60" s="16"/>
      <c r="F60" s="15"/>
      <c r="G60" s="3"/>
    </row>
    <row r="61" spans="1:13" x14ac:dyDescent="0.25">
      <c r="A61">
        <v>12</v>
      </c>
      <c r="B61" s="18"/>
      <c r="C61" s="3"/>
      <c r="D61" s="3"/>
      <c r="E61" s="16"/>
      <c r="F61" s="15"/>
      <c r="G61" s="3"/>
    </row>
    <row r="62" spans="1:13" x14ac:dyDescent="0.25">
      <c r="B62" s="2" t="s">
        <v>26</v>
      </c>
      <c r="C62" s="3">
        <f>SUM(C50:C61)</f>
        <v>4000</v>
      </c>
      <c r="D62" s="2">
        <f>SUM(D50:D61)</f>
        <v>12000</v>
      </c>
      <c r="E62" s="2">
        <f>SUM(E50:E61)</f>
        <v>16000</v>
      </c>
      <c r="F62" s="39">
        <f>SUM(F50:F61)</f>
        <v>9000</v>
      </c>
      <c r="G62" s="2">
        <f>SUM(G50:G61)</f>
        <v>7000</v>
      </c>
    </row>
    <row r="64" spans="1:13" x14ac:dyDescent="0.25">
      <c r="B64" s="12" t="s">
        <v>44</v>
      </c>
      <c r="C64" s="12"/>
      <c r="D64" s="12"/>
      <c r="E64" s="12"/>
      <c r="F64" s="34" t="s">
        <v>43</v>
      </c>
      <c r="G64" s="12"/>
    </row>
    <row r="65" spans="2:10" ht="15.75" x14ac:dyDescent="0.25">
      <c r="B65" s="11" t="s">
        <v>22</v>
      </c>
      <c r="C65" s="11" t="s">
        <v>23</v>
      </c>
      <c r="D65" s="11" t="s">
        <v>24</v>
      </c>
      <c r="E65" s="11" t="s">
        <v>25</v>
      </c>
      <c r="F65" s="13" t="s">
        <v>22</v>
      </c>
      <c r="G65" s="11" t="s">
        <v>23</v>
      </c>
      <c r="H65" s="11" t="s">
        <v>24</v>
      </c>
      <c r="I65" s="11" t="s">
        <v>25</v>
      </c>
      <c r="J65" s="38"/>
    </row>
    <row r="66" spans="2:10" x14ac:dyDescent="0.25">
      <c r="B66" s="3" t="s">
        <v>61</v>
      </c>
      <c r="C66" s="3">
        <f>D62</f>
        <v>12000</v>
      </c>
      <c r="D66" s="3"/>
      <c r="E66" s="3"/>
      <c r="F66" s="3" t="s">
        <v>61</v>
      </c>
      <c r="G66" s="3">
        <f>F62</f>
        <v>9000</v>
      </c>
      <c r="H66" s="3"/>
      <c r="I66" s="3"/>
    </row>
    <row r="67" spans="2:10" x14ac:dyDescent="0.25">
      <c r="B67" s="3" t="s">
        <v>62</v>
      </c>
      <c r="C67" s="3">
        <v>-2000</v>
      </c>
      <c r="D67" s="3"/>
      <c r="E67" s="3"/>
      <c r="F67" s="3" t="s">
        <v>62</v>
      </c>
      <c r="G67">
        <v>-2000</v>
      </c>
      <c r="H67" s="3"/>
      <c r="I67" s="3"/>
    </row>
    <row r="68" spans="2:10" x14ac:dyDescent="0.25">
      <c r="B68" s="3" t="s">
        <v>41</v>
      </c>
      <c r="C68" s="5">
        <v>0.1</v>
      </c>
      <c r="D68" s="3">
        <f>C68*C66</f>
        <v>1200</v>
      </c>
      <c r="E68" s="3"/>
      <c r="F68" s="3" t="s">
        <v>41</v>
      </c>
      <c r="G68" s="5">
        <v>0.1</v>
      </c>
      <c r="H68" s="3">
        <f>G68*G66</f>
        <v>900</v>
      </c>
      <c r="I68" s="3"/>
    </row>
    <row r="69" spans="2:10" x14ac:dyDescent="0.25">
      <c r="B69" s="2" t="s">
        <v>115</v>
      </c>
      <c r="C69" s="3"/>
      <c r="D69" s="3"/>
      <c r="E69" s="3"/>
      <c r="F69" s="2" t="s">
        <v>115</v>
      </c>
      <c r="G69" s="3"/>
      <c r="H69" s="3"/>
      <c r="I69" s="3"/>
    </row>
    <row r="70" spans="2:10" x14ac:dyDescent="0.25">
      <c r="B70" s="35" t="s">
        <v>241</v>
      </c>
      <c r="C70" s="19"/>
      <c r="D70" s="3">
        <v>4750</v>
      </c>
      <c r="E70" s="3"/>
      <c r="F70" s="35" t="s">
        <v>241</v>
      </c>
      <c r="G70" s="19"/>
      <c r="H70" s="3">
        <v>4750</v>
      </c>
      <c r="I70" s="3"/>
    </row>
    <row r="71" spans="2:10" x14ac:dyDescent="0.25">
      <c r="B71" s="35" t="s">
        <v>243</v>
      </c>
      <c r="C71" s="19"/>
      <c r="D71" s="3">
        <v>450</v>
      </c>
      <c r="E71" s="3"/>
      <c r="F71" s="35" t="s">
        <v>243</v>
      </c>
      <c r="G71" s="19"/>
      <c r="H71" s="3">
        <v>450</v>
      </c>
      <c r="I71" s="3"/>
    </row>
    <row r="72" spans="2:10" x14ac:dyDescent="0.25">
      <c r="B72" s="35" t="s">
        <v>247</v>
      </c>
      <c r="C72" s="19"/>
      <c r="D72" s="3">
        <v>900</v>
      </c>
      <c r="E72" s="3"/>
      <c r="F72" s="35" t="s">
        <v>247</v>
      </c>
      <c r="G72" s="19"/>
      <c r="H72" s="3">
        <v>900</v>
      </c>
      <c r="I72" s="3"/>
    </row>
    <row r="73" spans="2:10" x14ac:dyDescent="0.25">
      <c r="B73" s="10" t="s">
        <v>240</v>
      </c>
      <c r="C73" s="3"/>
      <c r="D73" s="3"/>
      <c r="E73" s="3"/>
      <c r="F73" s="10"/>
      <c r="G73" s="3"/>
      <c r="H73" s="3"/>
      <c r="I73" s="3"/>
    </row>
    <row r="74" spans="2:10" x14ac:dyDescent="0.25">
      <c r="B74" s="2" t="s">
        <v>26</v>
      </c>
      <c r="C74" s="2">
        <f>C66+C67-D68</f>
        <v>8800</v>
      </c>
      <c r="D74" s="2">
        <f>SUM(D70:D73)</f>
        <v>6100</v>
      </c>
      <c r="E74" s="2">
        <f>C74-D74</f>
        <v>2700</v>
      </c>
      <c r="F74" s="2" t="s">
        <v>26</v>
      </c>
      <c r="G74" s="2">
        <f>G66+G67-H68</f>
        <v>6100</v>
      </c>
      <c r="H74" s="2">
        <f>SUM(H70:H73)</f>
        <v>6100</v>
      </c>
      <c r="I74" s="2">
        <f>G74-H74</f>
        <v>0</v>
      </c>
    </row>
    <row r="76" spans="2:10" x14ac:dyDescent="0.25">
      <c r="B76" t="s">
        <v>33</v>
      </c>
      <c r="D76" t="s">
        <v>49</v>
      </c>
      <c r="G76" t="s">
        <v>34</v>
      </c>
    </row>
    <row r="78" spans="2:10" x14ac:dyDescent="0.25">
      <c r="B78" t="s">
        <v>179</v>
      </c>
      <c r="D78" t="s">
        <v>50</v>
      </c>
      <c r="G78" t="s">
        <v>51</v>
      </c>
    </row>
  </sheetData>
  <mergeCells count="1">
    <mergeCell ref="C48:D48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7" workbookViewId="0">
      <selection activeCell="G31" sqref="G31"/>
    </sheetView>
  </sheetViews>
  <sheetFormatPr defaultRowHeight="15" x14ac:dyDescent="0.25"/>
  <cols>
    <col min="1" max="1" width="3.42578125" customWidth="1"/>
    <col min="2" max="2" width="19.28515625" customWidth="1"/>
  </cols>
  <sheetData>
    <row r="1" spans="1:12" ht="18.75" x14ac:dyDescent="0.3">
      <c r="C1" s="1" t="s">
        <v>42</v>
      </c>
      <c r="D1" s="21"/>
      <c r="E1" s="21"/>
      <c r="F1" s="21"/>
      <c r="G1" s="22"/>
    </row>
    <row r="2" spans="1:12" ht="18.75" x14ac:dyDescent="0.3">
      <c r="C2" s="1" t="s">
        <v>0</v>
      </c>
      <c r="D2" s="28"/>
      <c r="E2" s="28"/>
      <c r="F2" s="28"/>
      <c r="G2" s="22"/>
    </row>
    <row r="3" spans="1:12" ht="21" x14ac:dyDescent="0.35">
      <c r="C3" s="37" t="s">
        <v>261</v>
      </c>
      <c r="D3" s="28"/>
      <c r="F3" s="28"/>
      <c r="G3" s="22"/>
    </row>
    <row r="4" spans="1:12" ht="18.75" x14ac:dyDescent="0.3">
      <c r="D4" s="23" t="s">
        <v>143</v>
      </c>
      <c r="E4" s="1"/>
      <c r="F4" s="1"/>
    </row>
    <row r="5" spans="1:12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12" x14ac:dyDescent="0.25">
      <c r="A6" s="3">
        <v>1</v>
      </c>
      <c r="B6" s="3" t="s">
        <v>207</v>
      </c>
      <c r="C6" s="3">
        <f>'MAY 20'!G6:G25</f>
        <v>800</v>
      </c>
      <c r="D6" s="3">
        <v>1000</v>
      </c>
      <c r="E6" s="3">
        <f>D6+C6</f>
        <v>1800</v>
      </c>
      <c r="F6" s="15">
        <f>600+400</f>
        <v>1000</v>
      </c>
      <c r="G6" s="3">
        <f>E6-F6</f>
        <v>800</v>
      </c>
    </row>
    <row r="7" spans="1:12" x14ac:dyDescent="0.25">
      <c r="A7" s="3">
        <v>2</v>
      </c>
      <c r="B7" s="16" t="s">
        <v>109</v>
      </c>
      <c r="C7" s="3">
        <f>'MAY 20'!G7:G26</f>
        <v>600</v>
      </c>
      <c r="D7" s="3">
        <v>1000</v>
      </c>
      <c r="E7" s="3">
        <f t="shared" ref="E7:E24" si="0">D7+C7</f>
        <v>1600</v>
      </c>
      <c r="F7" s="15">
        <v>1500</v>
      </c>
      <c r="G7" s="3">
        <f t="shared" ref="G7:G25" si="1">E7-F7</f>
        <v>100</v>
      </c>
    </row>
    <row r="8" spans="1:12" x14ac:dyDescent="0.25">
      <c r="A8" s="16">
        <v>3</v>
      </c>
      <c r="B8" s="18" t="s">
        <v>137</v>
      </c>
      <c r="C8" s="3">
        <f>'MAY 20'!G8:G27</f>
        <v>0</v>
      </c>
      <c r="D8" s="18">
        <v>1000</v>
      </c>
      <c r="E8" s="16">
        <f>D8+C8</f>
        <v>1000</v>
      </c>
      <c r="F8" s="15">
        <v>1000</v>
      </c>
      <c r="G8" s="3">
        <f>E8-F8</f>
        <v>0</v>
      </c>
    </row>
    <row r="9" spans="1:12" x14ac:dyDescent="0.25">
      <c r="A9" s="16">
        <v>4</v>
      </c>
      <c r="B9" s="16" t="s">
        <v>238</v>
      </c>
      <c r="C9" s="3">
        <f>'MAY 20'!G9:G28</f>
        <v>0</v>
      </c>
      <c r="D9" s="16">
        <v>1000</v>
      </c>
      <c r="E9" s="16">
        <f>D9+C9</f>
        <v>1000</v>
      </c>
      <c r="F9" s="15">
        <f>500+500</f>
        <v>1000</v>
      </c>
      <c r="G9" s="3">
        <f>E9-F9</f>
        <v>0</v>
      </c>
    </row>
    <row r="10" spans="1:12" x14ac:dyDescent="0.25">
      <c r="A10" s="16">
        <v>5</v>
      </c>
      <c r="B10" s="16" t="s">
        <v>10</v>
      </c>
      <c r="C10" s="3">
        <f>'MAY 20'!G10:G29</f>
        <v>500</v>
      </c>
      <c r="D10" s="16">
        <v>1000</v>
      </c>
      <c r="E10" s="16">
        <f>D10+C10</f>
        <v>1500</v>
      </c>
      <c r="F10" s="15">
        <f>1500</f>
        <v>1500</v>
      </c>
      <c r="G10" s="3">
        <f t="shared" si="1"/>
        <v>0</v>
      </c>
    </row>
    <row r="11" spans="1:12" x14ac:dyDescent="0.25">
      <c r="A11" s="16">
        <v>6</v>
      </c>
      <c r="B11" s="16" t="s">
        <v>252</v>
      </c>
      <c r="C11" s="3">
        <f>'MAY 20'!G11:G30</f>
        <v>0</v>
      </c>
      <c r="D11" s="16">
        <v>1000</v>
      </c>
      <c r="E11" s="16">
        <f t="shared" si="0"/>
        <v>1000</v>
      </c>
      <c r="F11" s="15">
        <v>1000</v>
      </c>
      <c r="G11" s="3">
        <f t="shared" si="1"/>
        <v>0</v>
      </c>
    </row>
    <row r="12" spans="1:12" x14ac:dyDescent="0.25">
      <c r="A12" s="16">
        <v>7</v>
      </c>
      <c r="B12" s="16" t="s">
        <v>28</v>
      </c>
      <c r="C12" s="3">
        <f>'MAY 20'!G12:G31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si="1"/>
        <v>0</v>
      </c>
    </row>
    <row r="13" spans="1:12" x14ac:dyDescent="0.25">
      <c r="A13" s="16">
        <v>8</v>
      </c>
      <c r="B13" s="16" t="s">
        <v>220</v>
      </c>
      <c r="C13" s="3">
        <f>'MAY 20'!G13:G32</f>
        <v>500</v>
      </c>
      <c r="D13" s="16">
        <v>1000</v>
      </c>
      <c r="E13" s="16">
        <f t="shared" si="0"/>
        <v>1500</v>
      </c>
      <c r="F13" s="15">
        <f>500+500</f>
        <v>1000</v>
      </c>
      <c r="G13" s="3">
        <f t="shared" si="1"/>
        <v>500</v>
      </c>
    </row>
    <row r="14" spans="1:12" x14ac:dyDescent="0.25">
      <c r="A14" s="16">
        <v>9</v>
      </c>
      <c r="B14" s="3" t="s">
        <v>194</v>
      </c>
      <c r="C14" s="3">
        <f>'MAY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</row>
    <row r="15" spans="1:12" x14ac:dyDescent="0.25">
      <c r="A15" s="16">
        <v>10</v>
      </c>
      <c r="B15" s="16" t="s">
        <v>232</v>
      </c>
      <c r="C15" s="3">
        <f>'MAY 20'!G15:G34</f>
        <v>0</v>
      </c>
      <c r="D15" s="16">
        <v>1000</v>
      </c>
      <c r="E15" s="16">
        <f t="shared" si="0"/>
        <v>1000</v>
      </c>
      <c r="F15" s="15">
        <f>700</f>
        <v>700</v>
      </c>
      <c r="G15" s="3">
        <f>E15-F15</f>
        <v>300</v>
      </c>
    </row>
    <row r="16" spans="1:12" x14ac:dyDescent="0.25">
      <c r="A16" s="16">
        <v>11</v>
      </c>
      <c r="B16" s="18" t="s">
        <v>256</v>
      </c>
      <c r="C16" s="3">
        <f>'MAY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  <c r="L16">
        <f>1500-100-50</f>
        <v>1350</v>
      </c>
    </row>
    <row r="17" spans="1:12" x14ac:dyDescent="0.25">
      <c r="A17" s="16">
        <v>12</v>
      </c>
      <c r="B17" s="3" t="s">
        <v>257</v>
      </c>
      <c r="C17" s="3">
        <f>'MAY 20'!G17:G36</f>
        <v>0</v>
      </c>
      <c r="D17" s="3">
        <v>1000</v>
      </c>
      <c r="E17" s="16">
        <f>D17+C17</f>
        <v>1000</v>
      </c>
      <c r="F17" s="15">
        <f>500</f>
        <v>500</v>
      </c>
      <c r="G17" s="14">
        <f>E17-F17</f>
        <v>500</v>
      </c>
      <c r="L17">
        <f>L16+1800</f>
        <v>3150</v>
      </c>
    </row>
    <row r="18" spans="1:12" x14ac:dyDescent="0.25">
      <c r="A18" s="16">
        <v>13</v>
      </c>
      <c r="B18" s="16" t="s">
        <v>204</v>
      </c>
      <c r="C18" s="3">
        <f>'MAY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</row>
    <row r="19" spans="1:12" x14ac:dyDescent="0.25">
      <c r="A19" s="16">
        <v>14</v>
      </c>
      <c r="B19" s="16" t="s">
        <v>209</v>
      </c>
      <c r="C19" s="3">
        <f>'MAY 20'!G19:G38</f>
        <v>130</v>
      </c>
      <c r="D19" s="16">
        <v>1000</v>
      </c>
      <c r="E19" s="16">
        <f>D19+C19</f>
        <v>1130</v>
      </c>
      <c r="F19" s="15">
        <v>1000</v>
      </c>
      <c r="G19" s="3">
        <f t="shared" si="1"/>
        <v>130</v>
      </c>
    </row>
    <row r="20" spans="1:12" x14ac:dyDescent="0.25">
      <c r="A20" s="16">
        <v>15</v>
      </c>
      <c r="B20" s="16" t="s">
        <v>137</v>
      </c>
      <c r="C20" s="3">
        <f>'MAY 20'!G20:G39</f>
        <v>0</v>
      </c>
      <c r="D20" s="16">
        <v>1000</v>
      </c>
      <c r="E20" s="16">
        <f t="shared" si="0"/>
        <v>1000</v>
      </c>
      <c r="F20" s="15">
        <f>700+300</f>
        <v>1000</v>
      </c>
      <c r="G20" s="3">
        <f t="shared" si="1"/>
        <v>0</v>
      </c>
    </row>
    <row r="21" spans="1:12" x14ac:dyDescent="0.25">
      <c r="A21" s="16">
        <v>16</v>
      </c>
      <c r="B21" s="3" t="s">
        <v>30</v>
      </c>
      <c r="C21" s="3">
        <f>'MAY 20'!G21:G40</f>
        <v>0</v>
      </c>
      <c r="D21" s="3">
        <v>1000</v>
      </c>
      <c r="E21" s="3">
        <f>D21+C21</f>
        <v>1000</v>
      </c>
      <c r="F21" s="15">
        <v>1000</v>
      </c>
      <c r="G21" s="3">
        <f>E21-F21</f>
        <v>0</v>
      </c>
    </row>
    <row r="22" spans="1:12" x14ac:dyDescent="0.25">
      <c r="A22" s="16">
        <v>17</v>
      </c>
      <c r="B22" s="16" t="s">
        <v>47</v>
      </c>
      <c r="C22" s="3">
        <f>'MAY 20'!G22:G41</f>
        <v>0</v>
      </c>
      <c r="D22" s="16">
        <v>1500</v>
      </c>
      <c r="E22" s="16">
        <f t="shared" si="0"/>
        <v>1500</v>
      </c>
      <c r="F22" s="15">
        <v>1500</v>
      </c>
      <c r="G22" s="3">
        <f t="shared" si="1"/>
        <v>0</v>
      </c>
    </row>
    <row r="23" spans="1:12" x14ac:dyDescent="0.25">
      <c r="A23" s="3">
        <v>18</v>
      </c>
      <c r="B23" s="18"/>
      <c r="C23" s="3">
        <f>'MAY 20'!G23:G42</f>
        <v>0</v>
      </c>
      <c r="D23" s="3"/>
      <c r="E23" s="16">
        <f t="shared" si="0"/>
        <v>0</v>
      </c>
      <c r="F23" s="15"/>
      <c r="G23" s="3">
        <f t="shared" si="1"/>
        <v>0</v>
      </c>
    </row>
    <row r="24" spans="1:12" x14ac:dyDescent="0.25">
      <c r="A24" s="3">
        <v>19</v>
      </c>
      <c r="B24" s="18" t="s">
        <v>135</v>
      </c>
      <c r="C24" s="3">
        <f>'MAY 20'!G24:G43</f>
        <v>500</v>
      </c>
      <c r="D24" s="3">
        <v>1500</v>
      </c>
      <c r="E24" s="16">
        <f t="shared" si="0"/>
        <v>2000</v>
      </c>
      <c r="F24" s="15">
        <v>1500</v>
      </c>
      <c r="G24" s="3">
        <f t="shared" si="1"/>
        <v>500</v>
      </c>
    </row>
    <row r="25" spans="1:12" x14ac:dyDescent="0.25">
      <c r="A25" s="3">
        <v>20</v>
      </c>
      <c r="B25" s="18" t="s">
        <v>118</v>
      </c>
      <c r="C25" s="3">
        <f>'MAY 20'!G25:G44</f>
        <v>1520</v>
      </c>
      <c r="D25" s="3">
        <v>1500</v>
      </c>
      <c r="E25" s="16">
        <f>D25+C25</f>
        <v>3020</v>
      </c>
      <c r="F25" s="15">
        <v>3000</v>
      </c>
      <c r="G25" s="3">
        <f t="shared" si="1"/>
        <v>20</v>
      </c>
      <c r="H25" t="s">
        <v>269</v>
      </c>
    </row>
    <row r="26" spans="1:12" x14ac:dyDescent="0.25">
      <c r="B26" s="2" t="s">
        <v>26</v>
      </c>
      <c r="C26" s="3">
        <f>SUM(C6:C25)</f>
        <v>4550</v>
      </c>
      <c r="D26" s="2">
        <f>SUM(D6:D25)</f>
        <v>20500</v>
      </c>
      <c r="E26" s="2">
        <f>SUM(E6:E25)</f>
        <v>25050</v>
      </c>
      <c r="F26" s="39">
        <f>SUM(F6:F25)</f>
        <v>22200</v>
      </c>
      <c r="G26" s="2">
        <f>SUM(G6:G25)</f>
        <v>2850</v>
      </c>
    </row>
    <row r="28" spans="1:12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2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2" ht="15.75" x14ac:dyDescent="0.25">
      <c r="B30" s="3" t="s">
        <v>81</v>
      </c>
      <c r="C30" s="3">
        <f>D26</f>
        <v>20500</v>
      </c>
      <c r="D30" s="3"/>
      <c r="E30" s="3"/>
      <c r="F30" s="3" t="s">
        <v>81</v>
      </c>
      <c r="G30" s="3">
        <f>F26</f>
        <v>22200</v>
      </c>
      <c r="H30" s="3"/>
      <c r="I30" s="3"/>
      <c r="J30" s="40"/>
      <c r="K30" s="41"/>
    </row>
    <row r="31" spans="1:12" x14ac:dyDescent="0.25">
      <c r="B31" s="3" t="s">
        <v>62</v>
      </c>
      <c r="C31" s="3">
        <f>'MAY 20'!E39</f>
        <v>6040</v>
      </c>
      <c r="D31" s="3"/>
      <c r="E31" s="3"/>
      <c r="F31" s="3" t="s">
        <v>62</v>
      </c>
      <c r="G31">
        <f>'MAY 20'!I39</f>
        <v>-200</v>
      </c>
      <c r="H31" s="3"/>
      <c r="I31" s="3"/>
      <c r="J31" s="41"/>
      <c r="K31" s="41"/>
    </row>
    <row r="32" spans="1:12" x14ac:dyDescent="0.25">
      <c r="B32" s="3" t="s">
        <v>41</v>
      </c>
      <c r="C32" s="5">
        <v>0.1</v>
      </c>
      <c r="D32" s="3">
        <f>C32*C30</f>
        <v>2050</v>
      </c>
      <c r="E32" s="3"/>
      <c r="F32" s="3" t="s">
        <v>41</v>
      </c>
      <c r="G32" s="5">
        <v>0.1</v>
      </c>
      <c r="H32" s="3">
        <f>G32*G30</f>
        <v>2220</v>
      </c>
      <c r="I32" s="3"/>
      <c r="J32" s="41"/>
      <c r="K32" s="41"/>
    </row>
    <row r="33" spans="2:15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5" x14ac:dyDescent="0.25">
      <c r="B34" s="19" t="s">
        <v>262</v>
      </c>
      <c r="C34" s="3"/>
      <c r="D34" s="3">
        <v>7390</v>
      </c>
      <c r="E34" s="3"/>
      <c r="F34" s="19" t="s">
        <v>262</v>
      </c>
      <c r="G34" s="3"/>
      <c r="H34" s="3">
        <v>7390</v>
      </c>
      <c r="I34" s="3"/>
      <c r="J34" s="41"/>
      <c r="K34" s="41"/>
    </row>
    <row r="35" spans="2:15" x14ac:dyDescent="0.25">
      <c r="B35" s="19" t="s">
        <v>263</v>
      </c>
      <c r="C35" s="3"/>
      <c r="D35" s="3">
        <v>8010</v>
      </c>
      <c r="E35" s="3"/>
      <c r="F35" s="19" t="s">
        <v>263</v>
      </c>
      <c r="G35" s="3"/>
      <c r="H35" s="3">
        <v>8010</v>
      </c>
      <c r="I35" s="3"/>
      <c r="J35" s="42"/>
      <c r="K35" s="42"/>
    </row>
    <row r="36" spans="2:15" x14ac:dyDescent="0.25">
      <c r="B36" s="19" t="s">
        <v>264</v>
      </c>
      <c r="C36" s="3"/>
      <c r="D36" s="3">
        <v>1350</v>
      </c>
      <c r="E36" s="3"/>
      <c r="F36" s="19" t="s">
        <v>265</v>
      </c>
      <c r="G36" s="3"/>
      <c r="H36" s="3">
        <v>1350</v>
      </c>
      <c r="I36" s="3"/>
    </row>
    <row r="37" spans="2:15" x14ac:dyDescent="0.25">
      <c r="B37" s="19" t="s">
        <v>268</v>
      </c>
      <c r="C37" s="3"/>
      <c r="D37" s="3">
        <v>2430</v>
      </c>
      <c r="E37" s="3"/>
      <c r="F37" s="19" t="s">
        <v>268</v>
      </c>
      <c r="G37" s="3"/>
      <c r="H37" s="3">
        <v>2430</v>
      </c>
      <c r="I37" s="3"/>
      <c r="J37" s="43"/>
      <c r="K37">
        <f>G30-H32</f>
        <v>19980</v>
      </c>
    </row>
    <row r="38" spans="2:15" x14ac:dyDescent="0.25">
      <c r="B38" s="19" t="s">
        <v>270</v>
      </c>
      <c r="C38" s="3"/>
      <c r="D38" s="3">
        <v>3000</v>
      </c>
      <c r="E38" s="3"/>
      <c r="F38" s="19" t="s">
        <v>270</v>
      </c>
      <c r="G38" s="3"/>
      <c r="H38" s="3">
        <v>3000</v>
      </c>
      <c r="I38" s="3"/>
    </row>
    <row r="39" spans="2:15" x14ac:dyDescent="0.25">
      <c r="B39" s="2" t="s">
        <v>26</v>
      </c>
      <c r="C39" s="2">
        <f>C30+C31-D32</f>
        <v>24490</v>
      </c>
      <c r="D39" s="2">
        <f>SUM(D34:D38)</f>
        <v>22180</v>
      </c>
      <c r="E39" s="2">
        <f>C39-D39</f>
        <v>2310</v>
      </c>
      <c r="F39" s="2" t="s">
        <v>26</v>
      </c>
      <c r="G39" s="2">
        <f>G30+G31-H32</f>
        <v>19780</v>
      </c>
      <c r="H39" s="2">
        <f>SUM(H34:H38)</f>
        <v>22180</v>
      </c>
      <c r="I39" s="2">
        <f>G39-H39</f>
        <v>-2400</v>
      </c>
    </row>
    <row r="40" spans="2:15" x14ac:dyDescent="0.25">
      <c r="B40" t="s">
        <v>33</v>
      </c>
      <c r="D40" t="s">
        <v>49</v>
      </c>
      <c r="G40" t="s">
        <v>34</v>
      </c>
    </row>
    <row r="41" spans="2:15" x14ac:dyDescent="0.25">
      <c r="B41" t="s">
        <v>179</v>
      </c>
      <c r="D41" t="s">
        <v>50</v>
      </c>
      <c r="G41" t="s">
        <v>51</v>
      </c>
    </row>
    <row r="43" spans="2:15" x14ac:dyDescent="0.25">
      <c r="O43" t="s">
        <v>84</v>
      </c>
    </row>
    <row r="44" spans="2:15" ht="18.75" x14ac:dyDescent="0.3">
      <c r="C44" s="1" t="s">
        <v>42</v>
      </c>
      <c r="D44" s="21"/>
      <c r="E44" s="21"/>
      <c r="F44" s="21"/>
      <c r="G44" s="22"/>
    </row>
    <row r="45" spans="2:15" ht="15.75" x14ac:dyDescent="0.25">
      <c r="C45" s="21" t="s">
        <v>0</v>
      </c>
      <c r="D45" s="29"/>
      <c r="E45" s="29"/>
      <c r="F45" s="29"/>
      <c r="G45" s="22"/>
    </row>
    <row r="46" spans="2:15" ht="15.75" x14ac:dyDescent="0.25">
      <c r="C46" s="21" t="s">
        <v>261</v>
      </c>
      <c r="D46" s="29"/>
      <c r="E46" s="29"/>
      <c r="F46" s="29"/>
      <c r="G46" s="22"/>
    </row>
    <row r="47" spans="2:15" ht="18.75" x14ac:dyDescent="0.3">
      <c r="B47" s="18"/>
      <c r="C47" s="46" t="s">
        <v>139</v>
      </c>
      <c r="D47" s="47"/>
      <c r="E47" s="30"/>
      <c r="F47" s="31"/>
      <c r="G47" s="3"/>
    </row>
    <row r="48" spans="2:15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10" x14ac:dyDescent="0.25">
      <c r="A49">
        <v>1</v>
      </c>
      <c r="B49" s="18"/>
      <c r="C49" s="3"/>
      <c r="D49" s="3"/>
      <c r="E49" s="16">
        <f>C49+D49</f>
        <v>0</v>
      </c>
      <c r="F49" s="15"/>
      <c r="G49" s="3">
        <f>E49-F49</f>
        <v>0</v>
      </c>
    </row>
    <row r="50" spans="1:10" x14ac:dyDescent="0.25">
      <c r="A50">
        <v>2</v>
      </c>
      <c r="B50" s="18" t="s">
        <v>254</v>
      </c>
      <c r="C50" s="3">
        <f>'MAY 20'!G50:G59</f>
        <v>0</v>
      </c>
      <c r="D50" s="3">
        <v>2000</v>
      </c>
      <c r="E50" s="16">
        <f t="shared" ref="E50:E58" si="2">C50+D50</f>
        <v>2000</v>
      </c>
      <c r="F50" s="15">
        <v>2000</v>
      </c>
      <c r="G50" s="3">
        <f t="shared" ref="G50:G58" si="3">E50-F50</f>
        <v>0</v>
      </c>
    </row>
    <row r="51" spans="1:10" x14ac:dyDescent="0.25">
      <c r="A51">
        <v>3</v>
      </c>
      <c r="B51" s="18" t="s">
        <v>193</v>
      </c>
      <c r="C51" s="3">
        <f>'MAY 20'!G51:G60</f>
        <v>0</v>
      </c>
      <c r="D51" s="3">
        <v>2000</v>
      </c>
      <c r="E51" s="16">
        <f t="shared" si="2"/>
        <v>2000</v>
      </c>
      <c r="F51" s="15">
        <v>1500</v>
      </c>
      <c r="G51" s="3">
        <f>E51-F51</f>
        <v>500</v>
      </c>
    </row>
    <row r="52" spans="1:10" x14ac:dyDescent="0.25">
      <c r="A52">
        <v>4</v>
      </c>
      <c r="B52" s="18" t="s">
        <v>144</v>
      </c>
      <c r="C52" s="3">
        <f>'MAY 20'!G52:G61</f>
        <v>0</v>
      </c>
      <c r="D52" s="3">
        <v>2000</v>
      </c>
      <c r="E52" s="16">
        <f t="shared" si="2"/>
        <v>2000</v>
      </c>
      <c r="F52" s="15">
        <v>2000</v>
      </c>
      <c r="G52" s="3">
        <f t="shared" si="3"/>
        <v>0</v>
      </c>
    </row>
    <row r="53" spans="1:10" x14ac:dyDescent="0.25">
      <c r="A53">
        <v>5</v>
      </c>
      <c r="B53" s="18" t="s">
        <v>251</v>
      </c>
      <c r="C53" s="3">
        <f>'MAY 20'!G53:G62</f>
        <v>0</v>
      </c>
      <c r="D53" s="3">
        <v>2000</v>
      </c>
      <c r="E53" s="16">
        <f t="shared" si="2"/>
        <v>2000</v>
      </c>
      <c r="F53" s="15">
        <v>2000</v>
      </c>
      <c r="G53" s="3">
        <f t="shared" si="3"/>
        <v>0</v>
      </c>
      <c r="I53">
        <f>I39+I75</f>
        <v>-2400</v>
      </c>
    </row>
    <row r="54" spans="1:10" x14ac:dyDescent="0.25">
      <c r="A54">
        <v>6</v>
      </c>
      <c r="B54" s="18" t="s">
        <v>165</v>
      </c>
      <c r="C54" s="3">
        <f>'MAY 20'!G54:G63</f>
        <v>500</v>
      </c>
      <c r="D54" s="3">
        <v>2000</v>
      </c>
      <c r="E54" s="16">
        <f t="shared" si="2"/>
        <v>2500</v>
      </c>
      <c r="F54" s="15">
        <f>500+2000</f>
        <v>2500</v>
      </c>
      <c r="G54" s="3">
        <f t="shared" si="3"/>
        <v>0</v>
      </c>
    </row>
    <row r="55" spans="1:10" x14ac:dyDescent="0.25">
      <c r="A55">
        <v>7</v>
      </c>
      <c r="B55" s="18" t="s">
        <v>166</v>
      </c>
      <c r="C55" s="3">
        <f>'MAY 20'!G55:G64</f>
        <v>1000</v>
      </c>
      <c r="D55" s="3">
        <v>2000</v>
      </c>
      <c r="E55" s="16">
        <f t="shared" si="2"/>
        <v>3000</v>
      </c>
      <c r="F55" s="15">
        <f>2000</f>
        <v>2000</v>
      </c>
      <c r="G55" s="3">
        <f t="shared" si="3"/>
        <v>1000</v>
      </c>
    </row>
    <row r="56" spans="1:10" x14ac:dyDescent="0.25">
      <c r="A56">
        <v>8</v>
      </c>
      <c r="B56" s="18"/>
      <c r="C56" s="3">
        <f>'MAY 20'!G56:G65</f>
        <v>0</v>
      </c>
      <c r="D56" s="3"/>
      <c r="E56" s="16">
        <f t="shared" si="2"/>
        <v>0</v>
      </c>
      <c r="F56" s="15"/>
      <c r="G56" s="3">
        <f t="shared" si="3"/>
        <v>0</v>
      </c>
    </row>
    <row r="57" spans="1:10" x14ac:dyDescent="0.25">
      <c r="A57">
        <v>9</v>
      </c>
      <c r="B57" s="18" t="s">
        <v>190</v>
      </c>
      <c r="C57" s="3">
        <f>'MAY 20'!G57:G66</f>
        <v>0</v>
      </c>
      <c r="D57" s="3">
        <v>2000</v>
      </c>
      <c r="E57" s="16">
        <f t="shared" si="2"/>
        <v>2000</v>
      </c>
      <c r="F57" s="15">
        <v>2000</v>
      </c>
      <c r="G57" s="3">
        <f t="shared" si="3"/>
        <v>0</v>
      </c>
    </row>
    <row r="58" spans="1:10" x14ac:dyDescent="0.25">
      <c r="A58">
        <v>10</v>
      </c>
      <c r="B58" s="18" t="s">
        <v>228</v>
      </c>
      <c r="C58" s="3">
        <f>'MAY 20'!G58:G67</f>
        <v>0</v>
      </c>
      <c r="D58" s="3">
        <v>2000</v>
      </c>
      <c r="E58" s="16">
        <f t="shared" si="2"/>
        <v>2000</v>
      </c>
      <c r="F58" s="15">
        <v>2000</v>
      </c>
      <c r="G58" s="3">
        <f t="shared" si="3"/>
        <v>0</v>
      </c>
    </row>
    <row r="59" spans="1:10" x14ac:dyDescent="0.25">
      <c r="A59">
        <v>11</v>
      </c>
      <c r="B59" s="18"/>
      <c r="C59" s="3"/>
      <c r="D59" s="3"/>
      <c r="E59" s="16"/>
      <c r="F59" s="15"/>
      <c r="G59" s="3"/>
    </row>
    <row r="60" spans="1:10" x14ac:dyDescent="0.25">
      <c r="A60">
        <v>12</v>
      </c>
      <c r="B60" s="18"/>
      <c r="C60" s="3"/>
      <c r="D60" s="3"/>
      <c r="E60" s="16"/>
      <c r="F60" s="15"/>
      <c r="G60" s="3"/>
    </row>
    <row r="61" spans="1:10" x14ac:dyDescent="0.25">
      <c r="B61" s="2" t="s">
        <v>26</v>
      </c>
      <c r="C61" s="3">
        <f>SUM(C51:C60)</f>
        <v>1500</v>
      </c>
      <c r="D61" s="2">
        <f>SUM(D49:D60)</f>
        <v>16000</v>
      </c>
      <c r="E61" s="2">
        <f>SUM(E49:E60)</f>
        <v>17500</v>
      </c>
      <c r="F61" s="39">
        <f>SUM(F49:F60)</f>
        <v>16000</v>
      </c>
      <c r="G61" s="2">
        <f>SUM(G49:G60)</f>
        <v>1500</v>
      </c>
      <c r="J61">
        <f>G65-H67</f>
        <v>14400</v>
      </c>
    </row>
    <row r="63" spans="1:10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10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  <c r="J64" s="38"/>
    </row>
    <row r="65" spans="2:9" x14ac:dyDescent="0.25">
      <c r="B65" s="3" t="s">
        <v>86</v>
      </c>
      <c r="C65" s="3">
        <f>D61</f>
        <v>16000</v>
      </c>
      <c r="D65" s="3"/>
      <c r="E65" s="3"/>
      <c r="F65" s="3" t="s">
        <v>86</v>
      </c>
      <c r="G65" s="3">
        <f>F61</f>
        <v>16000</v>
      </c>
      <c r="H65" s="3"/>
      <c r="I65" s="3"/>
    </row>
    <row r="66" spans="2:9" x14ac:dyDescent="0.25">
      <c r="B66" s="3" t="s">
        <v>62</v>
      </c>
      <c r="C66" s="3">
        <f>'MAY 20'!E75</f>
        <v>3600</v>
      </c>
      <c r="D66" s="3"/>
      <c r="E66" s="3"/>
      <c r="F66" s="3" t="s">
        <v>62</v>
      </c>
      <c r="G66">
        <f>'MAY 20'!I75</f>
        <v>2250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G67*G65</f>
        <v>1600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266</v>
      </c>
      <c r="C69" s="19"/>
      <c r="D69" s="3">
        <v>9900</v>
      </c>
      <c r="E69" s="3"/>
      <c r="F69" s="35" t="s">
        <v>266</v>
      </c>
      <c r="G69" s="19"/>
      <c r="H69" s="3">
        <v>9900</v>
      </c>
      <c r="I69" s="3"/>
    </row>
    <row r="70" spans="2:9" x14ac:dyDescent="0.25">
      <c r="B70" s="35" t="s">
        <v>263</v>
      </c>
      <c r="C70" s="19"/>
      <c r="D70" s="3">
        <v>4950</v>
      </c>
      <c r="E70" s="3"/>
      <c r="F70" s="35" t="s">
        <v>263</v>
      </c>
      <c r="G70" s="19"/>
      <c r="H70" s="3">
        <v>4950</v>
      </c>
      <c r="I70" s="3"/>
    </row>
    <row r="71" spans="2:9" x14ac:dyDescent="0.25">
      <c r="B71" s="10" t="s">
        <v>265</v>
      </c>
      <c r="C71" s="3"/>
      <c r="D71" s="3">
        <v>1800</v>
      </c>
      <c r="E71" s="3"/>
      <c r="F71" s="10" t="s">
        <v>265</v>
      </c>
      <c r="G71" s="3"/>
      <c r="H71" s="3">
        <v>1800</v>
      </c>
      <c r="I71" s="3"/>
    </row>
    <row r="72" spans="2:9" x14ac:dyDescent="0.25">
      <c r="B72" s="35"/>
      <c r="C72" s="19"/>
      <c r="D72" s="3"/>
      <c r="E72" s="3"/>
      <c r="F72" s="35"/>
      <c r="G72" s="19"/>
      <c r="H72" s="3"/>
      <c r="I72" s="3"/>
    </row>
    <row r="73" spans="2:9" x14ac:dyDescent="0.25">
      <c r="B73" s="35"/>
      <c r="C73" s="19"/>
      <c r="D73" s="3"/>
      <c r="E73" s="3"/>
      <c r="F73" s="35"/>
      <c r="G73" s="19"/>
      <c r="H73" s="3"/>
      <c r="I73" s="3"/>
    </row>
    <row r="74" spans="2:9" x14ac:dyDescent="0.25">
      <c r="B74" s="10"/>
      <c r="C74" s="3"/>
      <c r="D74" s="3"/>
      <c r="E74" s="3"/>
      <c r="F74" s="10"/>
      <c r="G74" s="3"/>
      <c r="H74" s="3"/>
      <c r="I74" s="3"/>
    </row>
    <row r="75" spans="2:9" x14ac:dyDescent="0.25">
      <c r="B75" s="2" t="s">
        <v>26</v>
      </c>
      <c r="C75" s="2">
        <f>C65+C66-D67</f>
        <v>18000</v>
      </c>
      <c r="D75" s="2">
        <f>SUM(D69:D74)</f>
        <v>16650</v>
      </c>
      <c r="E75" s="2">
        <f>C75-D75</f>
        <v>1350</v>
      </c>
      <c r="F75" s="2" t="s">
        <v>26</v>
      </c>
      <c r="G75" s="2">
        <f>G65+G66-H67</f>
        <v>16650</v>
      </c>
      <c r="H75" s="2">
        <f>SUM(H69:H74)</f>
        <v>16650</v>
      </c>
      <c r="I75" s="2">
        <f>G75-H75</f>
        <v>0</v>
      </c>
    </row>
    <row r="77" spans="2:9" x14ac:dyDescent="0.25">
      <c r="B77" t="s">
        <v>33</v>
      </c>
      <c r="D77" t="s">
        <v>49</v>
      </c>
      <c r="G77" t="s">
        <v>34</v>
      </c>
    </row>
    <row r="79" spans="2:9" x14ac:dyDescent="0.25">
      <c r="B79" t="s">
        <v>179</v>
      </c>
      <c r="D79" t="s">
        <v>50</v>
      </c>
      <c r="G79" t="s">
        <v>51</v>
      </c>
    </row>
  </sheetData>
  <mergeCells count="1">
    <mergeCell ref="C47:D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H11" sqref="H11"/>
    </sheetView>
  </sheetViews>
  <sheetFormatPr defaultRowHeight="15" x14ac:dyDescent="0.25"/>
  <cols>
    <col min="1" max="1" width="4" customWidth="1"/>
    <col min="2" max="2" width="20.140625" customWidth="1"/>
    <col min="3" max="3" width="6.140625" customWidth="1"/>
    <col min="4" max="4" width="7.5703125" customWidth="1"/>
    <col min="5" max="5" width="10.140625" customWidth="1"/>
    <col min="6" max="6" width="9.140625" customWidth="1"/>
    <col min="7" max="8" width="7.425781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52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30</v>
      </c>
      <c r="C5" s="3"/>
      <c r="D5" s="3">
        <v>1000</v>
      </c>
      <c r="E5" s="3">
        <f>C5+D5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3" t="s">
        <v>53</v>
      </c>
      <c r="C6" s="3"/>
      <c r="D6" s="3">
        <v>500</v>
      </c>
      <c r="E6" s="3">
        <f t="shared" ref="E6:E20" si="0">C6+D6</f>
        <v>500</v>
      </c>
      <c r="F6" s="3">
        <v>500</v>
      </c>
      <c r="G6" s="3">
        <f t="shared" ref="G6:G20" si="1">E6-F6</f>
        <v>0</v>
      </c>
    </row>
    <row r="7" spans="1:8" x14ac:dyDescent="0.25">
      <c r="A7" s="3">
        <v>3</v>
      </c>
      <c r="B7" s="3" t="s">
        <v>8</v>
      </c>
      <c r="C7" s="3"/>
      <c r="D7" s="3">
        <v>1000</v>
      </c>
      <c r="E7" s="3">
        <f t="shared" si="0"/>
        <v>1000</v>
      </c>
      <c r="F7" s="3">
        <v>1000</v>
      </c>
      <c r="G7" s="3">
        <f t="shared" si="1"/>
        <v>0</v>
      </c>
    </row>
    <row r="8" spans="1:8" x14ac:dyDescent="0.25">
      <c r="A8" s="3">
        <v>4</v>
      </c>
      <c r="B8" s="3" t="s">
        <v>18</v>
      </c>
      <c r="C8" s="3"/>
      <c r="D8" s="3">
        <v>1000</v>
      </c>
      <c r="E8" s="3">
        <f t="shared" si="0"/>
        <v>1000</v>
      </c>
      <c r="F8" s="3">
        <v>1000</v>
      </c>
      <c r="G8" s="3">
        <f t="shared" si="1"/>
        <v>0</v>
      </c>
      <c r="H8" t="s">
        <v>80</v>
      </c>
    </row>
    <row r="9" spans="1:8" x14ac:dyDescent="0.25">
      <c r="A9" s="3">
        <v>5</v>
      </c>
      <c r="B9" s="3" t="s">
        <v>58</v>
      </c>
      <c r="C9" s="3"/>
      <c r="D9" s="3">
        <v>1000</v>
      </c>
      <c r="E9" s="3">
        <f t="shared" si="0"/>
        <v>1000</v>
      </c>
      <c r="F9" s="3">
        <v>1000</v>
      </c>
      <c r="G9" s="3">
        <f t="shared" si="1"/>
        <v>0</v>
      </c>
    </row>
    <row r="10" spans="1:8" x14ac:dyDescent="0.25">
      <c r="A10" s="3">
        <v>6</v>
      </c>
      <c r="B10" s="3" t="s">
        <v>28</v>
      </c>
      <c r="C10" s="3"/>
      <c r="D10" s="3">
        <v>1000</v>
      </c>
      <c r="E10" s="3">
        <f t="shared" si="0"/>
        <v>1000</v>
      </c>
      <c r="F10" s="3">
        <v>1000</v>
      </c>
      <c r="G10" s="3">
        <f t="shared" si="1"/>
        <v>0</v>
      </c>
    </row>
    <row r="11" spans="1:8" x14ac:dyDescent="0.25">
      <c r="A11" s="3">
        <v>7</v>
      </c>
      <c r="B11" s="3" t="s">
        <v>10</v>
      </c>
      <c r="C11" s="3"/>
      <c r="D11" s="3">
        <v>1000</v>
      </c>
      <c r="E11" s="3">
        <f t="shared" si="0"/>
        <v>1000</v>
      </c>
      <c r="F11" s="3">
        <v>1000</v>
      </c>
      <c r="G11" s="3">
        <f t="shared" si="1"/>
        <v>0</v>
      </c>
    </row>
    <row r="12" spans="1:8" x14ac:dyDescent="0.25">
      <c r="A12" s="3">
        <v>8</v>
      </c>
      <c r="B12" s="3" t="s">
        <v>57</v>
      </c>
      <c r="C12" s="3"/>
      <c r="D12" s="3">
        <v>1000</v>
      </c>
      <c r="E12" s="3">
        <f t="shared" si="0"/>
        <v>1000</v>
      </c>
      <c r="F12" s="3">
        <v>1000</v>
      </c>
      <c r="G12" s="3">
        <f t="shared" si="1"/>
        <v>0</v>
      </c>
    </row>
    <row r="13" spans="1:8" x14ac:dyDescent="0.25">
      <c r="A13" s="3">
        <v>9</v>
      </c>
      <c r="B13" s="3" t="s">
        <v>12</v>
      </c>
      <c r="C13" s="3"/>
      <c r="D13" s="3">
        <v>1000</v>
      </c>
      <c r="E13" s="3">
        <f t="shared" si="0"/>
        <v>1000</v>
      </c>
      <c r="F13" s="3">
        <v>1000</v>
      </c>
      <c r="G13" s="3">
        <f t="shared" si="1"/>
        <v>0</v>
      </c>
    </row>
    <row r="14" spans="1:8" x14ac:dyDescent="0.25">
      <c r="A14" s="3">
        <v>10</v>
      </c>
      <c r="B14" s="3" t="s">
        <v>7</v>
      </c>
      <c r="C14" s="3"/>
      <c r="D14" s="3">
        <v>1000</v>
      </c>
      <c r="E14" s="3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3">
        <v>11</v>
      </c>
      <c r="B15" s="3" t="s">
        <v>55</v>
      </c>
      <c r="C15" s="3"/>
      <c r="D15" s="3">
        <v>1000</v>
      </c>
      <c r="E15" s="3">
        <f t="shared" si="0"/>
        <v>1000</v>
      </c>
      <c r="F15" s="3">
        <v>1000</v>
      </c>
      <c r="G15" s="3">
        <f t="shared" si="1"/>
        <v>0</v>
      </c>
    </row>
    <row r="16" spans="1:8" x14ac:dyDescent="0.25">
      <c r="A16" s="3">
        <v>12</v>
      </c>
      <c r="B16" s="3" t="s">
        <v>54</v>
      </c>
      <c r="C16" s="3"/>
      <c r="D16" s="3">
        <v>1000</v>
      </c>
      <c r="E16" s="3">
        <f t="shared" si="0"/>
        <v>1000</v>
      </c>
      <c r="F16" s="3">
        <v>1000</v>
      </c>
      <c r="G16" s="3">
        <f t="shared" si="1"/>
        <v>0</v>
      </c>
    </row>
    <row r="17" spans="1:9" x14ac:dyDescent="0.25">
      <c r="A17" s="3">
        <v>13</v>
      </c>
      <c r="B17" s="3" t="s">
        <v>59</v>
      </c>
      <c r="C17" s="3"/>
      <c r="D17" s="3">
        <v>1000</v>
      </c>
      <c r="E17" s="3">
        <f t="shared" si="0"/>
        <v>1000</v>
      </c>
      <c r="F17" s="3">
        <v>1000</v>
      </c>
      <c r="G17" s="3">
        <f t="shared" si="1"/>
        <v>0</v>
      </c>
    </row>
    <row r="18" spans="1:9" x14ac:dyDescent="0.25">
      <c r="A18" s="3">
        <v>14</v>
      </c>
      <c r="B18" s="3" t="s">
        <v>29</v>
      </c>
      <c r="C18" s="3"/>
      <c r="D18" s="3">
        <v>1000</v>
      </c>
      <c r="E18" s="3">
        <f t="shared" si="0"/>
        <v>1000</v>
      </c>
      <c r="F18" s="3">
        <v>1000</v>
      </c>
      <c r="G18" s="3">
        <f t="shared" si="1"/>
        <v>0</v>
      </c>
    </row>
    <row r="19" spans="1:9" x14ac:dyDescent="0.25">
      <c r="A19" s="3">
        <v>15</v>
      </c>
      <c r="B19" s="3" t="s">
        <v>56</v>
      </c>
      <c r="C19" s="3"/>
      <c r="D19" s="3">
        <v>1000</v>
      </c>
      <c r="E19" s="3">
        <f t="shared" si="0"/>
        <v>1000</v>
      </c>
      <c r="F19" s="3">
        <v>1000</v>
      </c>
      <c r="G19" s="3">
        <f t="shared" si="1"/>
        <v>0</v>
      </c>
    </row>
    <row r="20" spans="1:9" x14ac:dyDescent="0.25">
      <c r="A20" s="3">
        <v>16</v>
      </c>
      <c r="B20" s="3" t="s">
        <v>45</v>
      </c>
      <c r="C20" s="3"/>
      <c r="D20" s="3">
        <v>1000</v>
      </c>
      <c r="E20" s="3">
        <f t="shared" si="0"/>
        <v>1000</v>
      </c>
      <c r="F20" s="3">
        <v>1000</v>
      </c>
      <c r="G20" s="3">
        <f t="shared" si="1"/>
        <v>0</v>
      </c>
    </row>
    <row r="21" spans="1:9" x14ac:dyDescent="0.25">
      <c r="A21" s="3">
        <v>17</v>
      </c>
      <c r="B21" s="3" t="s">
        <v>15</v>
      </c>
      <c r="C21" s="3"/>
      <c r="D21" s="3"/>
      <c r="E21" s="3"/>
      <c r="F21" s="3"/>
      <c r="G21" s="3"/>
    </row>
    <row r="22" spans="1:9" x14ac:dyDescent="0.25">
      <c r="A22" s="3">
        <v>18</v>
      </c>
      <c r="B22" s="3" t="s">
        <v>15</v>
      </c>
      <c r="C22" s="3"/>
      <c r="D22" s="3"/>
      <c r="E22" s="3"/>
      <c r="F22" s="3"/>
      <c r="G22" s="3"/>
    </row>
    <row r="23" spans="1:9" x14ac:dyDescent="0.25">
      <c r="A23" s="3">
        <v>19</v>
      </c>
      <c r="B23" s="3" t="s">
        <v>47</v>
      </c>
      <c r="C23" s="3"/>
      <c r="D23" s="3">
        <v>1500</v>
      </c>
      <c r="E23" s="3"/>
      <c r="F23" s="3">
        <v>1500</v>
      </c>
      <c r="G23" s="3"/>
    </row>
    <row r="24" spans="1:9" x14ac:dyDescent="0.25">
      <c r="A24" s="3">
        <v>20</v>
      </c>
      <c r="B24" s="3" t="s">
        <v>15</v>
      </c>
      <c r="C24" s="3"/>
      <c r="D24" s="3"/>
      <c r="E24" s="3"/>
      <c r="F24" s="3"/>
      <c r="G24" s="3"/>
    </row>
    <row r="25" spans="1:9" ht="15.75" thickBot="1" x14ac:dyDescent="0.3">
      <c r="A25" s="2"/>
      <c r="B25" s="2" t="s">
        <v>26</v>
      </c>
      <c r="C25" s="2"/>
      <c r="D25" s="6">
        <f>SUM(D5:D24)</f>
        <v>17000</v>
      </c>
      <c r="E25" s="6">
        <f>SUM(E5:E24)</f>
        <v>15500</v>
      </c>
      <c r="F25" s="6">
        <f>SUM(F5:F24)</f>
        <v>17000</v>
      </c>
      <c r="G25" s="6">
        <f>SUM(G5:G24)</f>
        <v>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48</v>
      </c>
      <c r="C29" s="3">
        <f>D25</f>
        <v>17000</v>
      </c>
      <c r="D29" s="3"/>
      <c r="E29" s="3"/>
      <c r="F29" s="3"/>
      <c r="G29" s="3">
        <f>F25</f>
        <v>17000</v>
      </c>
      <c r="H29" s="3"/>
      <c r="I29" s="3"/>
    </row>
    <row r="30" spans="1:9" x14ac:dyDescent="0.25">
      <c r="B30" s="3"/>
      <c r="C30" s="3"/>
      <c r="D30" s="3"/>
      <c r="E30" s="3"/>
      <c r="F30" s="3"/>
      <c r="G30" s="3"/>
      <c r="H30" s="3"/>
      <c r="I30" s="3"/>
    </row>
    <row r="31" spans="1:9" x14ac:dyDescent="0.25">
      <c r="B31" s="2" t="s">
        <v>20</v>
      </c>
      <c r="C31" s="3"/>
      <c r="D31" s="3"/>
      <c r="E31" s="3"/>
      <c r="F31" s="3"/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1700</v>
      </c>
      <c r="E32" s="3"/>
      <c r="F32" s="3"/>
      <c r="G32" s="3" t="s">
        <v>41</v>
      </c>
      <c r="H32" s="3">
        <f>C32*C29</f>
        <v>1700</v>
      </c>
      <c r="I32" s="3"/>
    </row>
    <row r="33" spans="2:9" x14ac:dyDescent="0.25">
      <c r="B33" s="10">
        <v>43176</v>
      </c>
      <c r="C33" s="3"/>
      <c r="D33" s="3">
        <v>7050</v>
      </c>
      <c r="E33" s="3"/>
      <c r="F33" s="10">
        <v>43176</v>
      </c>
      <c r="G33" s="3"/>
      <c r="H33" s="3">
        <v>7050</v>
      </c>
      <c r="I33" s="3"/>
    </row>
    <row r="34" spans="2:9" x14ac:dyDescent="0.25">
      <c r="B34" s="10">
        <v>43178</v>
      </c>
      <c r="C34" s="3"/>
      <c r="D34" s="3">
        <v>7900</v>
      </c>
      <c r="E34" s="3"/>
      <c r="F34" s="10">
        <v>43178</v>
      </c>
      <c r="G34" s="3"/>
      <c r="H34" s="3">
        <v>7900</v>
      </c>
      <c r="I34" s="3"/>
    </row>
    <row r="35" spans="2:9" x14ac:dyDescent="0.25">
      <c r="B35" s="3" t="s">
        <v>32</v>
      </c>
      <c r="C35" s="3"/>
      <c r="D35" s="3">
        <v>200</v>
      </c>
      <c r="E35" s="3"/>
      <c r="F35" s="3" t="s">
        <v>32</v>
      </c>
      <c r="G35" s="3"/>
      <c r="H35" s="3">
        <v>200</v>
      </c>
      <c r="I35" s="3"/>
    </row>
    <row r="36" spans="2:9" x14ac:dyDescent="0.25">
      <c r="B36" s="10"/>
      <c r="C36" s="3"/>
      <c r="D36" s="3"/>
      <c r="E36" s="3"/>
      <c r="F36" s="10"/>
      <c r="G36" s="3"/>
      <c r="H36" s="3"/>
      <c r="I36" s="3"/>
    </row>
    <row r="37" spans="2:9" x14ac:dyDescent="0.25">
      <c r="B37" s="2" t="s">
        <v>26</v>
      </c>
      <c r="C37" s="3">
        <f>C29</f>
        <v>17000</v>
      </c>
      <c r="D37" s="3">
        <f>SUM(D32:D36)</f>
        <v>16850</v>
      </c>
      <c r="E37" s="3">
        <f>C37-D37</f>
        <v>150</v>
      </c>
      <c r="F37" s="3"/>
      <c r="G37" s="3">
        <f>G29</f>
        <v>17000</v>
      </c>
      <c r="H37" s="3">
        <f>SUM(H32:H36)</f>
        <v>16850</v>
      </c>
      <c r="I37" s="3">
        <f>G37-H37</f>
        <v>150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25" right="0.25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7" workbookViewId="0">
      <selection activeCell="G32" sqref="G32"/>
    </sheetView>
  </sheetViews>
  <sheetFormatPr defaultRowHeight="15" x14ac:dyDescent="0.25"/>
  <cols>
    <col min="1" max="1" width="5.42578125" customWidth="1"/>
    <col min="2" max="2" width="19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246</v>
      </c>
      <c r="D3" s="28"/>
      <c r="F3" s="28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207</v>
      </c>
      <c r="C6" s="3">
        <f>'APRIL 20'!G6:G25</f>
        <v>800</v>
      </c>
      <c r="D6" s="3">
        <v>1000</v>
      </c>
      <c r="E6" s="3">
        <f>D6+C6</f>
        <v>1800</v>
      </c>
      <c r="F6" s="15">
        <f>1000</f>
        <v>1000</v>
      </c>
      <c r="G6" s="3">
        <f>E6-F6</f>
        <v>800</v>
      </c>
    </row>
    <row r="7" spans="1:7" x14ac:dyDescent="0.25">
      <c r="A7" s="3">
        <v>2</v>
      </c>
      <c r="B7" s="16" t="s">
        <v>109</v>
      </c>
      <c r="C7" s="3">
        <f>'APRIL 20'!G7:G26</f>
        <v>600</v>
      </c>
      <c r="D7" s="3">
        <v>1000</v>
      </c>
      <c r="E7" s="3">
        <f t="shared" ref="E7:E24" si="0">D7+C7</f>
        <v>1600</v>
      </c>
      <c r="F7" s="15">
        <v>1000</v>
      </c>
      <c r="G7" s="3">
        <f t="shared" ref="G7:G25" si="1">E7-F7</f>
        <v>600</v>
      </c>
    </row>
    <row r="8" spans="1:7" x14ac:dyDescent="0.25">
      <c r="A8" s="16">
        <v>3</v>
      </c>
      <c r="B8" s="18" t="s">
        <v>137</v>
      </c>
      <c r="C8" s="3">
        <f>'APRIL 20'!G8:G27</f>
        <v>0</v>
      </c>
      <c r="D8" s="18">
        <v>1000</v>
      </c>
      <c r="E8" s="16">
        <f>D8+C8</f>
        <v>1000</v>
      </c>
      <c r="F8" s="15">
        <v>1000</v>
      </c>
      <c r="G8" s="3">
        <f>E8-F8</f>
        <v>0</v>
      </c>
    </row>
    <row r="9" spans="1:7" x14ac:dyDescent="0.25">
      <c r="A9" s="16">
        <v>4</v>
      </c>
      <c r="B9" s="16" t="s">
        <v>238</v>
      </c>
      <c r="C9" s="3">
        <f>'APRIL 20'!G9:G28</f>
        <v>0</v>
      </c>
      <c r="D9" s="16">
        <v>1000</v>
      </c>
      <c r="E9" s="16">
        <f>D9+C9</f>
        <v>1000</v>
      </c>
      <c r="F9" s="15">
        <f>500+500</f>
        <v>1000</v>
      </c>
      <c r="G9" s="3">
        <f>E9-F9</f>
        <v>0</v>
      </c>
    </row>
    <row r="10" spans="1:7" x14ac:dyDescent="0.25">
      <c r="A10" s="16">
        <v>5</v>
      </c>
      <c r="B10" s="16" t="s">
        <v>10</v>
      </c>
      <c r="C10" s="3">
        <f>'APRIL 20'!G10:G29</f>
        <v>1000</v>
      </c>
      <c r="D10" s="16">
        <v>1000</v>
      </c>
      <c r="E10" s="16">
        <f>D10+C10</f>
        <v>2000</v>
      </c>
      <c r="F10" s="15">
        <f>1000+500</f>
        <v>1500</v>
      </c>
      <c r="G10" s="3">
        <f t="shared" si="1"/>
        <v>500</v>
      </c>
    </row>
    <row r="11" spans="1:7" x14ac:dyDescent="0.25">
      <c r="A11" s="16">
        <v>6</v>
      </c>
      <c r="B11" s="16" t="s">
        <v>252</v>
      </c>
      <c r="C11" s="3">
        <f>'APRIL 20'!G11:G30</f>
        <v>0</v>
      </c>
      <c r="D11" s="16">
        <v>1000</v>
      </c>
      <c r="E11" s="16">
        <f t="shared" si="0"/>
        <v>1000</v>
      </c>
      <c r="F11" s="15">
        <v>1000</v>
      </c>
      <c r="G11" s="3">
        <f t="shared" si="1"/>
        <v>0</v>
      </c>
    </row>
    <row r="12" spans="1:7" x14ac:dyDescent="0.25">
      <c r="A12" s="16">
        <v>7</v>
      </c>
      <c r="B12" s="16" t="s">
        <v>28</v>
      </c>
      <c r="C12" s="3">
        <f>'APRIL 20'!G12:G31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si="1"/>
        <v>0</v>
      </c>
    </row>
    <row r="13" spans="1:7" x14ac:dyDescent="0.25">
      <c r="A13" s="16">
        <v>8</v>
      </c>
      <c r="B13" s="16" t="s">
        <v>220</v>
      </c>
      <c r="C13" s="3">
        <f>'APRIL 20'!G13:G32</f>
        <v>1000</v>
      </c>
      <c r="D13" s="16">
        <v>1000</v>
      </c>
      <c r="E13" s="16">
        <f t="shared" si="0"/>
        <v>2000</v>
      </c>
      <c r="F13" s="15">
        <f>1000+500</f>
        <v>1500</v>
      </c>
      <c r="G13" s="3">
        <f t="shared" si="1"/>
        <v>500</v>
      </c>
    </row>
    <row r="14" spans="1:7" x14ac:dyDescent="0.25">
      <c r="A14" s="16">
        <v>9</v>
      </c>
      <c r="B14" s="3" t="s">
        <v>194</v>
      </c>
      <c r="C14" s="3">
        <f>'APRIL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</row>
    <row r="15" spans="1:7" x14ac:dyDescent="0.25">
      <c r="A15" s="16">
        <v>10</v>
      </c>
      <c r="B15" s="16" t="s">
        <v>232</v>
      </c>
      <c r="C15" s="3">
        <f>'APRIL 20'!G15:G34</f>
        <v>0</v>
      </c>
      <c r="D15" s="16">
        <v>1000</v>
      </c>
      <c r="E15" s="16">
        <f t="shared" si="0"/>
        <v>1000</v>
      </c>
      <c r="F15" s="15">
        <v>1000</v>
      </c>
      <c r="G15" s="3">
        <f>E15-F15</f>
        <v>0</v>
      </c>
    </row>
    <row r="16" spans="1:7" x14ac:dyDescent="0.25">
      <c r="A16" s="16">
        <v>11</v>
      </c>
      <c r="B16" s="18" t="s">
        <v>256</v>
      </c>
      <c r="C16" s="3">
        <f>'APRIL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</row>
    <row r="17" spans="1:11" x14ac:dyDescent="0.25">
      <c r="A17" s="16">
        <v>12</v>
      </c>
      <c r="B17" s="3" t="s">
        <v>257</v>
      </c>
      <c r="C17" s="3">
        <f>'APRIL 20'!G17:G36</f>
        <v>0</v>
      </c>
      <c r="D17" s="3">
        <v>1000</v>
      </c>
      <c r="E17" s="16">
        <f>D17+C17</f>
        <v>1000</v>
      </c>
      <c r="F17" s="15">
        <f>800+200</f>
        <v>1000</v>
      </c>
      <c r="G17" s="14">
        <f>E17-F17</f>
        <v>0</v>
      </c>
    </row>
    <row r="18" spans="1:11" x14ac:dyDescent="0.25">
      <c r="A18" s="16">
        <v>13</v>
      </c>
      <c r="B18" s="16" t="s">
        <v>204</v>
      </c>
      <c r="C18" s="3">
        <f>'APRIL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</row>
    <row r="19" spans="1:11" x14ac:dyDescent="0.25">
      <c r="A19" s="16">
        <v>14</v>
      </c>
      <c r="B19" s="16" t="s">
        <v>209</v>
      </c>
      <c r="C19" s="3">
        <f>'APRIL 20'!G19:G38</f>
        <v>30</v>
      </c>
      <c r="D19" s="16">
        <v>1000</v>
      </c>
      <c r="E19" s="16">
        <f>D19+C19</f>
        <v>1030</v>
      </c>
      <c r="F19" s="15">
        <f>900</f>
        <v>900</v>
      </c>
      <c r="G19" s="3">
        <f t="shared" si="1"/>
        <v>130</v>
      </c>
    </row>
    <row r="20" spans="1:11" x14ac:dyDescent="0.25">
      <c r="A20" s="16">
        <v>15</v>
      </c>
      <c r="B20" s="16" t="s">
        <v>137</v>
      </c>
      <c r="C20" s="3">
        <f>'APRIL 20'!G20:G39</f>
        <v>0</v>
      </c>
      <c r="D20" s="16">
        <v>1000</v>
      </c>
      <c r="E20" s="16">
        <f t="shared" si="0"/>
        <v>1000</v>
      </c>
      <c r="F20" s="15">
        <f>800+200</f>
        <v>1000</v>
      </c>
      <c r="G20" s="3">
        <f t="shared" si="1"/>
        <v>0</v>
      </c>
    </row>
    <row r="21" spans="1:11" x14ac:dyDescent="0.25">
      <c r="A21" s="16">
        <v>16</v>
      </c>
      <c r="B21" s="3" t="s">
        <v>30</v>
      </c>
      <c r="C21" s="3">
        <f>'APRIL 20'!G21:G40</f>
        <v>0</v>
      </c>
      <c r="D21" s="3">
        <v>1000</v>
      </c>
      <c r="E21" s="3">
        <f>D21+C21</f>
        <v>1000</v>
      </c>
      <c r="F21" s="15">
        <v>1000</v>
      </c>
      <c r="G21" s="3">
        <f>E21-F21</f>
        <v>0</v>
      </c>
    </row>
    <row r="22" spans="1:11" x14ac:dyDescent="0.25">
      <c r="A22" s="16">
        <v>17</v>
      </c>
      <c r="B22" s="16" t="s">
        <v>47</v>
      </c>
      <c r="C22" s="3">
        <f>'APRIL 20'!G22:G41</f>
        <v>0</v>
      </c>
      <c r="D22" s="16">
        <v>1500</v>
      </c>
      <c r="E22" s="16">
        <f t="shared" si="0"/>
        <v>1500</v>
      </c>
      <c r="F22" s="15">
        <v>1500</v>
      </c>
      <c r="G22" s="3">
        <f t="shared" si="1"/>
        <v>0</v>
      </c>
    </row>
    <row r="23" spans="1:11" x14ac:dyDescent="0.25">
      <c r="A23" s="3">
        <v>18</v>
      </c>
      <c r="B23" s="18"/>
      <c r="C23" s="3">
        <f>'APRIL 20'!G23:G42</f>
        <v>0</v>
      </c>
      <c r="D23" s="3"/>
      <c r="E23" s="16">
        <f t="shared" si="0"/>
        <v>0</v>
      </c>
      <c r="F23" s="15"/>
      <c r="G23" s="3">
        <f t="shared" si="1"/>
        <v>0</v>
      </c>
    </row>
    <row r="24" spans="1:11" x14ac:dyDescent="0.25">
      <c r="A24" s="3">
        <v>19</v>
      </c>
      <c r="B24" s="18" t="s">
        <v>135</v>
      </c>
      <c r="C24" s="3">
        <f>'APRIL 20'!G24:G43</f>
        <v>500</v>
      </c>
      <c r="D24" s="3">
        <v>1500</v>
      </c>
      <c r="E24" s="16">
        <f t="shared" si="0"/>
        <v>2000</v>
      </c>
      <c r="F24" s="15">
        <v>1500</v>
      </c>
      <c r="G24" s="3">
        <f t="shared" si="1"/>
        <v>500</v>
      </c>
    </row>
    <row r="25" spans="1:11" x14ac:dyDescent="0.25">
      <c r="A25" s="3">
        <v>20</v>
      </c>
      <c r="B25" s="18" t="s">
        <v>118</v>
      </c>
      <c r="C25" s="3">
        <f>'APRIL 20'!G25:G44</f>
        <v>1520</v>
      </c>
      <c r="D25" s="3">
        <v>1500</v>
      </c>
      <c r="E25" s="16">
        <f>D25+C25</f>
        <v>3020</v>
      </c>
      <c r="F25" s="15">
        <v>1500</v>
      </c>
      <c r="G25" s="3">
        <f t="shared" si="1"/>
        <v>1520</v>
      </c>
    </row>
    <row r="26" spans="1:11" x14ac:dyDescent="0.25">
      <c r="B26" s="2" t="s">
        <v>26</v>
      </c>
      <c r="C26" s="3">
        <f>SUM(C6:C25)</f>
        <v>5450</v>
      </c>
      <c r="D26" s="2">
        <f>SUM(D6:D25)</f>
        <v>20500</v>
      </c>
      <c r="E26" s="2">
        <f>SUM(E6:E25)</f>
        <v>25950</v>
      </c>
      <c r="F26" s="39">
        <f>SUM(F6:F25)</f>
        <v>21400</v>
      </c>
      <c r="G26" s="2">
        <f>SUM(G6:G25)</f>
        <v>4550</v>
      </c>
    </row>
    <row r="28" spans="1:11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1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1" ht="15.75" x14ac:dyDescent="0.25">
      <c r="B30" s="3" t="s">
        <v>71</v>
      </c>
      <c r="C30" s="3">
        <f>D26</f>
        <v>20500</v>
      </c>
      <c r="D30" s="3"/>
      <c r="E30" s="3"/>
      <c r="F30" s="3" t="s">
        <v>71</v>
      </c>
      <c r="G30" s="3">
        <f>F26</f>
        <v>21400</v>
      </c>
      <c r="H30" s="3"/>
      <c r="I30" s="3"/>
      <c r="J30" s="40"/>
      <c r="K30" s="41"/>
    </row>
    <row r="31" spans="1:11" x14ac:dyDescent="0.25">
      <c r="B31" s="3" t="s">
        <v>62</v>
      </c>
      <c r="C31" s="3">
        <f>'APRIL 20'!E40</f>
        <v>6400</v>
      </c>
      <c r="D31" s="3"/>
      <c r="E31" s="3"/>
      <c r="F31" s="3" t="s">
        <v>62</v>
      </c>
      <c r="G31">
        <f>'APRIL 20'!I40</f>
        <v>-650</v>
      </c>
      <c r="H31" s="3"/>
      <c r="I31" s="3"/>
      <c r="J31" s="41"/>
      <c r="K31" s="41"/>
    </row>
    <row r="32" spans="1:11" x14ac:dyDescent="0.25">
      <c r="B32" s="3" t="s">
        <v>41</v>
      </c>
      <c r="C32" s="5">
        <v>0.1</v>
      </c>
      <c r="D32" s="3">
        <f>C32*C30</f>
        <v>2050</v>
      </c>
      <c r="E32" s="3"/>
      <c r="F32" s="3" t="s">
        <v>41</v>
      </c>
      <c r="G32" s="5">
        <v>0.1</v>
      </c>
      <c r="H32" s="3">
        <f>G32*G30</f>
        <v>2140</v>
      </c>
      <c r="I32" s="3"/>
      <c r="J32" s="41"/>
      <c r="K32" s="41"/>
    </row>
    <row r="33" spans="2:11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1" x14ac:dyDescent="0.25">
      <c r="B34" s="19" t="s">
        <v>253</v>
      </c>
      <c r="C34" s="3"/>
      <c r="D34" s="3">
        <v>10070</v>
      </c>
      <c r="E34" s="3"/>
      <c r="F34" s="19" t="s">
        <v>253</v>
      </c>
      <c r="G34" s="3"/>
      <c r="H34" s="3">
        <v>10070</v>
      </c>
      <c r="I34" s="3"/>
      <c r="J34" s="41"/>
      <c r="K34" s="41"/>
    </row>
    <row r="35" spans="2:11" x14ac:dyDescent="0.25">
      <c r="B35" s="19" t="s">
        <v>255</v>
      </c>
      <c r="C35" s="3"/>
      <c r="D35" s="3">
        <v>5320</v>
      </c>
      <c r="E35" s="3"/>
      <c r="F35" s="19" t="s">
        <v>255</v>
      </c>
      <c r="G35" s="3"/>
      <c r="H35" s="3">
        <v>5320</v>
      </c>
      <c r="I35" s="3"/>
      <c r="J35" s="42"/>
      <c r="K35" s="42"/>
    </row>
    <row r="36" spans="2:11" x14ac:dyDescent="0.25">
      <c r="B36" s="19" t="s">
        <v>258</v>
      </c>
      <c r="C36" s="3"/>
      <c r="D36" s="3">
        <v>2430</v>
      </c>
      <c r="E36" s="3"/>
      <c r="F36" s="19" t="s">
        <v>258</v>
      </c>
      <c r="G36" s="3"/>
      <c r="H36" s="3">
        <v>2430</v>
      </c>
      <c r="I36" s="3"/>
    </row>
    <row r="37" spans="2:11" x14ac:dyDescent="0.25">
      <c r="B37" s="19" t="s">
        <v>260</v>
      </c>
      <c r="C37" s="3"/>
      <c r="D37" s="3">
        <v>990</v>
      </c>
      <c r="E37" s="3"/>
      <c r="F37" s="19" t="s">
        <v>260</v>
      </c>
      <c r="G37" s="3"/>
      <c r="H37" s="3">
        <v>990</v>
      </c>
      <c r="I37" s="3"/>
      <c r="J37" s="43">
        <f>E39-I39</f>
        <v>6240</v>
      </c>
    </row>
    <row r="38" spans="2:11" x14ac:dyDescent="0.25">
      <c r="B38" s="19"/>
      <c r="C38" s="3"/>
      <c r="D38" s="3"/>
      <c r="E38" s="3"/>
      <c r="F38" s="19"/>
      <c r="G38" s="3"/>
      <c r="H38" s="3"/>
      <c r="I38" s="3"/>
    </row>
    <row r="39" spans="2:11" x14ac:dyDescent="0.25">
      <c r="B39" s="2" t="s">
        <v>26</v>
      </c>
      <c r="C39" s="2">
        <f>C30+C31-D32</f>
        <v>24850</v>
      </c>
      <c r="D39" s="2">
        <f>SUM(D34:D38)</f>
        <v>18810</v>
      </c>
      <c r="E39" s="2">
        <f>C39-D39</f>
        <v>6040</v>
      </c>
      <c r="F39" s="2" t="s">
        <v>26</v>
      </c>
      <c r="G39" s="2">
        <f>G30+G31-H32</f>
        <v>18610</v>
      </c>
      <c r="H39" s="2">
        <f>SUM(H34:H38)</f>
        <v>18810</v>
      </c>
      <c r="I39" s="2">
        <f>G39-H39</f>
        <v>-200</v>
      </c>
    </row>
    <row r="40" spans="2:11" x14ac:dyDescent="0.25">
      <c r="B40" t="s">
        <v>33</v>
      </c>
      <c r="D40" t="s">
        <v>49</v>
      </c>
      <c r="G40" t="s">
        <v>34</v>
      </c>
    </row>
    <row r="41" spans="2:11" x14ac:dyDescent="0.25">
      <c r="B41" t="s">
        <v>179</v>
      </c>
      <c r="D41" t="s">
        <v>50</v>
      </c>
      <c r="G41" t="s">
        <v>51</v>
      </c>
    </row>
    <row r="44" spans="2:11" ht="18.75" x14ac:dyDescent="0.3">
      <c r="C44" s="1" t="s">
        <v>42</v>
      </c>
      <c r="D44" s="21"/>
      <c r="E44" s="21"/>
      <c r="F44" s="21"/>
      <c r="G44" s="22"/>
    </row>
    <row r="45" spans="2:11" ht="15.75" x14ac:dyDescent="0.25">
      <c r="C45" s="21" t="s">
        <v>0</v>
      </c>
      <c r="D45" s="29"/>
      <c r="E45" s="29"/>
      <c r="F45" s="29"/>
      <c r="G45" s="22"/>
    </row>
    <row r="46" spans="2:11" ht="15.75" x14ac:dyDescent="0.25">
      <c r="C46" s="21" t="s">
        <v>246</v>
      </c>
      <c r="D46" s="29"/>
      <c r="E46" s="29"/>
      <c r="F46" s="29"/>
      <c r="G46" s="22"/>
    </row>
    <row r="47" spans="2:11" ht="18.75" x14ac:dyDescent="0.3">
      <c r="B47" s="18"/>
      <c r="C47" s="46" t="s">
        <v>139</v>
      </c>
      <c r="D47" s="47"/>
      <c r="E47" s="30"/>
      <c r="F47" s="31"/>
      <c r="G47" s="3"/>
    </row>
    <row r="48" spans="2:11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10" x14ac:dyDescent="0.25">
      <c r="A49">
        <v>1</v>
      </c>
      <c r="B49" s="18"/>
      <c r="C49" s="3"/>
      <c r="D49" s="3"/>
      <c r="E49" s="16">
        <f>C49+D49</f>
        <v>0</v>
      </c>
      <c r="F49" s="15"/>
      <c r="G49" s="3">
        <f>E49-F49</f>
        <v>0</v>
      </c>
      <c r="H49">
        <f>E39+E75</f>
        <v>9640</v>
      </c>
    </row>
    <row r="50" spans="1:10" x14ac:dyDescent="0.25">
      <c r="A50">
        <v>2</v>
      </c>
      <c r="B50" s="18" t="s">
        <v>254</v>
      </c>
      <c r="C50" s="3"/>
      <c r="D50" s="3">
        <v>2000</v>
      </c>
      <c r="E50" s="16">
        <f t="shared" ref="E50:E58" si="2">C50+D50</f>
        <v>2000</v>
      </c>
      <c r="F50" s="15">
        <v>2000</v>
      </c>
      <c r="G50" s="3">
        <f t="shared" ref="G50:G58" si="3">E50-F50</f>
        <v>0</v>
      </c>
    </row>
    <row r="51" spans="1:10" x14ac:dyDescent="0.25">
      <c r="A51">
        <v>3</v>
      </c>
      <c r="B51" s="18" t="s">
        <v>193</v>
      </c>
      <c r="C51" s="3">
        <f>'APRIL 20'!G52</f>
        <v>500</v>
      </c>
      <c r="D51" s="3">
        <v>2000</v>
      </c>
      <c r="E51" s="16">
        <f t="shared" si="2"/>
        <v>2500</v>
      </c>
      <c r="F51" s="15">
        <v>2500</v>
      </c>
      <c r="G51" s="3">
        <f>E51-F51</f>
        <v>0</v>
      </c>
    </row>
    <row r="52" spans="1:10" x14ac:dyDescent="0.25">
      <c r="A52">
        <v>4</v>
      </c>
      <c r="B52" s="18" t="s">
        <v>144</v>
      </c>
      <c r="C52" s="3"/>
      <c r="D52" s="3">
        <v>2000</v>
      </c>
      <c r="E52" s="16">
        <f t="shared" si="2"/>
        <v>2000</v>
      </c>
      <c r="F52" s="15">
        <v>2000</v>
      </c>
      <c r="G52" s="3">
        <f t="shared" si="3"/>
        <v>0</v>
      </c>
    </row>
    <row r="53" spans="1:10" x14ac:dyDescent="0.25">
      <c r="A53">
        <v>5</v>
      </c>
      <c r="B53" s="18" t="s">
        <v>251</v>
      </c>
      <c r="C53" s="3"/>
      <c r="D53" s="3">
        <v>2000</v>
      </c>
      <c r="E53" s="16">
        <f t="shared" si="2"/>
        <v>2000</v>
      </c>
      <c r="F53" s="15">
        <v>2000</v>
      </c>
      <c r="G53" s="3">
        <f t="shared" si="3"/>
        <v>0</v>
      </c>
    </row>
    <row r="54" spans="1:10" x14ac:dyDescent="0.25">
      <c r="A54">
        <v>6</v>
      </c>
      <c r="B54" s="18" t="s">
        <v>165</v>
      </c>
      <c r="C54" s="3"/>
      <c r="D54" s="3">
        <v>2000</v>
      </c>
      <c r="E54" s="16">
        <f t="shared" si="2"/>
        <v>2000</v>
      </c>
      <c r="F54" s="15">
        <f>1500</f>
        <v>1500</v>
      </c>
      <c r="G54" s="3">
        <f t="shared" si="3"/>
        <v>500</v>
      </c>
    </row>
    <row r="55" spans="1:10" x14ac:dyDescent="0.25">
      <c r="A55">
        <v>7</v>
      </c>
      <c r="B55" s="18" t="s">
        <v>166</v>
      </c>
      <c r="C55" s="3">
        <f>'APRIL 20'!G56</f>
        <v>1500</v>
      </c>
      <c r="D55" s="3">
        <v>2000</v>
      </c>
      <c r="E55" s="16">
        <f t="shared" si="2"/>
        <v>3500</v>
      </c>
      <c r="F55" s="15">
        <f>2500</f>
        <v>2500</v>
      </c>
      <c r="G55" s="3">
        <f t="shared" si="3"/>
        <v>1000</v>
      </c>
    </row>
    <row r="56" spans="1:10" x14ac:dyDescent="0.25">
      <c r="A56">
        <v>8</v>
      </c>
      <c r="B56" s="18"/>
      <c r="C56" s="3"/>
      <c r="D56" s="3"/>
      <c r="E56" s="16">
        <f t="shared" si="2"/>
        <v>0</v>
      </c>
      <c r="F56" s="15"/>
      <c r="G56" s="3">
        <f t="shared" si="3"/>
        <v>0</v>
      </c>
    </row>
    <row r="57" spans="1:10" x14ac:dyDescent="0.25">
      <c r="A57">
        <v>9</v>
      </c>
      <c r="B57" s="18" t="s">
        <v>190</v>
      </c>
      <c r="C57" s="3"/>
      <c r="D57" s="3">
        <v>2000</v>
      </c>
      <c r="E57" s="16">
        <f t="shared" si="2"/>
        <v>2000</v>
      </c>
      <c r="F57" s="15">
        <v>2000</v>
      </c>
      <c r="G57" s="3">
        <f t="shared" si="3"/>
        <v>0</v>
      </c>
    </row>
    <row r="58" spans="1:10" x14ac:dyDescent="0.25">
      <c r="A58">
        <v>10</v>
      </c>
      <c r="B58" s="18" t="s">
        <v>228</v>
      </c>
      <c r="C58" s="3">
        <f>'APRIL 20'!G59</f>
        <v>1000</v>
      </c>
      <c r="D58" s="3">
        <v>2000</v>
      </c>
      <c r="E58" s="16">
        <f t="shared" si="2"/>
        <v>3000</v>
      </c>
      <c r="F58" s="15">
        <f>2000+1000</f>
        <v>3000</v>
      </c>
      <c r="G58" s="3">
        <f t="shared" si="3"/>
        <v>0</v>
      </c>
    </row>
    <row r="59" spans="1:10" x14ac:dyDescent="0.25">
      <c r="A59">
        <v>11</v>
      </c>
      <c r="B59" s="18"/>
      <c r="C59" s="3"/>
      <c r="D59" s="3"/>
      <c r="E59" s="16"/>
      <c r="F59" s="15"/>
      <c r="G59" s="3"/>
    </row>
    <row r="60" spans="1:10" x14ac:dyDescent="0.25">
      <c r="A60">
        <v>12</v>
      </c>
      <c r="B60" s="18"/>
      <c r="C60" s="3"/>
      <c r="D60" s="3"/>
      <c r="E60" s="16"/>
      <c r="F60" s="15"/>
      <c r="G60" s="3"/>
    </row>
    <row r="61" spans="1:10" x14ac:dyDescent="0.25">
      <c r="B61" s="2" t="s">
        <v>26</v>
      </c>
      <c r="C61" s="3">
        <f>SUM(C51:C60)</f>
        <v>3000</v>
      </c>
      <c r="D61" s="2">
        <f>SUM(D49:D60)</f>
        <v>16000</v>
      </c>
      <c r="E61" s="2">
        <f>SUM(E49:E60)</f>
        <v>19000</v>
      </c>
      <c r="F61" s="39">
        <f>SUM(F49:F60)</f>
        <v>17500</v>
      </c>
      <c r="G61" s="2">
        <f>SUM(G49:G60)</f>
        <v>1500</v>
      </c>
    </row>
    <row r="63" spans="1:10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10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  <c r="J64" s="38"/>
    </row>
    <row r="65" spans="2:9" x14ac:dyDescent="0.25">
      <c r="B65" s="3" t="s">
        <v>71</v>
      </c>
      <c r="C65" s="3">
        <f>D61</f>
        <v>16000</v>
      </c>
      <c r="D65" s="3"/>
      <c r="E65" s="3"/>
      <c r="F65" s="3" t="s">
        <v>71</v>
      </c>
      <c r="G65" s="3">
        <f>F61</f>
        <v>17500</v>
      </c>
      <c r="H65" s="3"/>
      <c r="I65" s="3"/>
    </row>
    <row r="66" spans="2:9" x14ac:dyDescent="0.25">
      <c r="B66" s="3" t="s">
        <v>62</v>
      </c>
      <c r="C66" s="3">
        <f>'APRIL 20'!E74</f>
        <v>2700</v>
      </c>
      <c r="D66" s="3"/>
      <c r="E66" s="3"/>
      <c r="F66" s="3" t="s">
        <v>62</v>
      </c>
      <c r="G66">
        <f>'APRIL 20'!I74</f>
        <v>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G67*G65</f>
        <v>1750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240</v>
      </c>
      <c r="C69" s="19"/>
      <c r="D69" s="3">
        <v>2000</v>
      </c>
      <c r="E69" s="3"/>
      <c r="F69" s="35" t="s">
        <v>240</v>
      </c>
      <c r="G69" s="19"/>
      <c r="H69" s="3">
        <v>2000</v>
      </c>
      <c r="I69" s="3"/>
    </row>
    <row r="70" spans="2:9" x14ac:dyDescent="0.25">
      <c r="B70" s="35" t="s">
        <v>253</v>
      </c>
      <c r="C70" s="19"/>
      <c r="D70" s="3">
        <v>1600</v>
      </c>
      <c r="E70" s="3"/>
      <c r="F70" s="35" t="s">
        <v>253</v>
      </c>
      <c r="G70" s="19"/>
      <c r="H70" s="3">
        <v>1600</v>
      </c>
      <c r="I70" s="3"/>
    </row>
    <row r="71" spans="2:9" x14ac:dyDescent="0.25">
      <c r="B71" s="10" t="s">
        <v>255</v>
      </c>
      <c r="C71" s="3"/>
      <c r="D71" s="3">
        <v>1800</v>
      </c>
      <c r="E71" s="3"/>
      <c r="F71" s="10" t="s">
        <v>255</v>
      </c>
      <c r="G71" s="3"/>
      <c r="H71" s="3">
        <v>1800</v>
      </c>
      <c r="I71" s="3"/>
    </row>
    <row r="72" spans="2:9" x14ac:dyDescent="0.25">
      <c r="B72" s="35" t="s">
        <v>258</v>
      </c>
      <c r="C72" s="19"/>
      <c r="D72" s="3">
        <v>6750</v>
      </c>
      <c r="E72" s="3"/>
      <c r="F72" s="35" t="s">
        <v>258</v>
      </c>
      <c r="G72" s="19"/>
      <c r="H72" s="3">
        <v>6750</v>
      </c>
      <c r="I72" s="3"/>
    </row>
    <row r="73" spans="2:9" x14ac:dyDescent="0.25">
      <c r="B73" s="35" t="s">
        <v>259</v>
      </c>
      <c r="C73" s="19"/>
      <c r="D73" s="3">
        <v>1350</v>
      </c>
      <c r="E73" s="3"/>
      <c r="F73" s="35" t="s">
        <v>259</v>
      </c>
      <c r="G73" s="19"/>
      <c r="H73" s="3">
        <v>1350</v>
      </c>
      <c r="I73" s="3"/>
    </row>
    <row r="74" spans="2:9" x14ac:dyDescent="0.25">
      <c r="B74" s="10"/>
      <c r="C74" s="3"/>
      <c r="D74" s="3"/>
      <c r="E74" s="3"/>
      <c r="F74" s="10"/>
      <c r="G74" s="3"/>
      <c r="H74" s="3"/>
      <c r="I74" s="3"/>
    </row>
    <row r="75" spans="2:9" x14ac:dyDescent="0.25">
      <c r="B75" s="2" t="s">
        <v>26</v>
      </c>
      <c r="C75" s="2">
        <f>C65+C66-D67</f>
        <v>17100</v>
      </c>
      <c r="D75" s="2">
        <f>SUM(D69:D74)</f>
        <v>13500</v>
      </c>
      <c r="E75" s="2">
        <f>C75-D75</f>
        <v>3600</v>
      </c>
      <c r="F75" s="2" t="s">
        <v>26</v>
      </c>
      <c r="G75" s="2">
        <f>G65+G66-H67</f>
        <v>15750</v>
      </c>
      <c r="H75" s="2">
        <f>SUM(H69:H74)</f>
        <v>13500</v>
      </c>
      <c r="I75" s="2">
        <f>G75-H75</f>
        <v>2250</v>
      </c>
    </row>
    <row r="77" spans="2:9" x14ac:dyDescent="0.25">
      <c r="B77" t="s">
        <v>33</v>
      </c>
      <c r="D77" t="s">
        <v>49</v>
      </c>
      <c r="G77" t="s">
        <v>34</v>
      </c>
    </row>
    <row r="79" spans="2:9" x14ac:dyDescent="0.25">
      <c r="B79" t="s">
        <v>179</v>
      </c>
      <c r="D79" t="s">
        <v>50</v>
      </c>
      <c r="G79" t="s">
        <v>51</v>
      </c>
    </row>
  </sheetData>
  <mergeCells count="1">
    <mergeCell ref="C47:D4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B21" sqref="B21"/>
    </sheetView>
  </sheetViews>
  <sheetFormatPr defaultRowHeight="15" x14ac:dyDescent="0.25"/>
  <cols>
    <col min="1" max="1" width="4.85546875" customWidth="1"/>
    <col min="2" max="2" width="19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267</v>
      </c>
      <c r="D3" s="28"/>
      <c r="F3" s="28"/>
      <c r="G3" s="22"/>
    </row>
    <row r="4" spans="1:8" ht="18.75" x14ac:dyDescent="0.3">
      <c r="D4" s="23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'JUNE 20'!G6:G25</f>
        <v>800</v>
      </c>
      <c r="D6" s="3">
        <v>1000</v>
      </c>
      <c r="E6" s="3">
        <f>D6+C6</f>
        <v>1800</v>
      </c>
      <c r="F6" s="15">
        <v>1000</v>
      </c>
      <c r="G6" s="3">
        <f>E6-F6</f>
        <v>800</v>
      </c>
    </row>
    <row r="7" spans="1:8" x14ac:dyDescent="0.25">
      <c r="A7" s="3">
        <v>2</v>
      </c>
      <c r="B7" s="16" t="s">
        <v>109</v>
      </c>
      <c r="C7" s="3">
        <f>'JUNE 20'!G7:G26</f>
        <v>100</v>
      </c>
      <c r="D7" s="3">
        <v>1000</v>
      </c>
      <c r="E7" s="3">
        <f t="shared" ref="E7:E24" si="0">D7+C7</f>
        <v>1100</v>
      </c>
      <c r="F7" s="15">
        <f>1000</f>
        <v>1000</v>
      </c>
      <c r="G7" s="3">
        <f t="shared" ref="G7:G25" si="1">E7-F7</f>
        <v>100</v>
      </c>
      <c r="H7" t="s">
        <v>46</v>
      </c>
    </row>
    <row r="8" spans="1:8" x14ac:dyDescent="0.25">
      <c r="A8" s="16">
        <v>3</v>
      </c>
      <c r="B8" s="18" t="s">
        <v>137</v>
      </c>
      <c r="C8" s="3">
        <f>'JUNE 20'!G8:G27</f>
        <v>0</v>
      </c>
      <c r="D8" s="18">
        <v>1000</v>
      </c>
      <c r="E8" s="16">
        <f>D8+C8</f>
        <v>1000</v>
      </c>
      <c r="F8" s="15">
        <v>1000</v>
      </c>
      <c r="G8" s="3">
        <f>E8-F8</f>
        <v>0</v>
      </c>
      <c r="H8" t="s">
        <v>46</v>
      </c>
    </row>
    <row r="9" spans="1:8" x14ac:dyDescent="0.25">
      <c r="A9" s="16">
        <v>4</v>
      </c>
      <c r="B9" s="16" t="s">
        <v>238</v>
      </c>
      <c r="C9" s="3">
        <f>'JUNE 20'!G9:G28</f>
        <v>0</v>
      </c>
      <c r="D9" s="16">
        <v>1000</v>
      </c>
      <c r="E9" s="16">
        <f>D9+C9</f>
        <v>1000</v>
      </c>
      <c r="F9" s="15">
        <v>1000</v>
      </c>
      <c r="G9" s="3">
        <f>E9-F9</f>
        <v>0</v>
      </c>
    </row>
    <row r="10" spans="1:8" x14ac:dyDescent="0.25">
      <c r="A10" s="16">
        <v>5</v>
      </c>
      <c r="B10" s="16" t="s">
        <v>10</v>
      </c>
      <c r="C10" s="3">
        <f>'JUNE 20'!G10:G29</f>
        <v>0</v>
      </c>
      <c r="D10" s="16">
        <v>1000</v>
      </c>
      <c r="E10" s="16">
        <f>D10+C10</f>
        <v>1000</v>
      </c>
      <c r="F10" s="15">
        <v>1000</v>
      </c>
      <c r="G10" s="3">
        <f t="shared" si="1"/>
        <v>0</v>
      </c>
    </row>
    <row r="11" spans="1:8" x14ac:dyDescent="0.25">
      <c r="A11" s="16">
        <v>6</v>
      </c>
      <c r="B11" s="16" t="s">
        <v>252</v>
      </c>
      <c r="C11" s="3">
        <f>'JUNE 20'!G11:G30</f>
        <v>0</v>
      </c>
      <c r="D11" s="16">
        <v>1000</v>
      </c>
      <c r="E11" s="16">
        <f t="shared" si="0"/>
        <v>1000</v>
      </c>
      <c r="F11" s="15"/>
      <c r="G11" s="3">
        <f t="shared" si="1"/>
        <v>1000</v>
      </c>
    </row>
    <row r="12" spans="1:8" x14ac:dyDescent="0.25">
      <c r="A12" s="16">
        <v>7</v>
      </c>
      <c r="B12" s="16" t="s">
        <v>28</v>
      </c>
      <c r="C12" s="3">
        <f>'JUNE 20'!G12:G31</f>
        <v>0</v>
      </c>
      <c r="D12" s="16">
        <v>1000</v>
      </c>
      <c r="E12" s="16">
        <f t="shared" si="0"/>
        <v>1000</v>
      </c>
      <c r="F12" s="15">
        <f>1000</f>
        <v>1000</v>
      </c>
      <c r="G12" s="3">
        <f t="shared" si="1"/>
        <v>0</v>
      </c>
    </row>
    <row r="13" spans="1:8" x14ac:dyDescent="0.25">
      <c r="A13" s="16">
        <v>8</v>
      </c>
      <c r="B13" s="16" t="s">
        <v>220</v>
      </c>
      <c r="C13" s="3">
        <f>'JUNE 20'!G13:G32</f>
        <v>500</v>
      </c>
      <c r="D13" s="16">
        <v>1000</v>
      </c>
      <c r="E13" s="16">
        <f t="shared" si="0"/>
        <v>1500</v>
      </c>
      <c r="F13" s="15">
        <f>400+200+200</f>
        <v>800</v>
      </c>
      <c r="G13" s="3">
        <f t="shared" si="1"/>
        <v>700</v>
      </c>
    </row>
    <row r="14" spans="1:8" x14ac:dyDescent="0.25">
      <c r="A14" s="16">
        <v>9</v>
      </c>
      <c r="B14" s="3" t="s">
        <v>194</v>
      </c>
      <c r="C14" s="3">
        <f>'JUNE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</row>
    <row r="15" spans="1:8" x14ac:dyDescent="0.25">
      <c r="A15" s="16">
        <v>10</v>
      </c>
      <c r="B15" s="16" t="s">
        <v>232</v>
      </c>
      <c r="C15" s="3">
        <f>'JUNE 20'!G15:G34</f>
        <v>300</v>
      </c>
      <c r="D15" s="16">
        <v>1000</v>
      </c>
      <c r="E15" s="16">
        <f t="shared" si="0"/>
        <v>1300</v>
      </c>
      <c r="F15" s="15">
        <v>1300</v>
      </c>
      <c r="G15" s="3">
        <f>E15-F15</f>
        <v>0</v>
      </c>
    </row>
    <row r="16" spans="1:8" x14ac:dyDescent="0.25">
      <c r="A16" s="16">
        <v>11</v>
      </c>
      <c r="B16" s="18" t="s">
        <v>256</v>
      </c>
      <c r="C16" s="3">
        <f>'JUNE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</row>
    <row r="17" spans="1:11" x14ac:dyDescent="0.25">
      <c r="A17" s="16">
        <v>12</v>
      </c>
      <c r="B17" s="3" t="s">
        <v>257</v>
      </c>
      <c r="C17" s="3">
        <f>'JUNE 20'!G17:G36</f>
        <v>500</v>
      </c>
      <c r="D17" s="3">
        <v>1000</v>
      </c>
      <c r="E17" s="16">
        <f>D17+C17</f>
        <v>1500</v>
      </c>
      <c r="F17" s="15">
        <f>600+600</f>
        <v>1200</v>
      </c>
      <c r="G17" s="14">
        <f>E17-F17</f>
        <v>300</v>
      </c>
      <c r="J17">
        <f>1500-400</f>
        <v>1100</v>
      </c>
    </row>
    <row r="18" spans="1:11" x14ac:dyDescent="0.25">
      <c r="A18" s="16">
        <v>13</v>
      </c>
      <c r="B18" s="16" t="s">
        <v>204</v>
      </c>
      <c r="C18" s="3">
        <f>'JUNE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  <c r="J18">
        <f>J17-200</f>
        <v>900</v>
      </c>
    </row>
    <row r="19" spans="1:11" x14ac:dyDescent="0.25">
      <c r="A19" s="16">
        <v>14</v>
      </c>
      <c r="B19" s="16" t="s">
        <v>209</v>
      </c>
      <c r="C19" s="3">
        <f>'JUNE 20'!G19:G38</f>
        <v>130</v>
      </c>
      <c r="D19" s="16">
        <v>1000</v>
      </c>
      <c r="E19" s="16">
        <f>D19+C19</f>
        <v>1130</v>
      </c>
      <c r="F19" s="15">
        <v>1000</v>
      </c>
      <c r="G19" s="3">
        <f t="shared" si="1"/>
        <v>130</v>
      </c>
      <c r="J19">
        <f>J18-200</f>
        <v>700</v>
      </c>
    </row>
    <row r="20" spans="1:11" x14ac:dyDescent="0.25">
      <c r="A20" s="16">
        <v>15</v>
      </c>
      <c r="B20" s="16" t="s">
        <v>137</v>
      </c>
      <c r="C20" s="3">
        <f>'JUNE 20'!G20:G39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1"/>
        <v>0</v>
      </c>
      <c r="J20">
        <f>J19-200</f>
        <v>500</v>
      </c>
    </row>
    <row r="21" spans="1:11" x14ac:dyDescent="0.25">
      <c r="A21" s="16">
        <v>16</v>
      </c>
      <c r="B21" s="3" t="s">
        <v>30</v>
      </c>
      <c r="C21" s="3">
        <f>'JUNE 20'!G21:G40</f>
        <v>0</v>
      </c>
      <c r="D21" s="3"/>
      <c r="E21" s="3">
        <f>D21+C21</f>
        <v>0</v>
      </c>
      <c r="F21" s="15"/>
      <c r="G21" s="3">
        <f>E21-F21</f>
        <v>0</v>
      </c>
      <c r="J21">
        <f>SUM(J17:J20)</f>
        <v>3200</v>
      </c>
    </row>
    <row r="22" spans="1:11" x14ac:dyDescent="0.25">
      <c r="A22" s="16">
        <v>17</v>
      </c>
      <c r="B22" s="16" t="s">
        <v>47</v>
      </c>
      <c r="C22" s="3">
        <f>'JUNE 20'!G22:G41</f>
        <v>0</v>
      </c>
      <c r="D22" s="16">
        <v>1500</v>
      </c>
      <c r="E22" s="16">
        <f t="shared" si="0"/>
        <v>1500</v>
      </c>
      <c r="F22" s="15">
        <f>1500</f>
        <v>1500</v>
      </c>
      <c r="G22" s="3">
        <f t="shared" si="1"/>
        <v>0</v>
      </c>
    </row>
    <row r="23" spans="1:11" x14ac:dyDescent="0.25">
      <c r="A23" s="3">
        <v>18</v>
      </c>
      <c r="B23" s="18" t="s">
        <v>45</v>
      </c>
      <c r="C23" s="3">
        <f>'JUNE 20'!G23:G42</f>
        <v>0</v>
      </c>
      <c r="D23" s="3">
        <v>1500</v>
      </c>
      <c r="E23" s="16">
        <f t="shared" si="0"/>
        <v>1500</v>
      </c>
      <c r="F23" s="15">
        <v>1500</v>
      </c>
      <c r="G23" s="3">
        <f t="shared" si="1"/>
        <v>0</v>
      </c>
    </row>
    <row r="24" spans="1:11" x14ac:dyDescent="0.25">
      <c r="A24" s="3">
        <v>19</v>
      </c>
      <c r="B24" s="18" t="s">
        <v>135</v>
      </c>
      <c r="C24" s="3">
        <f>'JUNE 20'!G24:G43</f>
        <v>500</v>
      </c>
      <c r="D24" s="3">
        <v>1500</v>
      </c>
      <c r="E24" s="16">
        <f t="shared" si="0"/>
        <v>2000</v>
      </c>
      <c r="F24" s="15">
        <f>1500</f>
        <v>1500</v>
      </c>
      <c r="G24" s="3">
        <f t="shared" si="1"/>
        <v>500</v>
      </c>
    </row>
    <row r="25" spans="1:11" x14ac:dyDescent="0.25">
      <c r="A25" s="3">
        <v>20</v>
      </c>
      <c r="B25" s="18" t="s">
        <v>118</v>
      </c>
      <c r="C25" s="3">
        <f>'JUNE 20'!G25:G44</f>
        <v>20</v>
      </c>
      <c r="D25" s="3">
        <v>1500</v>
      </c>
      <c r="E25" s="16">
        <f>D25+C25</f>
        <v>1520</v>
      </c>
      <c r="F25" s="15"/>
      <c r="G25" s="3">
        <f t="shared" si="1"/>
        <v>1520</v>
      </c>
    </row>
    <row r="26" spans="1:11" x14ac:dyDescent="0.25">
      <c r="B26" s="2" t="s">
        <v>26</v>
      </c>
      <c r="C26" s="3">
        <f>SUM(C6:C25)</f>
        <v>2850</v>
      </c>
      <c r="D26" s="2">
        <f>SUM(D6:D25)</f>
        <v>21000</v>
      </c>
      <c r="E26" s="2">
        <f>SUM(E6:E25)</f>
        <v>23850</v>
      </c>
      <c r="F26" s="39">
        <f>SUM(F6:F25)</f>
        <v>18800</v>
      </c>
      <c r="G26" s="2">
        <f>SUM(G6:G25)</f>
        <v>5050</v>
      </c>
    </row>
    <row r="28" spans="1:11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1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  <c r="K29">
        <f>1000+600+1000</f>
        <v>2600</v>
      </c>
    </row>
    <row r="30" spans="1:11" ht="15.75" x14ac:dyDescent="0.25">
      <c r="B30" s="3" t="s">
        <v>86</v>
      </c>
      <c r="C30" s="3">
        <f>D26</f>
        <v>21000</v>
      </c>
      <c r="D30" s="3"/>
      <c r="E30" s="3"/>
      <c r="F30" s="3" t="s">
        <v>86</v>
      </c>
      <c r="G30" s="3">
        <f>F26</f>
        <v>18800</v>
      </c>
      <c r="H30" s="3"/>
      <c r="I30" s="3"/>
      <c r="J30" s="40"/>
      <c r="K30" s="41">
        <f>G32*K29</f>
        <v>260</v>
      </c>
    </row>
    <row r="31" spans="1:11" x14ac:dyDescent="0.25">
      <c r="B31" s="3" t="s">
        <v>62</v>
      </c>
      <c r="C31" s="3">
        <f>'JUNE 20'!E39</f>
        <v>2310</v>
      </c>
      <c r="D31" s="3"/>
      <c r="E31" s="3"/>
      <c r="F31" s="3" t="s">
        <v>62</v>
      </c>
      <c r="G31">
        <f>'JUNE 20'!I39</f>
        <v>-2400</v>
      </c>
      <c r="H31" s="3"/>
      <c r="I31" s="3"/>
      <c r="J31" s="41"/>
      <c r="K31" s="41">
        <f>K29-K30</f>
        <v>2340</v>
      </c>
    </row>
    <row r="32" spans="1:11" x14ac:dyDescent="0.25">
      <c r="B32" s="3" t="s">
        <v>41</v>
      </c>
      <c r="C32" s="5">
        <v>0.1</v>
      </c>
      <c r="D32" s="3">
        <f>C32*C30</f>
        <v>2100</v>
      </c>
      <c r="E32" s="3"/>
      <c r="F32" s="3" t="s">
        <v>41</v>
      </c>
      <c r="G32" s="5">
        <v>0.1</v>
      </c>
      <c r="H32" s="3">
        <f>G32*G30</f>
        <v>1880</v>
      </c>
      <c r="I32" s="3"/>
      <c r="J32" s="41"/>
      <c r="K32" s="41"/>
    </row>
    <row r="33" spans="2:12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2" x14ac:dyDescent="0.25">
      <c r="B34" s="19" t="s">
        <v>271</v>
      </c>
      <c r="C34" s="3"/>
      <c r="D34" s="3">
        <v>1000</v>
      </c>
      <c r="E34" s="3"/>
      <c r="F34" s="19" t="s">
        <v>271</v>
      </c>
      <c r="G34" s="3"/>
      <c r="H34" s="3">
        <v>1000</v>
      </c>
      <c r="I34" s="3"/>
      <c r="J34" s="41"/>
      <c r="K34" s="41"/>
    </row>
    <row r="35" spans="2:12" x14ac:dyDescent="0.25">
      <c r="B35" s="19" t="s">
        <v>220</v>
      </c>
      <c r="C35" s="3"/>
      <c r="D35" s="3">
        <v>400</v>
      </c>
      <c r="E35" s="3"/>
      <c r="F35" s="19" t="s">
        <v>220</v>
      </c>
      <c r="G35" s="3"/>
      <c r="H35" s="3">
        <v>400</v>
      </c>
      <c r="I35" s="3"/>
      <c r="J35" s="42"/>
      <c r="K35" s="42"/>
    </row>
    <row r="36" spans="2:12" x14ac:dyDescent="0.25">
      <c r="B36" s="19" t="s">
        <v>272</v>
      </c>
      <c r="C36" s="3"/>
      <c r="D36" s="3">
        <v>7030</v>
      </c>
      <c r="E36" s="3"/>
      <c r="F36" s="19" t="s">
        <v>272</v>
      </c>
      <c r="G36" s="3"/>
      <c r="H36" s="3">
        <v>7030</v>
      </c>
      <c r="I36" s="3"/>
    </row>
    <row r="37" spans="2:12" x14ac:dyDescent="0.25">
      <c r="B37" s="19" t="s">
        <v>275</v>
      </c>
      <c r="C37" s="3"/>
      <c r="D37" s="3">
        <v>4050</v>
      </c>
      <c r="E37" s="3"/>
      <c r="F37" s="19" t="s">
        <v>275</v>
      </c>
      <c r="G37" s="3"/>
      <c r="H37" s="3">
        <v>4050</v>
      </c>
      <c r="I37" s="3"/>
      <c r="J37" s="43"/>
    </row>
    <row r="38" spans="2:12" x14ac:dyDescent="0.25">
      <c r="B38" s="19" t="s">
        <v>276</v>
      </c>
      <c r="C38" s="3"/>
      <c r="D38" s="3">
        <v>2340</v>
      </c>
      <c r="E38" s="3"/>
      <c r="F38" s="19" t="s">
        <v>276</v>
      </c>
      <c r="G38" s="3"/>
      <c r="H38" s="3">
        <v>2340</v>
      </c>
      <c r="I38" s="3"/>
      <c r="J38" s="43"/>
    </row>
    <row r="39" spans="2:12" x14ac:dyDescent="0.25">
      <c r="B39" s="19" t="s">
        <v>28</v>
      </c>
      <c r="C39" s="3"/>
      <c r="D39" s="3">
        <v>1000</v>
      </c>
      <c r="E39" s="3"/>
      <c r="F39" s="19" t="s">
        <v>28</v>
      </c>
      <c r="G39" s="3"/>
      <c r="H39" s="3">
        <v>1000</v>
      </c>
      <c r="I39" s="3"/>
      <c r="J39" s="43"/>
    </row>
    <row r="40" spans="2:12" x14ac:dyDescent="0.25">
      <c r="B40" s="19"/>
      <c r="C40" s="3"/>
      <c r="D40" s="3"/>
      <c r="E40" s="3"/>
      <c r="F40" s="19"/>
      <c r="G40" s="3"/>
      <c r="H40" s="3"/>
      <c r="I40" s="3"/>
      <c r="J40" s="43"/>
      <c r="L40">
        <f>600+400</f>
        <v>1000</v>
      </c>
    </row>
    <row r="41" spans="2:12" x14ac:dyDescent="0.25">
      <c r="B41" s="19"/>
      <c r="C41" s="3"/>
      <c r="D41" s="3"/>
      <c r="E41" s="3"/>
      <c r="F41" s="19"/>
      <c r="G41" s="3"/>
      <c r="H41" s="3"/>
      <c r="I41" s="3"/>
      <c r="L41">
        <f>100+40+60</f>
        <v>200</v>
      </c>
    </row>
    <row r="42" spans="2:12" x14ac:dyDescent="0.25">
      <c r="B42" s="2" t="s">
        <v>26</v>
      </c>
      <c r="C42" s="2">
        <f>C30+C31-D32</f>
        <v>21210</v>
      </c>
      <c r="D42" s="2">
        <f>SUM(D34:D41)</f>
        <v>15820</v>
      </c>
      <c r="E42" s="2">
        <f>C42-D42</f>
        <v>5390</v>
      </c>
      <c r="F42" s="2" t="s">
        <v>26</v>
      </c>
      <c r="G42" s="2">
        <f>G30+G31-H32</f>
        <v>14520</v>
      </c>
      <c r="H42" s="2">
        <f>SUM(H34:H41)</f>
        <v>15820</v>
      </c>
      <c r="I42" s="2">
        <f>G42-H42</f>
        <v>-1300</v>
      </c>
      <c r="L42">
        <f>L40-L41</f>
        <v>800</v>
      </c>
    </row>
    <row r="43" spans="2:12" x14ac:dyDescent="0.25">
      <c r="B43" t="s">
        <v>33</v>
      </c>
      <c r="D43" t="s">
        <v>49</v>
      </c>
      <c r="G43" t="s">
        <v>34</v>
      </c>
    </row>
    <row r="44" spans="2:12" x14ac:dyDescent="0.25">
      <c r="B44" t="s">
        <v>179</v>
      </c>
      <c r="D44" t="s">
        <v>50</v>
      </c>
      <c r="G44" t="s">
        <v>51</v>
      </c>
    </row>
    <row r="47" spans="2:12" ht="18.75" x14ac:dyDescent="0.3">
      <c r="C47" s="1" t="s">
        <v>42</v>
      </c>
      <c r="D47" s="21"/>
      <c r="E47" s="21"/>
      <c r="F47" s="21"/>
      <c r="G47" s="22"/>
    </row>
    <row r="48" spans="2:12" ht="15.75" x14ac:dyDescent="0.25">
      <c r="C48" s="21" t="s">
        <v>0</v>
      </c>
      <c r="D48" s="29"/>
      <c r="E48" s="29"/>
      <c r="F48" s="29"/>
      <c r="G48" s="22"/>
    </row>
    <row r="49" spans="1:11" ht="15.75" x14ac:dyDescent="0.25">
      <c r="C49" s="21" t="s">
        <v>267</v>
      </c>
      <c r="D49" s="29"/>
      <c r="E49" s="29"/>
      <c r="F49" s="29"/>
      <c r="G49" s="22"/>
    </row>
    <row r="50" spans="1:11" ht="18.75" x14ac:dyDescent="0.3">
      <c r="B50" s="18"/>
      <c r="C50" s="46" t="s">
        <v>139</v>
      </c>
      <c r="D50" s="47"/>
      <c r="E50" s="30"/>
      <c r="F50" s="31"/>
      <c r="G50" s="3"/>
      <c r="I50">
        <f>I42+I78</f>
        <v>-850</v>
      </c>
      <c r="K50">
        <f>H36+H72</f>
        <v>11530</v>
      </c>
    </row>
    <row r="51" spans="1:11" x14ac:dyDescent="0.25">
      <c r="B51" s="2" t="s">
        <v>2</v>
      </c>
      <c r="C51" s="2" t="s">
        <v>4</v>
      </c>
      <c r="D51" s="2" t="s">
        <v>3</v>
      </c>
      <c r="E51" s="2" t="s">
        <v>5</v>
      </c>
      <c r="F51" s="2" t="s">
        <v>6</v>
      </c>
      <c r="G51" s="2" t="s">
        <v>25</v>
      </c>
    </row>
    <row r="52" spans="1:11" x14ac:dyDescent="0.25">
      <c r="A52">
        <v>1</v>
      </c>
      <c r="B52" s="18"/>
      <c r="C52" s="3">
        <f>'JUNE 20'!G49:G60</f>
        <v>0</v>
      </c>
      <c r="D52" s="3"/>
      <c r="E52" s="16">
        <f>C52+D52</f>
        <v>0</v>
      </c>
      <c r="F52" s="15"/>
      <c r="G52" s="3">
        <f>E52-F52</f>
        <v>0</v>
      </c>
    </row>
    <row r="53" spans="1:11" x14ac:dyDescent="0.25">
      <c r="A53">
        <v>2</v>
      </c>
      <c r="B53" s="18" t="s">
        <v>254</v>
      </c>
      <c r="C53" s="3">
        <f>'JUNE 20'!G50:G61</f>
        <v>0</v>
      </c>
      <c r="D53" s="3">
        <v>2000</v>
      </c>
      <c r="E53" s="16">
        <f t="shared" ref="E53:E61" si="2">C53+D53</f>
        <v>2000</v>
      </c>
      <c r="F53" s="15">
        <v>2000</v>
      </c>
      <c r="G53" s="3">
        <f t="shared" ref="G53:G61" si="3">E53-F53</f>
        <v>0</v>
      </c>
    </row>
    <row r="54" spans="1:11" x14ac:dyDescent="0.25">
      <c r="A54">
        <v>3</v>
      </c>
      <c r="B54" s="18" t="s">
        <v>193</v>
      </c>
      <c r="C54" s="3">
        <f>'JUNE 20'!G51</f>
        <v>500</v>
      </c>
      <c r="D54" s="3">
        <v>2000</v>
      </c>
      <c r="E54" s="16">
        <f t="shared" si="2"/>
        <v>2500</v>
      </c>
      <c r="F54" s="15">
        <v>2500</v>
      </c>
      <c r="G54" s="3">
        <f>E54-F54</f>
        <v>0</v>
      </c>
    </row>
    <row r="55" spans="1:11" x14ac:dyDescent="0.25">
      <c r="A55">
        <v>4</v>
      </c>
      <c r="B55" s="18" t="s">
        <v>144</v>
      </c>
      <c r="C55" s="3">
        <f>'JUNE 20'!G52</f>
        <v>0</v>
      </c>
      <c r="D55" s="3">
        <v>2000</v>
      </c>
      <c r="E55" s="16">
        <f t="shared" si="2"/>
        <v>2000</v>
      </c>
      <c r="F55" s="15">
        <v>2000</v>
      </c>
      <c r="G55" s="3">
        <f t="shared" si="3"/>
        <v>0</v>
      </c>
    </row>
    <row r="56" spans="1:11" x14ac:dyDescent="0.25">
      <c r="A56">
        <v>5</v>
      </c>
      <c r="B56" s="18" t="s">
        <v>251</v>
      </c>
      <c r="C56" s="3">
        <f>'JUNE 20'!G53:G64</f>
        <v>0</v>
      </c>
      <c r="D56" s="3">
        <v>2000</v>
      </c>
      <c r="E56" s="16">
        <f t="shared" si="2"/>
        <v>2000</v>
      </c>
      <c r="F56" s="15">
        <v>2000</v>
      </c>
      <c r="G56" s="3">
        <f t="shared" si="3"/>
        <v>0</v>
      </c>
    </row>
    <row r="57" spans="1:11" x14ac:dyDescent="0.25">
      <c r="A57">
        <v>6</v>
      </c>
      <c r="B57" s="18" t="s">
        <v>165</v>
      </c>
      <c r="C57" s="3">
        <f>'JUNE 20'!G54:G65</f>
        <v>0</v>
      </c>
      <c r="D57" s="3">
        <v>2000</v>
      </c>
      <c r="E57" s="16">
        <f t="shared" si="2"/>
        <v>2000</v>
      </c>
      <c r="F57" s="15">
        <f>1500+500</f>
        <v>2000</v>
      </c>
      <c r="G57" s="3">
        <f t="shared" si="3"/>
        <v>0</v>
      </c>
    </row>
    <row r="58" spans="1:11" x14ac:dyDescent="0.25">
      <c r="A58">
        <v>7</v>
      </c>
      <c r="B58" s="18" t="s">
        <v>166</v>
      </c>
      <c r="C58" s="3">
        <f>'JUNE 20'!G55</f>
        <v>1000</v>
      </c>
      <c r="D58" s="3">
        <v>2000</v>
      </c>
      <c r="E58" s="16">
        <f t="shared" si="2"/>
        <v>3000</v>
      </c>
      <c r="F58" s="15">
        <v>3000</v>
      </c>
      <c r="G58" s="3">
        <f t="shared" si="3"/>
        <v>0</v>
      </c>
    </row>
    <row r="59" spans="1:11" x14ac:dyDescent="0.25">
      <c r="A59">
        <v>8</v>
      </c>
      <c r="B59" s="18" t="s">
        <v>273</v>
      </c>
      <c r="C59" s="3">
        <f>'JUNE 20'!G56:G67</f>
        <v>0</v>
      </c>
      <c r="D59" s="3">
        <v>2000</v>
      </c>
      <c r="E59" s="16">
        <f t="shared" si="2"/>
        <v>2000</v>
      </c>
      <c r="F59" s="15">
        <v>2000</v>
      </c>
      <c r="G59" s="3">
        <f t="shared" si="3"/>
        <v>0</v>
      </c>
    </row>
    <row r="60" spans="1:11" x14ac:dyDescent="0.25">
      <c r="A60">
        <v>9</v>
      </c>
      <c r="B60" s="18" t="s">
        <v>190</v>
      </c>
      <c r="C60" s="3">
        <f>'JUNE 20'!G57:G68</f>
        <v>0</v>
      </c>
      <c r="D60" s="3">
        <v>2000</v>
      </c>
      <c r="E60" s="16">
        <f t="shared" si="2"/>
        <v>2000</v>
      </c>
      <c r="F60" s="15">
        <v>2000</v>
      </c>
      <c r="G60" s="3">
        <f t="shared" si="3"/>
        <v>0</v>
      </c>
    </row>
    <row r="61" spans="1:11" x14ac:dyDescent="0.25">
      <c r="A61">
        <v>10</v>
      </c>
      <c r="B61" s="18" t="s">
        <v>228</v>
      </c>
      <c r="C61" s="3">
        <f>'JUNE 20'!G58</f>
        <v>0</v>
      </c>
      <c r="D61" s="3">
        <v>2000</v>
      </c>
      <c r="E61" s="16">
        <f t="shared" si="2"/>
        <v>2000</v>
      </c>
      <c r="F61" s="15">
        <v>2000</v>
      </c>
      <c r="G61" s="3">
        <f t="shared" si="3"/>
        <v>0</v>
      </c>
    </row>
    <row r="62" spans="1:11" x14ac:dyDescent="0.25">
      <c r="A62">
        <v>11</v>
      </c>
      <c r="B62" s="18"/>
      <c r="C62" s="3">
        <f>'JUNE 20'!G59:G70</f>
        <v>0</v>
      </c>
      <c r="D62" s="3"/>
      <c r="E62" s="16"/>
      <c r="F62" s="15"/>
      <c r="G62" s="3"/>
    </row>
    <row r="63" spans="1:11" x14ac:dyDescent="0.25">
      <c r="A63">
        <v>12</v>
      </c>
      <c r="B63" s="18"/>
      <c r="C63" s="3">
        <f>'JUNE 20'!G60:G71</f>
        <v>0</v>
      </c>
      <c r="D63" s="3"/>
      <c r="E63" s="16"/>
      <c r="F63" s="15"/>
      <c r="G63" s="3"/>
    </row>
    <row r="64" spans="1:11" x14ac:dyDescent="0.25">
      <c r="B64" s="2" t="s">
        <v>26</v>
      </c>
      <c r="C64" s="3"/>
      <c r="D64" s="2">
        <f>SUM(D52:D63)</f>
        <v>18000</v>
      </c>
      <c r="E64" s="2">
        <f>SUM(E52:E63)</f>
        <v>19500</v>
      </c>
      <c r="F64" s="39">
        <f>SUM(F52:F63)</f>
        <v>19500</v>
      </c>
      <c r="G64" s="2">
        <f>SUM(G52:G63)</f>
        <v>0</v>
      </c>
    </row>
    <row r="66" spans="2:10" x14ac:dyDescent="0.25">
      <c r="B66" s="12" t="s">
        <v>44</v>
      </c>
      <c r="C66" s="12"/>
      <c r="D66" s="12"/>
      <c r="E66" s="12"/>
      <c r="F66" s="34" t="s">
        <v>43</v>
      </c>
      <c r="G66" s="12"/>
    </row>
    <row r="67" spans="2:10" ht="15.75" x14ac:dyDescent="0.25">
      <c r="B67" s="11" t="s">
        <v>22</v>
      </c>
      <c r="C67" s="11" t="s">
        <v>23</v>
      </c>
      <c r="D67" s="11" t="s">
        <v>24</v>
      </c>
      <c r="E67" s="11" t="s">
        <v>25</v>
      </c>
      <c r="F67" s="13" t="s">
        <v>22</v>
      </c>
      <c r="G67" s="11" t="s">
        <v>23</v>
      </c>
      <c r="H67" s="11" t="s">
        <v>24</v>
      </c>
      <c r="I67" s="11" t="s">
        <v>25</v>
      </c>
      <c r="J67" s="38"/>
    </row>
    <row r="68" spans="2:10" x14ac:dyDescent="0.25">
      <c r="B68" s="3" t="s">
        <v>86</v>
      </c>
      <c r="C68" s="3">
        <f>D64</f>
        <v>18000</v>
      </c>
      <c r="D68" s="3"/>
      <c r="E68" s="3"/>
      <c r="F68" s="3" t="s">
        <v>86</v>
      </c>
      <c r="G68" s="3">
        <f>F64</f>
        <v>19500</v>
      </c>
      <c r="H68" s="3"/>
      <c r="I68" s="3"/>
    </row>
    <row r="69" spans="2:10" x14ac:dyDescent="0.25">
      <c r="B69" s="3" t="s">
        <v>62</v>
      </c>
      <c r="C69" s="3">
        <f>'JUNE 20'!E75</f>
        <v>1350</v>
      </c>
      <c r="D69" s="3"/>
      <c r="E69" s="3"/>
      <c r="F69" s="3" t="s">
        <v>62</v>
      </c>
      <c r="G69">
        <f>'JUNE 20'!I75</f>
        <v>0</v>
      </c>
      <c r="H69" s="3"/>
      <c r="I69" s="3"/>
    </row>
    <row r="70" spans="2:10" x14ac:dyDescent="0.25">
      <c r="B70" s="3" t="s">
        <v>41</v>
      </c>
      <c r="C70" s="5">
        <v>0.1</v>
      </c>
      <c r="D70" s="3">
        <f>C70*C68</f>
        <v>1800</v>
      </c>
      <c r="E70" s="3"/>
      <c r="F70" s="3" t="s">
        <v>41</v>
      </c>
      <c r="G70" s="5">
        <v>0.1</v>
      </c>
      <c r="H70" s="3">
        <f>G70*G68</f>
        <v>1950</v>
      </c>
      <c r="I70" s="3"/>
    </row>
    <row r="71" spans="2:10" x14ac:dyDescent="0.25">
      <c r="B71" s="2" t="s">
        <v>115</v>
      </c>
      <c r="C71" s="3"/>
      <c r="D71" s="3"/>
      <c r="E71" s="3"/>
      <c r="F71" s="2" t="s">
        <v>115</v>
      </c>
      <c r="G71" s="3"/>
      <c r="H71" s="3"/>
      <c r="I71" s="3"/>
    </row>
    <row r="72" spans="2:10" x14ac:dyDescent="0.25">
      <c r="B72" s="14" t="s">
        <v>272</v>
      </c>
      <c r="C72" s="19"/>
      <c r="D72" s="3">
        <v>4500</v>
      </c>
      <c r="E72" s="3"/>
      <c r="F72" s="14" t="s">
        <v>272</v>
      </c>
      <c r="G72" s="19"/>
      <c r="H72" s="3">
        <v>4500</v>
      </c>
      <c r="I72" s="3"/>
    </row>
    <row r="73" spans="2:10" x14ac:dyDescent="0.25">
      <c r="B73" s="14" t="s">
        <v>274</v>
      </c>
      <c r="C73" s="19"/>
      <c r="D73" s="3">
        <v>12600</v>
      </c>
      <c r="E73" s="3"/>
      <c r="F73" s="14" t="s">
        <v>274</v>
      </c>
      <c r="G73" s="19"/>
      <c r="H73" s="3">
        <v>12600</v>
      </c>
      <c r="I73" s="3"/>
    </row>
    <row r="74" spans="2:10" x14ac:dyDescent="0.25">
      <c r="B74" s="10"/>
      <c r="C74" s="3"/>
      <c r="D74" s="3"/>
      <c r="E74" s="3"/>
      <c r="F74" s="10"/>
      <c r="G74" s="3"/>
      <c r="H74" s="3"/>
      <c r="I74" s="3"/>
    </row>
    <row r="75" spans="2:10" x14ac:dyDescent="0.25">
      <c r="B75" s="35"/>
      <c r="C75" s="19"/>
      <c r="D75" s="3"/>
      <c r="E75" s="3"/>
      <c r="F75" s="35"/>
      <c r="G75" s="19"/>
      <c r="H75" s="3"/>
      <c r="I75" s="3"/>
    </row>
    <row r="76" spans="2:10" x14ac:dyDescent="0.25">
      <c r="B76" s="35"/>
      <c r="C76" s="19"/>
      <c r="D76" s="3"/>
      <c r="E76" s="3"/>
      <c r="F76" s="35"/>
      <c r="G76" s="19"/>
      <c r="H76" s="3"/>
      <c r="I76" s="3"/>
    </row>
    <row r="77" spans="2:10" x14ac:dyDescent="0.25">
      <c r="B77" s="10"/>
      <c r="C77" s="3"/>
      <c r="D77" s="3"/>
      <c r="E77" s="3"/>
      <c r="F77" s="10"/>
      <c r="G77" s="3"/>
      <c r="H77" s="3"/>
      <c r="I77" s="3"/>
    </row>
    <row r="78" spans="2:10" x14ac:dyDescent="0.25">
      <c r="B78" s="2" t="s">
        <v>26</v>
      </c>
      <c r="C78" s="2">
        <f>C68+C69-D70</f>
        <v>17550</v>
      </c>
      <c r="D78" s="2">
        <f>SUM(D72:D77)</f>
        <v>17100</v>
      </c>
      <c r="E78" s="2">
        <f>C78-D78</f>
        <v>450</v>
      </c>
      <c r="F78" s="2" t="s">
        <v>26</v>
      </c>
      <c r="G78" s="2">
        <f>G68+G69-H70</f>
        <v>17550</v>
      </c>
      <c r="H78" s="2">
        <f>SUM(H72:H77)</f>
        <v>17100</v>
      </c>
      <c r="I78" s="2">
        <f>G78-H78</f>
        <v>450</v>
      </c>
    </row>
    <row r="80" spans="2:10" x14ac:dyDescent="0.25">
      <c r="B80" t="s">
        <v>33</v>
      </c>
      <c r="D80" t="s">
        <v>49</v>
      </c>
      <c r="G80" t="s">
        <v>34</v>
      </c>
    </row>
    <row r="82" spans="2:7" x14ac:dyDescent="0.25">
      <c r="B82" t="s">
        <v>179</v>
      </c>
      <c r="D82" t="s">
        <v>50</v>
      </c>
      <c r="G82" t="s">
        <v>51</v>
      </c>
    </row>
  </sheetData>
  <mergeCells count="1">
    <mergeCell ref="C50:D50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13" workbookViewId="0">
      <selection activeCell="B20" sqref="B20"/>
    </sheetView>
  </sheetViews>
  <sheetFormatPr defaultRowHeight="15" x14ac:dyDescent="0.25"/>
  <cols>
    <col min="1" max="1" width="5.140625" customWidth="1"/>
    <col min="2" max="2" width="20.28515625" customWidth="1"/>
  </cols>
  <sheetData>
    <row r="1" spans="1:16" ht="18.75" x14ac:dyDescent="0.3">
      <c r="C1" s="1" t="s">
        <v>42</v>
      </c>
      <c r="D1" s="21"/>
      <c r="E1" s="21"/>
      <c r="F1" s="21"/>
      <c r="G1" s="22"/>
    </row>
    <row r="2" spans="1:16" ht="18.75" x14ac:dyDescent="0.3">
      <c r="C2" s="1" t="s">
        <v>0</v>
      </c>
      <c r="D2" s="28"/>
      <c r="E2" s="28"/>
      <c r="F2" s="28"/>
      <c r="G2" s="22"/>
    </row>
    <row r="3" spans="1:16" ht="21" x14ac:dyDescent="0.35">
      <c r="C3" s="37" t="s">
        <v>278</v>
      </c>
      <c r="D3" s="28"/>
      <c r="F3" s="28"/>
      <c r="G3" s="22"/>
    </row>
    <row r="4" spans="1:16" ht="18.75" x14ac:dyDescent="0.3">
      <c r="D4" s="23" t="s">
        <v>143</v>
      </c>
      <c r="E4" s="1"/>
      <c r="F4" s="1"/>
    </row>
    <row r="5" spans="1:16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16" x14ac:dyDescent="0.25">
      <c r="A6" s="3">
        <v>1</v>
      </c>
      <c r="B6" s="3" t="s">
        <v>207</v>
      </c>
      <c r="C6" s="3">
        <f>'JULY 20'!G6:G25</f>
        <v>800</v>
      </c>
      <c r="D6" s="3">
        <v>1000</v>
      </c>
      <c r="E6" s="3">
        <f>D6+C6</f>
        <v>1800</v>
      </c>
      <c r="F6" s="15">
        <v>1000</v>
      </c>
      <c r="G6" s="3">
        <f>E6-F6</f>
        <v>800</v>
      </c>
    </row>
    <row r="7" spans="1:16" x14ac:dyDescent="0.25">
      <c r="A7" s="3">
        <v>2</v>
      </c>
      <c r="B7" s="16" t="s">
        <v>109</v>
      </c>
      <c r="C7" s="3">
        <f>'JULY 20'!G7:G26</f>
        <v>100</v>
      </c>
      <c r="D7" s="3">
        <v>1000</v>
      </c>
      <c r="E7" s="3">
        <f t="shared" ref="E7:E24" si="0">D7+C7</f>
        <v>1100</v>
      </c>
      <c r="F7" s="15">
        <v>1000</v>
      </c>
      <c r="G7" s="3">
        <f t="shared" ref="G7:G25" si="1">E7-F7</f>
        <v>100</v>
      </c>
    </row>
    <row r="8" spans="1:16" x14ac:dyDescent="0.25">
      <c r="A8" s="16">
        <v>3</v>
      </c>
      <c r="B8" s="18" t="s">
        <v>137</v>
      </c>
      <c r="C8" s="3">
        <f>'JULY 20'!G8:G27</f>
        <v>0</v>
      </c>
      <c r="D8" s="18">
        <v>1000</v>
      </c>
      <c r="E8" s="16">
        <f>D8+C8</f>
        <v>1000</v>
      </c>
      <c r="F8" s="15">
        <f>700+300</f>
        <v>1000</v>
      </c>
      <c r="G8" s="3">
        <f>E8-F8</f>
        <v>0</v>
      </c>
    </row>
    <row r="9" spans="1:16" x14ac:dyDescent="0.25">
      <c r="A9" s="16">
        <v>4</v>
      </c>
      <c r="B9" s="16" t="s">
        <v>238</v>
      </c>
      <c r="C9" s="3">
        <f>'JULY 20'!G9:G28</f>
        <v>0</v>
      </c>
      <c r="D9" s="16">
        <v>1000</v>
      </c>
      <c r="E9" s="16">
        <f>D9+C9</f>
        <v>1000</v>
      </c>
      <c r="F9" s="15"/>
      <c r="G9" s="3">
        <f>E9-F9</f>
        <v>1000</v>
      </c>
    </row>
    <row r="10" spans="1:16" x14ac:dyDescent="0.25">
      <c r="A10" s="16">
        <v>5</v>
      </c>
      <c r="B10" s="16" t="s">
        <v>10</v>
      </c>
      <c r="C10" s="3">
        <f>'JULY 20'!G10:G29</f>
        <v>0</v>
      </c>
      <c r="D10" s="16">
        <v>1000</v>
      </c>
      <c r="E10" s="16">
        <f>D10+C10</f>
        <v>1000</v>
      </c>
      <c r="F10" s="15">
        <f>700</f>
        <v>700</v>
      </c>
      <c r="G10" s="3">
        <f t="shared" si="1"/>
        <v>300</v>
      </c>
    </row>
    <row r="11" spans="1:16" x14ac:dyDescent="0.25">
      <c r="A11" s="16">
        <v>6</v>
      </c>
      <c r="B11" s="16" t="s">
        <v>252</v>
      </c>
      <c r="C11" s="3">
        <f>'JULY 20'!G11:G30</f>
        <v>1000</v>
      </c>
      <c r="D11" s="16">
        <v>1000</v>
      </c>
      <c r="E11" s="16">
        <f t="shared" si="0"/>
        <v>2000</v>
      </c>
      <c r="F11" s="15">
        <f>1000+1000</f>
        <v>2000</v>
      </c>
      <c r="G11" s="3">
        <f t="shared" si="1"/>
        <v>0</v>
      </c>
    </row>
    <row r="12" spans="1:16" x14ac:dyDescent="0.25">
      <c r="A12" s="16">
        <v>7</v>
      </c>
      <c r="B12" s="16" t="s">
        <v>28</v>
      </c>
      <c r="C12" s="3">
        <f>'JULY 20'!G12:G31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si="1"/>
        <v>0</v>
      </c>
      <c r="J12">
        <f>C11+C13+C17+1500</f>
        <v>3500</v>
      </c>
      <c r="K12">
        <v>1000</v>
      </c>
      <c r="M12">
        <v>300</v>
      </c>
      <c r="N12">
        <v>540</v>
      </c>
      <c r="P12">
        <v>1100</v>
      </c>
    </row>
    <row r="13" spans="1:16" x14ac:dyDescent="0.25">
      <c r="A13" s="16">
        <v>8</v>
      </c>
      <c r="B13" s="16" t="s">
        <v>220</v>
      </c>
      <c r="C13" s="3">
        <f>'JULY 20'!G13:G32</f>
        <v>700</v>
      </c>
      <c r="D13" s="16">
        <v>1000</v>
      </c>
      <c r="E13" s="16">
        <f t="shared" si="0"/>
        <v>1700</v>
      </c>
      <c r="F13" s="15">
        <f>200+500+600</f>
        <v>1300</v>
      </c>
      <c r="G13" s="3">
        <f t="shared" si="1"/>
        <v>400</v>
      </c>
      <c r="I13">
        <f>C11+600+1500</f>
        <v>3100</v>
      </c>
      <c r="J13">
        <f>J12-I13</f>
        <v>400</v>
      </c>
      <c r="K13">
        <v>400</v>
      </c>
      <c r="M13">
        <v>100</v>
      </c>
      <c r="N13">
        <v>520</v>
      </c>
      <c r="O13">
        <f>N14-800</f>
        <v>260</v>
      </c>
    </row>
    <row r="14" spans="1:16" x14ac:dyDescent="0.25">
      <c r="A14" s="16">
        <v>9</v>
      </c>
      <c r="B14" s="3" t="s">
        <v>194</v>
      </c>
      <c r="C14" s="3">
        <f>'JULY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  <c r="K14">
        <v>200</v>
      </c>
      <c r="N14">
        <f>SUM(N12:N13)</f>
        <v>1060</v>
      </c>
    </row>
    <row r="15" spans="1:16" x14ac:dyDescent="0.25">
      <c r="A15" s="16">
        <v>10</v>
      </c>
      <c r="B15" s="16" t="s">
        <v>232</v>
      </c>
      <c r="C15" s="3">
        <f>'JULY 20'!G15:G34</f>
        <v>0</v>
      </c>
      <c r="D15" s="16">
        <v>1000</v>
      </c>
      <c r="E15" s="16">
        <f t="shared" si="0"/>
        <v>1000</v>
      </c>
      <c r="F15" s="15">
        <v>1000</v>
      </c>
      <c r="G15" s="3">
        <f>E15-F15</f>
        <v>0</v>
      </c>
      <c r="K15">
        <f>SUM(K12:K14)</f>
        <v>1600</v>
      </c>
      <c r="M15">
        <v>2000</v>
      </c>
    </row>
    <row r="16" spans="1:16" x14ac:dyDescent="0.25">
      <c r="A16" s="16">
        <v>11</v>
      </c>
      <c r="B16" s="18" t="s">
        <v>256</v>
      </c>
      <c r="C16" s="3">
        <f>'JULY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  <c r="M16">
        <f>SUM(M12:M15)</f>
        <v>2400</v>
      </c>
      <c r="O16">
        <v>30</v>
      </c>
    </row>
    <row r="17" spans="1:15" x14ac:dyDescent="0.25">
      <c r="A17" s="16">
        <v>12</v>
      </c>
      <c r="B17" s="3" t="s">
        <v>257</v>
      </c>
      <c r="C17" s="3">
        <f>'JULY 20'!G17:G36</f>
        <v>300</v>
      </c>
      <c r="D17" s="3">
        <v>1000</v>
      </c>
      <c r="E17" s="16">
        <f>D17+C17</f>
        <v>1300</v>
      </c>
      <c r="F17" s="15">
        <f>900</f>
        <v>900</v>
      </c>
      <c r="G17" s="14">
        <f>E17-F17</f>
        <v>400</v>
      </c>
      <c r="O17">
        <v>10</v>
      </c>
    </row>
    <row r="18" spans="1:15" x14ac:dyDescent="0.25">
      <c r="A18" s="16">
        <v>13</v>
      </c>
      <c r="B18" s="16" t="s">
        <v>204</v>
      </c>
      <c r="C18" s="3">
        <f>'JULY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  <c r="O18">
        <v>200</v>
      </c>
    </row>
    <row r="19" spans="1:15" x14ac:dyDescent="0.25">
      <c r="A19" s="16">
        <v>14</v>
      </c>
      <c r="B19" s="16" t="s">
        <v>209</v>
      </c>
      <c r="C19" s="3">
        <f>'JULY 20'!G19:G38</f>
        <v>130</v>
      </c>
      <c r="D19" s="16">
        <v>1000</v>
      </c>
      <c r="E19" s="16">
        <f>D19+C19</f>
        <v>1130</v>
      </c>
      <c r="F19" s="15">
        <v>1000</v>
      </c>
      <c r="G19" s="3">
        <f t="shared" si="1"/>
        <v>130</v>
      </c>
    </row>
    <row r="20" spans="1:15" x14ac:dyDescent="0.25">
      <c r="A20" s="16">
        <v>15</v>
      </c>
      <c r="B20" s="16" t="s">
        <v>137</v>
      </c>
      <c r="C20" s="3">
        <f>'JULY 20'!G20:G41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1"/>
        <v>0</v>
      </c>
    </row>
    <row r="21" spans="1:15" x14ac:dyDescent="0.25">
      <c r="A21" s="16">
        <v>16</v>
      </c>
      <c r="B21" s="3" t="s">
        <v>30</v>
      </c>
      <c r="C21" s="3">
        <f>'JULY 20'!G21:G42</f>
        <v>0</v>
      </c>
      <c r="D21" s="3"/>
      <c r="E21" s="3">
        <f>D21+C21</f>
        <v>0</v>
      </c>
      <c r="F21" s="15"/>
      <c r="G21" s="3">
        <f>E21-F21</f>
        <v>0</v>
      </c>
    </row>
    <row r="22" spans="1:15" x14ac:dyDescent="0.25">
      <c r="A22" s="16">
        <v>17</v>
      </c>
      <c r="B22" s="16" t="s">
        <v>47</v>
      </c>
      <c r="C22" s="3">
        <f>'JULY 20'!G22:G43</f>
        <v>0</v>
      </c>
      <c r="D22" s="16">
        <v>1500</v>
      </c>
      <c r="E22" s="16">
        <f t="shared" si="0"/>
        <v>1500</v>
      </c>
      <c r="F22" s="15">
        <v>1500</v>
      </c>
      <c r="G22" s="3">
        <f t="shared" si="1"/>
        <v>0</v>
      </c>
    </row>
    <row r="23" spans="1:15" x14ac:dyDescent="0.25">
      <c r="A23" s="3">
        <v>18</v>
      </c>
      <c r="B23" s="18" t="s">
        <v>286</v>
      </c>
      <c r="C23" s="3">
        <f>'JULY 20'!G23:G44</f>
        <v>0</v>
      </c>
      <c r="D23" s="3">
        <v>1500</v>
      </c>
      <c r="E23" s="16">
        <f t="shared" si="0"/>
        <v>1500</v>
      </c>
      <c r="F23" s="15">
        <f>1000+400</f>
        <v>1400</v>
      </c>
      <c r="G23" s="3">
        <f t="shared" si="1"/>
        <v>100</v>
      </c>
    </row>
    <row r="24" spans="1:15" x14ac:dyDescent="0.25">
      <c r="A24" s="3">
        <v>19</v>
      </c>
      <c r="B24" s="18" t="s">
        <v>135</v>
      </c>
      <c r="C24" s="3">
        <f>'JULY 20'!G24:G45</f>
        <v>500</v>
      </c>
      <c r="D24" s="3">
        <v>1500</v>
      </c>
      <c r="E24" s="16">
        <f t="shared" si="0"/>
        <v>2000</v>
      </c>
      <c r="F24" s="15"/>
      <c r="G24" s="3">
        <f t="shared" si="1"/>
        <v>2000</v>
      </c>
      <c r="K24">
        <f>1200</f>
        <v>1200</v>
      </c>
    </row>
    <row r="25" spans="1:15" x14ac:dyDescent="0.25">
      <c r="A25" s="3">
        <v>20</v>
      </c>
      <c r="B25" s="18" t="s">
        <v>118</v>
      </c>
      <c r="C25" s="3">
        <f>'JULY 20'!G25:G46</f>
        <v>1520</v>
      </c>
      <c r="D25" s="3">
        <v>1500</v>
      </c>
      <c r="E25" s="16">
        <f>D25+C25</f>
        <v>3020</v>
      </c>
      <c r="F25" s="15">
        <f>1500+1500</f>
        <v>3000</v>
      </c>
      <c r="G25" s="3">
        <f t="shared" si="1"/>
        <v>20</v>
      </c>
      <c r="H25" t="s">
        <v>283</v>
      </c>
      <c r="L25">
        <f>D26-D32</f>
        <v>18900</v>
      </c>
    </row>
    <row r="26" spans="1:15" x14ac:dyDescent="0.25">
      <c r="B26" s="2" t="s">
        <v>26</v>
      </c>
      <c r="C26" s="3">
        <f>SUM(C6:C25)</f>
        <v>5050</v>
      </c>
      <c r="D26" s="2">
        <f>SUM(D6:D25)</f>
        <v>21000</v>
      </c>
      <c r="E26" s="2">
        <f>SUM(E6:E25)</f>
        <v>26050</v>
      </c>
      <c r="F26" s="39">
        <f>SUM(F6:F25)</f>
        <v>20800</v>
      </c>
      <c r="G26" s="2">
        <f>SUM(G6:G25)</f>
        <v>5250</v>
      </c>
      <c r="K26">
        <f>K24-120</f>
        <v>1080</v>
      </c>
    </row>
    <row r="27" spans="1:15" x14ac:dyDescent="0.25">
      <c r="G27" s="35"/>
    </row>
    <row r="28" spans="1:15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5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5" ht="15.75" x14ac:dyDescent="0.25">
      <c r="B30" s="3" t="s">
        <v>277</v>
      </c>
      <c r="C30" s="3">
        <f>D26</f>
        <v>21000</v>
      </c>
      <c r="D30" s="3"/>
      <c r="E30" s="3"/>
      <c r="F30" s="3" t="s">
        <v>172</v>
      </c>
      <c r="G30" s="3">
        <f>F26</f>
        <v>20800</v>
      </c>
      <c r="H30" s="3"/>
      <c r="I30" s="3"/>
      <c r="J30" s="40"/>
      <c r="K30" s="41"/>
    </row>
    <row r="31" spans="1:15" x14ac:dyDescent="0.25">
      <c r="B31" s="3" t="s">
        <v>62</v>
      </c>
      <c r="C31" s="3">
        <f>'JULY 20'!E42</f>
        <v>5390</v>
      </c>
      <c r="D31" s="3"/>
      <c r="E31" s="3"/>
      <c r="F31" s="3" t="s">
        <v>62</v>
      </c>
      <c r="G31">
        <f>'JULY 20'!I42</f>
        <v>-1300</v>
      </c>
      <c r="H31" s="3"/>
      <c r="I31" s="3"/>
      <c r="J31" s="41"/>
      <c r="K31" s="41"/>
    </row>
    <row r="32" spans="1:15" x14ac:dyDescent="0.25">
      <c r="B32" s="3" t="s">
        <v>41</v>
      </c>
      <c r="C32" s="5">
        <v>0.1</v>
      </c>
      <c r="D32" s="3">
        <f>C32*C30</f>
        <v>2100</v>
      </c>
      <c r="E32" s="3"/>
      <c r="F32" s="3" t="s">
        <v>41</v>
      </c>
      <c r="G32" s="5">
        <v>0.1</v>
      </c>
      <c r="H32" s="3">
        <f>G32*G30</f>
        <v>2080</v>
      </c>
      <c r="I32" s="3"/>
      <c r="J32" s="41"/>
      <c r="K32" s="41"/>
    </row>
    <row r="33" spans="2:14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4" x14ac:dyDescent="0.25">
      <c r="B34" s="19" t="s">
        <v>279</v>
      </c>
      <c r="C34" s="3"/>
      <c r="D34" s="3">
        <v>800</v>
      </c>
      <c r="E34" s="3"/>
      <c r="F34" s="19" t="s">
        <v>279</v>
      </c>
      <c r="G34" s="3"/>
      <c r="H34" s="3">
        <v>800</v>
      </c>
      <c r="I34" s="3"/>
      <c r="J34" s="41"/>
      <c r="K34" s="41"/>
      <c r="L34">
        <f>21000-1500</f>
        <v>19500</v>
      </c>
      <c r="N34">
        <f>G32*L34</f>
        <v>1950</v>
      </c>
    </row>
    <row r="35" spans="2:14" x14ac:dyDescent="0.25">
      <c r="B35" s="19" t="s">
        <v>280</v>
      </c>
      <c r="C35" s="3"/>
      <c r="D35" s="3">
        <v>900</v>
      </c>
      <c r="E35" s="3"/>
      <c r="F35" s="19" t="s">
        <v>280</v>
      </c>
      <c r="G35" s="3"/>
      <c r="H35" s="3">
        <v>900</v>
      </c>
      <c r="I35" s="3"/>
      <c r="J35" s="42"/>
      <c r="K35" s="42"/>
    </row>
    <row r="36" spans="2:14" x14ac:dyDescent="0.25">
      <c r="B36" s="19" t="s">
        <v>281</v>
      </c>
      <c r="C36" s="3"/>
      <c r="D36" s="3">
        <v>17550</v>
      </c>
      <c r="E36" s="3"/>
      <c r="F36" s="19" t="s">
        <v>281</v>
      </c>
      <c r="G36" s="3"/>
      <c r="H36" s="3">
        <v>17550</v>
      </c>
      <c r="I36" s="3"/>
      <c r="M36">
        <f>L34-N34</f>
        <v>17550</v>
      </c>
    </row>
    <row r="37" spans="2:14" x14ac:dyDescent="0.25">
      <c r="B37" s="19" t="s">
        <v>282</v>
      </c>
      <c r="C37" s="3"/>
      <c r="D37" s="3">
        <v>540</v>
      </c>
      <c r="E37" s="3"/>
      <c r="F37" s="19" t="s">
        <v>282</v>
      </c>
      <c r="G37" s="3"/>
      <c r="H37" s="3">
        <v>540</v>
      </c>
      <c r="I37" s="3"/>
      <c r="J37" s="43"/>
      <c r="M37">
        <f>M36+14400</f>
        <v>31950</v>
      </c>
    </row>
    <row r="38" spans="2:14" x14ac:dyDescent="0.25">
      <c r="B38" s="19"/>
      <c r="C38" s="3"/>
      <c r="D38" s="3"/>
      <c r="E38" s="3"/>
      <c r="F38" s="19"/>
      <c r="G38" s="3"/>
      <c r="H38" s="3"/>
      <c r="I38" s="3"/>
      <c r="J38" s="43"/>
    </row>
    <row r="39" spans="2:14" x14ac:dyDescent="0.25">
      <c r="B39" s="19" t="s">
        <v>284</v>
      </c>
      <c r="C39" s="3"/>
      <c r="D39" s="3">
        <v>2700</v>
      </c>
      <c r="E39" s="3"/>
      <c r="F39" s="19" t="s">
        <v>284</v>
      </c>
      <c r="G39" s="3"/>
      <c r="H39" s="3">
        <v>2700</v>
      </c>
      <c r="I39" s="3"/>
      <c r="J39" s="43"/>
    </row>
    <row r="40" spans="2:14" x14ac:dyDescent="0.25">
      <c r="B40" s="19"/>
      <c r="C40" s="3"/>
      <c r="D40" s="3"/>
      <c r="E40" s="3"/>
      <c r="F40" s="19"/>
      <c r="G40" s="3"/>
      <c r="H40" s="3"/>
      <c r="I40" s="3"/>
    </row>
    <row r="41" spans="2:14" x14ac:dyDescent="0.25">
      <c r="B41" s="2" t="s">
        <v>26</v>
      </c>
      <c r="C41" s="2">
        <f>C30+C31-D32</f>
        <v>24290</v>
      </c>
      <c r="D41" s="2">
        <f>SUM(D34:D40)</f>
        <v>22490</v>
      </c>
      <c r="E41" s="2">
        <f>C41-D41</f>
        <v>1800</v>
      </c>
      <c r="F41" s="2" t="s">
        <v>26</v>
      </c>
      <c r="G41" s="2">
        <f>G30+G31-H32</f>
        <v>17420</v>
      </c>
      <c r="H41" s="2">
        <f>SUM(H34:H40)</f>
        <v>22490</v>
      </c>
      <c r="I41" s="2">
        <f>G41-H41</f>
        <v>-5070</v>
      </c>
    </row>
    <row r="42" spans="2:14" x14ac:dyDescent="0.25">
      <c r="B42" t="s">
        <v>33</v>
      </c>
      <c r="D42" t="s">
        <v>49</v>
      </c>
      <c r="G42" t="s">
        <v>34</v>
      </c>
    </row>
    <row r="43" spans="2:14" x14ac:dyDescent="0.25">
      <c r="B43" t="s">
        <v>179</v>
      </c>
      <c r="D43" t="s">
        <v>50</v>
      </c>
      <c r="G43" t="s">
        <v>51</v>
      </c>
      <c r="K43">
        <f>I54+L25</f>
        <v>33300</v>
      </c>
    </row>
    <row r="45" spans="2:14" x14ac:dyDescent="0.25">
      <c r="L45">
        <f>400-40</f>
        <v>360</v>
      </c>
    </row>
    <row r="46" spans="2:14" ht="18.75" x14ac:dyDescent="0.3">
      <c r="C46" s="1" t="s">
        <v>42</v>
      </c>
      <c r="D46" s="21"/>
      <c r="E46" s="21"/>
      <c r="F46" s="21"/>
      <c r="G46" s="22"/>
      <c r="L46">
        <f>L45+180</f>
        <v>540</v>
      </c>
    </row>
    <row r="47" spans="2:14" ht="15.75" x14ac:dyDescent="0.25">
      <c r="C47" s="21" t="s">
        <v>0</v>
      </c>
      <c r="D47" s="29"/>
      <c r="E47" s="29"/>
      <c r="F47" s="29"/>
      <c r="G47" s="22"/>
    </row>
    <row r="48" spans="2:14" ht="15.75" x14ac:dyDescent="0.25">
      <c r="C48" s="21" t="s">
        <v>278</v>
      </c>
      <c r="D48" s="29"/>
      <c r="E48" s="29"/>
      <c r="F48" s="29"/>
      <c r="G48" s="22"/>
    </row>
    <row r="49" spans="1:14" ht="18.75" x14ac:dyDescent="0.3">
      <c r="B49" s="18"/>
      <c r="C49" s="46" t="s">
        <v>139</v>
      </c>
      <c r="D49" s="47"/>
      <c r="E49" s="30"/>
      <c r="F49" s="31"/>
      <c r="G49" s="3"/>
      <c r="I49">
        <f>I41+I77</f>
        <v>-5070</v>
      </c>
    </row>
    <row r="50" spans="1:14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  <c r="L50">
        <f>3000-300</f>
        <v>2700</v>
      </c>
    </row>
    <row r="51" spans="1:14" x14ac:dyDescent="0.25">
      <c r="A51">
        <v>1</v>
      </c>
      <c r="B51" s="18"/>
      <c r="C51" s="3"/>
      <c r="D51" s="3"/>
      <c r="E51" s="16">
        <f>C51+D51</f>
        <v>0</v>
      </c>
      <c r="F51" s="15"/>
      <c r="G51" s="3">
        <f>E51-F51</f>
        <v>0</v>
      </c>
    </row>
    <row r="52" spans="1:14" x14ac:dyDescent="0.25">
      <c r="A52">
        <v>2</v>
      </c>
      <c r="B52" s="18" t="s">
        <v>254</v>
      </c>
      <c r="C52"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2">E52-F52</f>
        <v>0</v>
      </c>
    </row>
    <row r="53" spans="1:14" x14ac:dyDescent="0.25">
      <c r="A53">
        <v>3</v>
      </c>
      <c r="B53" s="18" t="s">
        <v>193</v>
      </c>
      <c r="C53" s="3"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14" x14ac:dyDescent="0.25">
      <c r="A54">
        <v>4</v>
      </c>
      <c r="B54" s="18" t="s">
        <v>144</v>
      </c>
      <c r="C54" s="3">
        <v>0</v>
      </c>
      <c r="D54" s="3">
        <v>2000</v>
      </c>
      <c r="E54" s="16">
        <f t="shared" ref="E54:E60" si="3">C54+D54</f>
        <v>2000</v>
      </c>
      <c r="F54" s="15">
        <v>2000</v>
      </c>
      <c r="G54" s="3">
        <f t="shared" si="2"/>
        <v>0</v>
      </c>
      <c r="I54">
        <f>D63-D69</f>
        <v>14400</v>
      </c>
    </row>
    <row r="55" spans="1:14" x14ac:dyDescent="0.25">
      <c r="A55">
        <v>5</v>
      </c>
      <c r="B55" s="18"/>
      <c r="C55" s="3">
        <v>0</v>
      </c>
      <c r="D55" s="3"/>
      <c r="E55" s="16">
        <f t="shared" si="3"/>
        <v>0</v>
      </c>
      <c r="F55" s="15"/>
      <c r="G55" s="3">
        <f t="shared" si="2"/>
        <v>0</v>
      </c>
      <c r="N55" s="3"/>
    </row>
    <row r="56" spans="1:14" x14ac:dyDescent="0.25">
      <c r="A56">
        <v>6</v>
      </c>
      <c r="B56" s="18" t="s">
        <v>165</v>
      </c>
      <c r="C56" s="3">
        <v>0</v>
      </c>
      <c r="D56" s="3">
        <v>2000</v>
      </c>
      <c r="E56" s="16">
        <f t="shared" si="3"/>
        <v>2000</v>
      </c>
      <c r="F56" s="15">
        <f>1500+500</f>
        <v>2000</v>
      </c>
      <c r="G56" s="3">
        <f t="shared" si="2"/>
        <v>0</v>
      </c>
    </row>
    <row r="57" spans="1:14" x14ac:dyDescent="0.25">
      <c r="A57">
        <v>7</v>
      </c>
      <c r="B57" s="18" t="s">
        <v>166</v>
      </c>
      <c r="C57" s="3">
        <v>0</v>
      </c>
      <c r="D57" s="3">
        <v>2000</v>
      </c>
      <c r="E57" s="16">
        <f t="shared" si="3"/>
        <v>2000</v>
      </c>
      <c r="F57" s="15">
        <f>1000+1000</f>
        <v>2000</v>
      </c>
      <c r="G57" s="3">
        <f t="shared" si="2"/>
        <v>0</v>
      </c>
    </row>
    <row r="58" spans="1:14" x14ac:dyDescent="0.25">
      <c r="A58">
        <v>8</v>
      </c>
      <c r="B58" s="18" t="s">
        <v>273</v>
      </c>
      <c r="C58" s="3">
        <v>0</v>
      </c>
      <c r="D58" s="3">
        <v>2000</v>
      </c>
      <c r="E58" s="16">
        <f t="shared" si="3"/>
        <v>2000</v>
      </c>
      <c r="F58" s="15">
        <v>2000</v>
      </c>
      <c r="G58" s="3">
        <f t="shared" si="2"/>
        <v>0</v>
      </c>
    </row>
    <row r="59" spans="1:14" x14ac:dyDescent="0.25">
      <c r="A59">
        <v>9</v>
      </c>
      <c r="B59" s="18" t="s">
        <v>190</v>
      </c>
      <c r="C59" s="3">
        <v>0</v>
      </c>
      <c r="D59" s="3">
        <v>2000</v>
      </c>
      <c r="E59" s="16">
        <f t="shared" si="3"/>
        <v>2000</v>
      </c>
      <c r="F59" s="15">
        <v>2000</v>
      </c>
      <c r="G59" s="3">
        <f t="shared" si="2"/>
        <v>0</v>
      </c>
    </row>
    <row r="60" spans="1:14" x14ac:dyDescent="0.25">
      <c r="A60">
        <v>10</v>
      </c>
      <c r="B60" s="18" t="s">
        <v>228</v>
      </c>
      <c r="C60" s="3">
        <v>0</v>
      </c>
      <c r="D60" s="3">
        <v>2000</v>
      </c>
      <c r="E60" s="16">
        <f t="shared" si="3"/>
        <v>2000</v>
      </c>
      <c r="F60" s="15">
        <v>2000</v>
      </c>
      <c r="G60" s="3">
        <f t="shared" si="2"/>
        <v>0</v>
      </c>
    </row>
    <row r="61" spans="1:14" x14ac:dyDescent="0.25">
      <c r="A61">
        <v>11</v>
      </c>
      <c r="B61" s="18"/>
      <c r="C61" s="3"/>
      <c r="D61" s="3"/>
      <c r="E61" s="16"/>
      <c r="F61" s="15"/>
      <c r="G61" s="3"/>
    </row>
    <row r="62" spans="1:14" x14ac:dyDescent="0.25">
      <c r="A62">
        <v>12</v>
      </c>
      <c r="B62" s="18"/>
      <c r="C62" s="3"/>
      <c r="D62" s="3"/>
      <c r="E62" s="16"/>
      <c r="F62" s="15"/>
      <c r="G62" s="3"/>
    </row>
    <row r="63" spans="1:14" x14ac:dyDescent="0.25">
      <c r="B63" s="2" t="s">
        <v>26</v>
      </c>
      <c r="C63" s="3">
        <f>SUM(C52:C62)</f>
        <v>0</v>
      </c>
      <c r="D63" s="2">
        <f>SUM(D51:D62)</f>
        <v>16000</v>
      </c>
      <c r="E63" s="2">
        <f>SUM(E51:E62)</f>
        <v>16000</v>
      </c>
      <c r="F63" s="39">
        <f>SUM(F51:F62)</f>
        <v>16000</v>
      </c>
      <c r="G63" s="2">
        <f>SUM(G51:G62)</f>
        <v>0</v>
      </c>
    </row>
    <row r="65" spans="2:11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1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  <c r="J66" s="38"/>
    </row>
    <row r="67" spans="2:11" x14ac:dyDescent="0.25">
      <c r="B67" s="3" t="s">
        <v>172</v>
      </c>
      <c r="C67" s="3">
        <f>D63</f>
        <v>16000</v>
      </c>
      <c r="D67" s="3"/>
      <c r="E67" s="3"/>
      <c r="F67" s="3" t="s">
        <v>172</v>
      </c>
      <c r="G67" s="3">
        <f>F63</f>
        <v>16000</v>
      </c>
      <c r="H67" s="3"/>
      <c r="I67" s="3"/>
    </row>
    <row r="68" spans="2:11" x14ac:dyDescent="0.25">
      <c r="B68" s="3" t="s">
        <v>62</v>
      </c>
      <c r="C68" s="3">
        <f>'JULY 20'!E78</f>
        <v>450</v>
      </c>
      <c r="D68" s="3"/>
      <c r="E68" s="3"/>
      <c r="F68" s="3" t="s">
        <v>62</v>
      </c>
      <c r="G68">
        <f>'JULY 20'!I78</f>
        <v>450</v>
      </c>
      <c r="H68" s="3"/>
      <c r="I68" s="3"/>
    </row>
    <row r="69" spans="2:11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G69*G67</f>
        <v>1600</v>
      </c>
      <c r="I69" s="3"/>
    </row>
    <row r="70" spans="2:11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  <c r="K70">
        <f>C67-D69</f>
        <v>14400</v>
      </c>
    </row>
    <row r="71" spans="2:11" x14ac:dyDescent="0.25">
      <c r="B71" s="14" t="s">
        <v>279</v>
      </c>
      <c r="C71" s="19"/>
      <c r="D71" s="3">
        <v>450</v>
      </c>
      <c r="E71" s="3"/>
      <c r="F71" s="14" t="s">
        <v>279</v>
      </c>
      <c r="G71" s="19"/>
      <c r="H71" s="3">
        <v>450</v>
      </c>
      <c r="I71" s="3"/>
    </row>
    <row r="72" spans="2:11" x14ac:dyDescent="0.25">
      <c r="B72" s="14" t="s">
        <v>281</v>
      </c>
      <c r="C72" s="19"/>
      <c r="D72" s="3">
        <v>14400</v>
      </c>
      <c r="E72" s="3"/>
      <c r="F72" s="14" t="s">
        <v>281</v>
      </c>
      <c r="G72" s="19"/>
      <c r="H72" s="3">
        <v>14400</v>
      </c>
      <c r="I72" s="3"/>
    </row>
    <row r="73" spans="2:11" x14ac:dyDescent="0.25">
      <c r="B73" s="10"/>
      <c r="C73" s="3"/>
      <c r="D73" s="3"/>
      <c r="E73" s="3"/>
      <c r="F73" s="10"/>
      <c r="G73" s="3"/>
      <c r="H73" s="3"/>
      <c r="I73" s="3"/>
    </row>
    <row r="74" spans="2:11" x14ac:dyDescent="0.25">
      <c r="B74" s="35"/>
      <c r="C74" s="19"/>
      <c r="D74" s="3"/>
      <c r="E74" s="3"/>
      <c r="F74" s="35"/>
      <c r="G74" s="19"/>
      <c r="H74" s="3"/>
      <c r="I74" s="3"/>
    </row>
    <row r="75" spans="2:11" x14ac:dyDescent="0.25">
      <c r="B75" s="35"/>
      <c r="C75" s="19"/>
      <c r="D75" s="3"/>
      <c r="E75" s="3"/>
      <c r="F75" s="35"/>
      <c r="G75" s="19"/>
      <c r="H75" s="3"/>
      <c r="I75" s="3"/>
    </row>
    <row r="76" spans="2:11" x14ac:dyDescent="0.25">
      <c r="B76" s="10"/>
      <c r="C76" s="3"/>
      <c r="D76" s="3"/>
      <c r="E76" s="3"/>
      <c r="F76" s="10"/>
      <c r="G76" s="3"/>
      <c r="H76" s="3"/>
      <c r="I76" s="3"/>
    </row>
    <row r="77" spans="2:11" x14ac:dyDescent="0.25">
      <c r="B77" s="2" t="s">
        <v>26</v>
      </c>
      <c r="C77" s="2">
        <f>C67+C68-D69</f>
        <v>14850</v>
      </c>
      <c r="D77" s="2">
        <f>SUM(D71:D76)</f>
        <v>14850</v>
      </c>
      <c r="E77" s="2">
        <f>C77-D77</f>
        <v>0</v>
      </c>
      <c r="F77" s="2" t="s">
        <v>26</v>
      </c>
      <c r="G77" s="2">
        <f>G67+G68-H69</f>
        <v>14850</v>
      </c>
      <c r="H77" s="2">
        <f>SUM(H71:H76)</f>
        <v>14850</v>
      </c>
      <c r="I77" s="2">
        <f>G77-H77</f>
        <v>0</v>
      </c>
    </row>
    <row r="79" spans="2:11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I52" sqref="I52"/>
    </sheetView>
  </sheetViews>
  <sheetFormatPr defaultRowHeight="15" x14ac:dyDescent="0.25"/>
  <cols>
    <col min="1" max="1" width="6.28515625" customWidth="1"/>
    <col min="2" max="2" width="22.42578125" customWidth="1"/>
    <col min="13" max="13" width="10.42578125" customWidth="1"/>
  </cols>
  <sheetData>
    <row r="1" spans="1:13" ht="18.75" x14ac:dyDescent="0.3">
      <c r="C1" s="1" t="s">
        <v>42</v>
      </c>
      <c r="D1" s="21"/>
      <c r="E1" s="21"/>
      <c r="F1" s="21"/>
      <c r="G1" s="22"/>
    </row>
    <row r="2" spans="1:13" ht="18.75" x14ac:dyDescent="0.3">
      <c r="C2" s="1" t="s">
        <v>0</v>
      </c>
      <c r="D2" s="28"/>
      <c r="E2" s="28"/>
      <c r="F2" s="28"/>
      <c r="G2" s="22"/>
    </row>
    <row r="3" spans="1:13" ht="21" x14ac:dyDescent="0.35">
      <c r="C3" s="37" t="s">
        <v>285</v>
      </c>
      <c r="D3" s="28"/>
      <c r="F3" s="28"/>
      <c r="G3" s="22"/>
    </row>
    <row r="4" spans="1:13" ht="18.75" x14ac:dyDescent="0.3">
      <c r="D4" s="23" t="s">
        <v>143</v>
      </c>
      <c r="E4" s="1"/>
      <c r="F4" s="1"/>
    </row>
    <row r="5" spans="1:13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13" x14ac:dyDescent="0.25">
      <c r="A6" s="3">
        <v>1</v>
      </c>
      <c r="B6" s="3" t="s">
        <v>207</v>
      </c>
      <c r="C6" s="3">
        <f>'AUGUST 20'!G6:G25</f>
        <v>800</v>
      </c>
      <c r="D6" s="3">
        <v>1000</v>
      </c>
      <c r="E6" s="3">
        <f>D6+C6</f>
        <v>1800</v>
      </c>
      <c r="F6" s="15">
        <f>500+500</f>
        <v>1000</v>
      </c>
      <c r="G6" s="3">
        <f>E6-F6</f>
        <v>800</v>
      </c>
      <c r="K6">
        <v>20000</v>
      </c>
    </row>
    <row r="7" spans="1:13" x14ac:dyDescent="0.25">
      <c r="A7" s="3">
        <v>2</v>
      </c>
      <c r="B7" s="16" t="s">
        <v>109</v>
      </c>
      <c r="C7" s="3">
        <f>'AUGUST 20'!G7:G26</f>
        <v>100</v>
      </c>
      <c r="D7" s="3">
        <v>1000</v>
      </c>
      <c r="E7" s="3">
        <f t="shared" ref="E7:E24" si="0">D7+C7</f>
        <v>1100</v>
      </c>
      <c r="F7">
        <v>1000</v>
      </c>
      <c r="G7" s="3">
        <f t="shared" ref="G7:G9" si="1">E7-F7</f>
        <v>100</v>
      </c>
      <c r="K7">
        <f>K6-D32</f>
        <v>18000</v>
      </c>
    </row>
    <row r="8" spans="1:13" x14ac:dyDescent="0.25">
      <c r="A8" s="16">
        <v>3</v>
      </c>
      <c r="B8" s="18" t="s">
        <v>137</v>
      </c>
      <c r="C8" s="3">
        <f>'AUGUST 20'!G8:G27</f>
        <v>0</v>
      </c>
      <c r="D8" s="18">
        <v>1000</v>
      </c>
      <c r="E8" s="16">
        <f>D8+C8</f>
        <v>1000</v>
      </c>
      <c r="F8" s="15">
        <f>1000</f>
        <v>1000</v>
      </c>
      <c r="G8" s="3">
        <f t="shared" si="1"/>
        <v>0</v>
      </c>
      <c r="K8">
        <f>K7-1800</f>
        <v>16200</v>
      </c>
    </row>
    <row r="9" spans="1:13" x14ac:dyDescent="0.25">
      <c r="A9" s="16">
        <v>4</v>
      </c>
      <c r="B9" s="16" t="s">
        <v>238</v>
      </c>
      <c r="C9" s="3">
        <f>'AUGUST 20'!G9:G28</f>
        <v>1000</v>
      </c>
      <c r="D9" s="16">
        <v>1000</v>
      </c>
      <c r="E9" s="16">
        <f>D9+C9</f>
        <v>2000</v>
      </c>
      <c r="F9" s="15">
        <f>1000+900</f>
        <v>1900</v>
      </c>
      <c r="G9" s="3">
        <f t="shared" si="1"/>
        <v>100</v>
      </c>
      <c r="M9">
        <f>16500</f>
        <v>16500</v>
      </c>
    </row>
    <row r="10" spans="1:13" x14ac:dyDescent="0.25">
      <c r="A10" s="16">
        <v>5</v>
      </c>
      <c r="B10" s="16" t="s">
        <v>10</v>
      </c>
      <c r="C10" s="3">
        <f>'AUGUST 20'!G10:G29</f>
        <v>300</v>
      </c>
      <c r="D10" s="16">
        <v>1000</v>
      </c>
      <c r="E10" s="16">
        <f>D10+C10</f>
        <v>1300</v>
      </c>
      <c r="F10" s="15">
        <f>1000</f>
        <v>1000</v>
      </c>
      <c r="G10" s="3">
        <f>E10-F10</f>
        <v>300</v>
      </c>
      <c r="M10">
        <v>14400</v>
      </c>
    </row>
    <row r="11" spans="1:13" x14ac:dyDescent="0.25">
      <c r="A11" s="16">
        <v>6</v>
      </c>
      <c r="B11" s="16" t="s">
        <v>257</v>
      </c>
      <c r="C11" s="3">
        <v>400</v>
      </c>
      <c r="D11" s="16"/>
      <c r="E11" s="16">
        <f t="shared" si="0"/>
        <v>400</v>
      </c>
      <c r="F11" s="15">
        <v>300</v>
      </c>
      <c r="G11" s="3">
        <f>E11-F11</f>
        <v>100</v>
      </c>
      <c r="H11" t="s">
        <v>15</v>
      </c>
      <c r="M11">
        <f>SUM(M9:M10)</f>
        <v>30900</v>
      </c>
    </row>
    <row r="12" spans="1:13" x14ac:dyDescent="0.25">
      <c r="A12" s="16">
        <v>7</v>
      </c>
      <c r="B12" s="16" t="s">
        <v>28</v>
      </c>
      <c r="C12" s="3">
        <f>'AUGUST 20'!G12:G31</f>
        <v>0</v>
      </c>
      <c r="D12" s="16">
        <v>1000</v>
      </c>
      <c r="E12" s="16">
        <f t="shared" si="0"/>
        <v>1000</v>
      </c>
      <c r="F12" s="15">
        <f>1000</f>
        <v>1000</v>
      </c>
      <c r="G12" s="3">
        <f t="shared" ref="G12:G25" si="2">E12-F12</f>
        <v>0</v>
      </c>
      <c r="M12">
        <v>79580</v>
      </c>
    </row>
    <row r="13" spans="1:13" x14ac:dyDescent="0.25">
      <c r="A13" s="16">
        <v>8</v>
      </c>
      <c r="B13" s="16" t="s">
        <v>220</v>
      </c>
      <c r="C13" s="3">
        <f>'AUGUST 20'!G13:G32</f>
        <v>400</v>
      </c>
      <c r="D13" s="16">
        <v>1000</v>
      </c>
      <c r="E13" s="16">
        <f t="shared" si="0"/>
        <v>1400</v>
      </c>
      <c r="F13" s="15">
        <f>200+200</f>
        <v>400</v>
      </c>
      <c r="G13" s="3">
        <f t="shared" si="2"/>
        <v>1000</v>
      </c>
      <c r="K13">
        <v>20000</v>
      </c>
      <c r="M13">
        <f>M12+M11</f>
        <v>110480</v>
      </c>
    </row>
    <row r="14" spans="1:13" x14ac:dyDescent="0.25">
      <c r="A14" s="16">
        <v>9</v>
      </c>
      <c r="B14" s="3" t="s">
        <v>194</v>
      </c>
      <c r="C14" s="3">
        <f>'AUGUST 20'!G14:G33</f>
        <v>0</v>
      </c>
      <c r="D14" s="3">
        <v>1000</v>
      </c>
      <c r="E14" s="16">
        <f t="shared" si="0"/>
        <v>1000</v>
      </c>
      <c r="F14" s="15">
        <f>1000</f>
        <v>1000</v>
      </c>
      <c r="G14" s="3">
        <f t="shared" si="2"/>
        <v>0</v>
      </c>
      <c r="K14">
        <v>1500</v>
      </c>
    </row>
    <row r="15" spans="1:13" x14ac:dyDescent="0.25">
      <c r="A15" s="16">
        <v>10</v>
      </c>
      <c r="B15" s="16" t="s">
        <v>232</v>
      </c>
      <c r="C15" s="3">
        <f>'AUGUST 20'!G15:G34</f>
        <v>0</v>
      </c>
      <c r="D15" s="16">
        <v>1000</v>
      </c>
      <c r="E15" s="16">
        <f t="shared" si="0"/>
        <v>1000</v>
      </c>
      <c r="F15" s="15">
        <v>1000</v>
      </c>
      <c r="G15" s="3">
        <f>E15-F15</f>
        <v>0</v>
      </c>
      <c r="K15">
        <f>K13-K14</f>
        <v>18500</v>
      </c>
    </row>
    <row r="16" spans="1:13" x14ac:dyDescent="0.25">
      <c r="A16" s="16">
        <v>11</v>
      </c>
      <c r="B16" s="18" t="s">
        <v>256</v>
      </c>
      <c r="C16" s="3">
        <f>'AUGUST 20'!G16:G35</f>
        <v>0</v>
      </c>
      <c r="D16" s="18">
        <v>1000</v>
      </c>
      <c r="E16" s="16">
        <f t="shared" si="0"/>
        <v>1000</v>
      </c>
      <c r="F16" s="36"/>
      <c r="G16" s="14">
        <f t="shared" si="2"/>
        <v>1000</v>
      </c>
      <c r="I16">
        <f>1500+C10+200+1000</f>
        <v>3000</v>
      </c>
      <c r="J16" t="s">
        <v>41</v>
      </c>
      <c r="K16">
        <v>1850</v>
      </c>
    </row>
    <row r="17" spans="1:14" x14ac:dyDescent="0.25">
      <c r="A17" s="16">
        <v>12</v>
      </c>
      <c r="B17" s="3" t="s">
        <v>252</v>
      </c>
      <c r="C17" s="3"/>
      <c r="D17" s="3">
        <v>1000</v>
      </c>
      <c r="E17" s="16">
        <f>D17+C17</f>
        <v>1000</v>
      </c>
      <c r="F17" s="15">
        <f>200</f>
        <v>200</v>
      </c>
      <c r="G17" s="14">
        <f>E17-F17</f>
        <v>800</v>
      </c>
      <c r="K17">
        <f>K15-K16</f>
        <v>16650</v>
      </c>
    </row>
    <row r="18" spans="1:14" x14ac:dyDescent="0.25">
      <c r="A18" s="16">
        <v>13</v>
      </c>
      <c r="B18" s="16" t="s">
        <v>204</v>
      </c>
      <c r="C18" s="3">
        <f>'AUGUST 20'!G18:G37</f>
        <v>0</v>
      </c>
      <c r="D18" s="16">
        <v>1000</v>
      </c>
      <c r="E18" s="16">
        <f>D18+C18</f>
        <v>1000</v>
      </c>
      <c r="F18" s="15">
        <f>1000</f>
        <v>1000</v>
      </c>
      <c r="G18" s="3">
        <f t="shared" si="2"/>
        <v>0</v>
      </c>
    </row>
    <row r="19" spans="1:14" x14ac:dyDescent="0.25">
      <c r="A19" s="16">
        <v>14</v>
      </c>
      <c r="B19" s="16" t="s">
        <v>209</v>
      </c>
      <c r="C19" s="3">
        <f>'AUGUST 20'!G19:G38</f>
        <v>130</v>
      </c>
      <c r="D19" s="16">
        <v>1000</v>
      </c>
      <c r="E19" s="16">
        <f>D19+C19</f>
        <v>1130</v>
      </c>
      <c r="F19" s="15">
        <v>1000</v>
      </c>
      <c r="G19" s="3">
        <f t="shared" si="2"/>
        <v>130</v>
      </c>
    </row>
    <row r="20" spans="1:14" x14ac:dyDescent="0.25">
      <c r="A20" s="16">
        <v>15</v>
      </c>
      <c r="B20" s="16" t="s">
        <v>137</v>
      </c>
      <c r="C20" s="3">
        <f>'AUGUST 20'!G20:G39</f>
        <v>0</v>
      </c>
      <c r="D20" s="16">
        <v>1000</v>
      </c>
      <c r="E20" s="16">
        <f t="shared" si="0"/>
        <v>1000</v>
      </c>
      <c r="F20" s="15">
        <f>1000</f>
        <v>1000</v>
      </c>
      <c r="G20" s="3">
        <f t="shared" si="2"/>
        <v>0</v>
      </c>
    </row>
    <row r="21" spans="1:14" x14ac:dyDescent="0.25">
      <c r="A21" s="16">
        <v>16</v>
      </c>
      <c r="B21" s="3" t="s">
        <v>15</v>
      </c>
      <c r="C21" s="3"/>
      <c r="D21" s="3"/>
      <c r="E21" s="3"/>
      <c r="F21" s="15"/>
      <c r="G21" s="3">
        <f>E21-F21</f>
        <v>0</v>
      </c>
    </row>
    <row r="22" spans="1:14" x14ac:dyDescent="0.25">
      <c r="A22" s="16">
        <v>17</v>
      </c>
      <c r="B22" s="16" t="s">
        <v>47</v>
      </c>
      <c r="C22" s="3">
        <f>'AUGUST 20'!G22:G41</f>
        <v>0</v>
      </c>
      <c r="D22" s="16">
        <v>1500</v>
      </c>
      <c r="E22" s="16">
        <f t="shared" si="0"/>
        <v>1500</v>
      </c>
      <c r="F22" s="15">
        <v>1500</v>
      </c>
      <c r="G22" s="3">
        <f t="shared" si="2"/>
        <v>0</v>
      </c>
    </row>
    <row r="23" spans="1:14" x14ac:dyDescent="0.25">
      <c r="A23" s="3">
        <v>18</v>
      </c>
      <c r="B23" s="18" t="s">
        <v>287</v>
      </c>
      <c r="C23" s="3">
        <f>'AUGUST 20'!G23:G42</f>
        <v>100</v>
      </c>
      <c r="D23" s="3">
        <v>1500</v>
      </c>
      <c r="E23" s="16">
        <f t="shared" si="0"/>
        <v>1600</v>
      </c>
      <c r="F23" s="15">
        <f>700</f>
        <v>700</v>
      </c>
      <c r="G23" s="3">
        <f t="shared" si="2"/>
        <v>900</v>
      </c>
    </row>
    <row r="24" spans="1:14" x14ac:dyDescent="0.25">
      <c r="A24" s="3">
        <v>19</v>
      </c>
      <c r="B24" s="18" t="s">
        <v>135</v>
      </c>
      <c r="C24" s="3">
        <f>'AUGUST 20'!G24:G43</f>
        <v>2000</v>
      </c>
      <c r="D24" s="3">
        <v>1500</v>
      </c>
      <c r="E24" s="16">
        <f t="shared" si="0"/>
        <v>3500</v>
      </c>
      <c r="F24" s="15">
        <f>2000</f>
        <v>2000</v>
      </c>
      <c r="G24" s="3">
        <f t="shared" si="2"/>
        <v>1500</v>
      </c>
      <c r="N24">
        <v>14400</v>
      </c>
    </row>
    <row r="25" spans="1:14" x14ac:dyDescent="0.25">
      <c r="A25" s="3">
        <v>20</v>
      </c>
      <c r="B25" s="18" t="s">
        <v>118</v>
      </c>
      <c r="C25" s="3">
        <f>'AUGUST 20'!G25:G44</f>
        <v>20</v>
      </c>
      <c r="D25" s="3">
        <v>1500</v>
      </c>
      <c r="E25" s="16">
        <f>D25+C25</f>
        <v>1520</v>
      </c>
      <c r="F25" s="15">
        <v>1500</v>
      </c>
      <c r="G25" s="3">
        <f t="shared" si="2"/>
        <v>20</v>
      </c>
      <c r="N25">
        <v>16650</v>
      </c>
    </row>
    <row r="26" spans="1:14" x14ac:dyDescent="0.25">
      <c r="B26" s="2" t="s">
        <v>26</v>
      </c>
      <c r="C26" s="3">
        <f>SUM(C6:C25)</f>
        <v>5250</v>
      </c>
      <c r="D26" s="2">
        <f>SUM(D6:D25)</f>
        <v>20000</v>
      </c>
      <c r="E26" s="2">
        <f>SUM(E6:E25)</f>
        <v>25250</v>
      </c>
      <c r="F26" s="39">
        <f>SUM(F6:F25)</f>
        <v>18500</v>
      </c>
      <c r="G26" s="2">
        <f>SUM(G6:G25)</f>
        <v>6750</v>
      </c>
      <c r="N26">
        <f>SUM(N24:N25)</f>
        <v>31050</v>
      </c>
    </row>
    <row r="28" spans="1:14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4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4" ht="15.75" x14ac:dyDescent="0.25">
      <c r="B30" s="3" t="s">
        <v>182</v>
      </c>
      <c r="C30" s="3">
        <f>D26</f>
        <v>20000</v>
      </c>
      <c r="D30" s="3"/>
      <c r="E30" s="3"/>
      <c r="F30" s="3" t="s">
        <v>182</v>
      </c>
      <c r="G30" s="3">
        <f>F26</f>
        <v>18500</v>
      </c>
      <c r="H30" s="3"/>
      <c r="I30" s="3"/>
      <c r="J30" s="40"/>
      <c r="K30" s="41"/>
    </row>
    <row r="31" spans="1:14" x14ac:dyDescent="0.25">
      <c r="B31" s="3" t="s">
        <v>62</v>
      </c>
      <c r="C31" s="3">
        <f>'AUGUST 20'!E41</f>
        <v>1800</v>
      </c>
      <c r="D31" s="3"/>
      <c r="E31" s="3"/>
      <c r="F31" s="3" t="s">
        <v>62</v>
      </c>
      <c r="G31">
        <f>'AUGUST 20'!I41</f>
        <v>-5070</v>
      </c>
      <c r="H31" s="3"/>
      <c r="I31" s="3"/>
      <c r="J31" s="41"/>
      <c r="K31" s="41"/>
    </row>
    <row r="32" spans="1:14" x14ac:dyDescent="0.25">
      <c r="B32" s="3" t="s">
        <v>41</v>
      </c>
      <c r="C32" s="5">
        <v>0.1</v>
      </c>
      <c r="D32" s="3">
        <f>C32*C30</f>
        <v>2000</v>
      </c>
      <c r="E32" s="3"/>
      <c r="F32" s="3" t="s">
        <v>41</v>
      </c>
      <c r="G32" s="5">
        <v>0.1</v>
      </c>
      <c r="H32" s="3">
        <f>G32*G30</f>
        <v>1850</v>
      </c>
      <c r="I32" s="3"/>
      <c r="J32" s="41"/>
      <c r="K32" s="41"/>
    </row>
    <row r="33" spans="2:11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1" x14ac:dyDescent="0.25">
      <c r="B34" s="19"/>
      <c r="C34" s="3"/>
      <c r="D34" s="3"/>
      <c r="E34" s="3"/>
      <c r="F34" s="19"/>
      <c r="G34" s="3"/>
      <c r="H34" s="3"/>
      <c r="I34" s="3"/>
      <c r="J34" s="41"/>
      <c r="K34" s="41"/>
    </row>
    <row r="35" spans="2:11" x14ac:dyDescent="0.25">
      <c r="B35" s="19" t="s">
        <v>288</v>
      </c>
      <c r="C35" s="3"/>
      <c r="D35" s="3">
        <v>16650</v>
      </c>
      <c r="E35" s="3"/>
      <c r="F35" s="19" t="s">
        <v>288</v>
      </c>
      <c r="G35" s="3"/>
      <c r="H35" s="3">
        <v>16650</v>
      </c>
      <c r="I35" s="3"/>
      <c r="J35" s="42"/>
      <c r="K35" s="42"/>
    </row>
    <row r="36" spans="2:11" x14ac:dyDescent="0.25">
      <c r="B36" s="19" t="s">
        <v>284</v>
      </c>
      <c r="C36" s="3"/>
      <c r="D36" s="3">
        <v>1500</v>
      </c>
      <c r="E36" s="3"/>
      <c r="F36" s="19" t="s">
        <v>284</v>
      </c>
      <c r="G36" s="3"/>
      <c r="H36" s="3">
        <v>1500</v>
      </c>
      <c r="I36" s="3"/>
    </row>
    <row r="37" spans="2:11" x14ac:dyDescent="0.25">
      <c r="B37" s="19"/>
      <c r="C37" s="3"/>
      <c r="D37" s="3"/>
      <c r="E37" s="3"/>
      <c r="F37" s="19"/>
      <c r="G37" s="3"/>
      <c r="H37" s="3"/>
      <c r="I37" s="3"/>
      <c r="J37" s="43"/>
    </row>
    <row r="38" spans="2:11" x14ac:dyDescent="0.25">
      <c r="B38" s="19"/>
      <c r="C38" s="3"/>
      <c r="D38" s="3"/>
      <c r="E38" s="3"/>
      <c r="F38" s="19"/>
      <c r="G38" s="3"/>
      <c r="H38" s="3"/>
      <c r="I38" s="3"/>
      <c r="J38" s="43"/>
    </row>
    <row r="39" spans="2:11" x14ac:dyDescent="0.25">
      <c r="B39" s="19"/>
      <c r="C39" s="3"/>
      <c r="D39" s="3"/>
      <c r="E39" s="3"/>
      <c r="F39" s="19"/>
      <c r="G39" s="3"/>
      <c r="H39" s="3"/>
      <c r="I39" s="3"/>
      <c r="J39" s="43"/>
    </row>
    <row r="40" spans="2:11" x14ac:dyDescent="0.25">
      <c r="B40" s="19"/>
      <c r="C40" s="3"/>
      <c r="D40" s="3"/>
      <c r="E40" s="3"/>
      <c r="F40" s="19"/>
      <c r="G40" s="3"/>
      <c r="H40" s="3"/>
      <c r="I40" s="3"/>
    </row>
    <row r="41" spans="2:11" x14ac:dyDescent="0.25">
      <c r="B41" s="2" t="s">
        <v>26</v>
      </c>
      <c r="C41" s="2">
        <f>C30+C31-D32</f>
        <v>19800</v>
      </c>
      <c r="D41" s="2">
        <f>SUM(D34:D40)</f>
        <v>18150</v>
      </c>
      <c r="E41" s="2">
        <f>C41-D41</f>
        <v>1650</v>
      </c>
      <c r="F41" s="2" t="s">
        <v>26</v>
      </c>
      <c r="G41" s="2">
        <f>G30+G31-H32</f>
        <v>11580</v>
      </c>
      <c r="H41" s="2">
        <f>SUM(H34:H40)</f>
        <v>18150</v>
      </c>
      <c r="I41" s="2">
        <f>G41-H41</f>
        <v>-6570</v>
      </c>
    </row>
    <row r="42" spans="2:11" x14ac:dyDescent="0.25">
      <c r="B42" t="s">
        <v>33</v>
      </c>
      <c r="D42" t="s">
        <v>49</v>
      </c>
      <c r="G42" t="s">
        <v>34</v>
      </c>
    </row>
    <row r="43" spans="2:11" x14ac:dyDescent="0.25">
      <c r="B43" t="s">
        <v>179</v>
      </c>
      <c r="D43" t="s">
        <v>50</v>
      </c>
      <c r="G43" t="s">
        <v>51</v>
      </c>
      <c r="K43">
        <f>I54+L25</f>
        <v>14400</v>
      </c>
    </row>
    <row r="46" spans="2:11" ht="18.75" x14ac:dyDescent="0.3">
      <c r="C46" s="1" t="s">
        <v>42</v>
      </c>
      <c r="D46" s="21"/>
      <c r="E46" s="21"/>
      <c r="F46" s="21"/>
      <c r="G46" s="22"/>
    </row>
    <row r="47" spans="2:11" ht="15.75" x14ac:dyDescent="0.25">
      <c r="C47" s="21" t="s">
        <v>0</v>
      </c>
      <c r="D47" s="29"/>
      <c r="E47" s="29"/>
      <c r="F47" s="29"/>
      <c r="G47" s="22"/>
    </row>
    <row r="48" spans="2:11" ht="15.75" x14ac:dyDescent="0.25">
      <c r="C48" s="21" t="s">
        <v>278</v>
      </c>
      <c r="D48" s="29"/>
      <c r="E48" s="29"/>
      <c r="F48" s="29"/>
      <c r="G48" s="22"/>
    </row>
    <row r="49" spans="1:15" ht="18.75" x14ac:dyDescent="0.3">
      <c r="B49" s="18"/>
      <c r="C49" s="46" t="s">
        <v>139</v>
      </c>
      <c r="D49" s="47"/>
      <c r="E49" s="30"/>
      <c r="F49" s="31"/>
      <c r="G49" s="3"/>
      <c r="I49">
        <f>I41+I77</f>
        <v>-10070</v>
      </c>
    </row>
    <row r="50" spans="1:15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5" x14ac:dyDescent="0.25">
      <c r="A51">
        <v>1</v>
      </c>
      <c r="B51" s="18"/>
      <c r="C51" s="3">
        <f>'AUGUST 20'!G51:G60</f>
        <v>0</v>
      </c>
      <c r="D51" s="3"/>
      <c r="E51" s="16"/>
      <c r="F51" s="15"/>
      <c r="G51" s="3"/>
    </row>
    <row r="52" spans="1:15" x14ac:dyDescent="0.25">
      <c r="A52">
        <v>2</v>
      </c>
      <c r="B52" s="18" t="s">
        <v>254</v>
      </c>
      <c r="C52" s="3">
        <f>'AUGUST 20'!G52:G61</f>
        <v>0</v>
      </c>
      <c r="D52" s="3">
        <v>2000</v>
      </c>
      <c r="E52" s="16">
        <f>C52+D52</f>
        <v>2000</v>
      </c>
      <c r="F52" s="15">
        <f>2000</f>
        <v>2000</v>
      </c>
      <c r="G52" s="3">
        <f t="shared" ref="G52:G60" si="3">E52-F52</f>
        <v>0</v>
      </c>
    </row>
    <row r="53" spans="1:15" x14ac:dyDescent="0.25">
      <c r="A53">
        <v>3</v>
      </c>
      <c r="B53" s="18" t="s">
        <v>193</v>
      </c>
      <c r="C53" s="3">
        <f>'AUGUST 20'!G53:G62</f>
        <v>0</v>
      </c>
      <c r="D53" s="3">
        <v>2000</v>
      </c>
      <c r="E53" s="16">
        <f>C53+D53</f>
        <v>2000</v>
      </c>
      <c r="F53" s="15">
        <v>1500</v>
      </c>
      <c r="G53" s="3">
        <f>E53-F53</f>
        <v>500</v>
      </c>
    </row>
    <row r="54" spans="1:15" x14ac:dyDescent="0.25">
      <c r="A54">
        <v>4</v>
      </c>
      <c r="B54" s="18" t="s">
        <v>144</v>
      </c>
      <c r="C54" s="3">
        <f>'AUGUST 20'!G54:G63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  <c r="I54">
        <f>D63-D69</f>
        <v>14400</v>
      </c>
    </row>
    <row r="55" spans="1:15" x14ac:dyDescent="0.25">
      <c r="A55">
        <v>5</v>
      </c>
      <c r="B55" s="18"/>
      <c r="C55" s="3">
        <f>'AUGUST 20'!G55:G64</f>
        <v>0</v>
      </c>
      <c r="D55" s="3"/>
      <c r="E55" s="16">
        <f t="shared" si="4"/>
        <v>0</v>
      </c>
      <c r="F55" s="15"/>
      <c r="G55" s="3">
        <f t="shared" si="3"/>
        <v>0</v>
      </c>
    </row>
    <row r="56" spans="1:15" x14ac:dyDescent="0.25">
      <c r="A56">
        <v>6</v>
      </c>
      <c r="B56" s="18" t="s">
        <v>165</v>
      </c>
      <c r="C56" s="3">
        <f>'AUGUST 20'!G56:G65</f>
        <v>0</v>
      </c>
      <c r="D56" s="3">
        <v>2000</v>
      </c>
      <c r="E56" s="16">
        <f t="shared" si="4"/>
        <v>2000</v>
      </c>
      <c r="F56" s="15">
        <v>2000</v>
      </c>
      <c r="G56" s="3">
        <f t="shared" si="3"/>
        <v>0</v>
      </c>
    </row>
    <row r="57" spans="1:15" x14ac:dyDescent="0.25">
      <c r="A57">
        <v>7</v>
      </c>
      <c r="B57" s="18" t="s">
        <v>166</v>
      </c>
      <c r="C57" s="3">
        <f>'AUGUST 20'!G57:G66</f>
        <v>0</v>
      </c>
      <c r="D57" s="3">
        <v>2000</v>
      </c>
      <c r="E57" s="16">
        <f t="shared" si="4"/>
        <v>2000</v>
      </c>
      <c r="F57" s="15">
        <f>1000</f>
        <v>1000</v>
      </c>
      <c r="G57" s="3">
        <f t="shared" si="3"/>
        <v>1000</v>
      </c>
    </row>
    <row r="58" spans="1:15" x14ac:dyDescent="0.25">
      <c r="A58">
        <v>8</v>
      </c>
      <c r="B58" s="18" t="s">
        <v>292</v>
      </c>
      <c r="C58" s="3">
        <f>'AUGUST 20'!G58:G67</f>
        <v>0</v>
      </c>
      <c r="D58" s="3">
        <v>2000</v>
      </c>
      <c r="E58" s="16">
        <f t="shared" si="4"/>
        <v>2000</v>
      </c>
      <c r="F58" s="15">
        <v>2000</v>
      </c>
      <c r="G58" s="3">
        <f t="shared" si="3"/>
        <v>0</v>
      </c>
    </row>
    <row r="59" spans="1:15" x14ac:dyDescent="0.25">
      <c r="A59">
        <v>9</v>
      </c>
      <c r="B59" s="18" t="s">
        <v>190</v>
      </c>
      <c r="C59" s="3">
        <f>'AUGUST 20'!G59:G68</f>
        <v>0</v>
      </c>
      <c r="D59" s="3">
        <v>2000</v>
      </c>
      <c r="E59" s="16">
        <f t="shared" si="4"/>
        <v>2000</v>
      </c>
      <c r="F59" s="15">
        <f>2000</f>
        <v>2000</v>
      </c>
      <c r="G59" s="3">
        <f t="shared" si="3"/>
        <v>0</v>
      </c>
    </row>
    <row r="60" spans="1:15" x14ac:dyDescent="0.25">
      <c r="A60">
        <v>10</v>
      </c>
      <c r="B60" s="18" t="s">
        <v>228</v>
      </c>
      <c r="C60" s="3">
        <f>'AUGUST 20'!G60:G69</f>
        <v>0</v>
      </c>
      <c r="D60" s="3">
        <v>2000</v>
      </c>
      <c r="E60" s="16">
        <f t="shared" si="4"/>
        <v>2000</v>
      </c>
      <c r="F60" s="15"/>
      <c r="G60" s="3">
        <f t="shared" si="3"/>
        <v>2000</v>
      </c>
    </row>
    <row r="61" spans="1:15" x14ac:dyDescent="0.25">
      <c r="A61">
        <v>11</v>
      </c>
      <c r="B61" s="18"/>
      <c r="C61" s="3">
        <f>'AUGUST 20'!G61:G70</f>
        <v>0</v>
      </c>
      <c r="D61" s="3"/>
      <c r="E61" s="16"/>
      <c r="F61" s="15"/>
      <c r="G61" s="3"/>
    </row>
    <row r="62" spans="1:15" x14ac:dyDescent="0.25">
      <c r="A62">
        <v>12</v>
      </c>
      <c r="B62" s="18"/>
      <c r="C62" s="3">
        <f>'AUGUST 20'!G62:G71</f>
        <v>0</v>
      </c>
      <c r="D62" s="3"/>
      <c r="E62" s="16"/>
      <c r="F62" s="15"/>
      <c r="G62" s="3"/>
    </row>
    <row r="63" spans="1:15" x14ac:dyDescent="0.25">
      <c r="B63" s="2" t="s">
        <v>26</v>
      </c>
      <c r="C63" s="3">
        <f>SUM(C52:C62)</f>
        <v>0</v>
      </c>
      <c r="D63" s="2">
        <f>SUM(D51:D62)</f>
        <v>16000</v>
      </c>
      <c r="E63" s="2">
        <f>SUM(E51:E62)</f>
        <v>16000</v>
      </c>
      <c r="F63" s="39">
        <f>SUM(F51:F62)</f>
        <v>12500</v>
      </c>
      <c r="G63" s="2">
        <f>SUM(G51:G62)</f>
        <v>3500</v>
      </c>
    </row>
    <row r="64" spans="1:15" x14ac:dyDescent="0.25">
      <c r="O64" t="s">
        <v>289</v>
      </c>
    </row>
    <row r="65" spans="2:11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1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  <c r="J66" s="38"/>
    </row>
    <row r="67" spans="2:11" x14ac:dyDescent="0.25">
      <c r="B67" s="3" t="s">
        <v>182</v>
      </c>
      <c r="C67" s="3">
        <f>D63</f>
        <v>16000</v>
      </c>
      <c r="D67" s="3"/>
      <c r="E67" s="3"/>
      <c r="F67" s="3" t="s">
        <v>182</v>
      </c>
      <c r="G67" s="3">
        <f>F63</f>
        <v>12500</v>
      </c>
      <c r="H67" s="3"/>
      <c r="I67" s="3"/>
    </row>
    <row r="68" spans="2:11" x14ac:dyDescent="0.25">
      <c r="B68" s="3" t="s">
        <v>62</v>
      </c>
      <c r="C68" s="3">
        <f>'AUGUST 20'!E77</f>
        <v>0</v>
      </c>
      <c r="D68" s="3"/>
      <c r="E68" s="3"/>
      <c r="F68" s="3" t="s">
        <v>62</v>
      </c>
      <c r="G68">
        <f>'AUGUST 20'!I77</f>
        <v>0</v>
      </c>
      <c r="H68" s="3"/>
      <c r="I68" s="3"/>
    </row>
    <row r="69" spans="2:11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11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  <c r="K70">
        <f>C67-D69</f>
        <v>14400</v>
      </c>
    </row>
    <row r="71" spans="2:11" x14ac:dyDescent="0.25">
      <c r="B71" s="14"/>
      <c r="C71" s="19"/>
      <c r="D71" s="3"/>
      <c r="E71" s="3"/>
      <c r="F71" s="14"/>
      <c r="G71" s="19"/>
      <c r="H71" s="3"/>
      <c r="I71" s="3"/>
    </row>
    <row r="72" spans="2:11" x14ac:dyDescent="0.25">
      <c r="B72" s="14" t="s">
        <v>288</v>
      </c>
      <c r="C72" s="19"/>
      <c r="D72" s="3">
        <v>14400</v>
      </c>
      <c r="E72" s="3"/>
      <c r="F72" s="14" t="s">
        <v>288</v>
      </c>
      <c r="G72" s="19"/>
      <c r="H72" s="3">
        <v>14400</v>
      </c>
      <c r="I72" s="3"/>
    </row>
    <row r="73" spans="2:11" x14ac:dyDescent="0.25">
      <c r="B73" s="10"/>
      <c r="C73" s="3"/>
      <c r="D73" s="3"/>
      <c r="E73" s="3"/>
      <c r="F73" s="10"/>
      <c r="G73" s="3"/>
      <c r="H73" s="3"/>
      <c r="I73" s="3"/>
    </row>
    <row r="74" spans="2:11" x14ac:dyDescent="0.25">
      <c r="B74" s="35"/>
      <c r="C74" s="19"/>
      <c r="D74" s="3"/>
      <c r="E74" s="3"/>
      <c r="F74" s="35"/>
      <c r="G74" s="19"/>
      <c r="H74" s="3"/>
      <c r="I74" s="3"/>
    </row>
    <row r="75" spans="2:11" x14ac:dyDescent="0.25">
      <c r="B75" s="35"/>
      <c r="C75" s="19"/>
      <c r="D75" s="3"/>
      <c r="E75" s="3"/>
      <c r="F75" s="35"/>
      <c r="G75" s="19"/>
      <c r="H75" s="3"/>
      <c r="I75" s="3"/>
    </row>
    <row r="76" spans="2:11" x14ac:dyDescent="0.25">
      <c r="B76" s="10"/>
      <c r="C76" s="3"/>
      <c r="D76" s="3"/>
      <c r="E76" s="3"/>
      <c r="F76" s="10"/>
      <c r="G76" s="3"/>
      <c r="H76" s="3"/>
      <c r="I76" s="3"/>
    </row>
    <row r="77" spans="2:11" x14ac:dyDescent="0.25">
      <c r="B77" s="2" t="s">
        <v>26</v>
      </c>
      <c r="C77" s="2">
        <f>C67+C68-D69</f>
        <v>14400</v>
      </c>
      <c r="D77" s="2">
        <f>SUM(D71:D76)</f>
        <v>14400</v>
      </c>
      <c r="E77" s="2">
        <f>C77-D77</f>
        <v>0</v>
      </c>
      <c r="F77" s="2" t="s">
        <v>26</v>
      </c>
      <c r="G77" s="2">
        <f>G67+G68-H69</f>
        <v>10900</v>
      </c>
      <c r="H77" s="2">
        <f>SUM(H71:H76)</f>
        <v>14400</v>
      </c>
      <c r="I77" s="2">
        <f>G77-H77</f>
        <v>-3500</v>
      </c>
    </row>
    <row r="79" spans="2:11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B57" sqref="B57"/>
    </sheetView>
  </sheetViews>
  <sheetFormatPr defaultRowHeight="15" x14ac:dyDescent="0.25"/>
  <cols>
    <col min="1" max="1" width="4.7109375" customWidth="1"/>
    <col min="2" max="2" width="22.425781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290</v>
      </c>
      <c r="D3" s="28"/>
      <c r="F3" s="28"/>
      <c r="G3" s="22"/>
    </row>
    <row r="4" spans="1:8" ht="18.75" x14ac:dyDescent="0.3">
      <c r="D4" s="23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109</v>
      </c>
      <c r="C6" s="3"/>
      <c r="D6" s="3">
        <v>1000</v>
      </c>
      <c r="E6" s="3">
        <f>D6+C6</f>
        <v>1000</v>
      </c>
      <c r="F6" s="15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>
        <f>SEPTEMBER20!G7:G26</f>
        <v>100</v>
      </c>
      <c r="D7" s="3">
        <v>1000</v>
      </c>
      <c r="E7" s="3">
        <f t="shared" ref="E7:E24" si="0">D7+C7</f>
        <v>1100</v>
      </c>
      <c r="F7">
        <v>1000</v>
      </c>
      <c r="G7" s="3">
        <f t="shared" ref="G7:G9" si="1">E7-F7</f>
        <v>100</v>
      </c>
    </row>
    <row r="8" spans="1:8" x14ac:dyDescent="0.25">
      <c r="A8" s="16">
        <v>3</v>
      </c>
      <c r="B8" s="18" t="s">
        <v>137</v>
      </c>
      <c r="C8" s="3">
        <f>SEPTEMBER20!G8:G27</f>
        <v>0</v>
      </c>
      <c r="D8" s="18">
        <v>1000</v>
      </c>
      <c r="E8" s="16">
        <f>D8+C8</f>
        <v>1000</v>
      </c>
      <c r="F8" s="15">
        <v>1000</v>
      </c>
      <c r="G8" s="3">
        <f t="shared" si="1"/>
        <v>0</v>
      </c>
    </row>
    <row r="9" spans="1:8" x14ac:dyDescent="0.25">
      <c r="A9" s="16">
        <v>4</v>
      </c>
      <c r="B9" s="16" t="s">
        <v>238</v>
      </c>
      <c r="C9" s="3">
        <f>SEPTEMBER20!G9:G28</f>
        <v>100</v>
      </c>
      <c r="D9" s="16">
        <v>1000</v>
      </c>
      <c r="E9" s="16">
        <f>D9+C9</f>
        <v>1100</v>
      </c>
      <c r="F9" s="15">
        <f>600</f>
        <v>600</v>
      </c>
      <c r="G9" s="3">
        <f t="shared" si="1"/>
        <v>500</v>
      </c>
    </row>
    <row r="10" spans="1:8" x14ac:dyDescent="0.25">
      <c r="A10" s="16">
        <v>5</v>
      </c>
      <c r="B10" s="16" t="s">
        <v>10</v>
      </c>
      <c r="C10" s="3">
        <f>SEPTEMBER20!G10:G29</f>
        <v>300</v>
      </c>
      <c r="D10" s="16">
        <v>1000</v>
      </c>
      <c r="E10" s="16">
        <f>D10+C10</f>
        <v>1300</v>
      </c>
      <c r="F10" s="15">
        <f>1000</f>
        <v>1000</v>
      </c>
      <c r="G10" s="3">
        <f>E10-F10</f>
        <v>300</v>
      </c>
    </row>
    <row r="11" spans="1:8" x14ac:dyDescent="0.25">
      <c r="A11" s="16">
        <v>6</v>
      </c>
      <c r="B11" s="16" t="s">
        <v>207</v>
      </c>
      <c r="C11" s="3">
        <v>800</v>
      </c>
      <c r="D11" s="16">
        <v>1000</v>
      </c>
      <c r="E11" s="16">
        <f t="shared" si="0"/>
        <v>1800</v>
      </c>
      <c r="F11" s="15">
        <f>1000</f>
        <v>1000</v>
      </c>
      <c r="G11" s="3">
        <f>E11-F11</f>
        <v>800</v>
      </c>
    </row>
    <row r="12" spans="1:8" x14ac:dyDescent="0.25">
      <c r="A12" s="16">
        <v>7</v>
      </c>
      <c r="B12" s="16" t="s">
        <v>28</v>
      </c>
      <c r="C12" s="3">
        <f>SEPTEMBER20!G12:G31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ref="G12:G25" si="2">E12-F12</f>
        <v>0</v>
      </c>
    </row>
    <row r="13" spans="1:8" x14ac:dyDescent="0.25">
      <c r="A13" s="16">
        <v>8</v>
      </c>
      <c r="B13" s="16" t="s">
        <v>220</v>
      </c>
      <c r="C13" s="3">
        <f>SEPTEMBER20!G13:G32</f>
        <v>1000</v>
      </c>
      <c r="D13" s="16">
        <v>1000</v>
      </c>
      <c r="E13" s="16">
        <f t="shared" si="0"/>
        <v>2000</v>
      </c>
      <c r="F13" s="15">
        <f>600+400+300</f>
        <v>1300</v>
      </c>
      <c r="G13" s="3">
        <f t="shared" si="2"/>
        <v>700</v>
      </c>
      <c r="H13" t="s">
        <v>294</v>
      </c>
    </row>
    <row r="14" spans="1:8" x14ac:dyDescent="0.25">
      <c r="A14" s="16">
        <v>9</v>
      </c>
      <c r="B14" s="3" t="s">
        <v>194</v>
      </c>
      <c r="C14" s="3">
        <f>SEPTEMBER20!G14:G33</f>
        <v>0</v>
      </c>
      <c r="D14" s="3">
        <v>1000</v>
      </c>
      <c r="E14" s="16">
        <f t="shared" si="0"/>
        <v>1000</v>
      </c>
      <c r="F14" s="15">
        <f>1000</f>
        <v>1000</v>
      </c>
      <c r="G14" s="3">
        <f t="shared" si="2"/>
        <v>0</v>
      </c>
    </row>
    <row r="15" spans="1:8" x14ac:dyDescent="0.25">
      <c r="A15" s="16">
        <v>10</v>
      </c>
      <c r="B15" s="16" t="s">
        <v>232</v>
      </c>
      <c r="C15" s="3">
        <f>SEPTEMBER20!G15:G34</f>
        <v>0</v>
      </c>
      <c r="D15" s="16">
        <v>1000</v>
      </c>
      <c r="E15" s="16">
        <f t="shared" si="0"/>
        <v>1000</v>
      </c>
      <c r="F15" s="15">
        <f>1000</f>
        <v>1000</v>
      </c>
      <c r="G15" s="3">
        <f>E15-F15</f>
        <v>0</v>
      </c>
    </row>
    <row r="16" spans="1:8" x14ac:dyDescent="0.25">
      <c r="A16" s="16">
        <v>11</v>
      </c>
      <c r="B16" s="18" t="s">
        <v>256</v>
      </c>
      <c r="C16" s="3">
        <f>SEPTEMBER20!G16:G35</f>
        <v>1000</v>
      </c>
      <c r="D16" s="18">
        <v>1000</v>
      </c>
      <c r="E16" s="16">
        <f t="shared" si="0"/>
        <v>2000</v>
      </c>
      <c r="F16" s="36"/>
      <c r="G16" s="14">
        <f t="shared" si="2"/>
        <v>2000</v>
      </c>
    </row>
    <row r="17" spans="1:10" x14ac:dyDescent="0.25">
      <c r="A17" s="16">
        <v>12</v>
      </c>
      <c r="B17" s="3" t="s">
        <v>252</v>
      </c>
      <c r="C17" s="3">
        <f>SEPTEMBER20!G17:G36</f>
        <v>800</v>
      </c>
      <c r="D17" s="3">
        <v>1000</v>
      </c>
      <c r="E17" s="16">
        <f>D17+C17</f>
        <v>1800</v>
      </c>
      <c r="F17" s="15">
        <f>1600+200</f>
        <v>1800</v>
      </c>
      <c r="G17" s="14">
        <f>E17-F17</f>
        <v>0</v>
      </c>
    </row>
    <row r="18" spans="1:10" x14ac:dyDescent="0.25">
      <c r="A18" s="16">
        <v>13</v>
      </c>
      <c r="B18" s="16" t="s">
        <v>204</v>
      </c>
      <c r="C18" s="3">
        <f>SEPTEMBER20!G18:G37</f>
        <v>0</v>
      </c>
      <c r="D18" s="16">
        <v>1000</v>
      </c>
      <c r="E18" s="16">
        <f>D18+C18</f>
        <v>1000</v>
      </c>
      <c r="F18" s="15">
        <f>1000</f>
        <v>1000</v>
      </c>
      <c r="G18" s="3">
        <f t="shared" si="2"/>
        <v>0</v>
      </c>
    </row>
    <row r="19" spans="1:10" x14ac:dyDescent="0.25">
      <c r="A19" s="16">
        <v>14</v>
      </c>
      <c r="B19" s="16" t="s">
        <v>209</v>
      </c>
      <c r="C19" s="3">
        <f>SEPTEMBER20!G19:G38</f>
        <v>130</v>
      </c>
      <c r="D19" s="16">
        <v>1000</v>
      </c>
      <c r="E19" s="16">
        <f>D19+C19</f>
        <v>1130</v>
      </c>
      <c r="F19" s="15">
        <f>1000</f>
        <v>1000</v>
      </c>
      <c r="G19" s="3">
        <f t="shared" si="2"/>
        <v>130</v>
      </c>
    </row>
    <row r="20" spans="1:10" x14ac:dyDescent="0.25">
      <c r="A20" s="16">
        <v>15</v>
      </c>
      <c r="B20" s="16" t="s">
        <v>137</v>
      </c>
      <c r="C20" s="3">
        <f>SEPTEMBER20!G20:G39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2"/>
        <v>0</v>
      </c>
    </row>
    <row r="21" spans="1:10" x14ac:dyDescent="0.25">
      <c r="A21" s="16">
        <v>16</v>
      </c>
      <c r="B21" s="3" t="s">
        <v>291</v>
      </c>
      <c r="C21" s="3">
        <f>SEPTEMBER20!G21:G40</f>
        <v>0</v>
      </c>
      <c r="D21" s="3">
        <v>1000</v>
      </c>
      <c r="E21" s="3">
        <v>1000</v>
      </c>
      <c r="F21" s="15">
        <v>1000</v>
      </c>
      <c r="G21" s="3">
        <f>E21-F21</f>
        <v>0</v>
      </c>
    </row>
    <row r="22" spans="1:10" x14ac:dyDescent="0.25">
      <c r="A22" s="16">
        <v>17</v>
      </c>
      <c r="B22" s="16" t="s">
        <v>47</v>
      </c>
      <c r="C22" s="3">
        <f>SEPTEMBER20!G22:G41</f>
        <v>0</v>
      </c>
      <c r="D22" s="16">
        <v>1500</v>
      </c>
      <c r="E22" s="16">
        <f t="shared" si="0"/>
        <v>1500</v>
      </c>
      <c r="F22" s="15">
        <f>1500</f>
        <v>1500</v>
      </c>
      <c r="G22" s="3">
        <f t="shared" si="2"/>
        <v>0</v>
      </c>
    </row>
    <row r="23" spans="1:10" x14ac:dyDescent="0.25">
      <c r="A23" s="3">
        <v>18</v>
      </c>
      <c r="B23" s="18" t="s">
        <v>296</v>
      </c>
      <c r="C23" s="3">
        <f>SEPTEMBER20!G23:G42</f>
        <v>900</v>
      </c>
      <c r="D23" s="3">
        <v>1500</v>
      </c>
      <c r="E23" s="16">
        <f t="shared" si="0"/>
        <v>2400</v>
      </c>
      <c r="F23" s="15">
        <f>400+500+600</f>
        <v>1500</v>
      </c>
      <c r="G23" s="3">
        <f t="shared" si="2"/>
        <v>900</v>
      </c>
    </row>
    <row r="24" spans="1:10" x14ac:dyDescent="0.25">
      <c r="A24" s="3">
        <v>19</v>
      </c>
      <c r="B24" s="18" t="s">
        <v>135</v>
      </c>
      <c r="C24" s="3">
        <f>SEPTEMBER20!G24:G43</f>
        <v>1500</v>
      </c>
      <c r="D24" s="3">
        <v>1500</v>
      </c>
      <c r="E24" s="16">
        <f t="shared" si="0"/>
        <v>3000</v>
      </c>
      <c r="F24" s="15">
        <f>2500</f>
        <v>2500</v>
      </c>
      <c r="G24" s="3">
        <f t="shared" si="2"/>
        <v>500</v>
      </c>
    </row>
    <row r="25" spans="1:10" x14ac:dyDescent="0.25">
      <c r="A25" s="3">
        <v>20</v>
      </c>
      <c r="B25" s="18" t="s">
        <v>118</v>
      </c>
      <c r="C25" s="3">
        <f>SEPTEMBER20!G25:G44</f>
        <v>20</v>
      </c>
      <c r="D25" s="3">
        <v>1500</v>
      </c>
      <c r="E25" s="16">
        <f>D25+C25</f>
        <v>1520</v>
      </c>
      <c r="F25" s="15"/>
      <c r="G25" s="3">
        <f t="shared" si="2"/>
        <v>1520</v>
      </c>
    </row>
    <row r="26" spans="1:10" x14ac:dyDescent="0.25">
      <c r="B26" s="2" t="s">
        <v>26</v>
      </c>
      <c r="C26" s="3">
        <f>SEPTEMBER20!G26:G45</f>
        <v>6750</v>
      </c>
      <c r="D26" s="2">
        <f>SUM(D6:D25)</f>
        <v>22000</v>
      </c>
      <c r="E26" s="2">
        <f>SUM(E6:E25)</f>
        <v>28650</v>
      </c>
      <c r="F26" s="39">
        <f>SUM(F6:F25)</f>
        <v>21200</v>
      </c>
      <c r="G26" s="2">
        <f>SUM(G6:G25)</f>
        <v>7450</v>
      </c>
    </row>
    <row r="27" spans="1:10" x14ac:dyDescent="0.25">
      <c r="C27" s="3">
        <f>SEPTEMBER20!G27:G46</f>
        <v>0</v>
      </c>
    </row>
    <row r="28" spans="1:10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0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0" ht="15.75" x14ac:dyDescent="0.25">
      <c r="B30" s="3" t="s">
        <v>185</v>
      </c>
      <c r="C30" s="3">
        <f>D26</f>
        <v>22000</v>
      </c>
      <c r="D30" s="3"/>
      <c r="E30" s="3"/>
      <c r="F30" s="3" t="s">
        <v>185</v>
      </c>
      <c r="G30" s="3">
        <f>F26</f>
        <v>21200</v>
      </c>
      <c r="H30" s="3"/>
      <c r="I30" s="3"/>
      <c r="J30" s="40"/>
    </row>
    <row r="31" spans="1:10" x14ac:dyDescent="0.25">
      <c r="B31" s="3" t="s">
        <v>62</v>
      </c>
      <c r="C31" s="3"/>
      <c r="D31" s="3"/>
      <c r="E31" s="3"/>
      <c r="F31" s="3" t="s">
        <v>62</v>
      </c>
      <c r="G31">
        <f>SEPTEMBER20!I41</f>
        <v>-6570</v>
      </c>
      <c r="H31" s="3"/>
      <c r="I31" s="3"/>
      <c r="J31" s="41"/>
    </row>
    <row r="32" spans="1:10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G32*G30</f>
        <v>2120</v>
      </c>
      <c r="I32" s="3"/>
      <c r="J32" s="41"/>
    </row>
    <row r="33" spans="2:10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</row>
    <row r="34" spans="2:10" x14ac:dyDescent="0.25">
      <c r="B34" s="19" t="s">
        <v>293</v>
      </c>
      <c r="C34" s="3"/>
      <c r="D34" s="3">
        <v>600</v>
      </c>
      <c r="E34" s="3"/>
      <c r="F34" s="19" t="s">
        <v>293</v>
      </c>
      <c r="G34" s="3"/>
      <c r="H34" s="3">
        <v>600</v>
      </c>
      <c r="I34" s="3"/>
      <c r="J34" s="41"/>
    </row>
    <row r="35" spans="2:10" x14ac:dyDescent="0.25">
      <c r="B35" s="19" t="s">
        <v>295</v>
      </c>
      <c r="C35" s="3"/>
      <c r="D35" s="3">
        <v>19200</v>
      </c>
      <c r="E35" s="3"/>
      <c r="F35" s="19" t="s">
        <v>295</v>
      </c>
      <c r="G35" s="3"/>
      <c r="H35" s="3">
        <v>19200</v>
      </c>
      <c r="I35" s="3"/>
      <c r="J35" s="42"/>
    </row>
    <row r="36" spans="2:10" x14ac:dyDescent="0.25">
      <c r="B36" s="19"/>
      <c r="C36" s="3"/>
      <c r="D36" s="3"/>
      <c r="E36" s="3"/>
      <c r="F36" s="19"/>
      <c r="G36" s="3"/>
      <c r="H36" s="3"/>
      <c r="I36" s="3"/>
    </row>
    <row r="37" spans="2:10" x14ac:dyDescent="0.25">
      <c r="B37" s="19"/>
      <c r="C37" s="3"/>
      <c r="D37" s="3"/>
      <c r="E37" s="3"/>
      <c r="F37" s="19"/>
      <c r="G37" s="3"/>
      <c r="H37" s="3"/>
      <c r="I37" s="3"/>
      <c r="J37" s="43"/>
    </row>
    <row r="38" spans="2:10" x14ac:dyDescent="0.25">
      <c r="B38" s="19"/>
      <c r="C38" s="3"/>
      <c r="D38" s="3"/>
      <c r="E38" s="3"/>
      <c r="F38" s="19"/>
      <c r="G38" s="3"/>
      <c r="H38" s="3"/>
      <c r="I38" s="3"/>
      <c r="J38" s="43"/>
    </row>
    <row r="39" spans="2:10" x14ac:dyDescent="0.25">
      <c r="B39" s="19"/>
      <c r="C39" s="3"/>
      <c r="D39" s="3"/>
      <c r="E39" s="3"/>
      <c r="F39" s="19"/>
      <c r="G39" s="3"/>
      <c r="H39" s="3"/>
      <c r="I39" s="3"/>
      <c r="J39" s="43"/>
    </row>
    <row r="40" spans="2:10" x14ac:dyDescent="0.25">
      <c r="B40" s="19"/>
      <c r="C40" s="3"/>
      <c r="D40" s="3"/>
      <c r="E40" s="3"/>
      <c r="F40" s="19"/>
      <c r="G40" s="3"/>
      <c r="H40" s="3"/>
      <c r="I40" s="3"/>
    </row>
    <row r="41" spans="2:10" x14ac:dyDescent="0.25">
      <c r="B41" s="2" t="s">
        <v>26</v>
      </c>
      <c r="C41" s="2">
        <f>C30+C31-D32</f>
        <v>19800</v>
      </c>
      <c r="D41" s="2">
        <f>SUM(D34:D40)</f>
        <v>19800</v>
      </c>
      <c r="E41" s="2">
        <f>C41-D41</f>
        <v>0</v>
      </c>
      <c r="F41" s="2" t="s">
        <v>26</v>
      </c>
      <c r="G41" s="2">
        <f>G30+G31-H32</f>
        <v>12510</v>
      </c>
      <c r="H41" s="2">
        <f>SUM(H34:H40)</f>
        <v>19800</v>
      </c>
      <c r="I41" s="2">
        <f>G41-H41</f>
        <v>-7290</v>
      </c>
    </row>
    <row r="42" spans="2:10" x14ac:dyDescent="0.25">
      <c r="B42" t="s">
        <v>33</v>
      </c>
      <c r="D42" t="s">
        <v>49</v>
      </c>
      <c r="G42" t="s">
        <v>34</v>
      </c>
    </row>
    <row r="43" spans="2:10" x14ac:dyDescent="0.25">
      <c r="B43" t="s">
        <v>179</v>
      </c>
      <c r="D43" t="s">
        <v>50</v>
      </c>
      <c r="G43" t="s">
        <v>51</v>
      </c>
    </row>
    <row r="46" spans="2:10" ht="18.75" x14ac:dyDescent="0.3">
      <c r="C46" s="1" t="s">
        <v>42</v>
      </c>
      <c r="D46" s="21"/>
      <c r="E46" s="21"/>
      <c r="F46" s="21"/>
      <c r="G46" s="22"/>
    </row>
    <row r="47" spans="2:10" ht="15.75" x14ac:dyDescent="0.25">
      <c r="C47" s="21" t="s">
        <v>0</v>
      </c>
      <c r="D47" s="29"/>
      <c r="E47" s="29"/>
      <c r="F47" s="29"/>
      <c r="G47" s="22"/>
    </row>
    <row r="48" spans="2:10" ht="15.75" x14ac:dyDescent="0.25">
      <c r="C48" s="21" t="s">
        <v>290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SEPTEMBER20!G51:G62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254</v>
      </c>
      <c r="C52" s="3">
        <f>SEPTEMBER20!G52:G63</f>
        <v>0</v>
      </c>
      <c r="D52" s="3">
        <v>2000</v>
      </c>
      <c r="E52" s="16">
        <f>C52+D52</f>
        <v>2000</v>
      </c>
      <c r="F52" s="15">
        <f>2000</f>
        <v>2000</v>
      </c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SEPTEMBER20!G53:G64</f>
        <v>500</v>
      </c>
      <c r="D53" s="3">
        <v>2000</v>
      </c>
      <c r="E53" s="16">
        <f>C53+D53</f>
        <v>2500</v>
      </c>
      <c r="F53" s="15">
        <f>2500</f>
        <v>2500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SEPTEMBER20!G54:G65</f>
        <v>0</v>
      </c>
      <c r="D54" s="3">
        <v>2000</v>
      </c>
      <c r="E54" s="16">
        <f t="shared" ref="E54:E60" si="4">C54+D54</f>
        <v>2000</v>
      </c>
      <c r="F54" s="15">
        <f>2000</f>
        <v>2000</v>
      </c>
      <c r="G54" s="3">
        <f t="shared" si="3"/>
        <v>0</v>
      </c>
    </row>
    <row r="55" spans="1:7" x14ac:dyDescent="0.25">
      <c r="A55">
        <v>5</v>
      </c>
      <c r="B55" s="18" t="s">
        <v>45</v>
      </c>
      <c r="C55" s="3">
        <f>SEPTEMBER20!G55:G66</f>
        <v>0</v>
      </c>
      <c r="D55" s="3">
        <v>2000</v>
      </c>
      <c r="E55" s="16">
        <f t="shared" si="4"/>
        <v>2000</v>
      </c>
      <c r="F55" s="15">
        <f>2000</f>
        <v>2000</v>
      </c>
      <c r="G55" s="3">
        <f t="shared" si="3"/>
        <v>0</v>
      </c>
    </row>
    <row r="56" spans="1:7" x14ac:dyDescent="0.25">
      <c r="A56">
        <v>6</v>
      </c>
      <c r="B56" s="18" t="s">
        <v>165</v>
      </c>
      <c r="C56" s="3">
        <f>SEPTEMBER20!G56:G67</f>
        <v>0</v>
      </c>
      <c r="D56" s="3">
        <v>2000</v>
      </c>
      <c r="E56" s="16">
        <f t="shared" si="4"/>
        <v>2000</v>
      </c>
      <c r="F56" s="15">
        <f>1500+500</f>
        <v>2000</v>
      </c>
      <c r="G56" s="3">
        <f t="shared" si="3"/>
        <v>0</v>
      </c>
    </row>
    <row r="57" spans="1:7" x14ac:dyDescent="0.25">
      <c r="A57">
        <v>7</v>
      </c>
      <c r="B57" s="18" t="s">
        <v>166</v>
      </c>
      <c r="C57" s="3">
        <f>SEPTEMBER20!G57:G68</f>
        <v>1000</v>
      </c>
      <c r="D57" s="3">
        <v>2000</v>
      </c>
      <c r="E57" s="16">
        <f t="shared" si="4"/>
        <v>3000</v>
      </c>
      <c r="F57" s="15">
        <f>1000+1000+1000</f>
        <v>3000</v>
      </c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SEPTEMBER20!G58:G69</f>
        <v>0</v>
      </c>
      <c r="D58" s="3">
        <v>2000</v>
      </c>
      <c r="E58" s="16">
        <f t="shared" si="4"/>
        <v>2000</v>
      </c>
      <c r="F58" s="15">
        <v>1000</v>
      </c>
      <c r="G58" s="3">
        <f t="shared" si="3"/>
        <v>1000</v>
      </c>
    </row>
    <row r="59" spans="1:7" x14ac:dyDescent="0.25">
      <c r="A59">
        <v>9</v>
      </c>
      <c r="B59" s="18" t="s">
        <v>190</v>
      </c>
      <c r="C59" s="3">
        <f>SEPTEMBER20!G59:G70</f>
        <v>0</v>
      </c>
      <c r="D59" s="3">
        <v>2000</v>
      </c>
      <c r="E59" s="16">
        <f t="shared" si="4"/>
        <v>2000</v>
      </c>
      <c r="F59" s="15">
        <f>2000</f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SEPTEMBER20!G60:G71</f>
        <v>2000</v>
      </c>
      <c r="D60" s="3">
        <v>2000</v>
      </c>
      <c r="E60" s="16">
        <f t="shared" si="4"/>
        <v>4000</v>
      </c>
      <c r="F60" s="15"/>
      <c r="G60" s="3">
        <f t="shared" si="3"/>
        <v>4000</v>
      </c>
    </row>
    <row r="61" spans="1:7" x14ac:dyDescent="0.25">
      <c r="A61">
        <v>11</v>
      </c>
      <c r="B61" s="18"/>
      <c r="C61" s="3">
        <f>SEPTEMBER20!G61:G72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SEPTEMBER20!G62:G73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3500</v>
      </c>
      <c r="D63" s="2">
        <f>SUM(D51:D62)</f>
        <v>18000</v>
      </c>
      <c r="E63" s="2">
        <f>SUM(E51:E62)</f>
        <v>21500</v>
      </c>
      <c r="F63" s="39">
        <f>SUM(F51:F62)</f>
        <v>16500</v>
      </c>
      <c r="G63" s="2">
        <f>SUM(G51:G62)</f>
        <v>5000</v>
      </c>
    </row>
    <row r="65" spans="2:10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0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  <c r="J66" s="38"/>
    </row>
    <row r="67" spans="2:10" x14ac:dyDescent="0.25">
      <c r="B67" s="3" t="s">
        <v>185</v>
      </c>
      <c r="C67" s="3">
        <f>D63</f>
        <v>18000</v>
      </c>
      <c r="D67" s="3"/>
      <c r="E67" s="3"/>
      <c r="F67" s="3" t="s">
        <v>185</v>
      </c>
      <c r="G67" s="3">
        <f>F63</f>
        <v>16500</v>
      </c>
      <c r="H67" s="3"/>
      <c r="I67" s="3"/>
    </row>
    <row r="68" spans="2:10" x14ac:dyDescent="0.25">
      <c r="B68" s="3" t="s">
        <v>62</v>
      </c>
      <c r="C68" s="3">
        <f>SEPTEMBER20!E77</f>
        <v>0</v>
      </c>
      <c r="D68" s="3"/>
      <c r="E68" s="3"/>
      <c r="F68" s="3" t="s">
        <v>62</v>
      </c>
      <c r="G68">
        <f>SEPTEMBER20!I77</f>
        <v>-3500</v>
      </c>
      <c r="H68" s="3"/>
      <c r="I68" s="3"/>
    </row>
    <row r="69" spans="2:10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10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0" x14ac:dyDescent="0.25">
      <c r="B71" s="14"/>
      <c r="C71" s="19"/>
      <c r="D71" s="3"/>
      <c r="E71" s="3"/>
      <c r="F71" s="14"/>
      <c r="G71" s="19"/>
      <c r="H71" s="3"/>
      <c r="I71" s="3"/>
    </row>
    <row r="72" spans="2:10" x14ac:dyDescent="0.25">
      <c r="B72" s="14" t="s">
        <v>295</v>
      </c>
      <c r="C72" s="19"/>
      <c r="D72" s="3">
        <v>16200</v>
      </c>
      <c r="E72" s="3"/>
      <c r="F72" s="14" t="s">
        <v>295</v>
      </c>
      <c r="G72" s="19"/>
      <c r="H72" s="3">
        <v>16200</v>
      </c>
      <c r="I72" s="3"/>
    </row>
    <row r="73" spans="2:10" x14ac:dyDescent="0.25">
      <c r="B73" s="10"/>
      <c r="C73" s="3"/>
      <c r="D73" s="3"/>
      <c r="E73" s="3"/>
      <c r="F73" s="10"/>
      <c r="G73" s="3"/>
      <c r="H73" s="3"/>
      <c r="I73" s="3"/>
    </row>
    <row r="74" spans="2:10" x14ac:dyDescent="0.25">
      <c r="B74" s="35"/>
      <c r="C74" s="19"/>
      <c r="D74" s="3"/>
      <c r="E74" s="3"/>
      <c r="F74" s="35"/>
      <c r="G74" s="19"/>
      <c r="H74" s="3"/>
      <c r="I74" s="3"/>
    </row>
    <row r="75" spans="2:10" x14ac:dyDescent="0.25">
      <c r="B75" s="35"/>
      <c r="C75" s="19"/>
      <c r="D75" s="3"/>
      <c r="E75" s="3"/>
      <c r="F75" s="35"/>
      <c r="G75" s="19"/>
      <c r="H75" s="3"/>
      <c r="I75" s="3"/>
    </row>
    <row r="76" spans="2:10" x14ac:dyDescent="0.25">
      <c r="B76" s="10"/>
      <c r="C76" s="3"/>
      <c r="D76" s="3"/>
      <c r="E76" s="3"/>
      <c r="F76" s="10"/>
      <c r="G76" s="3"/>
      <c r="H76" s="3"/>
      <c r="I76" s="3"/>
    </row>
    <row r="77" spans="2:10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11200</v>
      </c>
      <c r="H77" s="2">
        <f>SUM(H71:H76)</f>
        <v>16200</v>
      </c>
      <c r="I77" s="2">
        <f>G77-H77</f>
        <v>-5000</v>
      </c>
    </row>
    <row r="79" spans="2:10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L17" sqref="L17"/>
    </sheetView>
  </sheetViews>
  <sheetFormatPr defaultRowHeight="15" x14ac:dyDescent="0.25"/>
  <cols>
    <col min="2" max="2" width="23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297</v>
      </c>
      <c r="D3" s="28"/>
      <c r="F3" s="28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109</v>
      </c>
      <c r="C6" s="3">
        <f>'OCTOBER 20'!G6:G25</f>
        <v>0</v>
      </c>
      <c r="D6" s="3">
        <v>1000</v>
      </c>
      <c r="E6" s="3">
        <f>D6+C6</f>
        <v>1000</v>
      </c>
      <c r="F6" s="15">
        <v>1000</v>
      </c>
      <c r="G6" s="3">
        <f>E6-F6</f>
        <v>0</v>
      </c>
    </row>
    <row r="7" spans="1:7" x14ac:dyDescent="0.25">
      <c r="A7" s="3">
        <v>2</v>
      </c>
      <c r="B7" s="16" t="s">
        <v>109</v>
      </c>
      <c r="C7" s="3">
        <f>'OCTOBER 20'!G7:G26</f>
        <v>100</v>
      </c>
      <c r="D7" s="3">
        <v>1000</v>
      </c>
      <c r="E7" s="3">
        <f t="shared" ref="E7:E24" si="0">D7+C7</f>
        <v>1100</v>
      </c>
      <c r="F7">
        <v>1000</v>
      </c>
      <c r="G7" s="3">
        <f t="shared" ref="G7:G9" si="1">E7-F7</f>
        <v>100</v>
      </c>
    </row>
    <row r="8" spans="1:7" x14ac:dyDescent="0.25">
      <c r="A8" s="16">
        <v>3</v>
      </c>
      <c r="B8" s="18" t="s">
        <v>137</v>
      </c>
      <c r="C8" s="3">
        <f>'OCTOBER 20'!G8:G27</f>
        <v>0</v>
      </c>
      <c r="D8" s="18">
        <v>1000</v>
      </c>
      <c r="E8" s="16">
        <f>D8+C8</f>
        <v>1000</v>
      </c>
      <c r="F8" s="15">
        <v>1000</v>
      </c>
      <c r="G8" s="3">
        <f t="shared" si="1"/>
        <v>0</v>
      </c>
    </row>
    <row r="9" spans="1:7" x14ac:dyDescent="0.25">
      <c r="A9" s="16">
        <v>4</v>
      </c>
      <c r="B9" s="16" t="s">
        <v>238</v>
      </c>
      <c r="C9" s="3">
        <f>'OCTOBER 20'!G9:G28</f>
        <v>500</v>
      </c>
      <c r="D9" s="16">
        <v>1000</v>
      </c>
      <c r="E9" s="16">
        <f>D9+C9</f>
        <v>1500</v>
      </c>
      <c r="F9" s="15">
        <f>500</f>
        <v>500</v>
      </c>
      <c r="G9" s="3">
        <f t="shared" si="1"/>
        <v>1000</v>
      </c>
    </row>
    <row r="10" spans="1:7" x14ac:dyDescent="0.25">
      <c r="A10" s="16">
        <v>5</v>
      </c>
      <c r="B10" s="16" t="s">
        <v>10</v>
      </c>
      <c r="C10" s="3">
        <f>'OCTOBER 20'!G10:G29</f>
        <v>300</v>
      </c>
      <c r="D10" s="16">
        <v>1000</v>
      </c>
      <c r="E10" s="16">
        <f>D10+C10</f>
        <v>1300</v>
      </c>
      <c r="F10" s="15">
        <f>1000</f>
        <v>1000</v>
      </c>
      <c r="G10" s="3">
        <f>E10-F10</f>
        <v>300</v>
      </c>
    </row>
    <row r="11" spans="1:7" x14ac:dyDescent="0.25">
      <c r="A11" s="16">
        <v>6</v>
      </c>
      <c r="B11" s="16" t="s">
        <v>207</v>
      </c>
      <c r="C11" s="3">
        <f>'OCTOBER 20'!G11:G30</f>
        <v>800</v>
      </c>
      <c r="D11" s="16">
        <v>1000</v>
      </c>
      <c r="E11" s="16">
        <f t="shared" si="0"/>
        <v>1800</v>
      </c>
      <c r="F11" s="15">
        <v>1000</v>
      </c>
      <c r="G11" s="3">
        <f>E11-F11</f>
        <v>800</v>
      </c>
    </row>
    <row r="12" spans="1:7" x14ac:dyDescent="0.25">
      <c r="A12" s="16">
        <v>7</v>
      </c>
      <c r="B12" s="16" t="s">
        <v>28</v>
      </c>
      <c r="C12" s="3">
        <f>'OCTOBER 20'!G12:G31</f>
        <v>0</v>
      </c>
      <c r="D12" s="16">
        <v>1000</v>
      </c>
      <c r="E12" s="16">
        <f t="shared" si="0"/>
        <v>1000</v>
      </c>
      <c r="F12" s="15"/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'OCTOBER 20'!G13:G32</f>
        <v>700</v>
      </c>
      <c r="D13" s="16">
        <v>1000</v>
      </c>
      <c r="E13" s="16">
        <f t="shared" si="0"/>
        <v>1700</v>
      </c>
      <c r="F13" s="15">
        <f>900+200+400</f>
        <v>1500</v>
      </c>
      <c r="G13" s="3">
        <f t="shared" si="2"/>
        <v>200</v>
      </c>
    </row>
    <row r="14" spans="1:7" x14ac:dyDescent="0.25">
      <c r="A14" s="16">
        <v>9</v>
      </c>
      <c r="B14" s="3" t="s">
        <v>194</v>
      </c>
      <c r="C14" s="3">
        <f>'OCTOBER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'OCTOBER 20'!G15:G34</f>
        <v>0</v>
      </c>
      <c r="D15" s="16">
        <v>1000</v>
      </c>
      <c r="E15" s="16">
        <f t="shared" si="0"/>
        <v>1000</v>
      </c>
      <c r="F15" s="15">
        <f>500</f>
        <v>500</v>
      </c>
      <c r="G15" s="3">
        <f>E15-F15</f>
        <v>500</v>
      </c>
    </row>
    <row r="16" spans="1:7" x14ac:dyDescent="0.25">
      <c r="A16" s="16">
        <v>11</v>
      </c>
      <c r="B16" s="18" t="s">
        <v>298</v>
      </c>
      <c r="C16" s="3">
        <f>'OCTOBER 20'!G16:G35</f>
        <v>2000</v>
      </c>
      <c r="D16" s="18">
        <v>1000</v>
      </c>
      <c r="E16" s="16">
        <f t="shared" si="0"/>
        <v>3000</v>
      </c>
      <c r="F16" s="36">
        <f>1000</f>
        <v>1000</v>
      </c>
      <c r="G16" s="14">
        <f t="shared" si="2"/>
        <v>2000</v>
      </c>
    </row>
    <row r="17" spans="1:9" x14ac:dyDescent="0.25">
      <c r="A17" s="16">
        <v>12</v>
      </c>
      <c r="B17" s="3" t="s">
        <v>252</v>
      </c>
      <c r="C17" s="3">
        <f>'OCTOBER 20'!G17:G36</f>
        <v>0</v>
      </c>
      <c r="D17" s="3">
        <v>1000</v>
      </c>
      <c r="E17" s="16">
        <f>D17+C17</f>
        <v>1000</v>
      </c>
      <c r="F17" s="15">
        <v>1000</v>
      </c>
      <c r="G17" s="14">
        <f>E17-F17</f>
        <v>0</v>
      </c>
    </row>
    <row r="18" spans="1:9" x14ac:dyDescent="0.25">
      <c r="A18" s="16">
        <v>13</v>
      </c>
      <c r="B18" s="16" t="s">
        <v>204</v>
      </c>
      <c r="C18" s="3">
        <f>'OCTOBER 20'!G18:G37</f>
        <v>0</v>
      </c>
      <c r="D18" s="16">
        <v>1000</v>
      </c>
      <c r="E18" s="16">
        <f>D18+C18</f>
        <v>1000</v>
      </c>
      <c r="F18" s="15">
        <f>1000</f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'OCTOBER 20'!G19:G38</f>
        <v>130</v>
      </c>
      <c r="D19" s="16">
        <v>1000</v>
      </c>
      <c r="E19" s="16">
        <f>D19+C19</f>
        <v>1130</v>
      </c>
      <c r="F19" s="15">
        <f>800</f>
        <v>800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'OCTOBER 20'!G20:G39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2"/>
        <v>0</v>
      </c>
    </row>
    <row r="21" spans="1:9" x14ac:dyDescent="0.25">
      <c r="A21" s="16">
        <v>16</v>
      </c>
      <c r="B21" s="3" t="s">
        <v>291</v>
      </c>
      <c r="C21" s="3">
        <f>'OCTOBER 20'!G21:G40</f>
        <v>0</v>
      </c>
      <c r="D21" s="3">
        <v>1000</v>
      </c>
      <c r="E21" s="3">
        <v>1000</v>
      </c>
      <c r="F21" s="15">
        <v>1000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'OCTOBER 20'!G22:G41</f>
        <v>0</v>
      </c>
      <c r="D22" s="16">
        <v>1500</v>
      </c>
      <c r="E22" s="16">
        <f t="shared" si="0"/>
        <v>1500</v>
      </c>
      <c r="F22" s="15">
        <f>1500</f>
        <v>1500</v>
      </c>
      <c r="G22" s="3">
        <f t="shared" si="2"/>
        <v>0</v>
      </c>
    </row>
    <row r="23" spans="1:9" x14ac:dyDescent="0.25">
      <c r="A23" s="3">
        <v>18</v>
      </c>
      <c r="B23" s="18" t="s">
        <v>296</v>
      </c>
      <c r="C23" s="3">
        <f>'OCTOBER 20'!G23:G42</f>
        <v>900</v>
      </c>
      <c r="D23" s="3">
        <v>1500</v>
      </c>
      <c r="E23" s="16">
        <f t="shared" si="0"/>
        <v>2400</v>
      </c>
      <c r="F23" s="15">
        <f>900+500+500</f>
        <v>1900</v>
      </c>
      <c r="G23" s="3">
        <f t="shared" si="2"/>
        <v>500</v>
      </c>
    </row>
    <row r="24" spans="1:9" x14ac:dyDescent="0.25">
      <c r="A24" s="3">
        <v>19</v>
      </c>
      <c r="B24" s="18" t="s">
        <v>135</v>
      </c>
      <c r="C24" s="3">
        <f>'OCTOBER 20'!G24:G43</f>
        <v>500</v>
      </c>
      <c r="D24" s="3">
        <v>1500</v>
      </c>
      <c r="E24" s="16">
        <f t="shared" si="0"/>
        <v>2000</v>
      </c>
      <c r="F24" s="15">
        <v>1500</v>
      </c>
      <c r="G24" s="3">
        <f t="shared" si="2"/>
        <v>500</v>
      </c>
    </row>
    <row r="25" spans="1:9" x14ac:dyDescent="0.25">
      <c r="A25" s="3">
        <v>20</v>
      </c>
      <c r="B25" s="18" t="s">
        <v>118</v>
      </c>
      <c r="C25" s="3">
        <f>'OCTOBER 20'!G25:G44</f>
        <v>1520</v>
      </c>
      <c r="D25" s="3">
        <v>1500</v>
      </c>
      <c r="E25" s="16">
        <f>D25+C25</f>
        <v>3020</v>
      </c>
      <c r="F25" s="15"/>
      <c r="G25" s="3">
        <f t="shared" si="2"/>
        <v>3020</v>
      </c>
    </row>
    <row r="26" spans="1:9" x14ac:dyDescent="0.25">
      <c r="B26" s="2" t="s">
        <v>26</v>
      </c>
      <c r="C26" s="3">
        <f>'OCTOBER 20'!G26:G45</f>
        <v>7450</v>
      </c>
      <c r="D26" s="2">
        <f>SUM(D6:D25)</f>
        <v>22000</v>
      </c>
      <c r="E26" s="2">
        <f>SUM(E6:E25)</f>
        <v>29450</v>
      </c>
      <c r="F26" s="39">
        <f>SUM(F6:F25)</f>
        <v>19200</v>
      </c>
      <c r="G26" s="2">
        <f>SUM(G6:G25)</f>
        <v>10250</v>
      </c>
    </row>
    <row r="27" spans="1:9" x14ac:dyDescent="0.25">
      <c r="C27" s="3">
        <f>'OCTOBER 20'!G27:G46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198</v>
      </c>
      <c r="C30" s="3">
        <f>D26</f>
        <v>22000</v>
      </c>
      <c r="D30" s="3"/>
      <c r="E30" s="3"/>
      <c r="F30" s="3" t="s">
        <v>198</v>
      </c>
      <c r="G30" s="3">
        <f>F26</f>
        <v>19200</v>
      </c>
      <c r="H30" s="3"/>
      <c r="I30" s="3"/>
    </row>
    <row r="31" spans="1:9" x14ac:dyDescent="0.25">
      <c r="B31" s="3" t="s">
        <v>62</v>
      </c>
      <c r="C31" s="3">
        <f>'OCTOBER 20'!E41</f>
        <v>0</v>
      </c>
      <c r="D31" s="3"/>
      <c r="E31" s="3"/>
      <c r="F31" s="3" t="s">
        <v>62</v>
      </c>
      <c r="G31">
        <f>'OCTOBER 20'!I41</f>
        <v>-7290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G32*G30</f>
        <v>1920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300</v>
      </c>
      <c r="C34" s="3"/>
      <c r="D34" s="3">
        <v>19800</v>
      </c>
      <c r="E34" s="3"/>
      <c r="F34" s="19" t="s">
        <v>300</v>
      </c>
      <c r="G34" s="3"/>
      <c r="H34" s="3">
        <v>19800</v>
      </c>
      <c r="I34" s="3"/>
    </row>
    <row r="35" spans="2:9" x14ac:dyDescent="0.25">
      <c r="B35" s="19"/>
      <c r="C35" s="3"/>
      <c r="D35" s="3"/>
      <c r="E35" s="3"/>
      <c r="F35" s="19"/>
      <c r="G35" s="3"/>
      <c r="H35" s="3"/>
      <c r="I35" s="3"/>
    </row>
    <row r="36" spans="2:9" x14ac:dyDescent="0.25">
      <c r="B36" s="19"/>
      <c r="C36" s="3"/>
      <c r="D36" s="3"/>
      <c r="E36" s="3"/>
      <c r="F36" s="19"/>
      <c r="G36" s="3"/>
      <c r="H36" s="3"/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19800</v>
      </c>
      <c r="D41" s="2">
        <f>SUM(D34:D40)</f>
        <v>19800</v>
      </c>
      <c r="E41" s="2">
        <f>C41-D41</f>
        <v>0</v>
      </c>
      <c r="F41" s="2" t="s">
        <v>26</v>
      </c>
      <c r="G41" s="2">
        <f>G30+G31-H32</f>
        <v>9990</v>
      </c>
      <c r="H41" s="2">
        <f>SUM(H34:H40)</f>
        <v>19800</v>
      </c>
      <c r="I41" s="2">
        <f>G41-H41</f>
        <v>-9810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297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/>
      <c r="D51" s="3"/>
      <c r="E51" s="16"/>
      <c r="F51" s="15"/>
      <c r="G51" s="3"/>
    </row>
    <row r="52" spans="1:7" x14ac:dyDescent="0.25">
      <c r="A52">
        <v>2</v>
      </c>
      <c r="B52" s="18" t="s">
        <v>254</v>
      </c>
      <c r="C52" s="3">
        <f>'OCTOBER 20'!G52:G61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'OCTOBER 20'!G53:G62</f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'OCTOBER 20'!G54:G63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</row>
    <row r="55" spans="1:7" x14ac:dyDescent="0.25">
      <c r="A55">
        <v>5</v>
      </c>
      <c r="B55" s="18" t="s">
        <v>45</v>
      </c>
      <c r="C55" s="3">
        <f>'OCTOBER 20'!G55:G64</f>
        <v>0</v>
      </c>
      <c r="D55" s="3">
        <v>2000</v>
      </c>
      <c r="E55" s="16">
        <f t="shared" si="4"/>
        <v>2000</v>
      </c>
      <c r="F55" s="15">
        <v>2000</v>
      </c>
      <c r="G55" s="3">
        <f t="shared" si="3"/>
        <v>0</v>
      </c>
    </row>
    <row r="56" spans="1:7" x14ac:dyDescent="0.25">
      <c r="A56">
        <v>6</v>
      </c>
      <c r="B56" s="18" t="s">
        <v>165</v>
      </c>
      <c r="C56" s="3">
        <f>'OCTOBER 20'!G56:G65</f>
        <v>0</v>
      </c>
      <c r="D56" s="3">
        <v>2000</v>
      </c>
      <c r="E56" s="16">
        <f t="shared" si="4"/>
        <v>2000</v>
      </c>
      <c r="F56" s="15">
        <f>1500+500</f>
        <v>2000</v>
      </c>
      <c r="G56" s="3">
        <f t="shared" si="3"/>
        <v>0</v>
      </c>
    </row>
    <row r="57" spans="1:7" x14ac:dyDescent="0.25">
      <c r="A57">
        <v>7</v>
      </c>
      <c r="B57" s="18"/>
      <c r="C57" s="3">
        <f>'OCTOBER 20'!G57:G66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'OCTOBER 20'!G58:G67</f>
        <v>1000</v>
      </c>
      <c r="D58" s="3">
        <v>2000</v>
      </c>
      <c r="E58" s="16">
        <f t="shared" si="4"/>
        <v>3000</v>
      </c>
      <c r="F58" s="15">
        <f>2000</f>
        <v>2000</v>
      </c>
      <c r="G58" s="3">
        <f t="shared" si="3"/>
        <v>1000</v>
      </c>
    </row>
    <row r="59" spans="1:7" x14ac:dyDescent="0.25">
      <c r="A59">
        <v>9</v>
      </c>
      <c r="B59" s="18" t="s">
        <v>190</v>
      </c>
      <c r="C59" s="3">
        <f>'OCTOBER 20'!G59:G68</f>
        <v>0</v>
      </c>
      <c r="D59" s="3">
        <v>2000</v>
      </c>
      <c r="E59" s="16">
        <f t="shared" si="4"/>
        <v>2000</v>
      </c>
      <c r="F59" s="15"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'OCTOBER 20'!G60:G69</f>
        <v>4000</v>
      </c>
      <c r="D60" s="3">
        <v>2000</v>
      </c>
      <c r="E60" s="16">
        <f t="shared" si="4"/>
        <v>6000</v>
      </c>
      <c r="F60" s="15">
        <v>6000</v>
      </c>
      <c r="G60" s="3">
        <f t="shared" si="3"/>
        <v>0</v>
      </c>
    </row>
    <row r="61" spans="1:7" x14ac:dyDescent="0.25">
      <c r="A61">
        <v>11</v>
      </c>
      <c r="B61" s="18"/>
      <c r="C61" s="3">
        <f>SEPTEMBER20!G61:G72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SEPTEMBER20!G62:G73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5000</v>
      </c>
      <c r="D63" s="2">
        <f>SUM(D51:D62)</f>
        <v>16000</v>
      </c>
      <c r="E63" s="2">
        <f>SUM(E51:E62)</f>
        <v>21000</v>
      </c>
      <c r="F63" s="39">
        <f>SUM(F51:F62)</f>
        <v>20000</v>
      </c>
      <c r="G63" s="2">
        <f>SUM(G51:G62)</f>
        <v>1000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198</v>
      </c>
      <c r="C67" s="3">
        <f>D63</f>
        <v>16000</v>
      </c>
      <c r="D67" s="3"/>
      <c r="E67" s="3"/>
      <c r="F67" s="3" t="s">
        <v>198</v>
      </c>
      <c r="G67" s="3">
        <f>F63</f>
        <v>20000</v>
      </c>
      <c r="H67" s="3"/>
      <c r="I67" s="3"/>
    </row>
    <row r="68" spans="2:9" x14ac:dyDescent="0.25">
      <c r="B68" s="3" t="s">
        <v>62</v>
      </c>
      <c r="C68" s="3">
        <f>'OCTOBER 20'!E77</f>
        <v>0</v>
      </c>
      <c r="D68" s="3"/>
      <c r="E68" s="3"/>
      <c r="F68" s="3" t="s">
        <v>62</v>
      </c>
      <c r="G68">
        <f>'OCTOBER 20'!I77</f>
        <v>-5000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299</v>
      </c>
      <c r="C71" s="19"/>
      <c r="D71" s="3">
        <v>12600</v>
      </c>
      <c r="E71" s="3"/>
      <c r="F71" s="14" t="s">
        <v>299</v>
      </c>
      <c r="G71" s="19"/>
      <c r="H71" s="3">
        <v>12600</v>
      </c>
      <c r="I71" s="3"/>
    </row>
    <row r="72" spans="2:9" x14ac:dyDescent="0.25">
      <c r="B72" s="14" t="s">
        <v>301</v>
      </c>
      <c r="C72" s="19"/>
      <c r="D72" s="3">
        <v>1800</v>
      </c>
      <c r="E72" s="3"/>
      <c r="F72" s="14" t="s">
        <v>301</v>
      </c>
      <c r="G72" s="19"/>
      <c r="H72" s="3">
        <v>1800</v>
      </c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14400</v>
      </c>
      <c r="D77" s="2">
        <f>SUM(D71:D76)</f>
        <v>14400</v>
      </c>
      <c r="E77" s="2">
        <f>C77-D77</f>
        <v>0</v>
      </c>
      <c r="F77" s="2" t="s">
        <v>26</v>
      </c>
      <c r="G77" s="2">
        <f>G67+G68-H69</f>
        <v>13400</v>
      </c>
      <c r="H77" s="2">
        <f>SUM(H71:H76)</f>
        <v>14400</v>
      </c>
      <c r="I77" s="2">
        <f>G77-H77</f>
        <v>-1000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F8" sqref="F8"/>
    </sheetView>
  </sheetViews>
  <sheetFormatPr defaultRowHeight="15" x14ac:dyDescent="0.25"/>
  <cols>
    <col min="1" max="1" width="4" customWidth="1"/>
    <col min="2" max="2" width="19.5703125" customWidth="1"/>
    <col min="5" max="5" width="11.28515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302</v>
      </c>
      <c r="D3" s="28"/>
      <c r="F3" s="28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109</v>
      </c>
      <c r="C6" s="3">
        <f>NOVEMBER20!G6:G25</f>
        <v>0</v>
      </c>
      <c r="D6" s="3">
        <v>1000</v>
      </c>
      <c r="E6" s="3">
        <f>D6+C6</f>
        <v>1000</v>
      </c>
      <c r="F6" s="15"/>
      <c r="G6" s="3">
        <f>E6-F6</f>
        <v>1000</v>
      </c>
    </row>
    <row r="7" spans="1:7" x14ac:dyDescent="0.25">
      <c r="A7" s="3">
        <v>2</v>
      </c>
      <c r="B7" s="16" t="s">
        <v>109</v>
      </c>
      <c r="C7" s="3">
        <f>NOVEMBER20!G7:G26</f>
        <v>100</v>
      </c>
      <c r="D7" s="3">
        <v>1000</v>
      </c>
      <c r="E7" s="3">
        <f t="shared" ref="E7:E24" si="0">D7+C7</f>
        <v>1100</v>
      </c>
      <c r="G7" s="3">
        <f t="shared" ref="G7:G9" si="1">E7-F7</f>
        <v>1100</v>
      </c>
    </row>
    <row r="8" spans="1:7" x14ac:dyDescent="0.25">
      <c r="A8" s="16">
        <v>3</v>
      </c>
      <c r="B8" s="18" t="s">
        <v>137</v>
      </c>
      <c r="C8" s="3">
        <f>NOVEMBER20!G8:G27</f>
        <v>0</v>
      </c>
      <c r="D8" s="18">
        <v>1000</v>
      </c>
      <c r="E8" s="16">
        <f>D8+C8</f>
        <v>1000</v>
      </c>
      <c r="F8" s="15">
        <f>500</f>
        <v>500</v>
      </c>
      <c r="G8" s="3">
        <f t="shared" si="1"/>
        <v>500</v>
      </c>
    </row>
    <row r="9" spans="1:7" x14ac:dyDescent="0.25">
      <c r="A9" s="16">
        <v>4</v>
      </c>
      <c r="B9" s="16" t="s">
        <v>238</v>
      </c>
      <c r="C9" s="3">
        <f>NOVEMBER20!G9:G28</f>
        <v>1000</v>
      </c>
      <c r="D9" s="16">
        <v>1000</v>
      </c>
      <c r="E9" s="16">
        <f>D9+C9</f>
        <v>2000</v>
      </c>
      <c r="F9" s="44">
        <v>1000</v>
      </c>
      <c r="G9" s="3">
        <f t="shared" si="1"/>
        <v>1000</v>
      </c>
    </row>
    <row r="10" spans="1:7" x14ac:dyDescent="0.25">
      <c r="A10" s="16">
        <v>5</v>
      </c>
      <c r="B10" s="16" t="s">
        <v>10</v>
      </c>
      <c r="C10" s="3">
        <f>NOVEMBER20!G10:G29</f>
        <v>300</v>
      </c>
      <c r="D10" s="16">
        <v>1000</v>
      </c>
      <c r="E10" s="16">
        <f>D10+C10</f>
        <v>1300</v>
      </c>
      <c r="F10" s="44">
        <f>1300</f>
        <v>1300</v>
      </c>
      <c r="G10" s="3">
        <f>E10-F10</f>
        <v>0</v>
      </c>
    </row>
    <row r="11" spans="1:7" x14ac:dyDescent="0.25">
      <c r="A11" s="16">
        <v>6</v>
      </c>
      <c r="B11" s="16" t="s">
        <v>207</v>
      </c>
      <c r="C11" s="3">
        <f>NOVEMBER20!G11:G30</f>
        <v>800</v>
      </c>
      <c r="D11" s="16">
        <v>1000</v>
      </c>
      <c r="E11" s="16">
        <f t="shared" si="0"/>
        <v>1800</v>
      </c>
      <c r="F11" s="44">
        <f>1000</f>
        <v>1000</v>
      </c>
      <c r="G11" s="3">
        <f>E11-F11</f>
        <v>800</v>
      </c>
    </row>
    <row r="12" spans="1:7" x14ac:dyDescent="0.25">
      <c r="A12" s="16">
        <v>7</v>
      </c>
      <c r="B12" s="16" t="s">
        <v>28</v>
      </c>
      <c r="C12" s="3">
        <f>NOVEMBER20!G12:G31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NOVEMBER20!G13:G32</f>
        <v>200</v>
      </c>
      <c r="D13" s="16">
        <v>1000</v>
      </c>
      <c r="E13" s="16">
        <f t="shared" si="0"/>
        <v>1200</v>
      </c>
      <c r="F13" s="44">
        <f>200+300+200</f>
        <v>700</v>
      </c>
      <c r="G13" s="3">
        <f t="shared" si="2"/>
        <v>500</v>
      </c>
    </row>
    <row r="14" spans="1:7" x14ac:dyDescent="0.25">
      <c r="A14" s="16">
        <v>9</v>
      </c>
      <c r="B14" s="3" t="s">
        <v>194</v>
      </c>
      <c r="C14" s="3">
        <f>NOVEMBER20!G14:G33</f>
        <v>0</v>
      </c>
      <c r="D14" s="3">
        <v>1000</v>
      </c>
      <c r="E14" s="16">
        <f t="shared" si="0"/>
        <v>1000</v>
      </c>
      <c r="F14" s="44"/>
      <c r="G14" s="3">
        <f t="shared" si="2"/>
        <v>1000</v>
      </c>
    </row>
    <row r="15" spans="1:7" x14ac:dyDescent="0.25">
      <c r="A15" s="16">
        <v>10</v>
      </c>
      <c r="B15" s="16" t="s">
        <v>232</v>
      </c>
      <c r="C15" s="3">
        <f>NOVEMBER20!G15:G34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7" x14ac:dyDescent="0.25">
      <c r="A16" s="16">
        <v>11</v>
      </c>
      <c r="B16" s="18" t="s">
        <v>298</v>
      </c>
      <c r="C16" s="3">
        <f>NOVEMBER20!G16:G35</f>
        <v>2000</v>
      </c>
      <c r="D16" s="18">
        <v>1000</v>
      </c>
      <c r="E16" s="16">
        <f t="shared" si="0"/>
        <v>3000</v>
      </c>
      <c r="F16" s="45">
        <f>600+400+500+400</f>
        <v>1900</v>
      </c>
      <c r="G16" s="14">
        <f t="shared" si="2"/>
        <v>1100</v>
      </c>
    </row>
    <row r="17" spans="1:9" x14ac:dyDescent="0.25">
      <c r="A17" s="16">
        <v>12</v>
      </c>
      <c r="B17" s="3" t="s">
        <v>252</v>
      </c>
      <c r="C17" s="3">
        <f>NOVEMBER20!G17:G36</f>
        <v>0</v>
      </c>
      <c r="D17" s="3">
        <v>1000</v>
      </c>
      <c r="E17" s="16">
        <f>D17+C17</f>
        <v>1000</v>
      </c>
      <c r="F17" s="44">
        <f>1000</f>
        <v>1000</v>
      </c>
      <c r="G17" s="14">
        <f>E17-F17</f>
        <v>0</v>
      </c>
    </row>
    <row r="18" spans="1:9" x14ac:dyDescent="0.25">
      <c r="A18" s="16">
        <v>13</v>
      </c>
      <c r="B18" s="16" t="s">
        <v>204</v>
      </c>
      <c r="C18" s="3">
        <f>NOVEMBER20!G18:G37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NOVEMBER20!G19:G38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NOVEMBER20!G20:G39</f>
        <v>0</v>
      </c>
      <c r="D20" s="16">
        <v>1000</v>
      </c>
      <c r="E20" s="16">
        <f t="shared" si="0"/>
        <v>1000</v>
      </c>
      <c r="F20" s="44">
        <f>1000</f>
        <v>1000</v>
      </c>
      <c r="G20" s="3">
        <f t="shared" si="2"/>
        <v>0</v>
      </c>
    </row>
    <row r="21" spans="1:9" x14ac:dyDescent="0.25">
      <c r="A21" s="16">
        <v>16</v>
      </c>
      <c r="B21" s="3" t="s">
        <v>291</v>
      </c>
      <c r="C21" s="3">
        <f>NOVEMBER20!G21:G40</f>
        <v>0</v>
      </c>
      <c r="D21" s="3">
        <v>1000</v>
      </c>
      <c r="E21" s="3">
        <v>1000</v>
      </c>
      <c r="F21" s="44">
        <v>1000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NOVEMBER20!G22:G41</f>
        <v>0</v>
      </c>
      <c r="D22" s="16">
        <v>1500</v>
      </c>
      <c r="E22" s="16">
        <f t="shared" si="0"/>
        <v>1500</v>
      </c>
      <c r="F22" s="44">
        <f>1500</f>
        <v>1500</v>
      </c>
      <c r="G22" s="3">
        <f t="shared" si="2"/>
        <v>0</v>
      </c>
    </row>
    <row r="23" spans="1:9" x14ac:dyDescent="0.25">
      <c r="A23" s="3">
        <v>18</v>
      </c>
      <c r="B23" s="18" t="s">
        <v>296</v>
      </c>
      <c r="C23" s="3">
        <f>NOVEMBER20!G23:G42</f>
        <v>500</v>
      </c>
      <c r="D23" s="3">
        <v>1500</v>
      </c>
      <c r="E23" s="16">
        <f t="shared" si="0"/>
        <v>2000</v>
      </c>
      <c r="F23" s="44">
        <f>700+500</f>
        <v>1200</v>
      </c>
      <c r="G23" s="3">
        <f t="shared" si="2"/>
        <v>800</v>
      </c>
    </row>
    <row r="24" spans="1:9" x14ac:dyDescent="0.25">
      <c r="A24" s="3">
        <v>19</v>
      </c>
      <c r="B24" s="18" t="s">
        <v>135</v>
      </c>
      <c r="C24" s="3">
        <f>NOVEMBER20!G24:G43</f>
        <v>500</v>
      </c>
      <c r="D24" s="3">
        <v>1500</v>
      </c>
      <c r="E24" s="16">
        <f t="shared" si="0"/>
        <v>2000</v>
      </c>
      <c r="F24" s="44">
        <v>2000</v>
      </c>
      <c r="G24" s="3">
        <f t="shared" si="2"/>
        <v>0</v>
      </c>
    </row>
    <row r="25" spans="1:9" x14ac:dyDescent="0.25">
      <c r="A25" s="3">
        <v>20</v>
      </c>
      <c r="B25" s="18" t="s">
        <v>118</v>
      </c>
      <c r="C25" s="3">
        <f>NOVEMBER20!G25:G44</f>
        <v>3020</v>
      </c>
      <c r="D25" s="3">
        <v>1500</v>
      </c>
      <c r="E25" s="16">
        <f>D25+C25</f>
        <v>4520</v>
      </c>
      <c r="F25" s="44">
        <f>1000+1000</f>
        <v>2000</v>
      </c>
      <c r="G25" s="3">
        <f t="shared" si="2"/>
        <v>2520</v>
      </c>
    </row>
    <row r="26" spans="1:9" x14ac:dyDescent="0.25">
      <c r="B26" s="2" t="s">
        <v>26</v>
      </c>
      <c r="C26" s="3">
        <f>SUM(C6:C25)</f>
        <v>10250</v>
      </c>
      <c r="D26" s="2">
        <f>SUM(D6:D25)</f>
        <v>22000</v>
      </c>
      <c r="E26" s="2">
        <f>SUM(E6:E25)</f>
        <v>32250</v>
      </c>
      <c r="F26" s="2">
        <f>SUM(F6:F25)</f>
        <v>20100</v>
      </c>
      <c r="G26" s="2">
        <f>SUM(G6:G25)</f>
        <v>12150</v>
      </c>
    </row>
    <row r="27" spans="1:9" x14ac:dyDescent="0.25">
      <c r="C27" s="3">
        <f>'OCTOBER 20'!G27:G46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211</v>
      </c>
      <c r="C30" s="3">
        <f>D26</f>
        <v>22000</v>
      </c>
      <c r="D30" s="3"/>
      <c r="E30" s="3"/>
      <c r="F30" s="3" t="s">
        <v>211</v>
      </c>
      <c r="G30" s="3">
        <f>F26</f>
        <v>20100</v>
      </c>
      <c r="H30" s="3"/>
      <c r="I30" s="3"/>
    </row>
    <row r="31" spans="1:9" x14ac:dyDescent="0.25">
      <c r="B31" s="3" t="s">
        <v>62</v>
      </c>
      <c r="C31" s="3">
        <f>NOVEMBER20!E41</f>
        <v>0</v>
      </c>
      <c r="D31" s="3"/>
      <c r="E31" s="3"/>
      <c r="F31" s="3" t="s">
        <v>62</v>
      </c>
      <c r="G31">
        <f>NOVEMBER20!I41</f>
        <v>-9810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G32*G30</f>
        <v>2010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/>
      <c r="C34" s="3"/>
      <c r="D34" s="3"/>
      <c r="E34" s="3"/>
      <c r="F34" s="19"/>
      <c r="G34" s="3"/>
      <c r="H34" s="3"/>
      <c r="I34" s="3"/>
    </row>
    <row r="35" spans="2:9" x14ac:dyDescent="0.25">
      <c r="B35" s="19" t="s">
        <v>303</v>
      </c>
      <c r="C35" s="3"/>
      <c r="D35" s="3">
        <v>19800</v>
      </c>
      <c r="E35" s="3"/>
      <c r="F35" s="19" t="s">
        <v>303</v>
      </c>
      <c r="G35" s="3"/>
      <c r="H35" s="3">
        <v>19800</v>
      </c>
      <c r="I35" s="3"/>
    </row>
    <row r="36" spans="2:9" x14ac:dyDescent="0.25">
      <c r="B36" s="19"/>
      <c r="C36" s="3"/>
      <c r="D36" s="3"/>
      <c r="E36" s="3"/>
      <c r="F36" s="19"/>
      <c r="G36" s="3"/>
      <c r="H36" s="3"/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19800</v>
      </c>
      <c r="D41" s="2">
        <f>SUM(D34:D40)</f>
        <v>19800</v>
      </c>
      <c r="E41" s="2">
        <f>C41-D41</f>
        <v>0</v>
      </c>
      <c r="F41" s="2" t="s">
        <v>26</v>
      </c>
      <c r="G41" s="2">
        <f>G30+G31-H32</f>
        <v>8280</v>
      </c>
      <c r="H41" s="2">
        <f>SUM(H34:H40)</f>
        <v>19800</v>
      </c>
      <c r="I41" s="2">
        <f>G41-H41</f>
        <v>-11520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302</v>
      </c>
      <c r="D48" s="29"/>
      <c r="E48" s="29"/>
      <c r="F48" s="29"/>
      <c r="G48" s="22"/>
    </row>
    <row r="49" spans="1:14" ht="18.75" x14ac:dyDescent="0.3">
      <c r="B49" s="18"/>
      <c r="C49" s="46" t="s">
        <v>139</v>
      </c>
      <c r="D49" s="47"/>
      <c r="E49" s="30"/>
      <c r="F49" s="31"/>
      <c r="G49" s="3"/>
    </row>
    <row r="50" spans="1:14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4" x14ac:dyDescent="0.25">
      <c r="A51">
        <v>1</v>
      </c>
      <c r="B51" s="18"/>
      <c r="C51" s="3">
        <f>NOVEMBER20!G51:G62</f>
        <v>0</v>
      </c>
      <c r="D51" s="3"/>
      <c r="E51" s="16"/>
      <c r="F51" s="15"/>
      <c r="G51" s="3"/>
    </row>
    <row r="52" spans="1:14" x14ac:dyDescent="0.25">
      <c r="A52">
        <v>2</v>
      </c>
      <c r="B52" s="18"/>
      <c r="C52" s="3">
        <f>NOVEMBER20!G52:G63</f>
        <v>0</v>
      </c>
      <c r="D52" s="3"/>
      <c r="E52" s="16">
        <f>C52+D52</f>
        <v>0</v>
      </c>
      <c r="F52" s="15"/>
      <c r="G52" s="3">
        <f t="shared" ref="G52:G60" si="3">E52-F52</f>
        <v>0</v>
      </c>
    </row>
    <row r="53" spans="1:14" x14ac:dyDescent="0.25">
      <c r="A53">
        <v>3</v>
      </c>
      <c r="B53" s="18" t="s">
        <v>193</v>
      </c>
      <c r="C53" s="3">
        <f>NOVEMBER20!G53:G64</f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14" x14ac:dyDescent="0.25">
      <c r="A54">
        <v>4</v>
      </c>
      <c r="B54" s="18" t="s">
        <v>144</v>
      </c>
      <c r="C54" s="3">
        <f>NOVEMBER20!G54:G65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</row>
    <row r="55" spans="1:14" x14ac:dyDescent="0.25">
      <c r="A55">
        <v>5</v>
      </c>
      <c r="B55" s="18" t="s">
        <v>45</v>
      </c>
      <c r="C55" s="3">
        <f>NOVEMBER20!G55:G66</f>
        <v>0</v>
      </c>
      <c r="D55" s="3">
        <v>2000</v>
      </c>
      <c r="E55" s="16">
        <f t="shared" si="4"/>
        <v>2000</v>
      </c>
      <c r="F55" s="15">
        <f>1000</f>
        <v>1000</v>
      </c>
      <c r="G55" s="3">
        <f t="shared" si="3"/>
        <v>1000</v>
      </c>
    </row>
    <row r="56" spans="1:14" x14ac:dyDescent="0.25">
      <c r="A56">
        <v>6</v>
      </c>
      <c r="B56" s="18" t="s">
        <v>165</v>
      </c>
      <c r="C56" s="3">
        <f>NOVEMBER20!G56:G67</f>
        <v>0</v>
      </c>
      <c r="D56" s="3">
        <v>2000</v>
      </c>
      <c r="E56" s="16">
        <f t="shared" si="4"/>
        <v>2000</v>
      </c>
      <c r="F56" s="15">
        <v>2000</v>
      </c>
      <c r="G56" s="3">
        <f t="shared" si="3"/>
        <v>0</v>
      </c>
    </row>
    <row r="57" spans="1:14" x14ac:dyDescent="0.25">
      <c r="A57">
        <v>7</v>
      </c>
      <c r="B57" s="18"/>
      <c r="C57" s="3">
        <f>NOVEMBER20!G57:G68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14" x14ac:dyDescent="0.25">
      <c r="A58">
        <v>8</v>
      </c>
      <c r="B58" s="18" t="s">
        <v>273</v>
      </c>
      <c r="C58" s="3">
        <f>NOVEMBER20!G58:G69</f>
        <v>1000</v>
      </c>
      <c r="D58" s="3">
        <v>2000</v>
      </c>
      <c r="E58" s="16">
        <f t="shared" si="4"/>
        <v>3000</v>
      </c>
      <c r="F58" s="15">
        <f>2000</f>
        <v>2000</v>
      </c>
      <c r="G58" s="3">
        <f t="shared" si="3"/>
        <v>1000</v>
      </c>
    </row>
    <row r="59" spans="1:14" x14ac:dyDescent="0.25">
      <c r="A59">
        <v>9</v>
      </c>
      <c r="B59" s="18" t="s">
        <v>190</v>
      </c>
      <c r="C59" s="3">
        <f>NOVEMBER20!G59:G70</f>
        <v>0</v>
      </c>
      <c r="D59" s="3">
        <v>2000</v>
      </c>
      <c r="E59" s="16">
        <f t="shared" si="4"/>
        <v>2000</v>
      </c>
      <c r="F59" s="15">
        <v>2000</v>
      </c>
      <c r="G59" s="3">
        <f t="shared" si="3"/>
        <v>0</v>
      </c>
    </row>
    <row r="60" spans="1:14" x14ac:dyDescent="0.25">
      <c r="A60">
        <v>10</v>
      </c>
      <c r="B60" s="18" t="s">
        <v>228</v>
      </c>
      <c r="C60" s="3">
        <f>NOVEMBER20!G60:G71</f>
        <v>0</v>
      </c>
      <c r="D60" s="3">
        <v>2000</v>
      </c>
      <c r="E60" s="16">
        <f t="shared" si="4"/>
        <v>2000</v>
      </c>
      <c r="F60" s="15">
        <f>1000+1000</f>
        <v>2000</v>
      </c>
      <c r="G60" s="3">
        <f t="shared" si="3"/>
        <v>0</v>
      </c>
    </row>
    <row r="61" spans="1:14" x14ac:dyDescent="0.25">
      <c r="A61">
        <v>11</v>
      </c>
      <c r="B61" s="18"/>
      <c r="C61" s="3">
        <f>NOVEMBER20!G61:G72</f>
        <v>0</v>
      </c>
      <c r="D61" s="3"/>
      <c r="E61" s="16"/>
      <c r="F61" s="15"/>
      <c r="G61" s="3"/>
      <c r="N61">
        <f>E41+E77</f>
        <v>0</v>
      </c>
    </row>
    <row r="62" spans="1:14" x14ac:dyDescent="0.25">
      <c r="A62">
        <v>12</v>
      </c>
      <c r="B62" s="18"/>
      <c r="C62" s="3">
        <f>NOVEMBER20!G62:G73</f>
        <v>0</v>
      </c>
      <c r="D62" s="3"/>
      <c r="E62" s="16"/>
      <c r="F62" s="15"/>
      <c r="G62" s="3"/>
    </row>
    <row r="63" spans="1:14" x14ac:dyDescent="0.25">
      <c r="B63" s="2" t="s">
        <v>26</v>
      </c>
      <c r="C63" s="3">
        <f>SUM(C52:C62)</f>
        <v>1000</v>
      </c>
      <c r="D63" s="2">
        <f>SUM(D51:D62)</f>
        <v>14000</v>
      </c>
      <c r="E63" s="2">
        <f>SUM(E51:E62)</f>
        <v>15000</v>
      </c>
      <c r="F63" s="2">
        <f>SUM(F51:F62)</f>
        <v>13000</v>
      </c>
      <c r="G63" s="2">
        <f>SUM(G51:G62)</f>
        <v>2000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211</v>
      </c>
      <c r="C67" s="3">
        <f>D63</f>
        <v>14000</v>
      </c>
      <c r="D67" s="3"/>
      <c r="E67" s="3"/>
      <c r="F67" s="3" t="s">
        <v>211</v>
      </c>
      <c r="G67" s="3">
        <f>F63</f>
        <v>13000</v>
      </c>
      <c r="H67" s="3"/>
      <c r="I67" s="3"/>
    </row>
    <row r="68" spans="2:9" x14ac:dyDescent="0.25">
      <c r="B68" s="3" t="s">
        <v>62</v>
      </c>
      <c r="C68" s="3">
        <f>NOVEMBER20!E77</f>
        <v>0</v>
      </c>
      <c r="D68" s="3"/>
      <c r="E68" s="3"/>
      <c r="F68" s="3" t="s">
        <v>62</v>
      </c>
      <c r="G68">
        <f>NOVEMBER20!I77</f>
        <v>-1000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/>
      <c r="C71" s="19"/>
      <c r="D71" s="3"/>
      <c r="E71" s="3"/>
      <c r="F71" s="14"/>
      <c r="G71" s="19"/>
      <c r="H71" s="3"/>
      <c r="I71" s="3"/>
    </row>
    <row r="72" spans="2:9" x14ac:dyDescent="0.25">
      <c r="B72" s="14" t="s">
        <v>303</v>
      </c>
      <c r="C72" s="19"/>
      <c r="D72" s="3">
        <v>12600</v>
      </c>
      <c r="E72" s="3"/>
      <c r="F72" s="14" t="s">
        <v>303</v>
      </c>
      <c r="G72" s="19"/>
      <c r="H72" s="3">
        <v>12600</v>
      </c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10600</v>
      </c>
      <c r="H77" s="2">
        <f>SUM(H71:H76)</f>
        <v>12600</v>
      </c>
      <c r="I77" s="2">
        <f>G77-H77</f>
        <v>-2000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" right="0" top="0" bottom="0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F20" sqref="F20"/>
    </sheetView>
  </sheetViews>
  <sheetFormatPr defaultRowHeight="15" x14ac:dyDescent="0.25"/>
  <cols>
    <col min="1" max="1" width="5.5703125" customWidth="1"/>
    <col min="2" max="2" width="19" customWidth="1"/>
    <col min="3" max="3" width="8.1406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304</v>
      </c>
      <c r="D3" s="28"/>
      <c r="F3" s="28"/>
      <c r="G3" s="22"/>
    </row>
    <row r="4" spans="1:8" ht="18.75" x14ac:dyDescent="0.3">
      <c r="D4" s="23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109</v>
      </c>
      <c r="C6" s="3">
        <f>'DECEMBER 20'!G6:G25</f>
        <v>1000</v>
      </c>
      <c r="D6" s="3">
        <v>1000</v>
      </c>
      <c r="E6" s="3">
        <f>D6+C6</f>
        <v>2000</v>
      </c>
      <c r="F6" s="15">
        <f>1000</f>
        <v>1000</v>
      </c>
      <c r="G6" s="3">
        <f>E6-F6</f>
        <v>1000</v>
      </c>
    </row>
    <row r="7" spans="1:8" x14ac:dyDescent="0.25">
      <c r="A7" s="3">
        <v>2</v>
      </c>
      <c r="B7" s="16" t="s">
        <v>109</v>
      </c>
      <c r="C7" s="3">
        <f>'DECEMBER 20'!G7:G26</f>
        <v>1100</v>
      </c>
      <c r="D7" s="3">
        <v>1000</v>
      </c>
      <c r="E7" s="3">
        <f t="shared" ref="E7:E24" si="0">D7+C7</f>
        <v>2100</v>
      </c>
      <c r="F7">
        <f>1000+1000</f>
        <v>2000</v>
      </c>
      <c r="G7" s="3">
        <f t="shared" ref="G7:G9" si="1">E7-F7</f>
        <v>100</v>
      </c>
    </row>
    <row r="8" spans="1:8" x14ac:dyDescent="0.25">
      <c r="A8" s="16">
        <v>3</v>
      </c>
      <c r="B8" s="18" t="s">
        <v>137</v>
      </c>
      <c r="C8" s="3">
        <f>'DECEMBER 20'!G8:G27</f>
        <v>500</v>
      </c>
      <c r="D8" s="18">
        <v>1000</v>
      </c>
      <c r="E8" s="16">
        <f>D8+C8</f>
        <v>1500</v>
      </c>
      <c r="F8" s="15">
        <v>500</v>
      </c>
      <c r="G8" s="3">
        <f t="shared" si="1"/>
        <v>1000</v>
      </c>
    </row>
    <row r="9" spans="1:8" x14ac:dyDescent="0.25">
      <c r="A9" s="16">
        <v>4</v>
      </c>
      <c r="B9" s="16" t="s">
        <v>238</v>
      </c>
      <c r="C9" s="3">
        <f>'DECEMBER 20'!G9:G28</f>
        <v>1000</v>
      </c>
      <c r="D9" s="16">
        <v>1000</v>
      </c>
      <c r="E9" s="16">
        <f>D9+C9</f>
        <v>2000</v>
      </c>
      <c r="F9" s="44">
        <f>1000</f>
        <v>1000</v>
      </c>
      <c r="G9" s="3">
        <f t="shared" si="1"/>
        <v>1000</v>
      </c>
    </row>
    <row r="10" spans="1:8" x14ac:dyDescent="0.25">
      <c r="A10" s="16">
        <v>5</v>
      </c>
      <c r="B10" s="16" t="s">
        <v>10</v>
      </c>
      <c r="C10" s="3">
        <f>'DECEMBER 20'!G10:G29</f>
        <v>0</v>
      </c>
      <c r="D10" s="16">
        <v>1000</v>
      </c>
      <c r="E10" s="16">
        <f>D10+C10</f>
        <v>1000</v>
      </c>
      <c r="F10" s="44">
        <f>1000</f>
        <v>1000</v>
      </c>
      <c r="G10" s="3">
        <f>E10-F10</f>
        <v>0</v>
      </c>
    </row>
    <row r="11" spans="1:8" x14ac:dyDescent="0.25">
      <c r="A11" s="16">
        <v>6</v>
      </c>
      <c r="B11" s="16" t="s">
        <v>207</v>
      </c>
      <c r="C11" s="3">
        <f>'DECEMBER 20'!G11:G30</f>
        <v>800</v>
      </c>
      <c r="D11" s="16">
        <v>1000</v>
      </c>
      <c r="E11" s="16">
        <f t="shared" si="0"/>
        <v>1800</v>
      </c>
      <c r="F11" s="44"/>
      <c r="G11" s="3">
        <f>E11-F11</f>
        <v>1800</v>
      </c>
    </row>
    <row r="12" spans="1:8" x14ac:dyDescent="0.25">
      <c r="A12" s="16">
        <v>7</v>
      </c>
      <c r="B12" s="16" t="s">
        <v>28</v>
      </c>
      <c r="C12" s="3">
        <f>'DECEMBER 20'!G12:G31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8" x14ac:dyDescent="0.25">
      <c r="A13" s="16">
        <v>8</v>
      </c>
      <c r="B13" s="16" t="s">
        <v>220</v>
      </c>
      <c r="C13" s="3">
        <f>'DECEMBER 20'!G13:G32</f>
        <v>500</v>
      </c>
      <c r="D13" s="16">
        <v>1000</v>
      </c>
      <c r="E13" s="16">
        <f t="shared" si="0"/>
        <v>1500</v>
      </c>
      <c r="F13" s="44">
        <f>200+500+500</f>
        <v>1200</v>
      </c>
      <c r="G13" s="3">
        <f t="shared" si="2"/>
        <v>300</v>
      </c>
    </row>
    <row r="14" spans="1:8" x14ac:dyDescent="0.25">
      <c r="A14" s="16">
        <v>9</v>
      </c>
      <c r="B14" s="3" t="s">
        <v>45</v>
      </c>
      <c r="C14" s="3">
        <f>'DECEMBER 20'!G14:G33</f>
        <v>1000</v>
      </c>
      <c r="D14" s="3">
        <v>1000</v>
      </c>
      <c r="E14" s="16">
        <f t="shared" si="0"/>
        <v>2000</v>
      </c>
      <c r="F14" s="44">
        <f>1600+400</f>
        <v>2000</v>
      </c>
      <c r="G14" s="3">
        <f t="shared" si="2"/>
        <v>0</v>
      </c>
    </row>
    <row r="15" spans="1:8" x14ac:dyDescent="0.25">
      <c r="A15" s="16">
        <v>10</v>
      </c>
      <c r="B15" s="16" t="s">
        <v>232</v>
      </c>
      <c r="C15" s="3">
        <f>'DECEMBER 20'!G15:G34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8" x14ac:dyDescent="0.25">
      <c r="A16" s="16">
        <v>11</v>
      </c>
      <c r="B16" s="18" t="s">
        <v>298</v>
      </c>
      <c r="C16" s="3">
        <f>'DECEMBER 20'!G16:G35</f>
        <v>1100</v>
      </c>
      <c r="D16" s="18">
        <v>1000</v>
      </c>
      <c r="E16" s="16">
        <f t="shared" si="0"/>
        <v>2100</v>
      </c>
      <c r="F16" s="45">
        <v>500</v>
      </c>
      <c r="G16" s="14">
        <f t="shared" si="2"/>
        <v>1600</v>
      </c>
      <c r="H16" t="s">
        <v>308</v>
      </c>
    </row>
    <row r="17" spans="1:9" x14ac:dyDescent="0.25">
      <c r="A17" s="16">
        <v>12</v>
      </c>
      <c r="B17" s="3" t="s">
        <v>252</v>
      </c>
      <c r="C17" s="3">
        <f>'DECEMBER 20'!G17:G36</f>
        <v>0</v>
      </c>
      <c r="D17" s="3">
        <v>1000</v>
      </c>
      <c r="E17" s="16">
        <f>D17+C17</f>
        <v>1000</v>
      </c>
      <c r="F17" s="44">
        <f>1000</f>
        <v>1000</v>
      </c>
      <c r="G17" s="14">
        <f>E17-F17</f>
        <v>0</v>
      </c>
    </row>
    <row r="18" spans="1:9" x14ac:dyDescent="0.25">
      <c r="A18" s="16">
        <v>13</v>
      </c>
      <c r="B18" s="16" t="s">
        <v>204</v>
      </c>
      <c r="C18" s="3">
        <f>'DECEMBER 20'!G18:G37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'DECEMBER 20'!G19:G38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'DECEMBER 20'!G20:G39</f>
        <v>0</v>
      </c>
      <c r="D20" s="16">
        <v>1000</v>
      </c>
      <c r="E20" s="16">
        <f t="shared" si="0"/>
        <v>1000</v>
      </c>
      <c r="F20" s="44">
        <f>1000</f>
        <v>1000</v>
      </c>
      <c r="G20" s="3">
        <f t="shared" si="2"/>
        <v>0</v>
      </c>
    </row>
    <row r="21" spans="1:9" x14ac:dyDescent="0.25">
      <c r="A21" s="16">
        <v>16</v>
      </c>
      <c r="B21" s="3" t="s">
        <v>291</v>
      </c>
      <c r="C21" s="3">
        <f>'DECEMBER 20'!G21:G40</f>
        <v>0</v>
      </c>
      <c r="D21" s="3">
        <v>1000</v>
      </c>
      <c r="E21" s="3">
        <v>1000</v>
      </c>
      <c r="F21" s="44">
        <v>1000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'DECEMBER 20'!G22:G41</f>
        <v>0</v>
      </c>
      <c r="D22" s="16">
        <v>1500</v>
      </c>
      <c r="E22" s="16">
        <f t="shared" si="0"/>
        <v>1500</v>
      </c>
      <c r="F22" s="44">
        <f>1500</f>
        <v>1500</v>
      </c>
      <c r="G22" s="3">
        <f t="shared" si="2"/>
        <v>0</v>
      </c>
    </row>
    <row r="23" spans="1:9" x14ac:dyDescent="0.25">
      <c r="A23" s="3">
        <v>18</v>
      </c>
      <c r="B23" s="18" t="s">
        <v>296</v>
      </c>
      <c r="C23" s="3">
        <f>'DECEMBER 20'!G23:G42</f>
        <v>800</v>
      </c>
      <c r="D23" s="3">
        <v>1500</v>
      </c>
      <c r="E23" s="16">
        <f t="shared" si="0"/>
        <v>2300</v>
      </c>
      <c r="F23" s="44">
        <f>1000</f>
        <v>1000</v>
      </c>
      <c r="G23" s="3">
        <f t="shared" si="2"/>
        <v>1300</v>
      </c>
    </row>
    <row r="24" spans="1:9" x14ac:dyDescent="0.25">
      <c r="A24" s="3">
        <v>19</v>
      </c>
      <c r="B24" s="18" t="s">
        <v>135</v>
      </c>
      <c r="C24" s="3">
        <f>'DECEMBER 20'!G24:G43</f>
        <v>0</v>
      </c>
      <c r="D24" s="3">
        <v>1500</v>
      </c>
      <c r="E24" s="16">
        <f t="shared" si="0"/>
        <v>1500</v>
      </c>
      <c r="F24" s="44">
        <f>1500</f>
        <v>1500</v>
      </c>
      <c r="G24" s="3">
        <f t="shared" si="2"/>
        <v>0</v>
      </c>
    </row>
    <row r="25" spans="1:9" x14ac:dyDescent="0.25">
      <c r="A25" s="3">
        <v>20</v>
      </c>
      <c r="B25" s="18" t="s">
        <v>118</v>
      </c>
      <c r="C25" s="3">
        <f>'DECEMBER 20'!G25:G44</f>
        <v>2520</v>
      </c>
      <c r="D25" s="3">
        <v>1500</v>
      </c>
      <c r="E25" s="16">
        <f>D25+C25</f>
        <v>4020</v>
      </c>
      <c r="F25" s="44">
        <v>700</v>
      </c>
      <c r="G25" s="3">
        <f t="shared" si="2"/>
        <v>3320</v>
      </c>
    </row>
    <row r="26" spans="1:9" x14ac:dyDescent="0.25">
      <c r="B26" s="2" t="s">
        <v>26</v>
      </c>
      <c r="C26" s="3">
        <f>SUM(C6:C25)</f>
        <v>12150</v>
      </c>
      <c r="D26" s="2">
        <f>SUM(D6:D25)</f>
        <v>22000</v>
      </c>
      <c r="E26" s="2">
        <f>SUM(E6:E25)</f>
        <v>34150</v>
      </c>
      <c r="F26" s="2">
        <f>SUM(F6:F25)</f>
        <v>20900</v>
      </c>
      <c r="G26" s="2">
        <f>SUM(G6:G25)</f>
        <v>13250</v>
      </c>
    </row>
    <row r="27" spans="1:9" x14ac:dyDescent="0.25">
      <c r="C27" s="3">
        <f>'OCTOBER 20'!G27:G46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216</v>
      </c>
      <c r="C30" s="3">
        <f>D26</f>
        <v>22000</v>
      </c>
      <c r="D30" s="3"/>
      <c r="E30" s="3"/>
      <c r="F30" s="3" t="s">
        <v>216</v>
      </c>
      <c r="G30" s="3">
        <f>F26</f>
        <v>20900</v>
      </c>
      <c r="H30" s="3"/>
      <c r="I30" s="3"/>
    </row>
    <row r="31" spans="1:9" x14ac:dyDescent="0.25">
      <c r="B31" s="3" t="s">
        <v>62</v>
      </c>
      <c r="C31" s="3">
        <f>'DECEMBER 20'!E41</f>
        <v>0</v>
      </c>
      <c r="D31" s="3"/>
      <c r="E31" s="3"/>
      <c r="F31" s="3" t="s">
        <v>62</v>
      </c>
      <c r="G31">
        <f>'DECEMBER 20'!I41</f>
        <v>-11520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G32*G30</f>
        <v>2090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28</v>
      </c>
      <c r="C34" s="3"/>
      <c r="D34" s="3">
        <v>1000</v>
      </c>
      <c r="E34" s="3"/>
      <c r="F34" s="19" t="s">
        <v>28</v>
      </c>
      <c r="G34" s="3"/>
      <c r="H34" s="3">
        <v>1000</v>
      </c>
      <c r="I34" s="3"/>
    </row>
    <row r="35" spans="2:9" x14ac:dyDescent="0.25">
      <c r="B35" s="19" t="s">
        <v>306</v>
      </c>
      <c r="C35" s="3"/>
      <c r="D35" s="3">
        <v>18800</v>
      </c>
      <c r="E35" s="3"/>
      <c r="F35" s="19" t="s">
        <v>306</v>
      </c>
      <c r="G35" s="3"/>
      <c r="H35" s="3">
        <v>18800</v>
      </c>
      <c r="I35" s="3"/>
    </row>
    <row r="36" spans="2:9" x14ac:dyDescent="0.25">
      <c r="B36" s="19" t="s">
        <v>309</v>
      </c>
      <c r="C36" s="3"/>
      <c r="D36" s="3">
        <v>1600</v>
      </c>
      <c r="E36" s="3"/>
      <c r="F36" s="19"/>
      <c r="G36" s="3"/>
      <c r="H36" s="3"/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19800</v>
      </c>
      <c r="D41" s="2">
        <f>SUM(D34:D40)</f>
        <v>21400</v>
      </c>
      <c r="E41" s="2">
        <f>C41-D41</f>
        <v>-1600</v>
      </c>
      <c r="F41" s="2" t="s">
        <v>26</v>
      </c>
      <c r="G41" s="2">
        <f>G30+G31-H32</f>
        <v>7290</v>
      </c>
      <c r="H41" s="2">
        <f>SUM(H34:H40)</f>
        <v>19800</v>
      </c>
      <c r="I41" s="2">
        <f>G41-H41</f>
        <v>-12510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305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/>
      <c r="D51" s="3"/>
      <c r="E51" s="16"/>
      <c r="F51" s="15"/>
      <c r="G51" s="3"/>
    </row>
    <row r="52" spans="1:7" x14ac:dyDescent="0.25">
      <c r="A52">
        <v>2</v>
      </c>
      <c r="B52" s="18"/>
      <c r="C52" s="3">
        <f>'DECEMBER 20'!G52:G62</f>
        <v>0</v>
      </c>
      <c r="D52" s="3"/>
      <c r="E52" s="16">
        <f>C52+D52</f>
        <v>0</v>
      </c>
      <c r="F52" s="15"/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'DECEMBER 20'!G53:G63</f>
        <v>0</v>
      </c>
      <c r="D53" s="3">
        <v>2000</v>
      </c>
      <c r="E53" s="16">
        <f>C53+D53</f>
        <v>2000</v>
      </c>
      <c r="F53" s="15">
        <f>1000+1000</f>
        <v>2000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'DECEMBER 20'!G54:G64</f>
        <v>0</v>
      </c>
      <c r="D54" s="3">
        <v>2000</v>
      </c>
      <c r="E54" s="16">
        <f t="shared" ref="E54:E60" si="4">C54+D54</f>
        <v>2000</v>
      </c>
      <c r="F54" s="15">
        <f>2000</f>
        <v>2000</v>
      </c>
      <c r="G54" s="3">
        <f t="shared" si="3"/>
        <v>0</v>
      </c>
    </row>
    <row r="55" spans="1:7" x14ac:dyDescent="0.25">
      <c r="A55">
        <v>5</v>
      </c>
      <c r="B55" s="18" t="s">
        <v>307</v>
      </c>
      <c r="C55" s="3">
        <f>'DECEMBER 20'!G55:G65</f>
        <v>1000</v>
      </c>
      <c r="D55" s="3">
        <v>2000</v>
      </c>
      <c r="E55" s="16">
        <f t="shared" si="4"/>
        <v>3000</v>
      </c>
      <c r="F55" s="15">
        <f>500+400+600+900</f>
        <v>2400</v>
      </c>
      <c r="G55" s="3">
        <f t="shared" si="3"/>
        <v>600</v>
      </c>
    </row>
    <row r="56" spans="1:7" x14ac:dyDescent="0.25">
      <c r="A56">
        <v>6</v>
      </c>
      <c r="B56" s="18" t="s">
        <v>165</v>
      </c>
      <c r="C56" s="3">
        <f>'DECEMBER 20'!G56:G66</f>
        <v>0</v>
      </c>
      <c r="D56" s="3">
        <v>2000</v>
      </c>
      <c r="E56" s="16">
        <f t="shared" si="4"/>
        <v>2000</v>
      </c>
      <c r="F56" s="15">
        <v>2000</v>
      </c>
      <c r="G56" s="3">
        <f t="shared" si="3"/>
        <v>0</v>
      </c>
    </row>
    <row r="57" spans="1:7" x14ac:dyDescent="0.25">
      <c r="A57">
        <v>7</v>
      </c>
      <c r="B57" s="18"/>
      <c r="C57" s="3">
        <f>'DECEMBER 20'!G57:G67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'DECEMBER 20'!G58:G68</f>
        <v>1000</v>
      </c>
      <c r="D58" s="3">
        <v>2000</v>
      </c>
      <c r="E58" s="16">
        <f t="shared" si="4"/>
        <v>3000</v>
      </c>
      <c r="F58" s="15">
        <f>2000</f>
        <v>2000</v>
      </c>
      <c r="G58" s="3">
        <f t="shared" si="3"/>
        <v>1000</v>
      </c>
    </row>
    <row r="59" spans="1:7" x14ac:dyDescent="0.25">
      <c r="A59">
        <v>9</v>
      </c>
      <c r="B59" s="18" t="s">
        <v>190</v>
      </c>
      <c r="C59" s="3">
        <f>'DECEMBER 20'!G59:G69</f>
        <v>0</v>
      </c>
      <c r="D59" s="3">
        <v>2000</v>
      </c>
      <c r="E59" s="16">
        <f t="shared" si="4"/>
        <v>2000</v>
      </c>
      <c r="F59" s="15">
        <f>2000</f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'DECEMBER 20'!G60:G70</f>
        <v>0</v>
      </c>
      <c r="D60" s="3">
        <v>2000</v>
      </c>
      <c r="E60" s="16">
        <f t="shared" si="4"/>
        <v>2000</v>
      </c>
      <c r="F60" s="15">
        <f>1000</f>
        <v>1000</v>
      </c>
      <c r="G60" s="3">
        <f t="shared" si="3"/>
        <v>1000</v>
      </c>
    </row>
    <row r="61" spans="1:7" x14ac:dyDescent="0.25">
      <c r="A61">
        <v>11</v>
      </c>
      <c r="B61" s="18"/>
      <c r="C61" s="3">
        <f>'DECEMBER 20'!G61:G71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'DECEMBER 20'!G62:G72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2000</v>
      </c>
      <c r="D63" s="2">
        <f>SUM(D51:D62)</f>
        <v>14000</v>
      </c>
      <c r="E63" s="2">
        <f>SUM(E51:E62)</f>
        <v>16000</v>
      </c>
      <c r="F63" s="2">
        <f>SUM(F51:F62)</f>
        <v>13400</v>
      </c>
      <c r="G63" s="2">
        <f>SUM(G51:G62)</f>
        <v>2600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216</v>
      </c>
      <c r="C67" s="3">
        <f>D63</f>
        <v>14000</v>
      </c>
      <c r="D67" s="3"/>
      <c r="E67" s="3"/>
      <c r="F67" s="3" t="s">
        <v>216</v>
      </c>
      <c r="G67" s="3">
        <f>F63</f>
        <v>13400</v>
      </c>
      <c r="H67" s="3"/>
      <c r="I67" s="3"/>
    </row>
    <row r="68" spans="2:9" x14ac:dyDescent="0.25">
      <c r="B68" s="3" t="s">
        <v>62</v>
      </c>
      <c r="C68" s="3">
        <f>'DECEMBER 20'!E77</f>
        <v>0</v>
      </c>
      <c r="D68" s="3"/>
      <c r="E68" s="3"/>
      <c r="F68" s="3" t="s">
        <v>62</v>
      </c>
      <c r="G68">
        <f>'DECEMBER 20'!I77</f>
        <v>-2000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306</v>
      </c>
      <c r="C71" s="19"/>
      <c r="D71" s="3">
        <v>12600</v>
      </c>
      <c r="E71" s="3"/>
      <c r="F71" s="14" t="s">
        <v>306</v>
      </c>
      <c r="G71" s="19"/>
      <c r="H71" s="3">
        <v>12600</v>
      </c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10000</v>
      </c>
      <c r="H77" s="2">
        <f>SUM(H71:H76)</f>
        <v>12600</v>
      </c>
      <c r="I77" s="2">
        <f>G77-H77</f>
        <v>-2600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" right="0" top="0" bottom="0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3" workbookViewId="0">
      <selection activeCell="G25" sqref="G25"/>
    </sheetView>
  </sheetViews>
  <sheetFormatPr defaultRowHeight="15" x14ac:dyDescent="0.25"/>
  <cols>
    <col min="1" max="1" width="3.140625" customWidth="1"/>
    <col min="2" max="2" width="19.425781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310</v>
      </c>
      <c r="D3" s="28"/>
      <c r="F3" s="28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109</v>
      </c>
      <c r="C6" s="3">
        <f>'JANUARY 21'!G6:G26</f>
        <v>1000</v>
      </c>
      <c r="D6" s="3">
        <v>1000</v>
      </c>
      <c r="E6" s="3">
        <f>D6+C6</f>
        <v>2000</v>
      </c>
      <c r="F6" s="15">
        <f>1000+700</f>
        <v>1700</v>
      </c>
      <c r="G6" s="3">
        <f>E6-F6</f>
        <v>300</v>
      </c>
    </row>
    <row r="7" spans="1:7" x14ac:dyDescent="0.25">
      <c r="A7" s="3">
        <v>2</v>
      </c>
      <c r="B7" s="16" t="s">
        <v>109</v>
      </c>
      <c r="C7" s="3">
        <f>'JANUARY 21'!G7:G27</f>
        <v>100</v>
      </c>
      <c r="D7" s="3">
        <v>1000</v>
      </c>
      <c r="E7" s="3">
        <f t="shared" ref="E7:E24" si="0">D7+C7</f>
        <v>1100</v>
      </c>
      <c r="F7">
        <v>1000</v>
      </c>
      <c r="G7" s="3">
        <f t="shared" ref="G7:G9" si="1">E7-F7</f>
        <v>100</v>
      </c>
    </row>
    <row r="8" spans="1:7" x14ac:dyDescent="0.25">
      <c r="A8" s="16">
        <v>3</v>
      </c>
      <c r="B8" s="18" t="s">
        <v>137</v>
      </c>
      <c r="C8" s="3">
        <f>'JANUARY 21'!G8:G28</f>
        <v>1000</v>
      </c>
      <c r="D8" s="18">
        <v>1000</v>
      </c>
      <c r="E8" s="16">
        <f>D8+C8</f>
        <v>2000</v>
      </c>
      <c r="F8" s="15">
        <f>2000</f>
        <v>2000</v>
      </c>
      <c r="G8" s="3">
        <f t="shared" si="1"/>
        <v>0</v>
      </c>
    </row>
    <row r="9" spans="1:7" x14ac:dyDescent="0.25">
      <c r="A9" s="16">
        <v>4</v>
      </c>
      <c r="B9" s="16" t="s">
        <v>238</v>
      </c>
      <c r="C9" s="3">
        <f>'JANUARY 21'!G9:G29</f>
        <v>1000</v>
      </c>
      <c r="D9" s="16">
        <v>1000</v>
      </c>
      <c r="E9" s="16">
        <f>D9+C9</f>
        <v>2000</v>
      </c>
      <c r="F9" s="44">
        <f>1000+1000</f>
        <v>2000</v>
      </c>
      <c r="G9" s="3">
        <f t="shared" si="1"/>
        <v>0</v>
      </c>
    </row>
    <row r="10" spans="1:7" x14ac:dyDescent="0.25">
      <c r="A10" s="16">
        <v>5</v>
      </c>
      <c r="B10" s="16" t="s">
        <v>10</v>
      </c>
      <c r="C10" s="3">
        <f>'JANUARY 21'!G10:G30</f>
        <v>0</v>
      </c>
      <c r="D10" s="16">
        <v>1000</v>
      </c>
      <c r="E10" s="16">
        <f>D10+C10</f>
        <v>1000</v>
      </c>
      <c r="F10" s="44">
        <f>1000</f>
        <v>1000</v>
      </c>
      <c r="G10" s="3">
        <f>E10-F10</f>
        <v>0</v>
      </c>
    </row>
    <row r="11" spans="1:7" x14ac:dyDescent="0.25">
      <c r="A11" s="16">
        <v>6</v>
      </c>
      <c r="B11" s="16" t="s">
        <v>207</v>
      </c>
      <c r="C11" s="3">
        <f>'JANUARY 21'!G11:G31</f>
        <v>1800</v>
      </c>
      <c r="D11" s="16">
        <v>1000</v>
      </c>
      <c r="E11" s="16">
        <f t="shared" si="0"/>
        <v>2800</v>
      </c>
      <c r="F11" s="44"/>
      <c r="G11" s="3">
        <f>E11-F11</f>
        <v>2800</v>
      </c>
    </row>
    <row r="12" spans="1:7" x14ac:dyDescent="0.25">
      <c r="A12" s="16">
        <v>7</v>
      </c>
      <c r="B12" s="16" t="s">
        <v>28</v>
      </c>
      <c r="C12" s="3">
        <f>'JANUARY 21'!G12:G32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'JANUARY 21'!G13:G33</f>
        <v>300</v>
      </c>
      <c r="D13" s="16">
        <v>1000</v>
      </c>
      <c r="E13" s="16">
        <f t="shared" si="0"/>
        <v>1300</v>
      </c>
      <c r="F13" s="44">
        <f>300+500</f>
        <v>800</v>
      </c>
      <c r="G13" s="3">
        <f t="shared" si="2"/>
        <v>500</v>
      </c>
    </row>
    <row r="14" spans="1:7" x14ac:dyDescent="0.25">
      <c r="A14" s="16">
        <v>9</v>
      </c>
      <c r="B14" s="3" t="s">
        <v>313</v>
      </c>
      <c r="C14" s="3">
        <f>'JANUARY 21'!G14:G34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'JANUARY 21'!G15:G35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7" x14ac:dyDescent="0.25">
      <c r="A16" s="16">
        <v>11</v>
      </c>
      <c r="B16" s="36" t="s">
        <v>15</v>
      </c>
      <c r="C16" s="3"/>
      <c r="D16" s="18"/>
      <c r="E16" s="16"/>
      <c r="F16" s="45"/>
      <c r="G16" s="14"/>
    </row>
    <row r="17" spans="1:15" x14ac:dyDescent="0.25">
      <c r="A17" s="16">
        <v>12</v>
      </c>
      <c r="B17" s="3" t="s">
        <v>252</v>
      </c>
      <c r="C17" s="3">
        <f>'JANUARY 21'!G17:G37</f>
        <v>0</v>
      </c>
      <c r="D17" s="3">
        <v>1000</v>
      </c>
      <c r="E17" s="16">
        <f>D17+C17</f>
        <v>1000</v>
      </c>
      <c r="F17" s="44"/>
      <c r="G17" s="14">
        <f>E17-F17</f>
        <v>1000</v>
      </c>
    </row>
    <row r="18" spans="1:15" x14ac:dyDescent="0.25">
      <c r="A18" s="16">
        <v>13</v>
      </c>
      <c r="B18" s="16" t="s">
        <v>204</v>
      </c>
      <c r="C18" s="3">
        <f>'JANUARY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5" x14ac:dyDescent="0.25">
      <c r="A19" s="16">
        <v>14</v>
      </c>
      <c r="B19" s="16" t="s">
        <v>209</v>
      </c>
      <c r="C19" s="3">
        <f>'JANUARY 21'!G19:G39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15" x14ac:dyDescent="0.25">
      <c r="A20" s="16">
        <v>15</v>
      </c>
      <c r="B20" s="16" t="s">
        <v>137</v>
      </c>
      <c r="C20" s="3">
        <f>'JANUARY 21'!G20:G40</f>
        <v>0</v>
      </c>
      <c r="D20" s="16">
        <v>1000</v>
      </c>
      <c r="E20" s="16">
        <f t="shared" si="0"/>
        <v>1000</v>
      </c>
      <c r="F20" s="44"/>
      <c r="G20" s="3">
        <f t="shared" si="2"/>
        <v>1000</v>
      </c>
    </row>
    <row r="21" spans="1:15" x14ac:dyDescent="0.25">
      <c r="A21" s="16">
        <v>16</v>
      </c>
      <c r="B21" s="3" t="s">
        <v>291</v>
      </c>
      <c r="C21" s="3">
        <f>'JANUARY 21'!G21:G41</f>
        <v>0</v>
      </c>
      <c r="D21" s="3">
        <v>1000</v>
      </c>
      <c r="E21" s="3">
        <v>1000</v>
      </c>
      <c r="F21" s="44">
        <f>1000</f>
        <v>1000</v>
      </c>
      <c r="G21" s="3">
        <f>E21-F21</f>
        <v>0</v>
      </c>
      <c r="N21">
        <f>4500/2</f>
        <v>2250</v>
      </c>
      <c r="O21">
        <f>150*10</f>
        <v>1500</v>
      </c>
    </row>
    <row r="22" spans="1:15" x14ac:dyDescent="0.25">
      <c r="A22" s="16">
        <v>17</v>
      </c>
      <c r="B22" s="16" t="s">
        <v>47</v>
      </c>
      <c r="C22" s="3">
        <f>'JANUARY 21'!G22:G42</f>
        <v>0</v>
      </c>
      <c r="D22" s="16">
        <v>1500</v>
      </c>
      <c r="E22" s="16">
        <f t="shared" si="0"/>
        <v>1500</v>
      </c>
      <c r="F22" s="44">
        <f>1500</f>
        <v>1500</v>
      </c>
      <c r="G22" s="3">
        <f t="shared" si="2"/>
        <v>0</v>
      </c>
      <c r="M22">
        <f>5050/2</f>
        <v>2525</v>
      </c>
      <c r="N22">
        <f>350/2</f>
        <v>175</v>
      </c>
      <c r="O22">
        <v>350</v>
      </c>
    </row>
    <row r="23" spans="1:15" x14ac:dyDescent="0.25">
      <c r="A23" s="3">
        <v>18</v>
      </c>
      <c r="B23" s="18" t="s">
        <v>296</v>
      </c>
      <c r="C23" s="3">
        <f>'JANUARY 21'!G23:G43</f>
        <v>1300</v>
      </c>
      <c r="D23" s="3">
        <v>1500</v>
      </c>
      <c r="E23" s="16">
        <f t="shared" si="0"/>
        <v>2800</v>
      </c>
      <c r="F23" s="44">
        <f>1500+500</f>
        <v>2000</v>
      </c>
      <c r="G23" s="3">
        <f t="shared" si="2"/>
        <v>800</v>
      </c>
      <c r="N23">
        <f>N21+N22+100</f>
        <v>2525</v>
      </c>
      <c r="O23">
        <f>O21+O22</f>
        <v>1850</v>
      </c>
    </row>
    <row r="24" spans="1:15" x14ac:dyDescent="0.25">
      <c r="A24" s="3">
        <v>19</v>
      </c>
      <c r="B24" s="18" t="s">
        <v>135</v>
      </c>
      <c r="C24" s="3">
        <f>'JANUARY 21'!G24:G44</f>
        <v>0</v>
      </c>
      <c r="D24" s="3">
        <v>1500</v>
      </c>
      <c r="E24" s="16">
        <f t="shared" si="0"/>
        <v>1500</v>
      </c>
      <c r="F24" s="44">
        <f>1500</f>
        <v>1500</v>
      </c>
      <c r="G24" s="3">
        <f t="shared" si="2"/>
        <v>0</v>
      </c>
      <c r="O24">
        <f>N23+O23</f>
        <v>4375</v>
      </c>
    </row>
    <row r="25" spans="1:15" x14ac:dyDescent="0.25">
      <c r="A25" s="3">
        <v>20</v>
      </c>
      <c r="B25" s="36" t="s">
        <v>118</v>
      </c>
      <c r="C25" s="15">
        <f>'JANUARY 21'!G25:G45</f>
        <v>3320</v>
      </c>
      <c r="D25" s="3"/>
      <c r="E25" s="16">
        <f>D25+C25</f>
        <v>3320</v>
      </c>
      <c r="F25" s="44">
        <f>1000+1000</f>
        <v>2000</v>
      </c>
      <c r="G25" s="3">
        <f t="shared" si="2"/>
        <v>1320</v>
      </c>
    </row>
    <row r="26" spans="1:15" x14ac:dyDescent="0.25">
      <c r="B26" s="2" t="s">
        <v>26</v>
      </c>
      <c r="C26" s="3">
        <f>'JANUARY 21'!G26:G46</f>
        <v>13250</v>
      </c>
      <c r="D26" s="2">
        <f>SUM(D6:D25)</f>
        <v>19500</v>
      </c>
      <c r="E26" s="2">
        <f>SUM(E6:E25)</f>
        <v>31150</v>
      </c>
      <c r="F26" s="2">
        <f>SUM(F6:F25)</f>
        <v>21500</v>
      </c>
      <c r="G26" s="2">
        <f>SUM(G6:G25)</f>
        <v>9650</v>
      </c>
    </row>
    <row r="27" spans="1:15" x14ac:dyDescent="0.25">
      <c r="C27" s="3">
        <f>'OCTOBER 20'!G27:G46</f>
        <v>0</v>
      </c>
    </row>
    <row r="28" spans="1:15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5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5" x14ac:dyDescent="0.25">
      <c r="B30" s="3" t="s">
        <v>224</v>
      </c>
      <c r="C30" s="3">
        <f>D26</f>
        <v>19500</v>
      </c>
      <c r="D30" s="3"/>
      <c r="E30" s="3"/>
      <c r="F30" s="3" t="s">
        <v>224</v>
      </c>
      <c r="G30" s="3">
        <f>F26</f>
        <v>21500</v>
      </c>
      <c r="H30" s="3"/>
      <c r="I30" s="3"/>
    </row>
    <row r="31" spans="1:15" x14ac:dyDescent="0.25">
      <c r="B31" s="3" t="s">
        <v>62</v>
      </c>
      <c r="C31" s="3">
        <f>'JANUARY 21'!E41</f>
        <v>-1600</v>
      </c>
      <c r="D31" s="3"/>
      <c r="E31" s="3"/>
      <c r="F31" s="3" t="s">
        <v>62</v>
      </c>
      <c r="G31">
        <f>'JANUARY 21'!I41</f>
        <v>-12510</v>
      </c>
      <c r="H31" s="3"/>
      <c r="I31" s="3"/>
    </row>
    <row r="32" spans="1:15" x14ac:dyDescent="0.25">
      <c r="B32" s="3" t="s">
        <v>41</v>
      </c>
      <c r="C32" s="5">
        <v>0.1</v>
      </c>
      <c r="D32" s="3">
        <f>C32*C30</f>
        <v>1950</v>
      </c>
      <c r="E32" s="3"/>
      <c r="F32" s="3" t="s">
        <v>41</v>
      </c>
      <c r="G32" s="5">
        <v>0.1</v>
      </c>
      <c r="H32" s="3">
        <f>G32*G30</f>
        <v>2150</v>
      </c>
      <c r="I32" s="3"/>
    </row>
    <row r="33" spans="2:13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3" x14ac:dyDescent="0.25">
      <c r="B34" s="19" t="s">
        <v>312</v>
      </c>
      <c r="C34" s="3"/>
      <c r="D34" s="3">
        <v>15950</v>
      </c>
      <c r="E34" s="3"/>
      <c r="F34" s="19" t="s">
        <v>312</v>
      </c>
      <c r="G34" s="3"/>
      <c r="H34" s="3">
        <v>15950</v>
      </c>
      <c r="I34" s="3"/>
    </row>
    <row r="35" spans="2:13" x14ac:dyDescent="0.25">
      <c r="B35" s="19"/>
      <c r="C35" s="3"/>
      <c r="D35" s="3"/>
      <c r="E35" s="3"/>
      <c r="F35" s="19"/>
      <c r="G35" s="3"/>
      <c r="H35" s="3"/>
      <c r="I35" s="3"/>
    </row>
    <row r="36" spans="2:13" x14ac:dyDescent="0.25">
      <c r="B36" s="19"/>
      <c r="C36" s="3"/>
      <c r="D36" s="3"/>
      <c r="E36" s="3"/>
      <c r="F36" s="19"/>
      <c r="G36" s="3"/>
      <c r="H36" s="3"/>
      <c r="I36" s="3"/>
    </row>
    <row r="37" spans="2:13" x14ac:dyDescent="0.25">
      <c r="B37" s="19"/>
      <c r="C37" s="3"/>
      <c r="D37" s="3"/>
      <c r="E37" s="3"/>
      <c r="F37" s="19"/>
      <c r="G37" s="3"/>
      <c r="H37" s="3"/>
      <c r="I37" s="3"/>
    </row>
    <row r="38" spans="2:13" x14ac:dyDescent="0.25">
      <c r="B38" s="19"/>
      <c r="C38" s="3"/>
      <c r="D38" s="3"/>
      <c r="E38" s="3"/>
      <c r="F38" s="19"/>
      <c r="G38" s="3"/>
      <c r="H38" s="3"/>
      <c r="I38" s="3"/>
      <c r="M38">
        <f>E41+E77+70461</f>
        <v>70461</v>
      </c>
    </row>
    <row r="39" spans="2:13" x14ac:dyDescent="0.25">
      <c r="B39" s="19"/>
      <c r="C39" s="3"/>
      <c r="D39" s="3"/>
      <c r="E39" s="3"/>
      <c r="F39" s="19"/>
      <c r="G39" s="3"/>
      <c r="H39" s="3"/>
      <c r="I39" s="3"/>
      <c r="M39">
        <v>77000</v>
      </c>
    </row>
    <row r="40" spans="2:13" x14ac:dyDescent="0.25">
      <c r="B40" s="19"/>
      <c r="C40" s="3"/>
      <c r="D40" s="3"/>
      <c r="E40" s="3"/>
      <c r="F40" s="19"/>
      <c r="G40" s="3"/>
      <c r="H40" s="3"/>
      <c r="I40" s="3"/>
      <c r="M40">
        <f>SUM(M38:M39)</f>
        <v>147461</v>
      </c>
    </row>
    <row r="41" spans="2:13" x14ac:dyDescent="0.25">
      <c r="B41" s="2" t="s">
        <v>26</v>
      </c>
      <c r="C41" s="2">
        <f>C30+C31-D32</f>
        <v>15950</v>
      </c>
      <c r="D41" s="2">
        <f>SUM(D34:D40)</f>
        <v>15950</v>
      </c>
      <c r="E41" s="2">
        <f>C41-D41</f>
        <v>0</v>
      </c>
      <c r="F41" s="2" t="s">
        <v>26</v>
      </c>
      <c r="G41" s="2">
        <f>G30+G31-H32</f>
        <v>6840</v>
      </c>
      <c r="H41" s="2">
        <f>SUM(H34:H40)</f>
        <v>15950</v>
      </c>
      <c r="I41" s="2">
        <f>G41-H41</f>
        <v>-9110</v>
      </c>
    </row>
    <row r="42" spans="2:13" x14ac:dyDescent="0.25">
      <c r="B42" t="s">
        <v>33</v>
      </c>
      <c r="D42" t="s">
        <v>49</v>
      </c>
      <c r="G42" t="s">
        <v>34</v>
      </c>
    </row>
    <row r="43" spans="2:13" x14ac:dyDescent="0.25">
      <c r="B43" t="s">
        <v>179</v>
      </c>
      <c r="D43" t="s">
        <v>50</v>
      </c>
      <c r="G43" t="s">
        <v>51</v>
      </c>
    </row>
    <row r="46" spans="2:13" ht="18.75" x14ac:dyDescent="0.3">
      <c r="C46" s="1" t="s">
        <v>42</v>
      </c>
      <c r="D46" s="21"/>
      <c r="E46" s="21"/>
      <c r="F46" s="21"/>
      <c r="G46" s="22"/>
    </row>
    <row r="47" spans="2:13" ht="15.75" x14ac:dyDescent="0.25">
      <c r="C47" s="21" t="s">
        <v>0</v>
      </c>
      <c r="D47" s="29"/>
      <c r="E47" s="29"/>
      <c r="F47" s="29"/>
      <c r="G47" s="22"/>
    </row>
    <row r="48" spans="2:13" ht="15.75" x14ac:dyDescent="0.25">
      <c r="C48" s="21" t="s">
        <v>311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'JANUARY 21'!G51:G63</f>
        <v>0</v>
      </c>
      <c r="D51" s="3"/>
      <c r="E51" s="16"/>
      <c r="F51" s="15"/>
      <c r="G51" s="3"/>
    </row>
    <row r="52" spans="1:7" x14ac:dyDescent="0.25">
      <c r="A52">
        <v>2</v>
      </c>
      <c r="B52" s="18"/>
      <c r="C52" s="3">
        <f>'JANUARY 21'!G52:G64</f>
        <v>0</v>
      </c>
      <c r="D52" s="3"/>
      <c r="E52" s="16">
        <f>C52+D52</f>
        <v>0</v>
      </c>
      <c r="F52" s="15"/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'JANUARY 21'!G53:G65</f>
        <v>0</v>
      </c>
      <c r="D53" s="3">
        <v>2000</v>
      </c>
      <c r="E53" s="16">
        <f>C53+D53</f>
        <v>2000</v>
      </c>
      <c r="F53" s="15">
        <f>1500</f>
        <v>1500</v>
      </c>
      <c r="G53" s="3">
        <f>E53-F53</f>
        <v>500</v>
      </c>
    </row>
    <row r="54" spans="1:7" x14ac:dyDescent="0.25">
      <c r="A54">
        <v>4</v>
      </c>
      <c r="B54" s="18" t="s">
        <v>144</v>
      </c>
      <c r="C54" s="3">
        <f>'JANUARY 21'!G54:G66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</row>
    <row r="55" spans="1:7" x14ac:dyDescent="0.25">
      <c r="A55">
        <v>5</v>
      </c>
      <c r="B55" s="18" t="s">
        <v>307</v>
      </c>
      <c r="C55" s="3">
        <f>'JANUARY 21'!G55:G67</f>
        <v>600</v>
      </c>
      <c r="D55" s="3">
        <v>2000</v>
      </c>
      <c r="E55" s="16">
        <f t="shared" si="4"/>
        <v>2600</v>
      </c>
      <c r="F55" s="15">
        <f>600+2000</f>
        <v>2600</v>
      </c>
      <c r="G55" s="3">
        <f t="shared" si="3"/>
        <v>0</v>
      </c>
    </row>
    <row r="56" spans="1:7" x14ac:dyDescent="0.25">
      <c r="A56">
        <v>6</v>
      </c>
      <c r="B56" s="18" t="s">
        <v>165</v>
      </c>
      <c r="C56" s="3">
        <f>'JANUARY 21'!G56:G68</f>
        <v>0</v>
      </c>
      <c r="D56" s="3">
        <v>2000</v>
      </c>
      <c r="E56" s="16">
        <f t="shared" si="4"/>
        <v>2000</v>
      </c>
      <c r="F56" s="15">
        <f>2000</f>
        <v>2000</v>
      </c>
      <c r="G56" s="3">
        <f t="shared" si="3"/>
        <v>0</v>
      </c>
    </row>
    <row r="57" spans="1:7" x14ac:dyDescent="0.25">
      <c r="A57">
        <v>7</v>
      </c>
      <c r="B57" s="18"/>
      <c r="C57" s="3">
        <f>'JANUARY 21'!G57:G69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'JANUARY 21'!G58:G70</f>
        <v>1000</v>
      </c>
      <c r="D58" s="3">
        <v>2000</v>
      </c>
      <c r="E58" s="16">
        <f t="shared" si="4"/>
        <v>3000</v>
      </c>
      <c r="F58" s="15">
        <f>500+1000</f>
        <v>1500</v>
      </c>
      <c r="G58" s="3">
        <f t="shared" si="3"/>
        <v>1500</v>
      </c>
    </row>
    <row r="59" spans="1:7" x14ac:dyDescent="0.25">
      <c r="A59">
        <v>9</v>
      </c>
      <c r="B59" s="18" t="s">
        <v>190</v>
      </c>
      <c r="C59" s="3">
        <f>'JANUARY 21'!G59:G71</f>
        <v>0</v>
      </c>
      <c r="D59" s="3">
        <v>2000</v>
      </c>
      <c r="E59" s="16">
        <f t="shared" si="4"/>
        <v>2000</v>
      </c>
      <c r="F59" s="15">
        <f>2000</f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'JANUARY 21'!G60:G72</f>
        <v>1000</v>
      </c>
      <c r="D60" s="3">
        <v>2000</v>
      </c>
      <c r="E60" s="16">
        <f t="shared" si="4"/>
        <v>3000</v>
      </c>
      <c r="F60" s="15">
        <f>1000+2000</f>
        <v>3000</v>
      </c>
      <c r="G60" s="3">
        <f t="shared" si="3"/>
        <v>0</v>
      </c>
    </row>
    <row r="61" spans="1:7" x14ac:dyDescent="0.25">
      <c r="A61">
        <v>11</v>
      </c>
      <c r="B61" s="18"/>
      <c r="C61" s="3">
        <f>'JANUARY 21'!G61:G73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'JANUARY 21'!G62:G74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2600</v>
      </c>
      <c r="D63" s="2">
        <f>SUM(D51:D62)</f>
        <v>14000</v>
      </c>
      <c r="E63" s="2">
        <f>SUM(E51:E62)</f>
        <v>16600</v>
      </c>
      <c r="F63" s="2">
        <f>SUM(F51:F62)</f>
        <v>14600</v>
      </c>
      <c r="G63" s="2">
        <f>SUM(G51:G62)</f>
        <v>2000</v>
      </c>
    </row>
    <row r="65" spans="2:13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3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13" x14ac:dyDescent="0.25">
      <c r="B67" s="3" t="s">
        <v>224</v>
      </c>
      <c r="C67" s="3">
        <f>D63</f>
        <v>14000</v>
      </c>
      <c r="D67" s="3"/>
      <c r="E67" s="3"/>
      <c r="F67" s="3" t="s">
        <v>224</v>
      </c>
      <c r="G67" s="3">
        <f>F63</f>
        <v>14600</v>
      </c>
      <c r="H67" s="3"/>
      <c r="I67" s="3"/>
    </row>
    <row r="68" spans="2:13" x14ac:dyDescent="0.25">
      <c r="B68" s="3" t="s">
        <v>62</v>
      </c>
      <c r="C68" s="3">
        <f>'JANUARY 21'!E77</f>
        <v>0</v>
      </c>
      <c r="D68" s="3"/>
      <c r="E68" s="3"/>
      <c r="F68" s="3" t="s">
        <v>62</v>
      </c>
      <c r="G68">
        <f>'JANUARY 21'!I77</f>
        <v>-2600</v>
      </c>
      <c r="H68" s="3"/>
      <c r="I68" s="3"/>
    </row>
    <row r="69" spans="2:13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13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3" x14ac:dyDescent="0.25">
      <c r="B71" s="14" t="s">
        <v>312</v>
      </c>
      <c r="C71" s="19"/>
      <c r="D71" s="3">
        <v>12600</v>
      </c>
      <c r="E71" s="3"/>
      <c r="F71" s="14" t="s">
        <v>312</v>
      </c>
      <c r="G71" s="19"/>
      <c r="H71" s="3">
        <v>12600</v>
      </c>
      <c r="I71" s="3"/>
    </row>
    <row r="72" spans="2:13" x14ac:dyDescent="0.25">
      <c r="B72" s="14"/>
      <c r="C72" s="19"/>
      <c r="D72" s="3"/>
      <c r="E72" s="3"/>
      <c r="F72" s="14"/>
      <c r="G72" s="19"/>
      <c r="H72" s="3"/>
      <c r="I72" s="3"/>
      <c r="M72">
        <f>E77+E41</f>
        <v>0</v>
      </c>
    </row>
    <row r="73" spans="2:13" x14ac:dyDescent="0.25">
      <c r="B73" s="10"/>
      <c r="C73" s="3"/>
      <c r="D73" s="3"/>
      <c r="E73" s="3"/>
      <c r="F73" s="10"/>
      <c r="G73" s="3"/>
      <c r="H73" s="3"/>
      <c r="I73" s="3"/>
    </row>
    <row r="74" spans="2:13" x14ac:dyDescent="0.25">
      <c r="B74" s="35"/>
      <c r="C74" s="19"/>
      <c r="D74" s="3"/>
      <c r="E74" s="3"/>
      <c r="F74" s="35"/>
      <c r="G74" s="19"/>
      <c r="H74" s="3"/>
      <c r="I74" s="3"/>
    </row>
    <row r="75" spans="2:13" x14ac:dyDescent="0.25">
      <c r="B75" s="35"/>
      <c r="C75" s="19"/>
      <c r="D75" s="3"/>
      <c r="E75" s="3"/>
      <c r="F75" s="35"/>
      <c r="G75" s="19"/>
      <c r="H75" s="3"/>
      <c r="I75" s="3"/>
    </row>
    <row r="76" spans="2:13" x14ac:dyDescent="0.25">
      <c r="B76" s="10"/>
      <c r="C76" s="3"/>
      <c r="D76" s="3"/>
      <c r="E76" s="3"/>
      <c r="F76" s="10"/>
      <c r="G76" s="3"/>
      <c r="H76" s="3"/>
      <c r="I76" s="3"/>
    </row>
    <row r="77" spans="2:13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10600</v>
      </c>
      <c r="H77" s="2">
        <f>SUM(H71:H76)</f>
        <v>12600</v>
      </c>
      <c r="I77" s="2">
        <f>G77-H77</f>
        <v>-2000</v>
      </c>
    </row>
    <row r="79" spans="2:13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" workbookViewId="0">
      <selection activeCell="F8" sqref="F8"/>
    </sheetView>
  </sheetViews>
  <sheetFormatPr defaultRowHeight="15" x14ac:dyDescent="0.25"/>
  <cols>
    <col min="2" max="2" width="19.8554687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314</v>
      </c>
      <c r="D3" s="28"/>
      <c r="F3" s="28"/>
      <c r="G3" s="22"/>
    </row>
    <row r="4" spans="1:8" ht="18.75" x14ac:dyDescent="0.3">
      <c r="D4" s="23" t="s">
        <v>143</v>
      </c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109</v>
      </c>
      <c r="C6" s="3">
        <f>FEBRUARY21!G6:G25</f>
        <v>300</v>
      </c>
      <c r="D6" s="3">
        <v>1000</v>
      </c>
      <c r="E6" s="3">
        <f>D6+C6</f>
        <v>1300</v>
      </c>
      <c r="F6" s="15">
        <f>1000</f>
        <v>1000</v>
      </c>
      <c r="G6" s="3">
        <f>E6-F6</f>
        <v>300</v>
      </c>
    </row>
    <row r="7" spans="1:8" x14ac:dyDescent="0.25">
      <c r="A7" s="3">
        <v>2</v>
      </c>
      <c r="B7" s="16" t="s">
        <v>109</v>
      </c>
      <c r="C7" s="3">
        <f>FEBRUARY21!G7:G26</f>
        <v>100</v>
      </c>
      <c r="D7" s="3">
        <v>1000</v>
      </c>
      <c r="E7" s="3">
        <f t="shared" ref="E7:E24" si="0">D7+C7</f>
        <v>1100</v>
      </c>
      <c r="F7">
        <f>1000</f>
        <v>1000</v>
      </c>
      <c r="G7" s="3">
        <f>E7-F7</f>
        <v>100</v>
      </c>
    </row>
    <row r="8" spans="1:8" x14ac:dyDescent="0.25">
      <c r="A8" s="16">
        <v>3</v>
      </c>
      <c r="B8" s="18" t="s">
        <v>137</v>
      </c>
      <c r="C8" s="3">
        <f>FEBRUARY21!G8:G27</f>
        <v>0</v>
      </c>
      <c r="D8" s="18">
        <v>1000</v>
      </c>
      <c r="E8" s="16">
        <f>D8+C8</f>
        <v>1000</v>
      </c>
      <c r="F8" s="15">
        <v>1000</v>
      </c>
      <c r="G8" s="3">
        <f t="shared" ref="G8:G9" si="1">E8-F8</f>
        <v>0</v>
      </c>
    </row>
    <row r="9" spans="1:8" x14ac:dyDescent="0.25">
      <c r="A9" s="16">
        <v>4</v>
      </c>
      <c r="B9" s="16" t="s">
        <v>238</v>
      </c>
      <c r="C9" s="3">
        <f>FEBRUARY21!G9:G28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8" x14ac:dyDescent="0.25">
      <c r="A10" s="16">
        <v>5</v>
      </c>
      <c r="B10" s="15" t="s">
        <v>15</v>
      </c>
      <c r="C10" s="3">
        <f>FEBRUARY21!G10:G29</f>
        <v>0</v>
      </c>
      <c r="D10" s="16"/>
      <c r="E10" s="16">
        <f>D10+C10</f>
        <v>0</v>
      </c>
      <c r="F10" s="44"/>
      <c r="G10" s="3">
        <f>E10-F10</f>
        <v>0</v>
      </c>
    </row>
    <row r="11" spans="1:8" x14ac:dyDescent="0.25">
      <c r="A11" s="16">
        <v>6</v>
      </c>
      <c r="B11" s="15" t="s">
        <v>207</v>
      </c>
      <c r="C11" s="3">
        <f>FEBRUARY21!G11:G30</f>
        <v>2800</v>
      </c>
      <c r="D11" s="16"/>
      <c r="E11" s="16">
        <f t="shared" si="0"/>
        <v>2800</v>
      </c>
      <c r="F11" s="44"/>
      <c r="G11" s="3">
        <f>E11-F11</f>
        <v>2800</v>
      </c>
      <c r="H11" t="s">
        <v>317</v>
      </c>
    </row>
    <row r="12" spans="1:8" x14ac:dyDescent="0.25">
      <c r="A12" s="16">
        <v>7</v>
      </c>
      <c r="B12" s="16" t="s">
        <v>28</v>
      </c>
      <c r="C12" s="3">
        <f>FEBRUARY21!G12:G31</f>
        <v>1000</v>
      </c>
      <c r="D12" s="16">
        <v>1000</v>
      </c>
      <c r="E12" s="16">
        <f t="shared" si="0"/>
        <v>2000</v>
      </c>
      <c r="F12" s="44">
        <v>1000</v>
      </c>
      <c r="G12" s="3">
        <f t="shared" ref="G12:G25" si="2">E12-F12</f>
        <v>1000</v>
      </c>
    </row>
    <row r="13" spans="1:8" x14ac:dyDescent="0.25">
      <c r="A13" s="16">
        <v>8</v>
      </c>
      <c r="B13" s="16" t="s">
        <v>220</v>
      </c>
      <c r="C13" s="3">
        <f>FEBRUARY21!G13:G32</f>
        <v>500</v>
      </c>
      <c r="D13" s="16">
        <v>1000</v>
      </c>
      <c r="E13" s="16">
        <f t="shared" si="0"/>
        <v>1500</v>
      </c>
      <c r="F13" s="44">
        <f>1700</f>
        <v>1700</v>
      </c>
      <c r="G13" s="3">
        <f t="shared" si="2"/>
        <v>-200</v>
      </c>
    </row>
    <row r="14" spans="1:8" x14ac:dyDescent="0.25">
      <c r="A14" s="16">
        <v>9</v>
      </c>
      <c r="B14" s="3" t="s">
        <v>313</v>
      </c>
      <c r="C14" s="3">
        <f>FEBRUARY21!G14:G33</f>
        <v>0</v>
      </c>
      <c r="D14" s="3">
        <v>1000</v>
      </c>
      <c r="E14" s="16">
        <f t="shared" si="0"/>
        <v>1000</v>
      </c>
      <c r="F14" s="44">
        <f>1000</f>
        <v>1000</v>
      </c>
      <c r="G14" s="3">
        <f t="shared" si="2"/>
        <v>0</v>
      </c>
    </row>
    <row r="15" spans="1:8" x14ac:dyDescent="0.25">
      <c r="A15" s="16">
        <v>10</v>
      </c>
      <c r="B15" s="16" t="s">
        <v>232</v>
      </c>
      <c r="C15" s="3">
        <f>FEBRUARY21!G15:G34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8" x14ac:dyDescent="0.25">
      <c r="A16" s="16">
        <v>11</v>
      </c>
      <c r="B16" s="36" t="s">
        <v>15</v>
      </c>
      <c r="C16" s="3">
        <f>FEBRUARY21!G16:G35</f>
        <v>0</v>
      </c>
      <c r="D16" s="18"/>
      <c r="E16" s="16"/>
      <c r="F16" s="45"/>
      <c r="G16" s="14"/>
    </row>
    <row r="17" spans="1:12" x14ac:dyDescent="0.25">
      <c r="A17" s="16">
        <v>12</v>
      </c>
      <c r="B17" s="3" t="s">
        <v>252</v>
      </c>
      <c r="C17" s="3">
        <f>FEBRUARY21!G17:G36</f>
        <v>1000</v>
      </c>
      <c r="D17" s="3">
        <v>1000</v>
      </c>
      <c r="E17" s="16">
        <f>D17+C17</f>
        <v>2000</v>
      </c>
      <c r="F17" s="44">
        <v>2000</v>
      </c>
      <c r="G17" s="14">
        <f>E17-F17</f>
        <v>0</v>
      </c>
    </row>
    <row r="18" spans="1:12" x14ac:dyDescent="0.25">
      <c r="A18" s="16">
        <v>13</v>
      </c>
      <c r="B18" s="16" t="s">
        <v>204</v>
      </c>
      <c r="C18" s="3">
        <f>FEBRUARY21!G18:G37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2" x14ac:dyDescent="0.25">
      <c r="A19" s="16">
        <v>14</v>
      </c>
      <c r="B19" s="16" t="s">
        <v>209</v>
      </c>
      <c r="C19" s="3">
        <f>FEBRUARY21!G19:G38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12" x14ac:dyDescent="0.25">
      <c r="A20" s="16">
        <v>15</v>
      </c>
      <c r="B20" s="16" t="s">
        <v>137</v>
      </c>
      <c r="C20" s="3">
        <f>FEBRUARY21!G20:G39</f>
        <v>1000</v>
      </c>
      <c r="D20" s="16">
        <v>1000</v>
      </c>
      <c r="E20" s="16">
        <f t="shared" si="0"/>
        <v>2000</v>
      </c>
      <c r="F20" s="44">
        <v>1000</v>
      </c>
      <c r="G20" s="3">
        <f t="shared" si="2"/>
        <v>1000</v>
      </c>
    </row>
    <row r="21" spans="1:12" x14ac:dyDescent="0.25">
      <c r="A21" s="16">
        <v>16</v>
      </c>
      <c r="B21" s="3" t="s">
        <v>291</v>
      </c>
      <c r="C21" s="3">
        <f>FEBRUARY21!G21:G40</f>
        <v>0</v>
      </c>
      <c r="D21" s="3">
        <v>1000</v>
      </c>
      <c r="E21" s="3">
        <v>1000</v>
      </c>
      <c r="F21" s="44"/>
      <c r="G21" s="3">
        <f>E21-F21</f>
        <v>1000</v>
      </c>
    </row>
    <row r="22" spans="1:12" x14ac:dyDescent="0.25">
      <c r="A22" s="16">
        <v>17</v>
      </c>
      <c r="B22" s="16" t="s">
        <v>47</v>
      </c>
      <c r="C22" s="3">
        <f>FEBRUARY21!G22:G41</f>
        <v>0</v>
      </c>
      <c r="D22" s="16">
        <v>1500</v>
      </c>
      <c r="E22" s="16">
        <f t="shared" si="0"/>
        <v>1500</v>
      </c>
      <c r="F22" s="44">
        <f>1500</f>
        <v>1500</v>
      </c>
      <c r="G22" s="3">
        <f t="shared" si="2"/>
        <v>0</v>
      </c>
    </row>
    <row r="23" spans="1:12" x14ac:dyDescent="0.25">
      <c r="A23" s="3">
        <v>18</v>
      </c>
      <c r="B23" s="18" t="s">
        <v>296</v>
      </c>
      <c r="C23" s="3">
        <f>FEBRUARY21!G23:G42</f>
        <v>800</v>
      </c>
      <c r="D23" s="3"/>
      <c r="E23" s="16">
        <f t="shared" si="0"/>
        <v>800</v>
      </c>
      <c r="F23" s="44"/>
      <c r="G23" s="3">
        <f t="shared" si="2"/>
        <v>800</v>
      </c>
    </row>
    <row r="24" spans="1:12" x14ac:dyDescent="0.25">
      <c r="A24" s="3">
        <v>19</v>
      </c>
      <c r="B24" s="18" t="s">
        <v>135</v>
      </c>
      <c r="C24" s="3">
        <f>FEBRUARY21!G24:G43</f>
        <v>0</v>
      </c>
      <c r="D24" s="3">
        <v>1500</v>
      </c>
      <c r="E24" s="16">
        <f t="shared" si="0"/>
        <v>1500</v>
      </c>
      <c r="F24" s="44">
        <f>1500</f>
        <v>1500</v>
      </c>
      <c r="G24" s="3">
        <f t="shared" si="2"/>
        <v>0</v>
      </c>
    </row>
    <row r="25" spans="1:12" x14ac:dyDescent="0.25">
      <c r="A25" s="3">
        <v>20</v>
      </c>
      <c r="B25" s="36" t="s">
        <v>118</v>
      </c>
      <c r="C25" s="3">
        <f>FEBRUARY21!G25:G44</f>
        <v>1320</v>
      </c>
      <c r="D25" s="3"/>
      <c r="E25" s="16">
        <f>D25+C25</f>
        <v>1320</v>
      </c>
      <c r="F25" s="44"/>
      <c r="G25" s="3">
        <f t="shared" si="2"/>
        <v>1320</v>
      </c>
    </row>
    <row r="26" spans="1:12" x14ac:dyDescent="0.25">
      <c r="B26" s="2" t="s">
        <v>26</v>
      </c>
      <c r="C26" s="3">
        <f>SUM(C6:C25)</f>
        <v>9650</v>
      </c>
      <c r="D26" s="2">
        <f>SUM(D6:D25)</f>
        <v>16000</v>
      </c>
      <c r="E26" s="2">
        <f>SUM(E6:E25)</f>
        <v>25650</v>
      </c>
      <c r="F26" s="2">
        <f>SUM(F6:F25)</f>
        <v>16700</v>
      </c>
      <c r="G26" s="2">
        <f>SUM(G6:G25)</f>
        <v>8950</v>
      </c>
    </row>
    <row r="27" spans="1:12" x14ac:dyDescent="0.25">
      <c r="C27" s="3">
        <f>'OCTOBER 20'!G27:G46</f>
        <v>0</v>
      </c>
      <c r="G27" s="35">
        <f>G26-G11</f>
        <v>6150</v>
      </c>
      <c r="L27">
        <f>3000+1320</f>
        <v>4320</v>
      </c>
    </row>
    <row r="28" spans="1:12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2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2" x14ac:dyDescent="0.25">
      <c r="B30" s="3" t="s">
        <v>48</v>
      </c>
      <c r="C30" s="3">
        <f>D26</f>
        <v>16000</v>
      </c>
      <c r="D30" s="3"/>
      <c r="E30" s="3"/>
      <c r="F30" s="3" t="s">
        <v>48</v>
      </c>
      <c r="G30" s="3">
        <f>F26</f>
        <v>16700</v>
      </c>
      <c r="H30" s="3"/>
      <c r="I30" s="3"/>
    </row>
    <row r="31" spans="1:12" x14ac:dyDescent="0.25">
      <c r="B31" s="3" t="s">
        <v>62</v>
      </c>
      <c r="C31" s="3">
        <f>FEBRUARY21!E41</f>
        <v>0</v>
      </c>
      <c r="D31" s="3"/>
      <c r="E31" s="3"/>
      <c r="F31" s="3" t="s">
        <v>62</v>
      </c>
      <c r="G31">
        <f>FEBRUARY21!I41</f>
        <v>-9110</v>
      </c>
      <c r="H31" s="3"/>
      <c r="I31" s="3"/>
    </row>
    <row r="32" spans="1:12" x14ac:dyDescent="0.25">
      <c r="B32" s="3" t="s">
        <v>41</v>
      </c>
      <c r="C32" s="5">
        <v>0.1</v>
      </c>
      <c r="D32" s="3">
        <f>C32*C30</f>
        <v>1600</v>
      </c>
      <c r="E32" s="3"/>
      <c r="F32" s="3" t="s">
        <v>41</v>
      </c>
      <c r="G32" s="5">
        <v>0.1</v>
      </c>
      <c r="H32" s="3">
        <f>G32*G30</f>
        <v>1670</v>
      </c>
      <c r="I32" s="3"/>
    </row>
    <row r="33" spans="2:16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6" x14ac:dyDescent="0.25">
      <c r="B34" s="19" t="s">
        <v>316</v>
      </c>
      <c r="C34" s="3"/>
      <c r="D34" s="3">
        <v>1400</v>
      </c>
      <c r="E34" s="3"/>
      <c r="F34" s="19"/>
      <c r="G34" s="3"/>
      <c r="H34" s="3"/>
      <c r="I34" s="3"/>
      <c r="M34">
        <f>C30</f>
        <v>16000</v>
      </c>
    </row>
    <row r="35" spans="2:16" x14ac:dyDescent="0.25">
      <c r="B35" s="19" t="s">
        <v>318</v>
      </c>
      <c r="C35" s="3"/>
      <c r="D35" s="3">
        <v>2000</v>
      </c>
      <c r="E35" s="3"/>
      <c r="F35" s="19" t="s">
        <v>318</v>
      </c>
      <c r="G35" s="3"/>
      <c r="H35" s="3">
        <v>2000</v>
      </c>
      <c r="I35" s="3"/>
      <c r="M35">
        <f>D32</f>
        <v>1600</v>
      </c>
    </row>
    <row r="36" spans="2:16" x14ac:dyDescent="0.25">
      <c r="B36" s="19" t="s">
        <v>237</v>
      </c>
      <c r="C36" s="3"/>
      <c r="D36" s="3">
        <v>11000</v>
      </c>
      <c r="E36" s="3"/>
      <c r="F36" s="19" t="s">
        <v>237</v>
      </c>
      <c r="G36" s="3"/>
      <c r="H36" s="3">
        <v>11000</v>
      </c>
      <c r="I36" s="3"/>
      <c r="M36">
        <f>M34-M35</f>
        <v>14400</v>
      </c>
    </row>
    <row r="37" spans="2:16" x14ac:dyDescent="0.25">
      <c r="B37" s="19"/>
      <c r="C37" s="3"/>
      <c r="D37" s="3"/>
      <c r="E37" s="3"/>
      <c r="F37" s="19"/>
      <c r="G37" s="3"/>
      <c r="H37" s="3"/>
      <c r="I37" s="3"/>
      <c r="M37">
        <v>2000</v>
      </c>
    </row>
    <row r="38" spans="2:16" x14ac:dyDescent="0.25">
      <c r="B38" s="19"/>
      <c r="C38" s="3"/>
      <c r="D38" s="3"/>
      <c r="E38" s="3"/>
      <c r="F38" s="19"/>
      <c r="G38" s="3"/>
      <c r="H38" s="3"/>
      <c r="I38" s="3"/>
      <c r="M38">
        <f>M36-M37</f>
        <v>12400</v>
      </c>
    </row>
    <row r="39" spans="2:16" x14ac:dyDescent="0.25">
      <c r="B39" s="19"/>
      <c r="C39" s="3"/>
      <c r="D39" s="3"/>
      <c r="E39" s="3"/>
      <c r="F39" s="19"/>
      <c r="G39" s="3"/>
      <c r="H39" s="3"/>
      <c r="I39" s="3"/>
      <c r="M39">
        <v>1400</v>
      </c>
    </row>
    <row r="40" spans="2:16" x14ac:dyDescent="0.25">
      <c r="B40" s="19"/>
      <c r="C40" s="3"/>
      <c r="D40" s="3"/>
      <c r="E40" s="3"/>
      <c r="F40" s="19"/>
      <c r="G40" s="3"/>
      <c r="H40" s="3"/>
      <c r="I40" s="3"/>
      <c r="M40">
        <f>M38-M39</f>
        <v>11000</v>
      </c>
    </row>
    <row r="41" spans="2:16" x14ac:dyDescent="0.25">
      <c r="B41" s="2" t="s">
        <v>26</v>
      </c>
      <c r="C41" s="2">
        <f>C30+C31-D32</f>
        <v>14400</v>
      </c>
      <c r="D41" s="2">
        <f>SUM(D34:D40)</f>
        <v>14400</v>
      </c>
      <c r="E41" s="2">
        <f>C41-D41</f>
        <v>0</v>
      </c>
      <c r="F41" s="2" t="s">
        <v>26</v>
      </c>
      <c r="G41" s="2">
        <f>G30+G31-H32</f>
        <v>5920</v>
      </c>
      <c r="H41" s="2">
        <f>SUM(H34:H40)</f>
        <v>13000</v>
      </c>
      <c r="I41" s="2">
        <f>G41-H41</f>
        <v>-7080</v>
      </c>
      <c r="P41">
        <f>81193+14400+11000</f>
        <v>106593</v>
      </c>
    </row>
    <row r="42" spans="2:16" x14ac:dyDescent="0.25">
      <c r="B42" t="s">
        <v>33</v>
      </c>
      <c r="D42" t="s">
        <v>49</v>
      </c>
      <c r="G42" t="s">
        <v>34</v>
      </c>
    </row>
    <row r="43" spans="2:16" x14ac:dyDescent="0.25">
      <c r="B43" t="s">
        <v>179</v>
      </c>
      <c r="D43" t="s">
        <v>50</v>
      </c>
      <c r="G43" t="s">
        <v>51</v>
      </c>
    </row>
    <row r="46" spans="2:16" ht="18.75" x14ac:dyDescent="0.3">
      <c r="C46" s="1" t="s">
        <v>42</v>
      </c>
      <c r="D46" s="21"/>
      <c r="E46" s="21"/>
      <c r="F46" s="21"/>
      <c r="G46" s="22"/>
    </row>
    <row r="47" spans="2:16" ht="15.75" x14ac:dyDescent="0.25">
      <c r="C47" s="21" t="s">
        <v>0</v>
      </c>
      <c r="D47" s="29"/>
      <c r="E47" s="29"/>
      <c r="F47" s="29"/>
      <c r="G47" s="22"/>
    </row>
    <row r="48" spans="2:16" ht="15.75" x14ac:dyDescent="0.25">
      <c r="C48" s="21" t="s">
        <v>315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FEBRUARY21!G51:G62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FEBRUARY21!G52:G63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FEBRUARY21!G53:G64</f>
        <v>500</v>
      </c>
      <c r="D53" s="3">
        <v>2000</v>
      </c>
      <c r="E53" s="16">
        <f>C53+D53</f>
        <v>2500</v>
      </c>
      <c r="F53" s="15">
        <f>2000</f>
        <v>2000</v>
      </c>
      <c r="G53" s="3">
        <f>E53-F53</f>
        <v>500</v>
      </c>
    </row>
    <row r="54" spans="1:7" x14ac:dyDescent="0.25">
      <c r="A54">
        <v>4</v>
      </c>
      <c r="B54" s="18" t="s">
        <v>144</v>
      </c>
      <c r="C54" s="3">
        <f>FEBRUARY21!G54:G65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</row>
    <row r="55" spans="1:7" x14ac:dyDescent="0.25">
      <c r="A55">
        <v>5</v>
      </c>
      <c r="B55" s="18" t="s">
        <v>307</v>
      </c>
      <c r="C55" s="3">
        <f>FEBRUARY21!G55:G66</f>
        <v>0</v>
      </c>
      <c r="D55" s="3">
        <v>2000</v>
      </c>
      <c r="E55" s="16">
        <f t="shared" si="4"/>
        <v>2000</v>
      </c>
      <c r="F55" s="15">
        <f>2000</f>
        <v>2000</v>
      </c>
      <c r="G55" s="3">
        <f t="shared" si="3"/>
        <v>0</v>
      </c>
    </row>
    <row r="56" spans="1:7" x14ac:dyDescent="0.25">
      <c r="A56">
        <v>6</v>
      </c>
      <c r="B56" s="18" t="s">
        <v>165</v>
      </c>
      <c r="C56" s="3">
        <f>FEBRUARY21!G56:G67</f>
        <v>0</v>
      </c>
      <c r="D56" s="3">
        <v>2000</v>
      </c>
      <c r="E56" s="16">
        <f t="shared" si="4"/>
        <v>2000</v>
      </c>
      <c r="F56" s="15">
        <f>2000</f>
        <v>2000</v>
      </c>
      <c r="G56" s="3">
        <f t="shared" si="3"/>
        <v>0</v>
      </c>
    </row>
    <row r="57" spans="1:7" x14ac:dyDescent="0.25">
      <c r="A57">
        <v>7</v>
      </c>
      <c r="B57" s="18"/>
      <c r="C57" s="3">
        <f>FEBRUARY21!G57:G68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FEBRUARY21!G58:G69</f>
        <v>1500</v>
      </c>
      <c r="D58" s="3">
        <v>2000</v>
      </c>
      <c r="E58" s="16">
        <f t="shared" si="4"/>
        <v>3500</v>
      </c>
      <c r="F58" s="15">
        <f>1000+2500</f>
        <v>3500</v>
      </c>
      <c r="G58" s="3">
        <f t="shared" si="3"/>
        <v>0</v>
      </c>
    </row>
    <row r="59" spans="1:7" x14ac:dyDescent="0.25">
      <c r="A59">
        <v>9</v>
      </c>
      <c r="B59" s="18" t="s">
        <v>190</v>
      </c>
      <c r="C59" s="3">
        <f>FEBRUARY21!G59:G70</f>
        <v>0</v>
      </c>
      <c r="D59" s="3">
        <v>2000</v>
      </c>
      <c r="E59" s="16">
        <f t="shared" si="4"/>
        <v>2000</v>
      </c>
      <c r="F59" s="15"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FEBRUARY21!G60:G71</f>
        <v>0</v>
      </c>
      <c r="D60" s="3">
        <v>2000</v>
      </c>
      <c r="E60" s="16">
        <f t="shared" si="4"/>
        <v>2000</v>
      </c>
      <c r="F60" s="15">
        <f>100+1900</f>
        <v>2000</v>
      </c>
      <c r="G60" s="3">
        <f t="shared" si="3"/>
        <v>0</v>
      </c>
    </row>
    <row r="61" spans="1:7" x14ac:dyDescent="0.25">
      <c r="A61">
        <v>11</v>
      </c>
      <c r="B61" s="18"/>
      <c r="C61" s="3">
        <f>FEBRUARY21!G61:G72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FEBRUARY21!G62:G73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2000</v>
      </c>
      <c r="D63" s="2">
        <f>SUM(D51:D62)</f>
        <v>16000</v>
      </c>
      <c r="E63" s="2">
        <f>SUM(E51:E62)</f>
        <v>18000</v>
      </c>
      <c r="F63" s="2">
        <f>SUM(F51:F62)</f>
        <v>17500</v>
      </c>
      <c r="G63" s="2">
        <f>SUM(G51:G62)</f>
        <v>500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48</v>
      </c>
      <c r="C67" s="3">
        <f>D63</f>
        <v>16000</v>
      </c>
      <c r="D67" s="3"/>
      <c r="E67" s="3"/>
      <c r="F67" s="3" t="s">
        <v>48</v>
      </c>
      <c r="G67" s="3">
        <f>F63</f>
        <v>17500</v>
      </c>
      <c r="H67" s="3"/>
      <c r="I67" s="3"/>
    </row>
    <row r="68" spans="2:9" x14ac:dyDescent="0.25">
      <c r="B68" s="3" t="s">
        <v>62</v>
      </c>
      <c r="C68" s="3">
        <f>FEBRUARY21!E77</f>
        <v>0</v>
      </c>
      <c r="D68" s="3"/>
      <c r="E68" s="3"/>
      <c r="F68" s="3" t="s">
        <v>62</v>
      </c>
      <c r="G68">
        <f>FEBRUARY21!I77</f>
        <v>-2000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237</v>
      </c>
      <c r="C71" s="19"/>
      <c r="D71" s="3">
        <v>14400</v>
      </c>
      <c r="E71" s="3"/>
      <c r="F71" s="14" t="s">
        <v>237</v>
      </c>
      <c r="G71" s="19"/>
      <c r="H71" s="3">
        <v>14400</v>
      </c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14400</v>
      </c>
      <c r="D77" s="2">
        <f>SUM(D71:D76)</f>
        <v>14400</v>
      </c>
      <c r="E77" s="2">
        <f>C77-D77</f>
        <v>0</v>
      </c>
      <c r="F77" s="2" t="s">
        <v>26</v>
      </c>
      <c r="G77" s="2">
        <f>G67+G68-H69</f>
        <v>13900</v>
      </c>
      <c r="H77" s="2">
        <f>SUM(H71:H76)</f>
        <v>14400</v>
      </c>
      <c r="I77" s="2">
        <f>G77-H77</f>
        <v>-500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G34" sqref="G34"/>
    </sheetView>
  </sheetViews>
  <sheetFormatPr defaultRowHeight="15" x14ac:dyDescent="0.25"/>
  <cols>
    <col min="1" max="1" width="3.42578125" customWidth="1"/>
    <col min="2" max="2" width="19.5703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60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30</v>
      </c>
      <c r="C5" s="3"/>
      <c r="D5" s="3">
        <v>1000</v>
      </c>
      <c r="E5" s="3">
        <f>C5+D5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3" t="s">
        <v>66</v>
      </c>
      <c r="C6" s="3"/>
      <c r="D6" s="3">
        <v>1000</v>
      </c>
      <c r="E6" s="3">
        <f t="shared" ref="E6:E18" si="0">C6+D6</f>
        <v>1000</v>
      </c>
      <c r="F6" s="3">
        <v>1000</v>
      </c>
      <c r="G6" s="3">
        <f t="shared" ref="G6:G11" si="1">E6-F6</f>
        <v>0</v>
      </c>
    </row>
    <row r="7" spans="1:7" x14ac:dyDescent="0.25">
      <c r="A7" s="3">
        <v>3</v>
      </c>
      <c r="B7" s="3" t="s">
        <v>8</v>
      </c>
      <c r="C7" s="3"/>
      <c r="D7" s="3">
        <v>1000</v>
      </c>
      <c r="E7" s="3">
        <f t="shared" si="0"/>
        <v>1000</v>
      </c>
      <c r="F7" s="3">
        <v>1000</v>
      </c>
      <c r="G7" s="3">
        <f t="shared" si="1"/>
        <v>0</v>
      </c>
    </row>
    <row r="8" spans="1:7" x14ac:dyDescent="0.25">
      <c r="A8" s="3">
        <v>4</v>
      </c>
      <c r="B8" s="3" t="s">
        <v>18</v>
      </c>
      <c r="C8" s="3"/>
      <c r="D8" s="3">
        <v>1000</v>
      </c>
      <c r="E8" s="3">
        <f t="shared" si="0"/>
        <v>1000</v>
      </c>
      <c r="F8" s="3">
        <v>800</v>
      </c>
      <c r="G8" s="3">
        <f t="shared" si="1"/>
        <v>200</v>
      </c>
    </row>
    <row r="9" spans="1:7" x14ac:dyDescent="0.25">
      <c r="A9" s="3">
        <v>5</v>
      </c>
      <c r="B9" s="3" t="s">
        <v>58</v>
      </c>
      <c r="C9" s="3"/>
      <c r="D9" s="3">
        <v>1000</v>
      </c>
      <c r="E9" s="3">
        <f t="shared" si="0"/>
        <v>1000</v>
      </c>
      <c r="F9" s="3">
        <v>900</v>
      </c>
      <c r="G9" s="3">
        <f t="shared" si="1"/>
        <v>100</v>
      </c>
    </row>
    <row r="10" spans="1:7" x14ac:dyDescent="0.25">
      <c r="A10" s="3">
        <v>6</v>
      </c>
      <c r="B10" s="3" t="s">
        <v>28</v>
      </c>
      <c r="C10" s="3"/>
      <c r="D10" s="3">
        <v>1000</v>
      </c>
      <c r="E10" s="3">
        <f t="shared" si="0"/>
        <v>1000</v>
      </c>
      <c r="F10" s="3">
        <v>1000</v>
      </c>
      <c r="G10" s="3">
        <f t="shared" si="1"/>
        <v>0</v>
      </c>
    </row>
    <row r="11" spans="1:7" x14ac:dyDescent="0.25">
      <c r="A11" s="3">
        <v>7</v>
      </c>
      <c r="B11" s="3" t="s">
        <v>10</v>
      </c>
      <c r="C11" s="3"/>
      <c r="D11" s="3">
        <v>1000</v>
      </c>
      <c r="E11" s="3">
        <f t="shared" si="0"/>
        <v>1000</v>
      </c>
      <c r="F11" s="3">
        <v>1000</v>
      </c>
      <c r="G11" s="3">
        <f t="shared" si="1"/>
        <v>0</v>
      </c>
    </row>
    <row r="12" spans="1:7" x14ac:dyDescent="0.25">
      <c r="A12" s="3">
        <v>8</v>
      </c>
      <c r="B12" s="3" t="s">
        <v>57</v>
      </c>
      <c r="C12" s="3"/>
      <c r="D12" s="3">
        <v>1000</v>
      </c>
      <c r="E12" s="3">
        <f t="shared" si="0"/>
        <v>1000</v>
      </c>
      <c r="F12" s="3">
        <v>1000</v>
      </c>
      <c r="G12" s="3">
        <f>E12-F12</f>
        <v>0</v>
      </c>
    </row>
    <row r="13" spans="1:7" x14ac:dyDescent="0.25">
      <c r="A13" s="3">
        <v>9</v>
      </c>
      <c r="B13" s="3" t="s">
        <v>12</v>
      </c>
      <c r="C13" s="3"/>
      <c r="D13" s="3">
        <v>1000</v>
      </c>
      <c r="E13" s="3">
        <f t="shared" si="0"/>
        <v>1000</v>
      </c>
      <c r="F13" s="3"/>
      <c r="G13" s="3">
        <f t="shared" ref="G13:G24" si="2">E13-F13</f>
        <v>1000</v>
      </c>
    </row>
    <row r="14" spans="1:7" x14ac:dyDescent="0.25">
      <c r="A14" s="3">
        <v>10</v>
      </c>
      <c r="B14" s="3" t="s">
        <v>7</v>
      </c>
      <c r="C14" s="3"/>
      <c r="D14" s="3">
        <v>1000</v>
      </c>
      <c r="E14" s="3">
        <f t="shared" si="0"/>
        <v>1000</v>
      </c>
      <c r="F14" s="3">
        <v>1000</v>
      </c>
      <c r="G14" s="3">
        <f t="shared" si="2"/>
        <v>0</v>
      </c>
    </row>
    <row r="15" spans="1:7" x14ac:dyDescent="0.25">
      <c r="A15" s="3">
        <v>11</v>
      </c>
      <c r="B15" s="3" t="s">
        <v>55</v>
      </c>
      <c r="C15" s="3"/>
      <c r="D15" s="3">
        <v>1000</v>
      </c>
      <c r="E15" s="3">
        <f t="shared" si="0"/>
        <v>1000</v>
      </c>
      <c r="F15" s="3"/>
      <c r="G15" s="3">
        <f t="shared" si="2"/>
        <v>1000</v>
      </c>
    </row>
    <row r="16" spans="1:7" x14ac:dyDescent="0.25">
      <c r="A16" s="3">
        <v>12</v>
      </c>
      <c r="B16" s="3" t="s">
        <v>54</v>
      </c>
      <c r="C16" s="3"/>
      <c r="D16" s="3">
        <v>1000</v>
      </c>
      <c r="E16" s="3">
        <f t="shared" si="0"/>
        <v>1000</v>
      </c>
      <c r="F16" s="3">
        <v>1000</v>
      </c>
      <c r="G16" s="3">
        <f t="shared" si="2"/>
        <v>0</v>
      </c>
    </row>
    <row r="17" spans="1:9" x14ac:dyDescent="0.25">
      <c r="A17" s="3">
        <v>13</v>
      </c>
      <c r="B17" s="3" t="s">
        <v>59</v>
      </c>
      <c r="C17" s="3"/>
      <c r="D17" s="3">
        <v>1000</v>
      </c>
      <c r="E17" s="3">
        <f t="shared" si="0"/>
        <v>1000</v>
      </c>
      <c r="F17" s="3"/>
      <c r="G17" s="3">
        <f t="shared" si="2"/>
        <v>1000</v>
      </c>
    </row>
    <row r="18" spans="1:9" x14ac:dyDescent="0.25">
      <c r="A18" s="3">
        <v>14</v>
      </c>
      <c r="B18" s="3" t="s">
        <v>29</v>
      </c>
      <c r="C18" s="3"/>
      <c r="D18" s="3">
        <v>1000</v>
      </c>
      <c r="E18" s="3">
        <f t="shared" si="0"/>
        <v>1000</v>
      </c>
      <c r="F18" s="3">
        <v>1000</v>
      </c>
      <c r="G18" s="3">
        <f t="shared" si="2"/>
        <v>0</v>
      </c>
    </row>
    <row r="19" spans="1:9" x14ac:dyDescent="0.25">
      <c r="A19" s="3">
        <v>15</v>
      </c>
      <c r="B19" s="3" t="s">
        <v>56</v>
      </c>
      <c r="C19" s="3"/>
      <c r="D19" s="3">
        <v>1000</v>
      </c>
      <c r="E19" s="3">
        <f t="shared" ref="E19:E24" si="3">C19+D19</f>
        <v>1000</v>
      </c>
      <c r="F19" s="3"/>
      <c r="G19" s="3">
        <f t="shared" si="2"/>
        <v>1000</v>
      </c>
    </row>
    <row r="20" spans="1:9" x14ac:dyDescent="0.25">
      <c r="A20" s="3">
        <v>16</v>
      </c>
      <c r="B20" s="3" t="s">
        <v>67</v>
      </c>
      <c r="C20" s="3"/>
      <c r="D20" s="3">
        <v>1000</v>
      </c>
      <c r="E20" s="3">
        <f t="shared" si="3"/>
        <v>1000</v>
      </c>
      <c r="F20" s="3"/>
      <c r="G20" s="3">
        <f t="shared" si="2"/>
        <v>1000</v>
      </c>
    </row>
    <row r="21" spans="1:9" x14ac:dyDescent="0.25">
      <c r="A21" s="3">
        <v>17</v>
      </c>
      <c r="B21" s="3" t="s">
        <v>47</v>
      </c>
      <c r="C21" s="3"/>
      <c r="D21" s="3">
        <v>1500</v>
      </c>
      <c r="E21" s="3">
        <f t="shared" si="3"/>
        <v>1500</v>
      </c>
      <c r="F21" s="3">
        <v>1500</v>
      </c>
      <c r="G21" s="3">
        <f t="shared" si="2"/>
        <v>0</v>
      </c>
    </row>
    <row r="22" spans="1:9" x14ac:dyDescent="0.25">
      <c r="A22" s="3">
        <v>18</v>
      </c>
      <c r="B22" s="3" t="s">
        <v>45</v>
      </c>
      <c r="C22" s="3"/>
      <c r="D22" s="3">
        <v>1500</v>
      </c>
      <c r="E22" s="3">
        <f t="shared" si="3"/>
        <v>1500</v>
      </c>
      <c r="F22" s="3">
        <v>1500</v>
      </c>
      <c r="G22" s="3">
        <f t="shared" si="2"/>
        <v>0</v>
      </c>
      <c r="H22" t="s">
        <v>46</v>
      </c>
    </row>
    <row r="23" spans="1:9" x14ac:dyDescent="0.25">
      <c r="A23" s="3">
        <v>19</v>
      </c>
      <c r="B23" s="3" t="s">
        <v>65</v>
      </c>
      <c r="C23" s="3"/>
      <c r="D23" s="3">
        <v>1500</v>
      </c>
      <c r="E23" s="3">
        <f t="shared" si="3"/>
        <v>1500</v>
      </c>
      <c r="F23" s="3">
        <v>1500</v>
      </c>
      <c r="G23" s="3">
        <f t="shared" si="2"/>
        <v>0</v>
      </c>
    </row>
    <row r="24" spans="1:9" x14ac:dyDescent="0.25">
      <c r="A24" s="3">
        <v>20</v>
      </c>
      <c r="B24" s="3" t="s">
        <v>45</v>
      </c>
      <c r="C24" s="3"/>
      <c r="D24" s="3">
        <v>1500</v>
      </c>
      <c r="E24" s="3">
        <f t="shared" si="3"/>
        <v>1500</v>
      </c>
      <c r="F24" s="3">
        <v>1500</v>
      </c>
      <c r="G24" s="3">
        <f t="shared" si="2"/>
        <v>0</v>
      </c>
      <c r="H24" t="s">
        <v>63</v>
      </c>
    </row>
    <row r="25" spans="1:9" ht="15.75" thickBot="1" x14ac:dyDescent="0.3">
      <c r="A25" s="2"/>
      <c r="B25" s="2" t="s">
        <v>26</v>
      </c>
      <c r="C25" s="2"/>
      <c r="D25" s="6">
        <f>SUM(D5:D24)</f>
        <v>22000</v>
      </c>
      <c r="E25" s="6">
        <f>SUM(E5:E24)</f>
        <v>22000</v>
      </c>
      <c r="F25" s="6">
        <f>SUM(F5:F24)</f>
        <v>16700</v>
      </c>
      <c r="G25" s="6">
        <f>SUM(G5:G24)</f>
        <v>5300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61</v>
      </c>
      <c r="C29" s="3">
        <f>D25</f>
        <v>22000</v>
      </c>
      <c r="D29" s="3"/>
      <c r="E29" s="3"/>
      <c r="F29" s="3" t="s">
        <v>61</v>
      </c>
      <c r="G29" s="3">
        <f>F25</f>
        <v>16700</v>
      </c>
      <c r="H29" s="3"/>
      <c r="I29" s="3"/>
    </row>
    <row r="30" spans="1:9" x14ac:dyDescent="0.25">
      <c r="B30" s="3" t="s">
        <v>62</v>
      </c>
      <c r="C30" s="3">
        <f>'MARCH 18'!E37</f>
        <v>150</v>
      </c>
      <c r="D30" s="3"/>
      <c r="E30" s="3"/>
      <c r="F30" s="3" t="s">
        <v>62</v>
      </c>
      <c r="G30" s="3">
        <f>'MARCH 18'!I37</f>
        <v>150</v>
      </c>
      <c r="H30" s="3"/>
      <c r="I30" s="3"/>
    </row>
    <row r="31" spans="1:9" x14ac:dyDescent="0.25">
      <c r="B31" s="2" t="s">
        <v>20</v>
      </c>
      <c r="C31" s="3"/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2200</v>
      </c>
      <c r="E32" s="3"/>
      <c r="F32" s="3"/>
      <c r="G32" s="3" t="s">
        <v>41</v>
      </c>
      <c r="H32" s="3">
        <f>C32*C29</f>
        <v>2200</v>
      </c>
      <c r="I32" s="3"/>
    </row>
    <row r="33" spans="2:9" x14ac:dyDescent="0.25">
      <c r="B33" s="14" t="s">
        <v>72</v>
      </c>
      <c r="C33" s="3"/>
      <c r="D33" s="3">
        <v>2000</v>
      </c>
      <c r="E33" s="3"/>
      <c r="F33" s="14" t="s">
        <v>72</v>
      </c>
      <c r="G33" s="3"/>
      <c r="H33" s="3">
        <v>2000</v>
      </c>
      <c r="I33" s="3"/>
    </row>
    <row r="34" spans="2:9" x14ac:dyDescent="0.25">
      <c r="B34" s="10">
        <v>43195</v>
      </c>
      <c r="C34" s="3"/>
      <c r="D34" s="3">
        <v>800</v>
      </c>
      <c r="E34" s="3"/>
      <c r="F34" s="10"/>
      <c r="G34" s="3"/>
      <c r="H34" s="3"/>
      <c r="I34" s="3"/>
    </row>
    <row r="35" spans="2:9" x14ac:dyDescent="0.25">
      <c r="B35" s="10">
        <v>43202</v>
      </c>
      <c r="C35" s="3"/>
      <c r="D35" s="3">
        <v>17150</v>
      </c>
      <c r="E35" s="3"/>
      <c r="F35" s="10">
        <v>43202</v>
      </c>
      <c r="G35" s="3"/>
      <c r="H35" s="3">
        <v>17150</v>
      </c>
      <c r="I35" s="3"/>
    </row>
    <row r="36" spans="2:9" x14ac:dyDescent="0.25">
      <c r="B36" s="3"/>
      <c r="C36" s="3"/>
      <c r="D36" s="3"/>
      <c r="E36" s="3"/>
      <c r="F36" s="3" t="s">
        <v>84</v>
      </c>
      <c r="G36" s="3"/>
      <c r="H36" s="3"/>
      <c r="I36" s="3"/>
    </row>
    <row r="37" spans="2:9" x14ac:dyDescent="0.25">
      <c r="B37" s="2" t="s">
        <v>26</v>
      </c>
      <c r="C37" s="3">
        <f>C29+C30</f>
        <v>22150</v>
      </c>
      <c r="D37" s="3">
        <f>SUM(D32:D36)</f>
        <v>22150</v>
      </c>
      <c r="E37" s="3">
        <f>C37-D37</f>
        <v>0</v>
      </c>
      <c r="F37" s="2" t="s">
        <v>26</v>
      </c>
      <c r="G37" s="3">
        <f>G29+G30</f>
        <v>16850</v>
      </c>
      <c r="H37" s="3">
        <f>SUM(H32:H36)</f>
        <v>21350</v>
      </c>
      <c r="I37" s="3">
        <f>G37-H37</f>
        <v>-4500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4" workbookViewId="0">
      <selection activeCell="G20" sqref="G20"/>
    </sheetView>
  </sheetViews>
  <sheetFormatPr defaultRowHeight="15" x14ac:dyDescent="0.25"/>
  <cols>
    <col min="2" max="2" width="21.57031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319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109</v>
      </c>
      <c r="C6" s="3">
        <v>300</v>
      </c>
      <c r="D6" s="3"/>
      <c r="E6" s="3">
        <f>D6+C6</f>
        <v>300</v>
      </c>
      <c r="F6" s="15">
        <v>300</v>
      </c>
      <c r="G6" s="3">
        <f>E6-F6</f>
        <v>0</v>
      </c>
    </row>
    <row r="7" spans="1:7" x14ac:dyDescent="0.25">
      <c r="A7" s="3">
        <v>2</v>
      </c>
      <c r="B7" s="15" t="s">
        <v>15</v>
      </c>
      <c r="C7" s="3"/>
      <c r="D7" s="3"/>
      <c r="E7" s="3">
        <f t="shared" ref="E7:E16" si="0">D7+C7</f>
        <v>0</v>
      </c>
      <c r="G7" s="3">
        <f>E7-F7</f>
        <v>0</v>
      </c>
    </row>
    <row r="8" spans="1:7" x14ac:dyDescent="0.25">
      <c r="A8" s="16">
        <v>3</v>
      </c>
      <c r="B8" s="18" t="s">
        <v>137</v>
      </c>
      <c r="C8" s="3">
        <f>'MARCH 21'!G8:G28</f>
        <v>0</v>
      </c>
      <c r="D8" s="18">
        <v>1000</v>
      </c>
      <c r="E8" s="16">
        <f>D8+C8</f>
        <v>1000</v>
      </c>
      <c r="F8" s="15">
        <f>1000</f>
        <v>1000</v>
      </c>
      <c r="G8" s="3">
        <f t="shared" ref="G8:G9" si="1">E8-F8</f>
        <v>0</v>
      </c>
    </row>
    <row r="9" spans="1:7" x14ac:dyDescent="0.25">
      <c r="A9" s="16">
        <v>4</v>
      </c>
      <c r="B9" s="16" t="s">
        <v>238</v>
      </c>
      <c r="C9" s="3">
        <f>'MARCH 21'!G9:G29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7" x14ac:dyDescent="0.25">
      <c r="A10" s="16">
        <v>5</v>
      </c>
      <c r="B10" s="15" t="s">
        <v>15</v>
      </c>
      <c r="C10" s="3">
        <f>'MARCH 21'!G10:G30</f>
        <v>0</v>
      </c>
      <c r="D10" s="16"/>
      <c r="E10" s="16">
        <f>D10+C10</f>
        <v>0</v>
      </c>
      <c r="F10" s="44"/>
      <c r="G10" s="3">
        <f>E10-F10</f>
        <v>0</v>
      </c>
    </row>
    <row r="11" spans="1:7" x14ac:dyDescent="0.25">
      <c r="A11" s="16">
        <v>6</v>
      </c>
      <c r="B11" s="15" t="s">
        <v>207</v>
      </c>
      <c r="C11" s="3">
        <v>1400</v>
      </c>
      <c r="D11" s="16"/>
      <c r="E11" s="16">
        <f t="shared" si="0"/>
        <v>1400</v>
      </c>
      <c r="F11" s="44"/>
      <c r="G11" s="3"/>
    </row>
    <row r="12" spans="1:7" x14ac:dyDescent="0.25">
      <c r="A12" s="16">
        <v>7</v>
      </c>
      <c r="B12" s="16" t="s">
        <v>28</v>
      </c>
      <c r="C12" s="3">
        <f>'MARCH 21'!G12:G32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'MARCH 21'!G13:G33</f>
        <v>-200</v>
      </c>
      <c r="D13" s="16">
        <v>1000</v>
      </c>
      <c r="E13" s="16">
        <f t="shared" si="0"/>
        <v>800</v>
      </c>
      <c r="F13" s="44"/>
      <c r="G13" s="3">
        <f t="shared" si="2"/>
        <v>800</v>
      </c>
    </row>
    <row r="14" spans="1:7" x14ac:dyDescent="0.25">
      <c r="A14" s="16">
        <v>9</v>
      </c>
      <c r="B14" s="3" t="s">
        <v>313</v>
      </c>
      <c r="C14" s="3">
        <f>'MARCH 21'!G14:G34</f>
        <v>0</v>
      </c>
      <c r="D14" s="3">
        <v>1000</v>
      </c>
      <c r="E14" s="16">
        <f t="shared" si="0"/>
        <v>1000</v>
      </c>
      <c r="F14" s="44">
        <f>1000</f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'MARCH 21'!G15:G35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7" x14ac:dyDescent="0.25">
      <c r="A16" s="16">
        <v>11</v>
      </c>
      <c r="B16" s="36" t="s">
        <v>45</v>
      </c>
      <c r="C16" s="3">
        <f>'MARCH 21'!G16:G36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9" x14ac:dyDescent="0.25">
      <c r="A17" s="16">
        <v>12</v>
      </c>
      <c r="B17" s="3" t="s">
        <v>252</v>
      </c>
      <c r="C17" s="3">
        <f>'MARCH 21'!G17:G37</f>
        <v>0</v>
      </c>
      <c r="D17" s="3">
        <v>1000</v>
      </c>
      <c r="E17" s="16">
        <f>D17+C17</f>
        <v>1000</v>
      </c>
      <c r="F17" s="44">
        <v>1000</v>
      </c>
      <c r="G17" s="14">
        <f>E17-F17</f>
        <v>0</v>
      </c>
    </row>
    <row r="18" spans="1:9" x14ac:dyDescent="0.25">
      <c r="A18" s="16">
        <v>13</v>
      </c>
      <c r="B18" s="16" t="s">
        <v>204</v>
      </c>
      <c r="C18" s="3">
        <f>'MARCH 21'!G18:G38</f>
        <v>0</v>
      </c>
      <c r="D18" s="16">
        <v>1000</v>
      </c>
      <c r="E18" s="16">
        <f>D18+C18</f>
        <v>1000</v>
      </c>
      <c r="F18" s="44">
        <f>1000</f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'MARCH 21'!G19:G39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'MARCH 21'!G20:G40</f>
        <v>1000</v>
      </c>
      <c r="D20" s="16">
        <v>1000</v>
      </c>
      <c r="E20" s="16">
        <f t="shared" ref="E20:E26" si="3">D20+C20</f>
        <v>2000</v>
      </c>
      <c r="F20" s="44">
        <f>200</f>
        <v>200</v>
      </c>
      <c r="G20" s="3">
        <f t="shared" si="2"/>
        <v>1800</v>
      </c>
    </row>
    <row r="21" spans="1:9" x14ac:dyDescent="0.25">
      <c r="A21" s="16">
        <v>16</v>
      </c>
      <c r="B21" s="3" t="s">
        <v>291</v>
      </c>
      <c r="C21" s="3">
        <f>'MARCH 21'!G21:G41</f>
        <v>1000</v>
      </c>
      <c r="D21" s="3">
        <v>1000</v>
      </c>
      <c r="E21" s="16">
        <f t="shared" si="3"/>
        <v>2000</v>
      </c>
      <c r="F21" s="44">
        <f>1000+500</f>
        <v>1500</v>
      </c>
      <c r="G21" s="3">
        <f>E21-F21</f>
        <v>500</v>
      </c>
    </row>
    <row r="22" spans="1:9" x14ac:dyDescent="0.25">
      <c r="A22" s="16">
        <v>17</v>
      </c>
      <c r="B22" s="16" t="s">
        <v>47</v>
      </c>
      <c r="C22" s="3">
        <f>'MARCH 21'!G22:G42</f>
        <v>0</v>
      </c>
      <c r="D22" s="16">
        <v>1500</v>
      </c>
      <c r="E22" s="16">
        <f t="shared" si="3"/>
        <v>1500</v>
      </c>
      <c r="F22" s="44"/>
      <c r="G22" s="3">
        <f t="shared" si="2"/>
        <v>1500</v>
      </c>
    </row>
    <row r="23" spans="1:9" x14ac:dyDescent="0.25">
      <c r="A23" s="3">
        <v>18</v>
      </c>
      <c r="B23" s="18" t="s">
        <v>45</v>
      </c>
      <c r="C23" s="3"/>
      <c r="D23" s="3">
        <v>1500</v>
      </c>
      <c r="E23" s="16">
        <f t="shared" si="3"/>
        <v>1500</v>
      </c>
      <c r="F23" s="44">
        <v>1500</v>
      </c>
      <c r="G23" s="3">
        <f t="shared" si="2"/>
        <v>0</v>
      </c>
    </row>
    <row r="24" spans="1:9" x14ac:dyDescent="0.25">
      <c r="A24" s="3">
        <v>19</v>
      </c>
      <c r="B24" s="36" t="s">
        <v>15</v>
      </c>
      <c r="C24" s="3">
        <f>'MARCH 21'!G24:G44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9" x14ac:dyDescent="0.25">
      <c r="A25" s="3">
        <v>20</v>
      </c>
      <c r="B25" s="36" t="s">
        <v>118</v>
      </c>
      <c r="C25" s="3">
        <f>'MARCH 21'!G25:G45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9" x14ac:dyDescent="0.25">
      <c r="B26" s="2" t="s">
        <v>26</v>
      </c>
      <c r="C26" s="3">
        <f>SUM(C6:C25)</f>
        <v>6650</v>
      </c>
      <c r="D26" s="2">
        <f>SUM(D6:D25)</f>
        <v>15000</v>
      </c>
      <c r="E26" s="16">
        <f t="shared" si="3"/>
        <v>21650</v>
      </c>
      <c r="F26" s="2">
        <f>SUM(F6:F25)</f>
        <v>12500</v>
      </c>
      <c r="G26" s="2">
        <f>SUM(G6:G25)</f>
        <v>7750</v>
      </c>
    </row>
    <row r="27" spans="1:9" x14ac:dyDescent="0.25">
      <c r="C27" s="3">
        <f>'OCTOBER 20'!G27:G46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61</v>
      </c>
      <c r="C30" s="3">
        <f>D26</f>
        <v>15000</v>
      </c>
      <c r="D30" s="3"/>
      <c r="E30" s="3"/>
      <c r="F30" s="3" t="s">
        <v>61</v>
      </c>
      <c r="G30" s="3">
        <f>F26</f>
        <v>12500</v>
      </c>
      <c r="H30" s="3"/>
      <c r="I30" s="3"/>
    </row>
    <row r="31" spans="1:9" x14ac:dyDescent="0.25">
      <c r="B31" s="3" t="s">
        <v>62</v>
      </c>
      <c r="C31" s="3">
        <f>'MARCH 21'!E41</f>
        <v>0</v>
      </c>
      <c r="D31" s="3"/>
      <c r="E31" s="3"/>
      <c r="F31" s="3" t="s">
        <v>62</v>
      </c>
      <c r="G31">
        <f>'MARCH 21'!I41</f>
        <v>-7080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1500</v>
      </c>
      <c r="E32" s="3"/>
      <c r="F32" s="3" t="s">
        <v>41</v>
      </c>
      <c r="G32" s="5">
        <v>0.1</v>
      </c>
      <c r="H32" s="3">
        <f>G32*D26</f>
        <v>1500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316</v>
      </c>
      <c r="C34" s="3"/>
      <c r="D34" s="3">
        <v>1400</v>
      </c>
      <c r="E34" s="3"/>
      <c r="F34" s="19"/>
      <c r="G34" s="3"/>
      <c r="H34" s="3"/>
      <c r="I34" s="3"/>
    </row>
    <row r="35" spans="2:9" x14ac:dyDescent="0.25">
      <c r="B35" s="19" t="s">
        <v>318</v>
      </c>
      <c r="C35" s="3"/>
      <c r="D35" s="3">
        <v>1000</v>
      </c>
      <c r="E35" s="3"/>
      <c r="F35" s="19" t="s">
        <v>318</v>
      </c>
      <c r="G35" s="3"/>
      <c r="H35" s="3">
        <v>1000</v>
      </c>
      <c r="I35" s="3"/>
    </row>
    <row r="36" spans="2:9" x14ac:dyDescent="0.25">
      <c r="B36" s="19"/>
      <c r="C36" s="3"/>
      <c r="D36" s="3"/>
      <c r="E36" s="3"/>
      <c r="F36" s="19"/>
      <c r="G36" s="3"/>
      <c r="H36" s="3"/>
      <c r="I36" s="3"/>
    </row>
    <row r="37" spans="2:9" x14ac:dyDescent="0.25">
      <c r="B37" s="19" t="s">
        <v>321</v>
      </c>
      <c r="C37" s="3"/>
      <c r="D37" s="3">
        <v>1500</v>
      </c>
      <c r="E37" s="3"/>
      <c r="F37" s="19" t="s">
        <v>321</v>
      </c>
      <c r="G37" s="3"/>
      <c r="H37" s="3">
        <v>1500</v>
      </c>
      <c r="I37" s="3"/>
    </row>
    <row r="38" spans="2:9" x14ac:dyDescent="0.25">
      <c r="B38" s="19" t="s">
        <v>323</v>
      </c>
      <c r="C38" s="3"/>
      <c r="D38" s="3">
        <v>9600</v>
      </c>
      <c r="E38" s="3"/>
      <c r="F38" s="19" t="s">
        <v>323</v>
      </c>
      <c r="G38" s="3"/>
      <c r="H38" s="3">
        <v>9600</v>
      </c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13500</v>
      </c>
      <c r="D41" s="2">
        <f>SUM(D34:D40)</f>
        <v>13500</v>
      </c>
      <c r="E41" s="2">
        <f>C41-D41</f>
        <v>0</v>
      </c>
      <c r="F41" s="2" t="s">
        <v>26</v>
      </c>
      <c r="G41" s="2">
        <f>G30+G31-H32</f>
        <v>3920</v>
      </c>
      <c r="H41" s="2">
        <f>SUM(H34:H40)</f>
        <v>12100</v>
      </c>
      <c r="I41" s="2">
        <f>G41-H41</f>
        <v>-8180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320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'MARCH 21'!G51:G62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'MARCH 21'!G52:G63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4">E52-F52</f>
        <v>0</v>
      </c>
    </row>
    <row r="53" spans="1:7" x14ac:dyDescent="0.25">
      <c r="A53">
        <v>3</v>
      </c>
      <c r="B53" s="18" t="s">
        <v>193</v>
      </c>
      <c r="C53" s="3">
        <f>'MARCH 21'!G53:G64</f>
        <v>500</v>
      </c>
      <c r="D53" s="3">
        <v>2000</v>
      </c>
      <c r="E53" s="16">
        <f>C53+D53</f>
        <v>2500</v>
      </c>
      <c r="F53" s="15">
        <f>2000</f>
        <v>2000</v>
      </c>
      <c r="G53" s="3">
        <f>E53-F53</f>
        <v>500</v>
      </c>
    </row>
    <row r="54" spans="1:7" x14ac:dyDescent="0.25">
      <c r="A54">
        <v>4</v>
      </c>
      <c r="B54" s="18" t="s">
        <v>144</v>
      </c>
      <c r="C54" s="3">
        <f>'MARCH 21'!G54:G65</f>
        <v>0</v>
      </c>
      <c r="D54" s="3">
        <v>2000</v>
      </c>
      <c r="E54" s="16">
        <f t="shared" ref="E54:E60" si="5">C54+D54</f>
        <v>2000</v>
      </c>
      <c r="F54" s="15">
        <v>2000</v>
      </c>
      <c r="G54" s="3">
        <f t="shared" si="4"/>
        <v>0</v>
      </c>
    </row>
    <row r="55" spans="1:7" x14ac:dyDescent="0.25">
      <c r="A55">
        <v>5</v>
      </c>
      <c r="B55" s="18" t="s">
        <v>307</v>
      </c>
      <c r="C55" s="3">
        <f>'MARCH 21'!G55:G66</f>
        <v>0</v>
      </c>
      <c r="D55" s="3">
        <v>2000</v>
      </c>
      <c r="E55" s="16">
        <f t="shared" si="5"/>
        <v>2000</v>
      </c>
      <c r="F55" s="15"/>
      <c r="G55" s="3">
        <f t="shared" si="4"/>
        <v>2000</v>
      </c>
    </row>
    <row r="56" spans="1:7" x14ac:dyDescent="0.25">
      <c r="A56">
        <v>6</v>
      </c>
      <c r="B56" s="18" t="s">
        <v>165</v>
      </c>
      <c r="C56" s="3">
        <f>'MARCH 21'!G56:G67</f>
        <v>0</v>
      </c>
      <c r="D56" s="3">
        <v>2000</v>
      </c>
      <c r="E56" s="16">
        <f t="shared" si="5"/>
        <v>2000</v>
      </c>
      <c r="F56" s="15"/>
      <c r="G56" s="3">
        <f t="shared" si="4"/>
        <v>2000</v>
      </c>
    </row>
    <row r="57" spans="1:7" x14ac:dyDescent="0.25">
      <c r="A57">
        <v>7</v>
      </c>
      <c r="B57" s="18" t="s">
        <v>45</v>
      </c>
      <c r="C57" s="3">
        <f>'MARCH 21'!G57:G68</f>
        <v>0</v>
      </c>
      <c r="D57" s="3">
        <v>2000</v>
      </c>
      <c r="E57" s="16">
        <f t="shared" si="5"/>
        <v>2000</v>
      </c>
      <c r="F57" s="15">
        <f>1000+1000</f>
        <v>2000</v>
      </c>
      <c r="G57" s="3">
        <f t="shared" si="4"/>
        <v>0</v>
      </c>
    </row>
    <row r="58" spans="1:7" x14ac:dyDescent="0.25">
      <c r="A58">
        <v>8</v>
      </c>
      <c r="B58" s="18" t="s">
        <v>322</v>
      </c>
      <c r="C58" s="3">
        <f>'MARCH 21'!G58:G69</f>
        <v>0</v>
      </c>
      <c r="D58" s="3">
        <v>2000</v>
      </c>
      <c r="E58" s="16">
        <f t="shared" si="5"/>
        <v>2000</v>
      </c>
      <c r="F58" s="15">
        <f>2000</f>
        <v>2000</v>
      </c>
      <c r="G58" s="3">
        <f t="shared" si="4"/>
        <v>0</v>
      </c>
    </row>
    <row r="59" spans="1:7" x14ac:dyDescent="0.25">
      <c r="A59">
        <v>9</v>
      </c>
      <c r="B59" s="18" t="s">
        <v>190</v>
      </c>
      <c r="C59" s="3">
        <f>'MARCH 21'!G59:G70</f>
        <v>0</v>
      </c>
      <c r="D59" s="3">
        <v>2000</v>
      </c>
      <c r="E59" s="16">
        <f t="shared" si="5"/>
        <v>2000</v>
      </c>
      <c r="F59" s="15"/>
      <c r="G59" s="3">
        <f t="shared" si="4"/>
        <v>2000</v>
      </c>
    </row>
    <row r="60" spans="1:7" x14ac:dyDescent="0.25">
      <c r="A60">
        <v>10</v>
      </c>
      <c r="B60" s="18" t="s">
        <v>228</v>
      </c>
      <c r="C60" s="3">
        <f>'MARCH 21'!G60:G71</f>
        <v>0</v>
      </c>
      <c r="D60" s="3">
        <v>2000</v>
      </c>
      <c r="E60" s="16">
        <f t="shared" si="5"/>
        <v>2000</v>
      </c>
      <c r="F60" s="15">
        <f>1000</f>
        <v>1000</v>
      </c>
      <c r="G60" s="3">
        <f t="shared" si="4"/>
        <v>1000</v>
      </c>
    </row>
    <row r="61" spans="1:7" x14ac:dyDescent="0.25">
      <c r="A61">
        <v>11</v>
      </c>
      <c r="B61" s="18"/>
      <c r="C61" s="3">
        <f>'MARCH 21'!G61:G72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FEBRUARY21!G62:G73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500</v>
      </c>
      <c r="D63" s="2">
        <f>SUM(D51:D62)</f>
        <v>18000</v>
      </c>
      <c r="E63" s="2">
        <f>SUM(E51:E62)</f>
        <v>18500</v>
      </c>
      <c r="F63" s="2">
        <f>SUM(F51:F62)</f>
        <v>11000</v>
      </c>
      <c r="G63" s="2">
        <f>SUM(G51:G62)</f>
        <v>7500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61</v>
      </c>
      <c r="C67" s="3">
        <f>D63</f>
        <v>18000</v>
      </c>
      <c r="D67" s="3"/>
      <c r="E67" s="3"/>
      <c r="F67" s="3" t="s">
        <v>61</v>
      </c>
      <c r="G67" s="3">
        <f>F63</f>
        <v>11000</v>
      </c>
      <c r="H67" s="3"/>
      <c r="I67" s="3"/>
    </row>
    <row r="68" spans="2:9" x14ac:dyDescent="0.25">
      <c r="B68" s="3" t="s">
        <v>62</v>
      </c>
      <c r="C68" s="3">
        <f>'MARCH 21'!E77</f>
        <v>0</v>
      </c>
      <c r="D68" s="3"/>
      <c r="E68" s="3"/>
      <c r="F68" s="3" t="s">
        <v>62</v>
      </c>
      <c r="G68">
        <f>'MARCH 21'!I77</f>
        <v>-500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323</v>
      </c>
      <c r="C71" s="19"/>
      <c r="D71" s="3">
        <v>16200</v>
      </c>
      <c r="E71" s="3"/>
      <c r="F71" s="14" t="s">
        <v>323</v>
      </c>
      <c r="G71" s="19"/>
      <c r="H71" s="3">
        <v>16200</v>
      </c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8700</v>
      </c>
      <c r="H77" s="2">
        <f>SUM(H71:H76)</f>
        <v>16200</v>
      </c>
      <c r="I77" s="2">
        <f>G77-H77</f>
        <v>-7500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F55" sqref="F55"/>
    </sheetView>
  </sheetViews>
  <sheetFormatPr defaultRowHeight="15" x14ac:dyDescent="0.25"/>
  <cols>
    <col min="2" max="2" width="19" customWidth="1"/>
    <col min="5" max="5" width="11.28515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324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15</v>
      </c>
      <c r="C6" s="3">
        <f>'APRIL 21'!G6:G26</f>
        <v>0</v>
      </c>
      <c r="D6" s="3"/>
      <c r="E6" s="3">
        <f>D6+C6</f>
        <v>0</v>
      </c>
      <c r="F6" s="15"/>
      <c r="G6" s="3">
        <f>E6-F6</f>
        <v>0</v>
      </c>
    </row>
    <row r="7" spans="1:7" x14ac:dyDescent="0.25">
      <c r="A7" s="3">
        <v>2</v>
      </c>
      <c r="B7" s="15" t="s">
        <v>15</v>
      </c>
      <c r="C7" s="3">
        <f>'APRIL 21'!G7:G27</f>
        <v>0</v>
      </c>
      <c r="D7" s="3"/>
      <c r="E7" s="3">
        <f t="shared" ref="E7:E16" si="0">D7+C7</f>
        <v>0</v>
      </c>
      <c r="G7" s="3">
        <f>E7-F7</f>
        <v>0</v>
      </c>
    </row>
    <row r="8" spans="1:7" x14ac:dyDescent="0.25">
      <c r="A8" s="16">
        <v>3</v>
      </c>
      <c r="B8" s="18" t="s">
        <v>137</v>
      </c>
      <c r="C8" s="3">
        <f>'APRIL 21'!G8:G28</f>
        <v>0</v>
      </c>
      <c r="D8" s="18">
        <v>1000</v>
      </c>
      <c r="E8" s="16">
        <f>D8+C8</f>
        <v>1000</v>
      </c>
      <c r="F8" s="15"/>
      <c r="G8" s="3">
        <f t="shared" ref="G8:G9" si="1">E8-F8</f>
        <v>1000</v>
      </c>
    </row>
    <row r="9" spans="1:7" x14ac:dyDescent="0.25">
      <c r="A9" s="16">
        <v>4</v>
      </c>
      <c r="B9" s="16" t="s">
        <v>238</v>
      </c>
      <c r="C9" s="3">
        <f>'APRIL 21'!G9:G29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7" x14ac:dyDescent="0.25">
      <c r="A10" s="16">
        <v>5</v>
      </c>
      <c r="B10" s="15" t="s">
        <v>15</v>
      </c>
      <c r="C10" s="3">
        <f>'APRIL 21'!G10:G30</f>
        <v>0</v>
      </c>
      <c r="D10" s="16"/>
      <c r="E10" s="16">
        <f>D10+C10</f>
        <v>0</v>
      </c>
      <c r="F10" s="44"/>
      <c r="G10" s="3">
        <f>E10-F10</f>
        <v>0</v>
      </c>
    </row>
    <row r="11" spans="1:7" x14ac:dyDescent="0.25">
      <c r="A11" s="16">
        <v>6</v>
      </c>
      <c r="B11" s="15" t="s">
        <v>15</v>
      </c>
      <c r="C11" s="3">
        <f>'APRIL 21'!G11:G31</f>
        <v>0</v>
      </c>
      <c r="D11" s="16"/>
      <c r="E11" s="16">
        <f t="shared" si="0"/>
        <v>0</v>
      </c>
      <c r="F11" s="44"/>
      <c r="G11" s="3"/>
    </row>
    <row r="12" spans="1:7" x14ac:dyDescent="0.25">
      <c r="A12" s="16">
        <v>7</v>
      </c>
      <c r="B12" s="16" t="s">
        <v>28</v>
      </c>
      <c r="C12" s="3">
        <f>'APRIL 21'!G12:G32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'APRIL 21'!G13:G33</f>
        <v>800</v>
      </c>
      <c r="D13" s="16">
        <v>1000</v>
      </c>
      <c r="E13" s="16">
        <f t="shared" si="0"/>
        <v>1800</v>
      </c>
      <c r="F13" s="44"/>
      <c r="G13" s="3">
        <f t="shared" si="2"/>
        <v>1800</v>
      </c>
    </row>
    <row r="14" spans="1:7" x14ac:dyDescent="0.25">
      <c r="A14" s="16">
        <v>9</v>
      </c>
      <c r="B14" s="3" t="s">
        <v>313</v>
      </c>
      <c r="C14" s="3">
        <f>'APRIL 21'!G14:G34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'APRIL 21'!G15:G35</f>
        <v>500</v>
      </c>
      <c r="D15" s="16">
        <v>1000</v>
      </c>
      <c r="E15" s="16">
        <f t="shared" si="0"/>
        <v>1500</v>
      </c>
      <c r="F15" s="44"/>
      <c r="G15" s="3">
        <f>E15-F15</f>
        <v>1500</v>
      </c>
    </row>
    <row r="16" spans="1:7" x14ac:dyDescent="0.25">
      <c r="A16" s="16">
        <v>11</v>
      </c>
      <c r="B16" s="45" t="s">
        <v>332</v>
      </c>
      <c r="C16" s="3">
        <f>'APRIL 21'!G16:G36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9" x14ac:dyDescent="0.25">
      <c r="A17" s="16">
        <v>12</v>
      </c>
      <c r="B17" s="3" t="s">
        <v>252</v>
      </c>
      <c r="C17" s="3">
        <f>'APRIL 21'!G17:G37</f>
        <v>0</v>
      </c>
      <c r="D17" s="3">
        <v>1000</v>
      </c>
      <c r="E17" s="16">
        <f>D17+C17</f>
        <v>1000</v>
      </c>
      <c r="F17" s="44">
        <v>1000</v>
      </c>
      <c r="G17" s="14">
        <f>E17-F17</f>
        <v>0</v>
      </c>
      <c r="H17" t="s">
        <v>46</v>
      </c>
    </row>
    <row r="18" spans="1:9" x14ac:dyDescent="0.25">
      <c r="A18" s="16">
        <v>13</v>
      </c>
      <c r="B18" s="16" t="s">
        <v>204</v>
      </c>
      <c r="C18" s="3">
        <f>'APRIL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'APRIL 21'!G19:G39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'APRIL 21'!G20:G40</f>
        <v>1800</v>
      </c>
      <c r="D20" s="16">
        <v>1000</v>
      </c>
      <c r="E20" s="16">
        <f t="shared" ref="E20:E25" si="3">D20+C20</f>
        <v>2800</v>
      </c>
      <c r="F20" s="44">
        <f>2000</f>
        <v>2000</v>
      </c>
      <c r="G20" s="3">
        <f t="shared" si="2"/>
        <v>800</v>
      </c>
    </row>
    <row r="21" spans="1:9" x14ac:dyDescent="0.25">
      <c r="A21" s="16">
        <v>16</v>
      </c>
      <c r="B21" s="3" t="s">
        <v>291</v>
      </c>
      <c r="C21" s="3">
        <f>'APRIL 21'!G21:G41</f>
        <v>500</v>
      </c>
      <c r="D21" s="3">
        <v>1000</v>
      </c>
      <c r="E21" s="16">
        <f t="shared" si="3"/>
        <v>1500</v>
      </c>
      <c r="F21" s="44">
        <f>1000+500</f>
        <v>1500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'APRIL 21'!G22:G42</f>
        <v>1500</v>
      </c>
      <c r="D22" s="16">
        <v>1500</v>
      </c>
      <c r="E22" s="16">
        <f t="shared" si="3"/>
        <v>3000</v>
      </c>
      <c r="F22" s="44">
        <v>3000</v>
      </c>
      <c r="G22" s="3">
        <f t="shared" si="2"/>
        <v>0</v>
      </c>
    </row>
    <row r="23" spans="1:9" x14ac:dyDescent="0.25">
      <c r="A23" s="3">
        <v>18</v>
      </c>
      <c r="B23" s="18" t="s">
        <v>45</v>
      </c>
      <c r="C23" s="3">
        <f>'APRIL 21'!G23:G43</f>
        <v>0</v>
      </c>
      <c r="D23" s="3">
        <v>1500</v>
      </c>
      <c r="E23" s="16">
        <f t="shared" si="3"/>
        <v>1500</v>
      </c>
      <c r="F23" s="44">
        <v>1500</v>
      </c>
      <c r="G23" s="3">
        <f t="shared" si="2"/>
        <v>0</v>
      </c>
      <c r="H23" t="s">
        <v>46</v>
      </c>
    </row>
    <row r="24" spans="1:9" x14ac:dyDescent="0.25">
      <c r="A24" s="3">
        <v>19</v>
      </c>
      <c r="B24" s="36" t="s">
        <v>15</v>
      </c>
      <c r="C24" s="3">
        <f>'APRIL 21'!G24:G44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9" x14ac:dyDescent="0.25">
      <c r="A25" s="3">
        <v>20</v>
      </c>
      <c r="B25" s="36" t="s">
        <v>118</v>
      </c>
      <c r="C25" s="3">
        <f>'APRIL 21'!G25:G45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9" x14ac:dyDescent="0.25">
      <c r="B26" s="2" t="s">
        <v>26</v>
      </c>
      <c r="C26" s="3">
        <f>'APRIL 21'!G26:G46</f>
        <v>7750</v>
      </c>
      <c r="D26" s="2">
        <f>SUM(D6:D25)</f>
        <v>15000</v>
      </c>
      <c r="E26" s="16">
        <f>D26+C26</f>
        <v>22750</v>
      </c>
      <c r="F26" s="2">
        <f>SUM(F6:F25)</f>
        <v>15000</v>
      </c>
      <c r="G26" s="2">
        <f>SUM(G6:G25)</f>
        <v>7750</v>
      </c>
    </row>
    <row r="27" spans="1:9" x14ac:dyDescent="0.25">
      <c r="C27" s="3">
        <f>'APRIL 21'!G27:G47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71</v>
      </c>
      <c r="C30" s="3">
        <f>D26</f>
        <v>15000</v>
      </c>
      <c r="D30" s="3"/>
      <c r="E30" s="3"/>
      <c r="F30" s="3" t="s">
        <v>71</v>
      </c>
      <c r="G30" s="3">
        <f>F26</f>
        <v>15000</v>
      </c>
      <c r="H30" s="3"/>
      <c r="I30" s="3"/>
    </row>
    <row r="31" spans="1:9" x14ac:dyDescent="0.25">
      <c r="B31" s="3" t="s">
        <v>62</v>
      </c>
      <c r="C31" s="3">
        <f>'MARCH 21'!E41</f>
        <v>0</v>
      </c>
      <c r="D31" s="3"/>
      <c r="E31" s="3"/>
      <c r="F31" s="3" t="s">
        <v>62</v>
      </c>
      <c r="G31">
        <f>'APRIL 21'!I41</f>
        <v>-8180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1500</v>
      </c>
      <c r="E32" s="3"/>
      <c r="F32" s="3" t="s">
        <v>41</v>
      </c>
      <c r="G32" s="5">
        <v>0.1</v>
      </c>
      <c r="H32" s="3">
        <f>G32*C30</f>
        <v>1500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318</v>
      </c>
      <c r="C34" s="3"/>
      <c r="D34" s="3">
        <v>1000</v>
      </c>
      <c r="E34" s="3"/>
      <c r="F34" s="19" t="s">
        <v>318</v>
      </c>
      <c r="G34" s="3"/>
      <c r="H34" s="3">
        <v>1000</v>
      </c>
      <c r="I34" s="3"/>
    </row>
    <row r="35" spans="2:9" x14ac:dyDescent="0.25">
      <c r="B35" s="19" t="s">
        <v>327</v>
      </c>
      <c r="C35" s="3"/>
      <c r="D35" s="3">
        <v>1500</v>
      </c>
      <c r="E35" s="3"/>
      <c r="F35" s="19" t="s">
        <v>327</v>
      </c>
      <c r="G35" s="3"/>
      <c r="H35" s="3">
        <v>1500</v>
      </c>
      <c r="I35" s="3"/>
    </row>
    <row r="36" spans="2:9" x14ac:dyDescent="0.25">
      <c r="B36" s="19" t="s">
        <v>329</v>
      </c>
      <c r="C36" s="3"/>
      <c r="D36" s="3">
        <v>400</v>
      </c>
      <c r="E36" s="3"/>
      <c r="F36" s="19"/>
      <c r="G36" s="3"/>
      <c r="H36" s="3"/>
      <c r="I36" s="3"/>
    </row>
    <row r="37" spans="2:9" x14ac:dyDescent="0.25">
      <c r="B37" s="19" t="s">
        <v>328</v>
      </c>
      <c r="C37" s="3"/>
      <c r="D37" s="3">
        <v>10600</v>
      </c>
      <c r="E37" s="3"/>
      <c r="F37" s="19" t="s">
        <v>328</v>
      </c>
      <c r="G37" s="3"/>
      <c r="H37" s="3">
        <v>10600</v>
      </c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13500</v>
      </c>
      <c r="D41" s="2">
        <f>SUM(D34:D40)</f>
        <v>13500</v>
      </c>
      <c r="E41" s="2">
        <f>C41-D41</f>
        <v>0</v>
      </c>
      <c r="F41" s="2" t="s">
        <v>26</v>
      </c>
      <c r="G41" s="2">
        <f>G30+G31-H32</f>
        <v>5320</v>
      </c>
      <c r="H41" s="2">
        <f>SUM(H34:H40)</f>
        <v>13100</v>
      </c>
      <c r="I41" s="2">
        <f>G41-H41</f>
        <v>-7780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325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'APRIL 21'!G51:G63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'APRIL 21'!G52:G64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4">E52-F52</f>
        <v>0</v>
      </c>
    </row>
    <row r="53" spans="1:7" x14ac:dyDescent="0.25">
      <c r="A53">
        <v>3</v>
      </c>
      <c r="B53" s="18" t="s">
        <v>193</v>
      </c>
      <c r="C53" s="3">
        <f>'APRIL 21'!G53:G65</f>
        <v>500</v>
      </c>
      <c r="D53" s="3">
        <v>2000</v>
      </c>
      <c r="E53" s="16">
        <f>C53+D53</f>
        <v>2500</v>
      </c>
      <c r="F53" s="15">
        <f>500+2000</f>
        <v>2500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'APRIL 21'!G54:G66</f>
        <v>0</v>
      </c>
      <c r="D54" s="3">
        <v>2000</v>
      </c>
      <c r="E54" s="16">
        <f t="shared" ref="E54:E60" si="5">C54+D54</f>
        <v>2000</v>
      </c>
      <c r="F54" s="15">
        <f>2000</f>
        <v>2000</v>
      </c>
      <c r="G54" s="3">
        <f t="shared" si="4"/>
        <v>0</v>
      </c>
    </row>
    <row r="55" spans="1:7" x14ac:dyDescent="0.25">
      <c r="A55">
        <v>5</v>
      </c>
      <c r="B55" s="18" t="s">
        <v>307</v>
      </c>
      <c r="C55" s="3">
        <f>'APRIL 21'!G55:G67</f>
        <v>2000</v>
      </c>
      <c r="D55" s="3">
        <v>2000</v>
      </c>
      <c r="E55" s="16">
        <f t="shared" si="5"/>
        <v>4000</v>
      </c>
      <c r="F55" s="15">
        <f>2000</f>
        <v>2000</v>
      </c>
      <c r="G55" s="3">
        <f t="shared" si="4"/>
        <v>2000</v>
      </c>
    </row>
    <row r="56" spans="1:7" x14ac:dyDescent="0.25">
      <c r="A56">
        <v>6</v>
      </c>
      <c r="B56" s="18" t="s">
        <v>165</v>
      </c>
      <c r="C56" s="3">
        <f>'APRIL 21'!G56:G68</f>
        <v>2000</v>
      </c>
      <c r="D56" s="3">
        <v>2000</v>
      </c>
      <c r="E56" s="16">
        <f t="shared" si="5"/>
        <v>4000</v>
      </c>
      <c r="F56" s="15">
        <v>2000</v>
      </c>
      <c r="G56" s="3">
        <f t="shared" si="4"/>
        <v>2000</v>
      </c>
    </row>
    <row r="57" spans="1:7" x14ac:dyDescent="0.25">
      <c r="A57">
        <v>7</v>
      </c>
      <c r="B57" s="18" t="s">
        <v>326</v>
      </c>
      <c r="C57" s="3">
        <f>'APRIL 21'!G57:G69</f>
        <v>0</v>
      </c>
      <c r="D57" s="3">
        <v>2000</v>
      </c>
      <c r="E57" s="16">
        <f t="shared" si="5"/>
        <v>2000</v>
      </c>
      <c r="F57" s="15">
        <v>2000</v>
      </c>
      <c r="G57" s="3">
        <f t="shared" si="4"/>
        <v>0</v>
      </c>
    </row>
    <row r="58" spans="1:7" x14ac:dyDescent="0.25">
      <c r="A58">
        <v>8</v>
      </c>
      <c r="B58" s="18" t="s">
        <v>322</v>
      </c>
      <c r="C58" s="3">
        <f>'APRIL 21'!G58:G70</f>
        <v>0</v>
      </c>
      <c r="D58" s="3">
        <v>2000</v>
      </c>
      <c r="E58" s="16">
        <f t="shared" si="5"/>
        <v>2000</v>
      </c>
      <c r="F58" s="15">
        <v>2000</v>
      </c>
      <c r="G58" s="3">
        <f t="shared" si="4"/>
        <v>0</v>
      </c>
    </row>
    <row r="59" spans="1:7" x14ac:dyDescent="0.25">
      <c r="A59">
        <v>9</v>
      </c>
      <c r="B59" s="18" t="s">
        <v>190</v>
      </c>
      <c r="C59" s="3">
        <f>'APRIL 21'!G59:G71</f>
        <v>2000</v>
      </c>
      <c r="D59" s="3">
        <v>2000</v>
      </c>
      <c r="E59" s="16">
        <f t="shared" si="5"/>
        <v>4000</v>
      </c>
      <c r="F59" s="15">
        <f>2000</f>
        <v>2000</v>
      </c>
      <c r="G59" s="3">
        <f t="shared" si="4"/>
        <v>2000</v>
      </c>
    </row>
    <row r="60" spans="1:7" x14ac:dyDescent="0.25">
      <c r="A60">
        <v>10</v>
      </c>
      <c r="B60" s="18" t="s">
        <v>228</v>
      </c>
      <c r="C60" s="3">
        <f>'APRIL 21'!G60:G72</f>
        <v>1000</v>
      </c>
      <c r="D60" s="3">
        <v>2000</v>
      </c>
      <c r="E60" s="16">
        <f t="shared" si="5"/>
        <v>3000</v>
      </c>
      <c r="F60" s="15">
        <v>3000</v>
      </c>
      <c r="G60" s="3">
        <f t="shared" si="4"/>
        <v>0</v>
      </c>
    </row>
    <row r="61" spans="1:7" x14ac:dyDescent="0.25">
      <c r="A61">
        <v>11</v>
      </c>
      <c r="B61" s="18"/>
      <c r="C61" s="3">
        <f>'APRIL 21'!G61:G73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'APRIL 21'!G62:G74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'APRIL 21'!G63:G75</f>
        <v>7500</v>
      </c>
      <c r="D63" s="2">
        <f>SUM(D51:D62)</f>
        <v>18000</v>
      </c>
      <c r="E63" s="2">
        <f>SUM(E51:E62)</f>
        <v>25500</v>
      </c>
      <c r="F63" s="2">
        <f>SUM(F51:F62)</f>
        <v>19500</v>
      </c>
      <c r="G63" s="2">
        <f>SUM(G51:G62)</f>
        <v>6000</v>
      </c>
    </row>
    <row r="65" spans="2:14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4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14" x14ac:dyDescent="0.25">
      <c r="B67" s="3" t="s">
        <v>61</v>
      </c>
      <c r="C67" s="3">
        <f>D63</f>
        <v>18000</v>
      </c>
      <c r="D67" s="3"/>
      <c r="E67" s="3"/>
      <c r="F67" s="3" t="s">
        <v>61</v>
      </c>
      <c r="G67" s="3">
        <f>F63</f>
        <v>19500</v>
      </c>
      <c r="H67" s="3"/>
      <c r="I67" s="3"/>
    </row>
    <row r="68" spans="2:14" x14ac:dyDescent="0.25">
      <c r="B68" s="3" t="s">
        <v>62</v>
      </c>
      <c r="C68" s="3">
        <f>'APRIL 21'!E77</f>
        <v>0</v>
      </c>
      <c r="D68" s="3"/>
      <c r="E68" s="3"/>
      <c r="F68" s="3" t="s">
        <v>62</v>
      </c>
      <c r="G68">
        <f>'APRIL 21'!I77</f>
        <v>-7500</v>
      </c>
      <c r="H68" s="3"/>
      <c r="I68" s="3"/>
    </row>
    <row r="69" spans="2:14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14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4" x14ac:dyDescent="0.25">
      <c r="B71" s="14" t="s">
        <v>328</v>
      </c>
      <c r="C71" s="19"/>
      <c r="D71" s="3">
        <v>16200</v>
      </c>
      <c r="E71" s="3"/>
      <c r="F71" s="14" t="s">
        <v>328</v>
      </c>
      <c r="G71" s="19"/>
      <c r="H71" s="3">
        <v>16200</v>
      </c>
      <c r="I71" s="3"/>
    </row>
    <row r="72" spans="2:14" x14ac:dyDescent="0.25">
      <c r="B72" s="14"/>
      <c r="C72" s="19"/>
      <c r="D72" s="3"/>
      <c r="E72" s="3"/>
      <c r="F72" s="14"/>
      <c r="G72" s="19"/>
      <c r="H72" s="3"/>
      <c r="I72" s="3"/>
    </row>
    <row r="73" spans="2:14" x14ac:dyDescent="0.25">
      <c r="B73" s="10"/>
      <c r="C73" s="3"/>
      <c r="D73" s="3"/>
      <c r="E73" s="3"/>
      <c r="F73" s="10"/>
      <c r="G73" s="3"/>
      <c r="H73" s="3"/>
      <c r="I73" s="3"/>
      <c r="N73">
        <f>85000+13500+16200</f>
        <v>114700</v>
      </c>
    </row>
    <row r="74" spans="2:14" x14ac:dyDescent="0.25">
      <c r="B74" s="35"/>
      <c r="C74" s="19"/>
      <c r="D74" s="3"/>
      <c r="E74" s="3"/>
      <c r="F74" s="35"/>
      <c r="G74" s="19"/>
      <c r="H74" s="3"/>
      <c r="I74" s="3"/>
    </row>
    <row r="75" spans="2:14" x14ac:dyDescent="0.25">
      <c r="B75" s="35"/>
      <c r="C75" s="19"/>
      <c r="D75" s="3"/>
      <c r="E75" s="3"/>
      <c r="F75" s="35"/>
      <c r="G75" s="19"/>
      <c r="H75" s="3"/>
      <c r="I75" s="3"/>
    </row>
    <row r="76" spans="2:14" x14ac:dyDescent="0.25">
      <c r="B76" s="10"/>
      <c r="C76" s="3"/>
      <c r="D76" s="3"/>
      <c r="E76" s="3"/>
      <c r="F76" s="10"/>
      <c r="G76" s="3"/>
      <c r="H76" s="3"/>
      <c r="I76" s="3"/>
    </row>
    <row r="77" spans="2:14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10200</v>
      </c>
      <c r="H77" s="2">
        <f>SUM(H71:H76)</f>
        <v>16200</v>
      </c>
      <c r="I77" s="2">
        <f>G77-H77</f>
        <v>-6000</v>
      </c>
    </row>
    <row r="79" spans="2:14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G8" sqref="G8"/>
    </sheetView>
  </sheetViews>
  <sheetFormatPr defaultRowHeight="15" x14ac:dyDescent="0.25"/>
  <cols>
    <col min="1" max="1" width="6" customWidth="1"/>
    <col min="2" max="2" width="24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330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6" t="s">
        <v>30</v>
      </c>
      <c r="C6" s="3">
        <f>'MAY 21'!G6:G26</f>
        <v>0</v>
      </c>
      <c r="D6" s="3">
        <v>1000</v>
      </c>
      <c r="E6" s="3">
        <f>D6+C6</f>
        <v>1000</v>
      </c>
      <c r="F6" s="15">
        <v>1000</v>
      </c>
      <c r="G6" s="3">
        <f>E6-F6</f>
        <v>0</v>
      </c>
    </row>
    <row r="7" spans="1:7" x14ac:dyDescent="0.25">
      <c r="A7" s="3">
        <v>2</v>
      </c>
      <c r="B7" s="15" t="s">
        <v>333</v>
      </c>
      <c r="C7" s="3">
        <f>'MAY 21'!G7:G27</f>
        <v>0</v>
      </c>
      <c r="D7" s="3">
        <v>1000</v>
      </c>
      <c r="E7" s="3">
        <f t="shared" ref="E7:E16" si="0">D7+C7</f>
        <v>1000</v>
      </c>
      <c r="F7">
        <v>1000</v>
      </c>
      <c r="G7" s="3">
        <f>E7-F7</f>
        <v>0</v>
      </c>
    </row>
    <row r="8" spans="1:7" x14ac:dyDescent="0.25">
      <c r="A8" s="16">
        <v>3</v>
      </c>
      <c r="B8" s="18" t="s">
        <v>137</v>
      </c>
      <c r="C8" s="3">
        <f>'MAY 21'!G8:G28</f>
        <v>1000</v>
      </c>
      <c r="D8" s="18">
        <v>1000</v>
      </c>
      <c r="E8" s="16">
        <f>D8+C8</f>
        <v>2000</v>
      </c>
      <c r="F8" s="15">
        <f>200</f>
        <v>200</v>
      </c>
      <c r="G8" s="3">
        <f>E8-F8</f>
        <v>1800</v>
      </c>
    </row>
    <row r="9" spans="1:7" x14ac:dyDescent="0.25">
      <c r="A9" s="16">
        <v>4</v>
      </c>
      <c r="B9" s="16" t="s">
        <v>238</v>
      </c>
      <c r="C9" s="3">
        <f>'MAY 21'!G9:G29</f>
        <v>0</v>
      </c>
      <c r="D9" s="16">
        <v>1000</v>
      </c>
      <c r="E9" s="16">
        <f>D9+C9</f>
        <v>1000</v>
      </c>
      <c r="F9" s="44">
        <f>1000</f>
        <v>1000</v>
      </c>
      <c r="G9" s="3">
        <f t="shared" ref="G9" si="1">E9-F9</f>
        <v>0</v>
      </c>
    </row>
    <row r="10" spans="1:7" x14ac:dyDescent="0.25">
      <c r="A10" s="16">
        <v>5</v>
      </c>
      <c r="B10" s="44" t="s">
        <v>334</v>
      </c>
      <c r="C10" s="3">
        <f>'MAY 21'!G10:G30</f>
        <v>0</v>
      </c>
      <c r="D10" s="16">
        <v>1000</v>
      </c>
      <c r="E10" s="16">
        <f>D10+C10</f>
        <v>1000</v>
      </c>
      <c r="F10" s="44">
        <f>500</f>
        <v>500</v>
      </c>
      <c r="G10" s="3">
        <f>E10-F10</f>
        <v>500</v>
      </c>
    </row>
    <row r="11" spans="1:7" x14ac:dyDescent="0.25">
      <c r="A11" s="16">
        <v>6</v>
      </c>
      <c r="B11" s="44" t="s">
        <v>291</v>
      </c>
      <c r="C11" s="3">
        <f>'MAY 21'!G11:G31</f>
        <v>0</v>
      </c>
      <c r="D11" s="16">
        <v>1000</v>
      </c>
      <c r="E11" s="16">
        <f t="shared" si="0"/>
        <v>1000</v>
      </c>
      <c r="F11" s="44">
        <v>1000</v>
      </c>
      <c r="G11" s="3"/>
    </row>
    <row r="12" spans="1:7" x14ac:dyDescent="0.25">
      <c r="A12" s="16">
        <v>7</v>
      </c>
      <c r="B12" s="16" t="s">
        <v>28</v>
      </c>
      <c r="C12" s="3">
        <f>'MAY 21'!G12:G32</f>
        <v>1000</v>
      </c>
      <c r="D12" s="16">
        <v>1000</v>
      </c>
      <c r="E12" s="16">
        <f t="shared" si="0"/>
        <v>2000</v>
      </c>
      <c r="F12" s="44">
        <v>1000</v>
      </c>
      <c r="G12" s="3">
        <f>E12-F12</f>
        <v>1000</v>
      </c>
    </row>
    <row r="13" spans="1:7" x14ac:dyDescent="0.25">
      <c r="A13" s="16">
        <v>8</v>
      </c>
      <c r="B13" s="15" t="s">
        <v>220</v>
      </c>
      <c r="C13" s="3">
        <f>'MAY 21'!G13:G33</f>
        <v>1800</v>
      </c>
      <c r="D13" s="16"/>
      <c r="E13" s="16">
        <f t="shared" si="0"/>
        <v>1800</v>
      </c>
      <c r="F13" s="44"/>
      <c r="G13" s="3">
        <f t="shared" ref="G13:G25" si="2">E13-F13</f>
        <v>1800</v>
      </c>
    </row>
    <row r="14" spans="1:7" x14ac:dyDescent="0.25">
      <c r="A14" s="16">
        <v>9</v>
      </c>
      <c r="B14" s="3" t="s">
        <v>313</v>
      </c>
      <c r="C14" s="3">
        <f>'MAY 21'!G14:G34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'MAY 21'!G15:G35</f>
        <v>1500</v>
      </c>
      <c r="D15" s="16">
        <v>1000</v>
      </c>
      <c r="E15" s="16">
        <f t="shared" si="0"/>
        <v>2500</v>
      </c>
      <c r="F15" s="44">
        <f>1500</f>
        <v>1500</v>
      </c>
      <c r="G15" s="3">
        <f>E15-F15</f>
        <v>1000</v>
      </c>
    </row>
    <row r="16" spans="1:7" x14ac:dyDescent="0.25">
      <c r="A16" s="16">
        <v>11</v>
      </c>
      <c r="B16" s="45" t="s">
        <v>335</v>
      </c>
      <c r="C16" s="3">
        <f>'MAY 21'!G16:G36</f>
        <v>0</v>
      </c>
      <c r="D16" s="18">
        <v>1000</v>
      </c>
      <c r="E16" s="16">
        <f t="shared" si="0"/>
        <v>1000</v>
      </c>
      <c r="F16" s="45">
        <f>1000</f>
        <v>1000</v>
      </c>
      <c r="G16" s="14">
        <f>E16-F16</f>
        <v>0</v>
      </c>
    </row>
    <row r="17" spans="1:11" x14ac:dyDescent="0.25">
      <c r="A17" s="16">
        <v>12</v>
      </c>
      <c r="B17" s="3" t="s">
        <v>252</v>
      </c>
      <c r="C17" s="3">
        <f>'MAY 21'!G17:G37</f>
        <v>0</v>
      </c>
      <c r="D17" s="3">
        <v>1000</v>
      </c>
      <c r="E17" s="16">
        <f>D17+C17</f>
        <v>1000</v>
      </c>
      <c r="F17" s="44">
        <v>1000</v>
      </c>
      <c r="G17" s="14">
        <f>E17-F17</f>
        <v>0</v>
      </c>
      <c r="H17" t="s">
        <v>46</v>
      </c>
    </row>
    <row r="18" spans="1:11" x14ac:dyDescent="0.25">
      <c r="A18" s="16">
        <v>13</v>
      </c>
      <c r="B18" s="16" t="s">
        <v>204</v>
      </c>
      <c r="C18" s="3">
        <f>'MAY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1" x14ac:dyDescent="0.25">
      <c r="A19" s="16">
        <v>14</v>
      </c>
      <c r="B19" s="16" t="s">
        <v>209</v>
      </c>
      <c r="C19" s="3">
        <f>'MAY 21'!G19:G39</f>
        <v>330</v>
      </c>
      <c r="D19" s="16">
        <v>1000</v>
      </c>
      <c r="E19" s="16">
        <f>D19+C19</f>
        <v>1330</v>
      </c>
      <c r="F19" s="44">
        <f>800</f>
        <v>800</v>
      </c>
      <c r="G19" s="3">
        <f t="shared" si="2"/>
        <v>530</v>
      </c>
    </row>
    <row r="20" spans="1:11" x14ac:dyDescent="0.25">
      <c r="A20" s="16">
        <v>15</v>
      </c>
      <c r="B20" s="16" t="s">
        <v>137</v>
      </c>
      <c r="C20" s="3">
        <f>'MAY 21'!G20:G40</f>
        <v>800</v>
      </c>
      <c r="D20" s="16">
        <v>1000</v>
      </c>
      <c r="E20" s="16">
        <f t="shared" ref="E20:E25" si="3">D20+C20</f>
        <v>1800</v>
      </c>
      <c r="F20" s="44">
        <f>1800</f>
        <v>1800</v>
      </c>
      <c r="G20" s="3">
        <f t="shared" si="2"/>
        <v>0</v>
      </c>
    </row>
    <row r="21" spans="1:11" x14ac:dyDescent="0.25">
      <c r="A21" s="16">
        <v>16</v>
      </c>
      <c r="B21" s="15" t="s">
        <v>15</v>
      </c>
      <c r="C21" s="3">
        <f>'MAY 21'!G21:G41</f>
        <v>0</v>
      </c>
      <c r="D21" s="3"/>
      <c r="E21" s="16">
        <f t="shared" si="3"/>
        <v>0</v>
      </c>
      <c r="F21" s="44"/>
      <c r="G21" s="3">
        <f>E21-F21</f>
        <v>0</v>
      </c>
    </row>
    <row r="22" spans="1:11" x14ac:dyDescent="0.25">
      <c r="A22" s="16">
        <v>17</v>
      </c>
      <c r="B22" s="16" t="s">
        <v>47</v>
      </c>
      <c r="C22" s="3">
        <f>'MAY 21'!G22:G42</f>
        <v>0</v>
      </c>
      <c r="D22" s="16">
        <v>1500</v>
      </c>
      <c r="E22" s="16">
        <f t="shared" si="3"/>
        <v>1500</v>
      </c>
      <c r="F22" s="44"/>
      <c r="G22" s="3">
        <f t="shared" si="2"/>
        <v>1500</v>
      </c>
    </row>
    <row r="23" spans="1:11" x14ac:dyDescent="0.25">
      <c r="A23" s="3">
        <v>18</v>
      </c>
      <c r="B23" s="18" t="s">
        <v>45</v>
      </c>
      <c r="C23" s="3">
        <f>'MAY 21'!G23:G43</f>
        <v>0</v>
      </c>
      <c r="D23" s="3">
        <v>1500</v>
      </c>
      <c r="E23" s="16">
        <f t="shared" si="3"/>
        <v>1500</v>
      </c>
      <c r="F23" s="44">
        <v>1500</v>
      </c>
      <c r="G23" s="3">
        <f t="shared" si="2"/>
        <v>0</v>
      </c>
      <c r="H23" t="s">
        <v>46</v>
      </c>
    </row>
    <row r="24" spans="1:11" x14ac:dyDescent="0.25">
      <c r="A24" s="3">
        <v>19</v>
      </c>
      <c r="B24" s="36" t="s">
        <v>15</v>
      </c>
      <c r="C24" s="3">
        <f>'MAY 21'!G24:G44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11" x14ac:dyDescent="0.25">
      <c r="A25" s="3">
        <v>20</v>
      </c>
      <c r="B25" s="36" t="s">
        <v>118</v>
      </c>
      <c r="C25" s="3">
        <f>'MAY 21'!G25:G45</f>
        <v>1320</v>
      </c>
      <c r="D25" s="3"/>
      <c r="E25" s="16">
        <f t="shared" si="3"/>
        <v>1320</v>
      </c>
      <c r="F25" s="44"/>
      <c r="G25" s="3">
        <f t="shared" si="2"/>
        <v>1320</v>
      </c>
      <c r="K25">
        <f>22000-1000-1000-3000</f>
        <v>17000</v>
      </c>
    </row>
    <row r="26" spans="1:11" x14ac:dyDescent="0.25">
      <c r="B26" s="2" t="s">
        <v>26</v>
      </c>
      <c r="C26" s="3">
        <f>'MAY 21'!G26:G46</f>
        <v>7750</v>
      </c>
      <c r="D26" s="2">
        <f>SUM(D6:D25)</f>
        <v>17000</v>
      </c>
      <c r="E26" s="16">
        <f>D26+C26</f>
        <v>24750</v>
      </c>
      <c r="F26" s="2">
        <f>SUM(F6:F25)</f>
        <v>15300</v>
      </c>
      <c r="G26" s="2">
        <f>SUM(G6:G25)</f>
        <v>9450</v>
      </c>
    </row>
    <row r="27" spans="1:11" x14ac:dyDescent="0.25">
      <c r="C27" s="3">
        <f>'APRIL 21'!G27:G47</f>
        <v>0</v>
      </c>
    </row>
    <row r="28" spans="1:11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1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1" x14ac:dyDescent="0.25">
      <c r="B30" s="3" t="s">
        <v>81</v>
      </c>
      <c r="C30" s="3">
        <f>D26</f>
        <v>17000</v>
      </c>
      <c r="D30" s="3"/>
      <c r="E30" s="3"/>
      <c r="F30" s="3" t="s">
        <v>81</v>
      </c>
      <c r="G30" s="3">
        <f>F26</f>
        <v>15300</v>
      </c>
      <c r="H30" s="3"/>
      <c r="I30" s="3"/>
    </row>
    <row r="31" spans="1:11" x14ac:dyDescent="0.25">
      <c r="B31" s="3" t="s">
        <v>62</v>
      </c>
      <c r="C31" s="3">
        <f>'MARCH 21'!E41</f>
        <v>0</v>
      </c>
      <c r="D31" s="3"/>
      <c r="E31" s="3"/>
      <c r="F31" s="3" t="s">
        <v>62</v>
      </c>
      <c r="G31">
        <f>'MAY 21'!I41</f>
        <v>-7780</v>
      </c>
      <c r="H31" s="3"/>
      <c r="I31" s="3"/>
    </row>
    <row r="32" spans="1:11" x14ac:dyDescent="0.25">
      <c r="B32" s="3" t="s">
        <v>41</v>
      </c>
      <c r="C32" s="5">
        <v>0.1</v>
      </c>
      <c r="D32" s="3">
        <f>C32*C30</f>
        <v>1700</v>
      </c>
      <c r="E32" s="3"/>
      <c r="F32" s="3" t="s">
        <v>41</v>
      </c>
      <c r="G32" s="5">
        <v>0.1</v>
      </c>
      <c r="H32" s="3">
        <f>G32*C30</f>
        <v>1700</v>
      </c>
      <c r="I32" s="3"/>
    </row>
    <row r="33" spans="2:12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2" x14ac:dyDescent="0.25">
      <c r="B34" s="19" t="s">
        <v>318</v>
      </c>
      <c r="C34" s="3"/>
      <c r="D34" s="3">
        <v>1000</v>
      </c>
      <c r="E34" s="3"/>
      <c r="F34" s="19" t="s">
        <v>318</v>
      </c>
      <c r="G34" s="3"/>
      <c r="H34" s="3">
        <v>1000</v>
      </c>
      <c r="I34" s="3"/>
    </row>
    <row r="35" spans="2:12" x14ac:dyDescent="0.25">
      <c r="B35" s="19" t="s">
        <v>327</v>
      </c>
      <c r="C35" s="3"/>
      <c r="D35" s="3">
        <v>1500</v>
      </c>
      <c r="E35" s="3"/>
      <c r="F35" s="19" t="s">
        <v>327</v>
      </c>
      <c r="G35" s="3"/>
      <c r="H35" s="3">
        <v>1500</v>
      </c>
      <c r="I35" s="3"/>
    </row>
    <row r="36" spans="2:12" x14ac:dyDescent="0.25">
      <c r="B36" s="19" t="s">
        <v>336</v>
      </c>
      <c r="C36" s="3"/>
      <c r="D36" s="3">
        <v>400</v>
      </c>
      <c r="E36" s="3"/>
      <c r="F36" s="19"/>
      <c r="G36" s="3"/>
      <c r="H36" s="3"/>
      <c r="I36" s="3"/>
    </row>
    <row r="37" spans="2:12" x14ac:dyDescent="0.25">
      <c r="B37" s="19" t="s">
        <v>337</v>
      </c>
      <c r="C37" s="3"/>
      <c r="D37" s="3">
        <v>12400</v>
      </c>
      <c r="E37" s="3"/>
      <c r="F37" s="19" t="s">
        <v>337</v>
      </c>
      <c r="G37" s="3"/>
      <c r="H37" s="3">
        <v>12400</v>
      </c>
      <c r="I37" s="3"/>
    </row>
    <row r="38" spans="2:12" x14ac:dyDescent="0.25">
      <c r="B38" s="19"/>
      <c r="C38" s="3"/>
      <c r="D38" s="3"/>
      <c r="E38" s="3"/>
      <c r="F38" s="19"/>
      <c r="G38" s="3"/>
      <c r="H38" s="3"/>
      <c r="I38" s="3"/>
    </row>
    <row r="39" spans="2:12" x14ac:dyDescent="0.25">
      <c r="B39" s="19"/>
      <c r="C39" s="3"/>
      <c r="D39" s="3"/>
      <c r="E39" s="3"/>
      <c r="F39" s="19"/>
      <c r="G39" s="3"/>
      <c r="H39" s="3"/>
      <c r="I39" s="3"/>
    </row>
    <row r="40" spans="2:12" x14ac:dyDescent="0.25">
      <c r="B40" s="19"/>
      <c r="C40" s="3"/>
      <c r="D40" s="3"/>
      <c r="E40" s="3"/>
      <c r="F40" s="19"/>
      <c r="G40" s="3"/>
      <c r="H40" s="3"/>
      <c r="I40" s="3"/>
      <c r="L40">
        <f>C41-D34-D35</f>
        <v>12800</v>
      </c>
    </row>
    <row r="41" spans="2:12" x14ac:dyDescent="0.25">
      <c r="B41" s="2" t="s">
        <v>26</v>
      </c>
      <c r="C41" s="2">
        <f>C30+C31-D32</f>
        <v>15300</v>
      </c>
      <c r="D41" s="2">
        <f>SUM(D34:D40)</f>
        <v>15300</v>
      </c>
      <c r="E41" s="2">
        <f>C41-D41</f>
        <v>0</v>
      </c>
      <c r="F41" s="2" t="s">
        <v>26</v>
      </c>
      <c r="G41" s="2">
        <f>G30+G31-H32</f>
        <v>5820</v>
      </c>
      <c r="H41" s="2">
        <f>SUM(H34:H40)</f>
        <v>14900</v>
      </c>
      <c r="I41" s="2">
        <f>G41-H41</f>
        <v>-9080</v>
      </c>
      <c r="L41">
        <v>400</v>
      </c>
    </row>
    <row r="42" spans="2:12" x14ac:dyDescent="0.25">
      <c r="B42" t="s">
        <v>33</v>
      </c>
      <c r="D42" t="s">
        <v>49</v>
      </c>
      <c r="G42" t="s">
        <v>34</v>
      </c>
      <c r="L42">
        <f>L40-L41</f>
        <v>12400</v>
      </c>
    </row>
    <row r="43" spans="2:12" x14ac:dyDescent="0.25">
      <c r="B43" t="s">
        <v>179</v>
      </c>
      <c r="D43" t="s">
        <v>50</v>
      </c>
      <c r="G43" t="s">
        <v>51</v>
      </c>
    </row>
    <row r="46" spans="2:12" ht="18.75" x14ac:dyDescent="0.3">
      <c r="C46" s="1" t="s">
        <v>42</v>
      </c>
      <c r="D46" s="21"/>
      <c r="E46" s="21"/>
      <c r="F46" s="21"/>
      <c r="G46" s="22"/>
    </row>
    <row r="47" spans="2:12" ht="15.75" x14ac:dyDescent="0.25">
      <c r="C47" s="21" t="s">
        <v>0</v>
      </c>
      <c r="D47" s="29"/>
      <c r="E47" s="29"/>
      <c r="F47" s="29"/>
      <c r="G47" s="22"/>
    </row>
    <row r="48" spans="2:12" ht="15.75" x14ac:dyDescent="0.25">
      <c r="C48" s="21" t="s">
        <v>331</v>
      </c>
      <c r="D48" s="29"/>
      <c r="E48" s="29"/>
      <c r="F48" s="29"/>
      <c r="G48" s="22"/>
      <c r="J48">
        <f>1500*5</f>
        <v>7500</v>
      </c>
    </row>
    <row r="49" spans="1:12" ht="18.75" x14ac:dyDescent="0.3">
      <c r="B49" s="18"/>
      <c r="C49" s="46" t="s">
        <v>139</v>
      </c>
      <c r="D49" s="47"/>
      <c r="E49" s="30"/>
      <c r="F49" s="31"/>
      <c r="G49" s="3"/>
      <c r="J49">
        <f>J48+1320</f>
        <v>8820</v>
      </c>
    </row>
    <row r="50" spans="1:12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2" x14ac:dyDescent="0.25">
      <c r="A51">
        <v>1</v>
      </c>
      <c r="B51" s="18"/>
      <c r="C51" s="3">
        <f>'MAY 21'!G51:G63</f>
        <v>0</v>
      </c>
      <c r="D51" s="3"/>
      <c r="E51" s="16"/>
      <c r="F51" s="15"/>
      <c r="G51" s="3"/>
    </row>
    <row r="52" spans="1:12" x14ac:dyDescent="0.25">
      <c r="A52">
        <v>2</v>
      </c>
      <c r="B52" s="18" t="s">
        <v>10</v>
      </c>
      <c r="C52" s="3">
        <f>'MAY 21'!G52:G64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4">E52-F52</f>
        <v>0</v>
      </c>
    </row>
    <row r="53" spans="1:12" x14ac:dyDescent="0.25">
      <c r="A53">
        <v>3</v>
      </c>
      <c r="B53" s="18" t="s">
        <v>193</v>
      </c>
      <c r="C53" s="3">
        <f>'MAY 21'!G53:G65</f>
        <v>0</v>
      </c>
      <c r="D53" s="3">
        <v>2000</v>
      </c>
      <c r="E53" s="16">
        <f>C53+D53</f>
        <v>2000</v>
      </c>
      <c r="F53" s="15">
        <f>1500</f>
        <v>1500</v>
      </c>
      <c r="G53" s="3">
        <f>E53-F53</f>
        <v>500</v>
      </c>
    </row>
    <row r="54" spans="1:12" x14ac:dyDescent="0.25">
      <c r="A54">
        <v>4</v>
      </c>
      <c r="B54" s="18" t="s">
        <v>144</v>
      </c>
      <c r="C54" s="3">
        <f>'MAY 21'!G54:G66</f>
        <v>0</v>
      </c>
      <c r="D54" s="3">
        <v>2000</v>
      </c>
      <c r="E54" s="16">
        <f t="shared" ref="E54:E60" si="5">C54+D54</f>
        <v>2000</v>
      </c>
      <c r="F54" s="15">
        <f>2000</f>
        <v>2000</v>
      </c>
      <c r="G54" s="3">
        <f t="shared" si="4"/>
        <v>0</v>
      </c>
    </row>
    <row r="55" spans="1:12" x14ac:dyDescent="0.25">
      <c r="A55">
        <v>5</v>
      </c>
      <c r="B55" s="18" t="s">
        <v>307</v>
      </c>
      <c r="C55" s="3">
        <f>'MAY 21'!G55:G67</f>
        <v>2000</v>
      </c>
      <c r="D55" s="3">
        <v>2000</v>
      </c>
      <c r="E55" s="16">
        <f t="shared" si="5"/>
        <v>4000</v>
      </c>
      <c r="F55" s="15">
        <f>1000+400</f>
        <v>1400</v>
      </c>
      <c r="G55" s="3">
        <f t="shared" si="4"/>
        <v>2600</v>
      </c>
    </row>
    <row r="56" spans="1:12" x14ac:dyDescent="0.25">
      <c r="A56">
        <v>6</v>
      </c>
      <c r="B56" s="18" t="s">
        <v>165</v>
      </c>
      <c r="C56" s="3">
        <f>'MAY 21'!G56:G68</f>
        <v>2000</v>
      </c>
      <c r="D56" s="3">
        <v>2000</v>
      </c>
      <c r="E56" s="16">
        <f t="shared" si="5"/>
        <v>4000</v>
      </c>
      <c r="F56" s="15">
        <f>3500</f>
        <v>3500</v>
      </c>
      <c r="G56" s="3">
        <f t="shared" si="4"/>
        <v>500</v>
      </c>
      <c r="K56">
        <f>4500/30</f>
        <v>150</v>
      </c>
    </row>
    <row r="57" spans="1:12" x14ac:dyDescent="0.25">
      <c r="A57">
        <v>7</v>
      </c>
      <c r="B57" s="18" t="s">
        <v>326</v>
      </c>
      <c r="C57" s="3">
        <f>'MAY 21'!G57:G69</f>
        <v>0</v>
      </c>
      <c r="D57" s="3">
        <v>2000</v>
      </c>
      <c r="E57" s="16">
        <f t="shared" si="5"/>
        <v>2000</v>
      </c>
      <c r="F57" s="15">
        <v>2000</v>
      </c>
      <c r="G57" s="3">
        <f t="shared" si="4"/>
        <v>0</v>
      </c>
      <c r="K57">
        <f>K56*9</f>
        <v>1350</v>
      </c>
    </row>
    <row r="58" spans="1:12" x14ac:dyDescent="0.25">
      <c r="A58">
        <v>8</v>
      </c>
      <c r="B58" s="18" t="s">
        <v>322</v>
      </c>
      <c r="C58" s="3">
        <f>'MAY 21'!G58:G70</f>
        <v>0</v>
      </c>
      <c r="D58" s="3">
        <v>2000</v>
      </c>
      <c r="E58" s="16">
        <f t="shared" si="5"/>
        <v>2000</v>
      </c>
      <c r="F58" s="15">
        <f>1000+1000</f>
        <v>2000</v>
      </c>
      <c r="G58" s="3">
        <f t="shared" si="4"/>
        <v>0</v>
      </c>
      <c r="L58">
        <f>1350+2800</f>
        <v>4150</v>
      </c>
    </row>
    <row r="59" spans="1:12" x14ac:dyDescent="0.25">
      <c r="A59">
        <v>9</v>
      </c>
      <c r="B59" s="18" t="s">
        <v>190</v>
      </c>
      <c r="C59" s="3">
        <f>'MAY 21'!G59:G71</f>
        <v>2000</v>
      </c>
      <c r="D59" s="3">
        <v>2000</v>
      </c>
      <c r="E59" s="16">
        <f t="shared" si="5"/>
        <v>4000</v>
      </c>
      <c r="F59" s="15">
        <f>1000+1000+2000</f>
        <v>4000</v>
      </c>
      <c r="G59" s="3">
        <f t="shared" si="4"/>
        <v>0</v>
      </c>
    </row>
    <row r="60" spans="1:12" x14ac:dyDescent="0.25">
      <c r="A60">
        <v>10</v>
      </c>
      <c r="B60" s="18" t="s">
        <v>228</v>
      </c>
      <c r="C60" s="3">
        <f>'MAY 21'!G60:G72</f>
        <v>0</v>
      </c>
      <c r="D60" s="3">
        <v>2000</v>
      </c>
      <c r="E60" s="16">
        <f t="shared" si="5"/>
        <v>2000</v>
      </c>
      <c r="F60" s="15">
        <f>1000</f>
        <v>1000</v>
      </c>
      <c r="G60" s="3">
        <f t="shared" si="4"/>
        <v>1000</v>
      </c>
    </row>
    <row r="61" spans="1:12" x14ac:dyDescent="0.25">
      <c r="A61">
        <v>11</v>
      </c>
      <c r="B61" s="18"/>
      <c r="C61" s="3">
        <f>'MAY 21'!G61:G73</f>
        <v>0</v>
      </c>
      <c r="D61" s="3"/>
      <c r="E61" s="16"/>
      <c r="F61" s="15"/>
      <c r="G61" s="3"/>
    </row>
    <row r="62" spans="1:12" x14ac:dyDescent="0.25">
      <c r="A62">
        <v>12</v>
      </c>
      <c r="B62" s="18"/>
      <c r="C62" s="3">
        <f>'MAY 21'!G62:G74</f>
        <v>0</v>
      </c>
      <c r="D62" s="3"/>
      <c r="E62" s="16"/>
      <c r="F62" s="15"/>
      <c r="G62" s="3"/>
    </row>
    <row r="63" spans="1:12" x14ac:dyDescent="0.25">
      <c r="B63" s="2" t="s">
        <v>26</v>
      </c>
      <c r="C63" s="3">
        <f>'MAY 21'!G63:G75</f>
        <v>6000</v>
      </c>
      <c r="D63" s="2">
        <f>SUM(D51:D62)</f>
        <v>18000</v>
      </c>
      <c r="E63" s="2">
        <f>SUM(E51:E62)</f>
        <v>24000</v>
      </c>
      <c r="F63" s="2">
        <f>SUM(F51:F62)</f>
        <v>19400</v>
      </c>
      <c r="G63" s="2">
        <f>SUM(G51:G62)</f>
        <v>4600</v>
      </c>
    </row>
    <row r="65" spans="2:12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2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  <c r="L66">
        <f>E77+E41+75100</f>
        <v>75100</v>
      </c>
    </row>
    <row r="67" spans="2:12" x14ac:dyDescent="0.25">
      <c r="B67" s="3" t="s">
        <v>61</v>
      </c>
      <c r="C67" s="3">
        <f>D63</f>
        <v>18000</v>
      </c>
      <c r="D67" s="3"/>
      <c r="E67" s="3"/>
      <c r="F67" s="3" t="s">
        <v>61</v>
      </c>
      <c r="G67" s="3">
        <f>F63</f>
        <v>19400</v>
      </c>
      <c r="H67" s="3"/>
      <c r="I67" s="3"/>
    </row>
    <row r="68" spans="2:12" x14ac:dyDescent="0.25">
      <c r="B68" s="3" t="s">
        <v>62</v>
      </c>
      <c r="C68" s="3">
        <f>'MAY 21'!E77</f>
        <v>0</v>
      </c>
      <c r="D68" s="3"/>
      <c r="E68" s="3"/>
      <c r="F68" s="3" t="s">
        <v>62</v>
      </c>
      <c r="G68">
        <f>'MAY 21'!I77</f>
        <v>-6000</v>
      </c>
      <c r="H68" s="3"/>
      <c r="I68" s="3"/>
    </row>
    <row r="69" spans="2:12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12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2" x14ac:dyDescent="0.25">
      <c r="B71" s="14"/>
      <c r="C71" s="19"/>
      <c r="D71" s="3"/>
      <c r="E71" s="3"/>
      <c r="F71" s="14"/>
      <c r="G71" s="19"/>
      <c r="H71" s="3"/>
      <c r="I71" s="3"/>
    </row>
    <row r="72" spans="2:12" x14ac:dyDescent="0.25">
      <c r="B72" s="14" t="s">
        <v>338</v>
      </c>
      <c r="C72" s="19"/>
      <c r="D72" s="3">
        <v>16200</v>
      </c>
      <c r="E72" s="3"/>
      <c r="F72" s="14" t="s">
        <v>338</v>
      </c>
      <c r="G72" s="19"/>
      <c r="H72" s="3">
        <v>16200</v>
      </c>
      <c r="I72" s="3"/>
    </row>
    <row r="73" spans="2:12" x14ac:dyDescent="0.25">
      <c r="B73" s="10"/>
      <c r="C73" s="3"/>
      <c r="D73" s="3"/>
      <c r="E73" s="3"/>
      <c r="F73" s="10"/>
      <c r="G73" s="3"/>
      <c r="H73" s="3"/>
      <c r="I73" s="3"/>
    </row>
    <row r="74" spans="2:12" x14ac:dyDescent="0.25">
      <c r="B74" s="35"/>
      <c r="C74" s="19"/>
      <c r="D74" s="3"/>
      <c r="E74" s="3"/>
      <c r="F74" s="35"/>
      <c r="G74" s="19"/>
      <c r="H74" s="3"/>
      <c r="I74" s="3"/>
    </row>
    <row r="75" spans="2:12" x14ac:dyDescent="0.25">
      <c r="B75" s="35"/>
      <c r="C75" s="19"/>
      <c r="D75" s="3"/>
      <c r="E75" s="3"/>
      <c r="F75" s="35"/>
      <c r="G75" s="19"/>
      <c r="H75" s="3"/>
      <c r="I75" s="3"/>
    </row>
    <row r="76" spans="2:12" x14ac:dyDescent="0.25">
      <c r="B76" s="10"/>
      <c r="C76" s="3"/>
      <c r="D76" s="3"/>
      <c r="E76" s="3"/>
      <c r="F76" s="10"/>
      <c r="G76" s="3"/>
      <c r="H76" s="3"/>
      <c r="I76" s="3"/>
    </row>
    <row r="77" spans="2:12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11600</v>
      </c>
      <c r="H77" s="2">
        <f>SUM(H71:H76)</f>
        <v>16200</v>
      </c>
      <c r="I77" s="2">
        <f>G77-H77</f>
        <v>-4600</v>
      </c>
    </row>
    <row r="79" spans="2:12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49" workbookViewId="0">
      <selection activeCell="G8" sqref="G8"/>
    </sheetView>
  </sheetViews>
  <sheetFormatPr defaultRowHeight="15" x14ac:dyDescent="0.25"/>
  <cols>
    <col min="2" max="2" width="21.85546875" bestFit="1" customWidth="1"/>
    <col min="8" max="8" width="9.57031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343</v>
      </c>
      <c r="D3" s="28"/>
      <c r="F3" s="28"/>
      <c r="G3" s="22"/>
    </row>
    <row r="4" spans="1:8" ht="18.75" x14ac:dyDescent="0.3">
      <c r="D4" s="23" t="s">
        <v>143</v>
      </c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16" t="s">
        <v>30</v>
      </c>
      <c r="C6" s="3">
        <f>'JUNE 21'!G6:G25</f>
        <v>0</v>
      </c>
      <c r="D6" s="3">
        <v>1000</v>
      </c>
      <c r="E6" s="3">
        <f>D6+C6</f>
        <v>1000</v>
      </c>
      <c r="F6" s="15"/>
      <c r="G6" s="3">
        <f>E6-F6</f>
        <v>1000</v>
      </c>
    </row>
    <row r="7" spans="1:8" x14ac:dyDescent="0.25">
      <c r="A7" s="3">
        <v>2</v>
      </c>
      <c r="B7" s="16" t="s">
        <v>333</v>
      </c>
      <c r="C7" s="3">
        <f>'JUNE 21'!G7:G26</f>
        <v>0</v>
      </c>
      <c r="D7" s="3">
        <v>1000</v>
      </c>
      <c r="E7" s="3">
        <f t="shared" ref="E7:E16" si="0">D7+C7</f>
        <v>1000</v>
      </c>
      <c r="F7">
        <f>500+500</f>
        <v>1000</v>
      </c>
      <c r="G7" s="3">
        <f>E7-F7</f>
        <v>0</v>
      </c>
    </row>
    <row r="8" spans="1:8" x14ac:dyDescent="0.25">
      <c r="A8" s="16">
        <v>3</v>
      </c>
      <c r="B8" s="18" t="s">
        <v>137</v>
      </c>
      <c r="C8" s="3">
        <f>'JUNE 21'!G8:G27</f>
        <v>1800</v>
      </c>
      <c r="D8" s="18">
        <v>1000</v>
      </c>
      <c r="E8" s="16">
        <f>D8+C8</f>
        <v>2800</v>
      </c>
      <c r="F8" s="15">
        <f>1000</f>
        <v>1000</v>
      </c>
      <c r="G8" s="3">
        <f t="shared" ref="G8:G9" si="1">E8-F8</f>
        <v>1800</v>
      </c>
    </row>
    <row r="9" spans="1:8" x14ac:dyDescent="0.25">
      <c r="A9" s="16">
        <v>4</v>
      </c>
      <c r="B9" s="16" t="s">
        <v>238</v>
      </c>
      <c r="C9" s="3">
        <f>'JUNE 21'!G9:G28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8" x14ac:dyDescent="0.25">
      <c r="A10" s="16">
        <v>5</v>
      </c>
      <c r="B10" s="44" t="s">
        <v>334</v>
      </c>
      <c r="C10" s="3">
        <f>'JUNE 21'!G10:G29</f>
        <v>500</v>
      </c>
      <c r="D10" s="16">
        <v>1000</v>
      </c>
      <c r="E10" s="16">
        <f>D10+C10</f>
        <v>1500</v>
      </c>
      <c r="F10" s="44">
        <f>500+500</f>
        <v>1000</v>
      </c>
      <c r="G10" s="3">
        <f>E10-F10</f>
        <v>500</v>
      </c>
      <c r="H10" t="s">
        <v>340</v>
      </c>
    </row>
    <row r="11" spans="1:8" x14ac:dyDescent="0.25">
      <c r="A11" s="16">
        <v>6</v>
      </c>
      <c r="B11" s="44" t="s">
        <v>291</v>
      </c>
      <c r="C11" s="3">
        <f>'JUNE 21'!G11:G30</f>
        <v>0</v>
      </c>
      <c r="D11" s="16">
        <v>1000</v>
      </c>
      <c r="E11" s="16">
        <f t="shared" si="0"/>
        <v>1000</v>
      </c>
      <c r="F11" s="44"/>
      <c r="G11" s="3">
        <f>E11-F11</f>
        <v>1000</v>
      </c>
    </row>
    <row r="12" spans="1:8" x14ac:dyDescent="0.25">
      <c r="A12" s="16">
        <v>7</v>
      </c>
      <c r="B12" s="16" t="s">
        <v>28</v>
      </c>
      <c r="C12" s="3">
        <f>'JUNE 21'!G12:G31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8" x14ac:dyDescent="0.25">
      <c r="A13" s="16">
        <v>8</v>
      </c>
      <c r="B13" s="15" t="s">
        <v>220</v>
      </c>
      <c r="C13" s="3">
        <f>'JUNE 21'!G13:G32</f>
        <v>1800</v>
      </c>
      <c r="D13" s="16"/>
      <c r="E13" s="16">
        <f t="shared" si="0"/>
        <v>1800</v>
      </c>
      <c r="F13" s="44"/>
      <c r="G13" s="3">
        <f t="shared" si="2"/>
        <v>1800</v>
      </c>
    </row>
    <row r="14" spans="1:8" x14ac:dyDescent="0.25">
      <c r="A14" s="16">
        <v>9</v>
      </c>
      <c r="B14" s="3" t="s">
        <v>313</v>
      </c>
      <c r="C14" s="3">
        <f>'JUNE 21'!G14:G33</f>
        <v>0</v>
      </c>
      <c r="D14" s="3">
        <v>1000</v>
      </c>
      <c r="E14" s="16">
        <f t="shared" si="0"/>
        <v>1000</v>
      </c>
      <c r="F14" s="44">
        <f>1000</f>
        <v>1000</v>
      </c>
      <c r="G14" s="3">
        <f t="shared" si="2"/>
        <v>0</v>
      </c>
    </row>
    <row r="15" spans="1:8" x14ac:dyDescent="0.25">
      <c r="A15" s="16">
        <v>10</v>
      </c>
      <c r="B15" s="15" t="s">
        <v>232</v>
      </c>
      <c r="C15" s="15">
        <f>'JUNE 21'!G15:G34</f>
        <v>1000</v>
      </c>
      <c r="D15" s="16"/>
      <c r="E15" s="16">
        <f t="shared" si="0"/>
        <v>1000</v>
      </c>
      <c r="F15" s="44">
        <v>1000</v>
      </c>
      <c r="G15" s="3">
        <f>E15-F15</f>
        <v>0</v>
      </c>
    </row>
    <row r="16" spans="1:8" x14ac:dyDescent="0.25">
      <c r="A16" s="16">
        <v>11</v>
      </c>
      <c r="B16" s="45" t="s">
        <v>45</v>
      </c>
      <c r="C16" s="3">
        <f>'JUNE 21'!G16:G35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9" x14ac:dyDescent="0.25">
      <c r="A17" s="16">
        <v>12</v>
      </c>
      <c r="B17" s="3" t="s">
        <v>252</v>
      </c>
      <c r="C17" s="3">
        <f>'JUNE 21'!G17:G36</f>
        <v>0</v>
      </c>
      <c r="D17" s="3">
        <v>1000</v>
      </c>
      <c r="E17" s="16">
        <f>D17+C17</f>
        <v>1000</v>
      </c>
      <c r="F17" s="44">
        <v>1000</v>
      </c>
      <c r="G17" s="14">
        <f>E17-F17</f>
        <v>0</v>
      </c>
      <c r="H17" t="s">
        <v>46</v>
      </c>
    </row>
    <row r="18" spans="1:9" x14ac:dyDescent="0.25">
      <c r="A18" s="16">
        <v>13</v>
      </c>
      <c r="B18" s="16" t="s">
        <v>204</v>
      </c>
      <c r="C18" s="3">
        <f>'JUNE 21'!G18:G37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'JUNE 21'!G19:G38</f>
        <v>530</v>
      </c>
      <c r="D19" s="16">
        <v>1000</v>
      </c>
      <c r="E19" s="16">
        <f>D19+C19</f>
        <v>1530</v>
      </c>
      <c r="F19" s="44"/>
      <c r="G19" s="3">
        <f t="shared" si="2"/>
        <v>1530</v>
      </c>
    </row>
    <row r="20" spans="1:9" x14ac:dyDescent="0.25">
      <c r="A20" s="16">
        <v>15</v>
      </c>
      <c r="B20" s="16" t="s">
        <v>137</v>
      </c>
      <c r="C20" s="3">
        <f>'JUNE 21'!G20:G39</f>
        <v>0</v>
      </c>
      <c r="D20" s="16">
        <v>1000</v>
      </c>
      <c r="E20" s="16">
        <f t="shared" ref="E20:E25" si="3">D20+C20</f>
        <v>1000</v>
      </c>
      <c r="F20" s="44">
        <f>1000</f>
        <v>1000</v>
      </c>
      <c r="G20" s="3">
        <f t="shared" si="2"/>
        <v>0</v>
      </c>
    </row>
    <row r="21" spans="1:9" x14ac:dyDescent="0.25">
      <c r="A21" s="16">
        <v>16</v>
      </c>
      <c r="B21" s="15" t="s">
        <v>15</v>
      </c>
      <c r="C21" s="3">
        <f>'JUNE 21'!G21:G40</f>
        <v>0</v>
      </c>
      <c r="D21" s="3"/>
      <c r="E21" s="16">
        <f t="shared" si="3"/>
        <v>0</v>
      </c>
      <c r="F21" s="44"/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'JUNE 21'!G22:G41</f>
        <v>1500</v>
      </c>
      <c r="D22" s="16">
        <v>1500</v>
      </c>
      <c r="E22" s="16">
        <f t="shared" si="3"/>
        <v>3000</v>
      </c>
      <c r="F22" s="44">
        <f>3000</f>
        <v>3000</v>
      </c>
      <c r="G22" s="3">
        <f t="shared" si="2"/>
        <v>0</v>
      </c>
    </row>
    <row r="23" spans="1:9" x14ac:dyDescent="0.25">
      <c r="A23" s="3">
        <v>18</v>
      </c>
      <c r="B23" s="18" t="s">
        <v>45</v>
      </c>
      <c r="C23" s="3">
        <f>'JUNE 21'!G23:G42</f>
        <v>0</v>
      </c>
      <c r="D23" s="3">
        <v>1500</v>
      </c>
      <c r="E23" s="16">
        <f t="shared" si="3"/>
        <v>1500</v>
      </c>
      <c r="F23" s="44">
        <f>1500</f>
        <v>1500</v>
      </c>
      <c r="G23" s="3">
        <f t="shared" si="2"/>
        <v>0</v>
      </c>
    </row>
    <row r="24" spans="1:9" x14ac:dyDescent="0.25">
      <c r="A24" s="3">
        <v>19</v>
      </c>
      <c r="B24" s="36" t="s">
        <v>15</v>
      </c>
      <c r="C24" s="3">
        <f>'JUNE 21'!G24:G43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9" x14ac:dyDescent="0.25">
      <c r="A25" s="3">
        <v>20</v>
      </c>
      <c r="B25" s="36" t="s">
        <v>118</v>
      </c>
      <c r="C25" s="3">
        <f>'JUNE 21'!G25:G44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9" x14ac:dyDescent="0.25">
      <c r="B26" s="2" t="s">
        <v>26</v>
      </c>
      <c r="C26" s="3">
        <f>SUM(C6:C25)</f>
        <v>9450</v>
      </c>
      <c r="D26" s="2">
        <f>SUM(D6:D25)</f>
        <v>16000</v>
      </c>
      <c r="E26" s="16">
        <f>D26+C26</f>
        <v>25450</v>
      </c>
      <c r="F26" s="2">
        <f>SUM(F6:F25)</f>
        <v>15500</v>
      </c>
      <c r="G26" s="2">
        <f>SUM(G6:G25)</f>
        <v>9950</v>
      </c>
    </row>
    <row r="27" spans="1:9" x14ac:dyDescent="0.25">
      <c r="C27" s="3">
        <f>'APRIL 21'!G27:G47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86</v>
      </c>
      <c r="C30" s="3">
        <f>D26</f>
        <v>16000</v>
      </c>
      <c r="D30" s="3"/>
      <c r="E30" s="3"/>
      <c r="F30" s="3" t="s">
        <v>86</v>
      </c>
      <c r="G30" s="3">
        <f>F26</f>
        <v>15500</v>
      </c>
      <c r="H30" s="3"/>
      <c r="I30" s="3"/>
    </row>
    <row r="31" spans="1:9" x14ac:dyDescent="0.25">
      <c r="B31" s="3" t="s">
        <v>62</v>
      </c>
      <c r="C31" s="3">
        <f>'JUNE 21'!E41</f>
        <v>0</v>
      </c>
      <c r="D31" s="3"/>
      <c r="E31" s="3"/>
      <c r="F31" s="3" t="s">
        <v>62</v>
      </c>
      <c r="G31">
        <f>'JUNE 21'!I41</f>
        <v>-9080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1600</v>
      </c>
      <c r="E32" s="3"/>
      <c r="F32" s="3" t="s">
        <v>41</v>
      </c>
      <c r="G32" s="5">
        <v>0.1</v>
      </c>
      <c r="H32" s="3">
        <f>G32*C30</f>
        <v>1600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318</v>
      </c>
      <c r="C34" s="3"/>
      <c r="D34" s="3">
        <v>1000</v>
      </c>
      <c r="E34" s="3"/>
      <c r="F34" s="19" t="s">
        <v>318</v>
      </c>
      <c r="G34" s="3"/>
      <c r="H34" s="3">
        <v>1000</v>
      </c>
      <c r="I34" s="3"/>
    </row>
    <row r="35" spans="2:9" x14ac:dyDescent="0.25">
      <c r="B35" s="19" t="s">
        <v>327</v>
      </c>
      <c r="C35" s="3"/>
      <c r="D35" s="3">
        <v>1500</v>
      </c>
      <c r="E35" s="3"/>
      <c r="F35" s="19" t="s">
        <v>327</v>
      </c>
      <c r="G35" s="3"/>
      <c r="H35" s="3">
        <v>1500</v>
      </c>
      <c r="I35" s="3"/>
    </row>
    <row r="36" spans="2:9" x14ac:dyDescent="0.25">
      <c r="B36" s="19" t="s">
        <v>341</v>
      </c>
      <c r="C36" s="3"/>
      <c r="D36" s="3">
        <v>500</v>
      </c>
      <c r="E36" s="3"/>
      <c r="F36" s="19" t="s">
        <v>341</v>
      </c>
      <c r="G36" s="3"/>
      <c r="H36" s="3">
        <v>500</v>
      </c>
      <c r="I36" s="3"/>
    </row>
    <row r="37" spans="2:9" x14ac:dyDescent="0.25">
      <c r="B37" s="19" t="s">
        <v>342</v>
      </c>
      <c r="C37" s="3"/>
      <c r="D37" s="3">
        <v>11400</v>
      </c>
      <c r="E37" s="3"/>
      <c r="F37" s="19" t="s">
        <v>342</v>
      </c>
      <c r="G37" s="3"/>
      <c r="H37" s="3">
        <v>11400</v>
      </c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14400</v>
      </c>
      <c r="D41" s="2">
        <f>SUM(D34:D40)</f>
        <v>14400</v>
      </c>
      <c r="E41" s="2">
        <f>C41-D41</f>
        <v>0</v>
      </c>
      <c r="F41" s="2" t="s">
        <v>26</v>
      </c>
      <c r="G41" s="2">
        <f>G30+G31-H32</f>
        <v>4820</v>
      </c>
      <c r="H41" s="2">
        <f>SUM(H34:H40)</f>
        <v>14400</v>
      </c>
      <c r="I41" s="2">
        <f>G41-H41</f>
        <v>-9580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339</v>
      </c>
      <c r="D48" s="29"/>
      <c r="E48" s="29"/>
      <c r="F48" s="29"/>
      <c r="G48" s="22"/>
    </row>
    <row r="49" spans="1:12" ht="18.75" x14ac:dyDescent="0.3">
      <c r="B49" s="18"/>
      <c r="C49" s="46" t="s">
        <v>139</v>
      </c>
      <c r="D49" s="47"/>
      <c r="E49" s="30"/>
      <c r="F49" s="31"/>
      <c r="G49" s="3"/>
      <c r="L49">
        <f>E41+E77</f>
        <v>0</v>
      </c>
    </row>
    <row r="50" spans="1:12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  <c r="L50">
        <v>85260</v>
      </c>
    </row>
    <row r="51" spans="1:12" x14ac:dyDescent="0.25">
      <c r="A51">
        <v>1</v>
      </c>
      <c r="B51" s="18"/>
      <c r="C51" s="3">
        <f>'JUNE 21'!G51:G62</f>
        <v>0</v>
      </c>
      <c r="D51" s="3"/>
      <c r="E51" s="16"/>
      <c r="F51" s="15"/>
      <c r="G51" s="3"/>
      <c r="L51">
        <f>L49+L50</f>
        <v>85260</v>
      </c>
    </row>
    <row r="52" spans="1:12" x14ac:dyDescent="0.25">
      <c r="A52">
        <v>2</v>
      </c>
      <c r="B52" s="18" t="s">
        <v>10</v>
      </c>
      <c r="C52" s="3">
        <f>'JUNE 21'!G52:G63</f>
        <v>0</v>
      </c>
      <c r="D52" s="3">
        <v>2000</v>
      </c>
      <c r="E52" s="16">
        <f>C52+D52</f>
        <v>2000</v>
      </c>
      <c r="F52" s="15">
        <f>1500+500</f>
        <v>2000</v>
      </c>
      <c r="G52" s="3">
        <f t="shared" ref="G52:G60" si="4">E52-F52</f>
        <v>0</v>
      </c>
    </row>
    <row r="53" spans="1:12" x14ac:dyDescent="0.25">
      <c r="A53">
        <v>3</v>
      </c>
      <c r="B53" s="18" t="s">
        <v>193</v>
      </c>
      <c r="C53" s="3">
        <f>'JUNE 21'!G53:G64</f>
        <v>500</v>
      </c>
      <c r="D53" s="3">
        <v>2000</v>
      </c>
      <c r="E53" s="16">
        <f>C53+D53</f>
        <v>2500</v>
      </c>
      <c r="F53" s="15">
        <f>2000</f>
        <v>2000</v>
      </c>
      <c r="G53" s="3">
        <f>E53-F53</f>
        <v>500</v>
      </c>
    </row>
    <row r="54" spans="1:12" x14ac:dyDescent="0.25">
      <c r="A54">
        <v>4</v>
      </c>
      <c r="B54" s="18" t="s">
        <v>144</v>
      </c>
      <c r="C54" s="3">
        <f>'JUNE 21'!G54:G65</f>
        <v>0</v>
      </c>
      <c r="D54" s="3">
        <v>2000</v>
      </c>
      <c r="E54" s="16">
        <f t="shared" ref="E54:E60" si="5">C54+D54</f>
        <v>2000</v>
      </c>
      <c r="F54" s="15">
        <f>2000</f>
        <v>2000</v>
      </c>
      <c r="G54" s="3">
        <f t="shared" si="4"/>
        <v>0</v>
      </c>
    </row>
    <row r="55" spans="1:12" x14ac:dyDescent="0.25">
      <c r="A55">
        <v>5</v>
      </c>
      <c r="B55" s="18" t="s">
        <v>307</v>
      </c>
      <c r="C55" s="3">
        <f>'JUNE 21'!G55:G66</f>
        <v>2600</v>
      </c>
      <c r="D55" s="3">
        <v>2000</v>
      </c>
      <c r="E55" s="16">
        <f t="shared" si="5"/>
        <v>4600</v>
      </c>
      <c r="F55" s="15">
        <f>2500+1100</f>
        <v>3600</v>
      </c>
      <c r="G55" s="3">
        <f t="shared" si="4"/>
        <v>1000</v>
      </c>
    </row>
    <row r="56" spans="1:12" x14ac:dyDescent="0.25">
      <c r="A56">
        <v>6</v>
      </c>
      <c r="B56" s="18" t="s">
        <v>165</v>
      </c>
      <c r="C56" s="3">
        <f>'JUNE 21'!G56:G67</f>
        <v>500</v>
      </c>
      <c r="D56" s="3">
        <v>2000</v>
      </c>
      <c r="E56" s="16">
        <f t="shared" si="5"/>
        <v>2500</v>
      </c>
      <c r="F56" s="15">
        <f>2400+100</f>
        <v>2500</v>
      </c>
      <c r="G56" s="3">
        <f t="shared" si="4"/>
        <v>0</v>
      </c>
    </row>
    <row r="57" spans="1:12" x14ac:dyDescent="0.25">
      <c r="A57">
        <v>7</v>
      </c>
      <c r="B57" s="18" t="s">
        <v>326</v>
      </c>
      <c r="C57" s="3">
        <f>'JUNE 21'!G57:G68</f>
        <v>0</v>
      </c>
      <c r="D57" s="3">
        <v>2000</v>
      </c>
      <c r="E57" s="16">
        <f t="shared" si="5"/>
        <v>2000</v>
      </c>
      <c r="F57" s="15">
        <v>2000</v>
      </c>
      <c r="G57" s="3">
        <f t="shared" si="4"/>
        <v>0</v>
      </c>
    </row>
    <row r="58" spans="1:12" x14ac:dyDescent="0.25">
      <c r="A58">
        <v>8</v>
      </c>
      <c r="B58" s="18" t="s">
        <v>322</v>
      </c>
      <c r="C58" s="3">
        <f>'JUNE 21'!G58:G69</f>
        <v>0</v>
      </c>
      <c r="D58" s="3">
        <v>2000</v>
      </c>
      <c r="E58" s="16">
        <f t="shared" si="5"/>
        <v>2000</v>
      </c>
      <c r="F58" s="15">
        <f>2000</f>
        <v>2000</v>
      </c>
      <c r="G58" s="3">
        <f t="shared" si="4"/>
        <v>0</v>
      </c>
    </row>
    <row r="59" spans="1:12" x14ac:dyDescent="0.25">
      <c r="A59">
        <v>9</v>
      </c>
      <c r="B59" s="18" t="s">
        <v>190</v>
      </c>
      <c r="C59" s="3">
        <f>'JUNE 21'!G59:G70</f>
        <v>0</v>
      </c>
      <c r="D59" s="3">
        <v>2000</v>
      </c>
      <c r="E59" s="16">
        <f t="shared" si="5"/>
        <v>2000</v>
      </c>
      <c r="F59" s="15">
        <v>2000</v>
      </c>
      <c r="G59" s="3">
        <f t="shared" si="4"/>
        <v>0</v>
      </c>
    </row>
    <row r="60" spans="1:12" x14ac:dyDescent="0.25">
      <c r="A60">
        <v>10</v>
      </c>
      <c r="B60" s="18" t="s">
        <v>228</v>
      </c>
      <c r="C60" s="3">
        <f>'JUNE 21'!G60:G71</f>
        <v>1000</v>
      </c>
      <c r="D60" s="3">
        <v>2000</v>
      </c>
      <c r="E60" s="16">
        <f t="shared" si="5"/>
        <v>3000</v>
      </c>
      <c r="F60" s="15">
        <v>2000</v>
      </c>
      <c r="G60" s="3">
        <f t="shared" si="4"/>
        <v>1000</v>
      </c>
    </row>
    <row r="61" spans="1:12" x14ac:dyDescent="0.25">
      <c r="A61">
        <v>11</v>
      </c>
      <c r="B61" s="18"/>
      <c r="C61" s="3">
        <f>'JUNE 21'!G61:G72</f>
        <v>0</v>
      </c>
      <c r="D61" s="3"/>
      <c r="E61" s="16"/>
      <c r="F61" s="15"/>
      <c r="G61" s="3"/>
    </row>
    <row r="62" spans="1:12" x14ac:dyDescent="0.25">
      <c r="A62">
        <v>12</v>
      </c>
      <c r="B62" s="18"/>
      <c r="C62" s="3">
        <f>'JUNE 21'!G62:G73</f>
        <v>0</v>
      </c>
      <c r="D62" s="3"/>
      <c r="E62" s="16"/>
      <c r="F62" s="15"/>
      <c r="G62" s="3"/>
      <c r="L62">
        <f>11000/2</f>
        <v>5500</v>
      </c>
    </row>
    <row r="63" spans="1:12" x14ac:dyDescent="0.25">
      <c r="B63" s="2" t="s">
        <v>26</v>
      </c>
      <c r="C63" s="3">
        <f>SUM(C51:C62)</f>
        <v>4600</v>
      </c>
      <c r="D63" s="2">
        <f>SUM(D51:D62)</f>
        <v>18000</v>
      </c>
      <c r="E63" s="2">
        <f>SUM(E51:E62)</f>
        <v>22600</v>
      </c>
      <c r="F63" s="2">
        <f>SUM(F51:F62)</f>
        <v>20100</v>
      </c>
      <c r="G63" s="2">
        <f>SUM(G51:G62)</f>
        <v>2500</v>
      </c>
      <c r="L63">
        <f>5500+2000+11000</f>
        <v>18500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86</v>
      </c>
      <c r="C67" s="3">
        <f>D63</f>
        <v>18000</v>
      </c>
      <c r="D67" s="3"/>
      <c r="E67" s="3"/>
      <c r="F67" s="3" t="s">
        <v>86</v>
      </c>
      <c r="G67" s="3">
        <f>F63</f>
        <v>20100</v>
      </c>
      <c r="H67" s="3"/>
      <c r="I67" s="3"/>
    </row>
    <row r="68" spans="2:9" x14ac:dyDescent="0.25">
      <c r="B68" s="3" t="s">
        <v>62</v>
      </c>
      <c r="C68" s="3">
        <f>'JUNE 21'!E77</f>
        <v>0</v>
      </c>
      <c r="D68" s="3"/>
      <c r="E68" s="3"/>
      <c r="F68" s="3" t="s">
        <v>62</v>
      </c>
      <c r="G68">
        <f>'JUNE 21'!I77</f>
        <v>-4600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342</v>
      </c>
      <c r="C71" s="19"/>
      <c r="D71" s="3">
        <v>16200</v>
      </c>
      <c r="E71" s="3"/>
      <c r="F71" s="14" t="s">
        <v>342</v>
      </c>
      <c r="G71" s="19"/>
      <c r="H71" s="3">
        <v>16200</v>
      </c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13700</v>
      </c>
      <c r="H77" s="2">
        <f>SUM(H71:H76)</f>
        <v>16200</v>
      </c>
      <c r="I77" s="2">
        <f>G77-H77</f>
        <v>-2500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10" workbookViewId="0">
      <selection activeCell="G8" sqref="G8"/>
    </sheetView>
  </sheetViews>
  <sheetFormatPr defaultRowHeight="15" x14ac:dyDescent="0.25"/>
  <cols>
    <col min="2" max="2" width="20.425781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344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6" t="s">
        <v>30</v>
      </c>
      <c r="C6" s="3">
        <f>'JULY 21'!G6:G26</f>
        <v>1000</v>
      </c>
      <c r="D6" s="3">
        <v>1000</v>
      </c>
      <c r="E6" s="3">
        <f>D6+C6</f>
        <v>2000</v>
      </c>
      <c r="F6" s="15">
        <v>1000</v>
      </c>
      <c r="G6" s="3">
        <f>E6-F6</f>
        <v>1000</v>
      </c>
    </row>
    <row r="7" spans="1:7" x14ac:dyDescent="0.25">
      <c r="A7" s="3">
        <v>2</v>
      </c>
      <c r="B7" s="16" t="s">
        <v>333</v>
      </c>
      <c r="C7" s="3">
        <f>'JULY 21'!G7:G27</f>
        <v>0</v>
      </c>
      <c r="D7" s="3">
        <v>1000</v>
      </c>
      <c r="E7" s="3">
        <f t="shared" ref="E7:E16" si="0">D7+C7</f>
        <v>1000</v>
      </c>
      <c r="G7" s="3">
        <f>E7-F7</f>
        <v>1000</v>
      </c>
    </row>
    <row r="8" spans="1:7" x14ac:dyDescent="0.25">
      <c r="A8" s="16">
        <v>3</v>
      </c>
      <c r="B8" s="18" t="s">
        <v>137</v>
      </c>
      <c r="C8" s="3">
        <f>'JULY 21'!G8:G28</f>
        <v>1800</v>
      </c>
      <c r="D8" s="18">
        <v>1000</v>
      </c>
      <c r="E8" s="16">
        <f>D8+C8</f>
        <v>2800</v>
      </c>
      <c r="F8" s="15">
        <f>1000</f>
        <v>1000</v>
      </c>
      <c r="G8" s="3">
        <f t="shared" ref="G8:G9" si="1">E8-F8</f>
        <v>1800</v>
      </c>
    </row>
    <row r="9" spans="1:7" x14ac:dyDescent="0.25">
      <c r="A9" s="16">
        <v>4</v>
      </c>
      <c r="B9" s="16" t="s">
        <v>353</v>
      </c>
      <c r="C9" s="3">
        <f>'JULY 21'!G9:G29</f>
        <v>0</v>
      </c>
      <c r="D9" s="16">
        <v>1000</v>
      </c>
      <c r="E9" s="16">
        <f>D9+C9</f>
        <v>1000</v>
      </c>
      <c r="F9" s="44">
        <v>300</v>
      </c>
      <c r="G9" s="3">
        <f t="shared" si="1"/>
        <v>700</v>
      </c>
    </row>
    <row r="10" spans="1:7" x14ac:dyDescent="0.25">
      <c r="A10" s="16">
        <v>5</v>
      </c>
      <c r="B10" s="44" t="s">
        <v>334</v>
      </c>
      <c r="C10" s="3">
        <f>'JULY 21'!G10:G30</f>
        <v>500</v>
      </c>
      <c r="D10" s="16">
        <v>1000</v>
      </c>
      <c r="E10" s="16">
        <f>D10+C10</f>
        <v>1500</v>
      </c>
      <c r="F10" s="44"/>
      <c r="G10" s="3">
        <f>E10-F10</f>
        <v>1500</v>
      </c>
    </row>
    <row r="11" spans="1:7" x14ac:dyDescent="0.25">
      <c r="A11" s="16">
        <v>6</v>
      </c>
      <c r="B11" s="44" t="s">
        <v>291</v>
      </c>
      <c r="C11" s="3">
        <f>'JULY 21'!G11:G31</f>
        <v>1000</v>
      </c>
      <c r="D11" s="16">
        <v>1000</v>
      </c>
      <c r="E11" s="16">
        <f t="shared" si="0"/>
        <v>2000</v>
      </c>
      <c r="F11" s="44">
        <v>1000</v>
      </c>
      <c r="G11" s="3">
        <f>E11-F11</f>
        <v>1000</v>
      </c>
    </row>
    <row r="12" spans="1:7" x14ac:dyDescent="0.25">
      <c r="A12" s="16">
        <v>7</v>
      </c>
      <c r="B12" s="16" t="s">
        <v>28</v>
      </c>
      <c r="C12" s="3">
        <f>'JULY 21'!G12:G32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347</v>
      </c>
      <c r="C13" s="3"/>
      <c r="D13" s="16">
        <v>1000</v>
      </c>
      <c r="E13" s="16">
        <f t="shared" si="0"/>
        <v>1000</v>
      </c>
      <c r="F13" s="44">
        <v>1000</v>
      </c>
      <c r="G13" s="3">
        <f t="shared" si="2"/>
        <v>0</v>
      </c>
    </row>
    <row r="14" spans="1:7" x14ac:dyDescent="0.25">
      <c r="A14" s="16">
        <v>9</v>
      </c>
      <c r="B14" s="3" t="s">
        <v>313</v>
      </c>
      <c r="C14" s="3">
        <f>'JULY 21'!G14:G34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346</v>
      </c>
      <c r="C15" s="3">
        <f>'JULY 21'!G15:G35</f>
        <v>0</v>
      </c>
      <c r="D15" s="16">
        <v>1000</v>
      </c>
      <c r="E15" s="16">
        <f t="shared" si="0"/>
        <v>1000</v>
      </c>
      <c r="F15" s="44">
        <v>1000</v>
      </c>
      <c r="G15" s="3">
        <f>E15-F15</f>
        <v>0</v>
      </c>
    </row>
    <row r="16" spans="1:7" x14ac:dyDescent="0.25">
      <c r="A16" s="16">
        <v>11</v>
      </c>
      <c r="B16" s="45" t="s">
        <v>350</v>
      </c>
      <c r="C16" s="3">
        <f>'JULY 21'!G16:G36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9" x14ac:dyDescent="0.25">
      <c r="A17" s="16">
        <v>12</v>
      </c>
      <c r="B17" s="3" t="s">
        <v>252</v>
      </c>
      <c r="C17" s="3">
        <f>'JULY 21'!G17:G37</f>
        <v>0</v>
      </c>
      <c r="D17" s="3">
        <v>1000</v>
      </c>
      <c r="E17" s="16">
        <f>D17+C17</f>
        <v>1000</v>
      </c>
      <c r="F17" s="44"/>
      <c r="G17" s="14">
        <f>E17-F17</f>
        <v>1000</v>
      </c>
    </row>
    <row r="18" spans="1:9" x14ac:dyDescent="0.25">
      <c r="A18" s="16">
        <v>13</v>
      </c>
      <c r="B18" s="16" t="s">
        <v>204</v>
      </c>
      <c r="C18" s="3">
        <f>'JULY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'JULY 21'!G19:G39</f>
        <v>1530</v>
      </c>
      <c r="D19" s="16">
        <v>1000</v>
      </c>
      <c r="E19" s="16">
        <f>D19+C19</f>
        <v>2530</v>
      </c>
      <c r="F19" s="44">
        <f>1000+1000</f>
        <v>2000</v>
      </c>
      <c r="G19" s="3">
        <f t="shared" si="2"/>
        <v>530</v>
      </c>
    </row>
    <row r="20" spans="1:9" x14ac:dyDescent="0.25">
      <c r="A20" s="16">
        <v>15</v>
      </c>
      <c r="B20" s="16" t="s">
        <v>137</v>
      </c>
      <c r="C20" s="3">
        <f>'JULY 21'!G20:G40</f>
        <v>0</v>
      </c>
      <c r="D20" s="16">
        <v>1000</v>
      </c>
      <c r="E20" s="16">
        <f t="shared" ref="E20:E25" si="3">D20+C20</f>
        <v>1000</v>
      </c>
      <c r="F20" s="44">
        <f>1000</f>
        <v>1000</v>
      </c>
      <c r="G20" s="3">
        <f t="shared" si="2"/>
        <v>0</v>
      </c>
    </row>
    <row r="21" spans="1:9" x14ac:dyDescent="0.25">
      <c r="A21" s="16">
        <v>16</v>
      </c>
      <c r="B21" s="15"/>
      <c r="C21" s="3">
        <f>'JULY 21'!G21:G41</f>
        <v>0</v>
      </c>
      <c r="D21" s="3"/>
      <c r="E21" s="16">
        <f t="shared" si="3"/>
        <v>0</v>
      </c>
      <c r="F21" s="44"/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'JULY 21'!G22:G42</f>
        <v>0</v>
      </c>
      <c r="D22" s="16">
        <v>1500</v>
      </c>
      <c r="E22" s="16">
        <f t="shared" si="3"/>
        <v>1500</v>
      </c>
      <c r="F22" s="44">
        <f>1000+500</f>
        <v>1500</v>
      </c>
      <c r="G22" s="3">
        <f t="shared" si="2"/>
        <v>0</v>
      </c>
    </row>
    <row r="23" spans="1:9" x14ac:dyDescent="0.25">
      <c r="A23" s="3">
        <v>18</v>
      </c>
      <c r="B23" s="18" t="s">
        <v>45</v>
      </c>
      <c r="C23" s="3">
        <f>'JULY 21'!G23:G43</f>
        <v>0</v>
      </c>
      <c r="D23" s="3">
        <v>1500</v>
      </c>
      <c r="E23" s="16">
        <f t="shared" si="3"/>
        <v>1500</v>
      </c>
      <c r="F23" s="44">
        <v>1500</v>
      </c>
      <c r="G23" s="3">
        <f t="shared" si="2"/>
        <v>0</v>
      </c>
    </row>
    <row r="24" spans="1:9" x14ac:dyDescent="0.25">
      <c r="A24" s="3">
        <v>19</v>
      </c>
      <c r="B24" s="36" t="s">
        <v>15</v>
      </c>
      <c r="C24" s="3">
        <f>'JULY 21'!G24:G44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9" x14ac:dyDescent="0.25">
      <c r="A25" s="3">
        <v>20</v>
      </c>
      <c r="B25" s="36" t="s">
        <v>118</v>
      </c>
      <c r="C25" s="3">
        <f>'JULY 21'!G25:G45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9" x14ac:dyDescent="0.25">
      <c r="B26" s="2" t="s">
        <v>26</v>
      </c>
      <c r="C26" s="3">
        <f>'JULY 21'!G26:G46</f>
        <v>9950</v>
      </c>
      <c r="D26" s="2">
        <f>SUM(D6:D25)</f>
        <v>18000</v>
      </c>
      <c r="E26" s="16">
        <f>D26+C26</f>
        <v>27950</v>
      </c>
      <c r="F26" s="2">
        <f>SUM(F6:F25)</f>
        <v>15300</v>
      </c>
      <c r="G26" s="2">
        <f>SUM(G6:G25)</f>
        <v>10850</v>
      </c>
    </row>
    <row r="27" spans="1:9" x14ac:dyDescent="0.25">
      <c r="C27" s="3">
        <f>'APRIL 21'!G27:G47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172</v>
      </c>
      <c r="C30" s="3">
        <f>D26</f>
        <v>18000</v>
      </c>
      <c r="D30" s="3"/>
      <c r="E30" s="3"/>
      <c r="F30" s="3" t="s">
        <v>172</v>
      </c>
      <c r="G30" s="3">
        <f>F26</f>
        <v>15300</v>
      </c>
      <c r="H30" s="3"/>
      <c r="I30" s="3"/>
    </row>
    <row r="31" spans="1:9" x14ac:dyDescent="0.25">
      <c r="B31" s="3" t="s">
        <v>62</v>
      </c>
      <c r="C31" s="3">
        <f>'JULY 21'!E41</f>
        <v>0</v>
      </c>
      <c r="D31" s="3"/>
      <c r="E31" s="3"/>
      <c r="F31" s="3" t="s">
        <v>62</v>
      </c>
      <c r="G31">
        <f>'JULY 21'!I41</f>
        <v>-9580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1800</v>
      </c>
      <c r="E32" s="3"/>
      <c r="F32" s="3" t="s">
        <v>41</v>
      </c>
      <c r="G32" s="5">
        <v>0.1</v>
      </c>
      <c r="H32" s="3">
        <f>G32*C30</f>
        <v>1800</v>
      </c>
      <c r="I32" s="3"/>
    </row>
    <row r="33" spans="2:10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0" x14ac:dyDescent="0.25">
      <c r="B34" s="19"/>
      <c r="C34" s="3"/>
      <c r="D34" s="3"/>
      <c r="E34" s="3"/>
      <c r="F34" s="19"/>
      <c r="G34" s="3"/>
      <c r="H34" s="3"/>
      <c r="I34" s="3"/>
    </row>
    <row r="35" spans="2:10" x14ac:dyDescent="0.25">
      <c r="B35" s="19" t="s">
        <v>327</v>
      </c>
      <c r="C35" s="3"/>
      <c r="D35" s="3">
        <v>1500</v>
      </c>
      <c r="E35" s="3"/>
      <c r="F35" s="19" t="s">
        <v>327</v>
      </c>
      <c r="G35" s="3"/>
      <c r="H35" s="3">
        <v>1500</v>
      </c>
      <c r="I35" s="3"/>
    </row>
    <row r="36" spans="2:10" x14ac:dyDescent="0.25">
      <c r="B36" s="19" t="s">
        <v>349</v>
      </c>
      <c r="C36" s="3"/>
      <c r="D36" s="3">
        <v>14700</v>
      </c>
      <c r="E36" s="3"/>
      <c r="F36" s="19" t="s">
        <v>349</v>
      </c>
      <c r="G36" s="3"/>
      <c r="H36" s="3">
        <v>14700</v>
      </c>
      <c r="I36" s="3"/>
    </row>
    <row r="37" spans="2:10" x14ac:dyDescent="0.25">
      <c r="B37" s="19"/>
      <c r="C37" s="3"/>
      <c r="D37" s="3"/>
      <c r="E37" s="3"/>
      <c r="F37" s="19"/>
      <c r="G37" s="3"/>
      <c r="H37" s="3"/>
      <c r="I37" s="3"/>
    </row>
    <row r="38" spans="2:10" x14ac:dyDescent="0.25">
      <c r="B38" s="19"/>
      <c r="C38" s="3"/>
      <c r="D38" s="3"/>
      <c r="E38" s="3"/>
      <c r="F38" s="19"/>
      <c r="G38" s="3"/>
      <c r="H38" s="3"/>
      <c r="I38" s="3"/>
    </row>
    <row r="39" spans="2:10" x14ac:dyDescent="0.25">
      <c r="B39" s="19"/>
      <c r="C39" s="3"/>
      <c r="D39" s="3"/>
      <c r="E39" s="3"/>
      <c r="F39" s="19"/>
      <c r="G39" s="3"/>
      <c r="H39" s="3"/>
      <c r="I39" s="3"/>
    </row>
    <row r="40" spans="2:10" x14ac:dyDescent="0.25">
      <c r="B40" s="19"/>
      <c r="C40" s="3"/>
      <c r="D40" s="3"/>
      <c r="E40" s="3"/>
      <c r="F40" s="19"/>
      <c r="G40" s="3"/>
      <c r="H40" s="3"/>
      <c r="I40" s="3"/>
    </row>
    <row r="41" spans="2:10" x14ac:dyDescent="0.25">
      <c r="B41" s="2" t="s">
        <v>26</v>
      </c>
      <c r="C41" s="2">
        <f>C30+C31-D32</f>
        <v>16200</v>
      </c>
      <c r="D41" s="2">
        <f>SUM(D34:D40)</f>
        <v>16200</v>
      </c>
      <c r="E41" s="2">
        <f>C41-D41</f>
        <v>0</v>
      </c>
      <c r="F41" s="2" t="s">
        <v>26</v>
      </c>
      <c r="G41" s="2">
        <f>G30+G31-H32</f>
        <v>3920</v>
      </c>
      <c r="H41" s="2">
        <f>SUM(H34:H40)</f>
        <v>16200</v>
      </c>
      <c r="I41" s="2">
        <f>G41-H41</f>
        <v>-12280</v>
      </c>
    </row>
    <row r="42" spans="2:10" x14ac:dyDescent="0.25">
      <c r="B42" t="s">
        <v>33</v>
      </c>
      <c r="D42" t="s">
        <v>49</v>
      </c>
      <c r="G42" t="s">
        <v>34</v>
      </c>
    </row>
    <row r="43" spans="2:10" x14ac:dyDescent="0.25">
      <c r="B43" t="s">
        <v>179</v>
      </c>
      <c r="D43" t="s">
        <v>50</v>
      </c>
      <c r="G43" t="s">
        <v>51</v>
      </c>
    </row>
    <row r="46" spans="2:10" ht="18.75" x14ac:dyDescent="0.3">
      <c r="C46" s="1" t="s">
        <v>42</v>
      </c>
      <c r="D46" s="21"/>
      <c r="E46" s="21"/>
      <c r="F46" s="21"/>
      <c r="G46" s="22"/>
    </row>
    <row r="47" spans="2:10" ht="15.75" x14ac:dyDescent="0.25">
      <c r="C47" s="21" t="s">
        <v>0</v>
      </c>
      <c r="D47" s="29"/>
      <c r="E47" s="29"/>
      <c r="F47" s="29"/>
      <c r="G47" s="22"/>
    </row>
    <row r="48" spans="2:10" ht="15.75" x14ac:dyDescent="0.25">
      <c r="C48" s="21" t="s">
        <v>345</v>
      </c>
      <c r="D48" s="29"/>
      <c r="E48" s="29"/>
      <c r="F48" s="29"/>
      <c r="G48" s="22"/>
      <c r="J48">
        <f>E41+E77</f>
        <v>-1800</v>
      </c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'JULY 21'!G51:G62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'JULY 21'!G52:G63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4">E52-F52</f>
        <v>0</v>
      </c>
    </row>
    <row r="53" spans="1:7" x14ac:dyDescent="0.25">
      <c r="A53">
        <v>3</v>
      </c>
      <c r="B53" s="18" t="s">
        <v>193</v>
      </c>
      <c r="C53" s="3">
        <f>'JULY 21'!G53:G64</f>
        <v>500</v>
      </c>
      <c r="D53" s="3">
        <v>2000</v>
      </c>
      <c r="E53" s="16">
        <f>C53+D53</f>
        <v>2500</v>
      </c>
      <c r="F53" s="15">
        <f>1000+1500</f>
        <v>2500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'JULY 21'!G54:G65</f>
        <v>0</v>
      </c>
      <c r="D54" s="3">
        <v>2000</v>
      </c>
      <c r="E54" s="16">
        <f t="shared" ref="E54:E60" si="5">C54+D54</f>
        <v>2000</v>
      </c>
      <c r="F54" s="15">
        <f>2000</f>
        <v>2000</v>
      </c>
      <c r="G54" s="3">
        <f t="shared" si="4"/>
        <v>0</v>
      </c>
    </row>
    <row r="55" spans="1:7" x14ac:dyDescent="0.25">
      <c r="A55">
        <v>5</v>
      </c>
      <c r="B55" s="18" t="s">
        <v>307</v>
      </c>
      <c r="C55" s="3">
        <f>'JULY 21'!G55:G66</f>
        <v>1000</v>
      </c>
      <c r="D55" s="3">
        <v>2000</v>
      </c>
      <c r="E55" s="16">
        <f t="shared" si="5"/>
        <v>3000</v>
      </c>
      <c r="F55" s="15">
        <f>1000+1000</f>
        <v>2000</v>
      </c>
      <c r="G55" s="3">
        <f t="shared" si="4"/>
        <v>1000</v>
      </c>
    </row>
    <row r="56" spans="1:7" x14ac:dyDescent="0.25">
      <c r="A56">
        <v>6</v>
      </c>
      <c r="B56" s="18" t="s">
        <v>165</v>
      </c>
      <c r="C56" s="3">
        <f>'JULY 21'!G56:G67</f>
        <v>0</v>
      </c>
      <c r="D56" s="3">
        <v>2000</v>
      </c>
      <c r="E56" s="16">
        <f t="shared" si="5"/>
        <v>2000</v>
      </c>
      <c r="F56" s="15">
        <f>2000</f>
        <v>2000</v>
      </c>
      <c r="G56" s="3">
        <f t="shared" si="4"/>
        <v>0</v>
      </c>
    </row>
    <row r="57" spans="1:7" x14ac:dyDescent="0.25">
      <c r="A57">
        <v>7</v>
      </c>
      <c r="B57" s="18" t="s">
        <v>326</v>
      </c>
      <c r="C57" s="3">
        <f>'JULY 21'!G57:G68</f>
        <v>0</v>
      </c>
      <c r="D57" s="3"/>
      <c r="E57" s="16">
        <f t="shared" si="5"/>
        <v>0</v>
      </c>
      <c r="F57" s="15"/>
      <c r="G57" s="3">
        <f t="shared" si="4"/>
        <v>0</v>
      </c>
    </row>
    <row r="58" spans="1:7" x14ac:dyDescent="0.25">
      <c r="A58">
        <v>8</v>
      </c>
      <c r="B58" s="18" t="s">
        <v>322</v>
      </c>
      <c r="C58" s="3">
        <f>'JULY 21'!G58:G69</f>
        <v>0</v>
      </c>
      <c r="D58" s="3">
        <v>2000</v>
      </c>
      <c r="E58" s="16">
        <f t="shared" si="5"/>
        <v>2000</v>
      </c>
      <c r="F58" s="15">
        <v>2000</v>
      </c>
      <c r="G58" s="3">
        <f t="shared" si="4"/>
        <v>0</v>
      </c>
    </row>
    <row r="59" spans="1:7" x14ac:dyDescent="0.25">
      <c r="A59">
        <v>9</v>
      </c>
      <c r="B59" s="18" t="s">
        <v>190</v>
      </c>
      <c r="C59" s="3">
        <f>'JULY 21'!G59:G70</f>
        <v>0</v>
      </c>
      <c r="D59" s="3">
        <v>2000</v>
      </c>
      <c r="E59" s="16">
        <f t="shared" si="5"/>
        <v>2000</v>
      </c>
      <c r="F59" s="15">
        <v>2000</v>
      </c>
      <c r="G59" s="3">
        <f t="shared" si="4"/>
        <v>0</v>
      </c>
    </row>
    <row r="60" spans="1:7" x14ac:dyDescent="0.25">
      <c r="A60">
        <v>10</v>
      </c>
      <c r="B60" s="18" t="s">
        <v>228</v>
      </c>
      <c r="C60" s="3">
        <f>'JULY 21'!G60:G71</f>
        <v>1000</v>
      </c>
      <c r="D60" s="3">
        <v>2000</v>
      </c>
      <c r="E60" s="16">
        <f t="shared" si="5"/>
        <v>3000</v>
      </c>
      <c r="F60" s="15">
        <f>2000</f>
        <v>2000</v>
      </c>
      <c r="G60" s="3">
        <f t="shared" si="4"/>
        <v>1000</v>
      </c>
    </row>
    <row r="61" spans="1:7" x14ac:dyDescent="0.25">
      <c r="A61">
        <v>11</v>
      </c>
      <c r="B61" s="18"/>
      <c r="C61" s="3">
        <f>'JULY 21'!G61:G72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'JULY 21'!G62:G73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'JULY 21'!G63:G74</f>
        <v>2500</v>
      </c>
      <c r="D63" s="2">
        <f>SUM(D51:D62)</f>
        <v>16000</v>
      </c>
      <c r="E63" s="2">
        <f>SUM(E51:E62)</f>
        <v>18500</v>
      </c>
      <c r="F63" s="2">
        <f>SUM(F51:F62)</f>
        <v>16500</v>
      </c>
      <c r="G63" s="2">
        <f>SUM(G51:G62)</f>
        <v>2000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172</v>
      </c>
      <c r="C67" s="3">
        <f>D63</f>
        <v>16000</v>
      </c>
      <c r="D67" s="3"/>
      <c r="E67" s="3"/>
      <c r="F67" s="3" t="s">
        <v>172</v>
      </c>
      <c r="G67" s="3">
        <f>F63</f>
        <v>16500</v>
      </c>
      <c r="H67" s="3"/>
      <c r="I67" s="3"/>
    </row>
    <row r="68" spans="2:9" x14ac:dyDescent="0.25">
      <c r="B68" s="3" t="s">
        <v>62</v>
      </c>
      <c r="C68" s="3">
        <f>'JULY 21'!E77</f>
        <v>0</v>
      </c>
      <c r="D68" s="3"/>
      <c r="E68" s="3"/>
      <c r="F68" s="3" t="s">
        <v>62</v>
      </c>
      <c r="G68">
        <f>'JULY 21'!I77</f>
        <v>-2500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/>
      <c r="C71" s="19"/>
      <c r="D71" s="3"/>
      <c r="E71" s="3"/>
      <c r="F71" s="14"/>
      <c r="G71" s="19"/>
      <c r="H71" s="3"/>
      <c r="I71" s="3"/>
    </row>
    <row r="72" spans="2:9" x14ac:dyDescent="0.25">
      <c r="B72" s="14" t="s">
        <v>348</v>
      </c>
      <c r="C72" s="19"/>
      <c r="D72" s="3">
        <v>16200</v>
      </c>
      <c r="E72" s="3"/>
      <c r="F72" s="14" t="s">
        <v>348</v>
      </c>
      <c r="G72" s="19"/>
      <c r="H72" s="3">
        <v>16200</v>
      </c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14400</v>
      </c>
      <c r="D77" s="2">
        <f>SUM(D71:D76)</f>
        <v>16200</v>
      </c>
      <c r="E77" s="2">
        <f>C77-D77</f>
        <v>-1800</v>
      </c>
      <c r="F77" s="2" t="s">
        <v>26</v>
      </c>
      <c r="G77" s="2">
        <f>G67+G68-H69</f>
        <v>12400</v>
      </c>
      <c r="H77" s="2">
        <f>SUM(H71:H76)</f>
        <v>16200</v>
      </c>
      <c r="I77" s="2">
        <f>G77-H77</f>
        <v>-3800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N37" sqref="N37:N38"/>
    </sheetView>
  </sheetViews>
  <sheetFormatPr defaultRowHeight="15" x14ac:dyDescent="0.25"/>
  <cols>
    <col min="2" max="2" width="20.28515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351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15</v>
      </c>
      <c r="C6" s="3"/>
      <c r="D6" s="3"/>
      <c r="E6" s="3">
        <f>D6+C6</f>
        <v>0</v>
      </c>
      <c r="F6" s="15"/>
      <c r="G6" s="3">
        <f>E6-F6</f>
        <v>0</v>
      </c>
    </row>
    <row r="7" spans="1:7" x14ac:dyDescent="0.25">
      <c r="A7" s="3">
        <v>2</v>
      </c>
      <c r="B7" s="16" t="s">
        <v>333</v>
      </c>
      <c r="C7" s="3">
        <f>'AUGUST 21'!G7:G26</f>
        <v>1000</v>
      </c>
      <c r="D7" s="3">
        <v>1000</v>
      </c>
      <c r="E7" s="3">
        <f t="shared" ref="E7:E16" si="0">D7+C7</f>
        <v>2000</v>
      </c>
      <c r="F7">
        <f>1000+1000</f>
        <v>2000</v>
      </c>
      <c r="G7" s="3">
        <f>E7-F7</f>
        <v>0</v>
      </c>
    </row>
    <row r="8" spans="1:7" x14ac:dyDescent="0.25">
      <c r="A8" s="16">
        <v>3</v>
      </c>
      <c r="B8" s="18" t="s">
        <v>137</v>
      </c>
      <c r="C8" s="3">
        <f>'AUGUST 21'!G8:G27</f>
        <v>1800</v>
      </c>
      <c r="D8" s="18">
        <v>1000</v>
      </c>
      <c r="E8" s="16">
        <f>D8+C8</f>
        <v>2800</v>
      </c>
      <c r="F8" s="15">
        <f>800+700</f>
        <v>1500</v>
      </c>
      <c r="G8" s="3">
        <f t="shared" ref="G8:G9" si="1">E8-F8</f>
        <v>1300</v>
      </c>
    </row>
    <row r="9" spans="1:7" x14ac:dyDescent="0.25">
      <c r="A9" s="16">
        <v>4</v>
      </c>
      <c r="B9" s="15" t="s">
        <v>353</v>
      </c>
      <c r="C9" s="15">
        <f>'AUGUST 21'!G9:G28</f>
        <v>700</v>
      </c>
      <c r="D9" s="16"/>
      <c r="E9" s="16">
        <f>D9+C9</f>
        <v>700</v>
      </c>
      <c r="F9" s="44"/>
      <c r="G9" s="3">
        <f t="shared" si="1"/>
        <v>700</v>
      </c>
    </row>
    <row r="10" spans="1:7" x14ac:dyDescent="0.25">
      <c r="A10" s="16">
        <v>5</v>
      </c>
      <c r="B10" s="44" t="s">
        <v>334</v>
      </c>
      <c r="C10" s="3">
        <f>'AUGUST 21'!G10:G29</f>
        <v>1500</v>
      </c>
      <c r="D10" s="16">
        <v>1000</v>
      </c>
      <c r="E10" s="16">
        <f>D10+C10</f>
        <v>2500</v>
      </c>
      <c r="F10" s="44">
        <f>1500</f>
        <v>1500</v>
      </c>
      <c r="G10" s="3">
        <f>E10-F10</f>
        <v>1000</v>
      </c>
    </row>
    <row r="11" spans="1:7" x14ac:dyDescent="0.25">
      <c r="A11" s="16">
        <v>6</v>
      </c>
      <c r="B11" s="44" t="s">
        <v>291</v>
      </c>
      <c r="C11" s="3">
        <f>'AUGUST 21'!G11:G30</f>
        <v>1000</v>
      </c>
      <c r="D11" s="16">
        <v>1000</v>
      </c>
      <c r="E11" s="16">
        <f t="shared" si="0"/>
        <v>2000</v>
      </c>
      <c r="F11" s="44">
        <f>200+1000+800</f>
        <v>2000</v>
      </c>
      <c r="G11" s="3">
        <f>E11-F11</f>
        <v>0</v>
      </c>
    </row>
    <row r="12" spans="1:7" x14ac:dyDescent="0.25">
      <c r="A12" s="16">
        <v>7</v>
      </c>
      <c r="B12" s="16" t="s">
        <v>28</v>
      </c>
      <c r="C12" s="3">
        <f>'AUGUST 21'!G12:G31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5" t="s">
        <v>347</v>
      </c>
      <c r="C13" s="3">
        <f>'AUGUST 21'!G13:G32</f>
        <v>0</v>
      </c>
      <c r="D13" s="16"/>
      <c r="E13" s="16">
        <f t="shared" si="0"/>
        <v>0</v>
      </c>
      <c r="F13" s="44"/>
      <c r="G13" s="3">
        <f t="shared" si="2"/>
        <v>0</v>
      </c>
    </row>
    <row r="14" spans="1:7" x14ac:dyDescent="0.25">
      <c r="A14" s="16">
        <v>9</v>
      </c>
      <c r="B14" s="3" t="s">
        <v>313</v>
      </c>
      <c r="C14" s="3">
        <f>'AUGUST 21'!G14:G33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346</v>
      </c>
      <c r="C15" s="3">
        <f>'AUGUST 21'!G15:G34</f>
        <v>0</v>
      </c>
      <c r="D15" s="16">
        <v>1000</v>
      </c>
      <c r="E15" s="16">
        <f t="shared" si="0"/>
        <v>1000</v>
      </c>
      <c r="F15" s="44">
        <f>1000</f>
        <v>1000</v>
      </c>
      <c r="G15" s="3">
        <f>E15-F15</f>
        <v>0</v>
      </c>
    </row>
    <row r="16" spans="1:7" x14ac:dyDescent="0.25">
      <c r="A16" s="16">
        <v>11</v>
      </c>
      <c r="B16" s="45" t="s">
        <v>350</v>
      </c>
      <c r="C16" s="3">
        <f>'AUGUST 21'!G16:G35</f>
        <v>0</v>
      </c>
      <c r="D16" s="18">
        <v>1000</v>
      </c>
      <c r="E16" s="16">
        <f t="shared" si="0"/>
        <v>1000</v>
      </c>
      <c r="F16" s="45">
        <f>1000</f>
        <v>1000</v>
      </c>
      <c r="G16" s="14">
        <f>E16-F16</f>
        <v>0</v>
      </c>
    </row>
    <row r="17" spans="1:16" x14ac:dyDescent="0.25">
      <c r="A17" s="16">
        <v>12</v>
      </c>
      <c r="B17" s="3" t="s">
        <v>252</v>
      </c>
      <c r="C17" s="3">
        <f>'AUGUST 21'!G17:G36</f>
        <v>1000</v>
      </c>
      <c r="D17" s="3">
        <v>1000</v>
      </c>
      <c r="E17" s="16">
        <f>D17+C17</f>
        <v>2000</v>
      </c>
      <c r="F17" s="44">
        <f>3000</f>
        <v>3000</v>
      </c>
      <c r="G17" s="14">
        <f>E17-F17</f>
        <v>-1000</v>
      </c>
    </row>
    <row r="18" spans="1:16" x14ac:dyDescent="0.25">
      <c r="A18" s="16">
        <v>13</v>
      </c>
      <c r="B18" s="16" t="s">
        <v>204</v>
      </c>
      <c r="C18" s="3">
        <f>'AUGUST 21'!G18:G37</f>
        <v>0</v>
      </c>
      <c r="D18" s="16">
        <v>1000</v>
      </c>
      <c r="E18" s="16">
        <f>D18+C18</f>
        <v>1000</v>
      </c>
      <c r="F18" s="44">
        <f>1000</f>
        <v>1000</v>
      </c>
      <c r="G18" s="3">
        <f t="shared" si="2"/>
        <v>0</v>
      </c>
    </row>
    <row r="19" spans="1:16" x14ac:dyDescent="0.25">
      <c r="A19" s="16">
        <v>14</v>
      </c>
      <c r="B19" s="16" t="s">
        <v>209</v>
      </c>
      <c r="C19" s="3">
        <f>'AUGUST 21'!G19:G38</f>
        <v>530</v>
      </c>
      <c r="D19" s="16">
        <v>1000</v>
      </c>
      <c r="E19" s="16">
        <f>D19+C19</f>
        <v>1530</v>
      </c>
      <c r="F19" s="44">
        <f>1000</f>
        <v>1000</v>
      </c>
      <c r="G19" s="3">
        <f t="shared" si="2"/>
        <v>530</v>
      </c>
    </row>
    <row r="20" spans="1:16" x14ac:dyDescent="0.25">
      <c r="A20" s="16">
        <v>15</v>
      </c>
      <c r="B20" s="16" t="s">
        <v>137</v>
      </c>
      <c r="C20" s="3">
        <f>'AUGUST 21'!G20:G39</f>
        <v>0</v>
      </c>
      <c r="D20" s="16">
        <v>1000</v>
      </c>
      <c r="E20" s="16">
        <f t="shared" ref="E20:E25" si="3">D20+C20</f>
        <v>1000</v>
      </c>
      <c r="F20" s="44">
        <v>1000</v>
      </c>
      <c r="G20" s="3">
        <f t="shared" si="2"/>
        <v>0</v>
      </c>
    </row>
    <row r="21" spans="1:16" x14ac:dyDescent="0.25">
      <c r="A21" s="16">
        <v>16</v>
      </c>
      <c r="B21" s="15" t="s">
        <v>30</v>
      </c>
      <c r="C21" s="3">
        <v>1000</v>
      </c>
      <c r="D21" s="3">
        <v>1000</v>
      </c>
      <c r="E21" s="16">
        <f t="shared" si="3"/>
        <v>2000</v>
      </c>
      <c r="F21" s="44">
        <v>2000</v>
      </c>
      <c r="G21" s="3">
        <f>E21-F21</f>
        <v>0</v>
      </c>
    </row>
    <row r="22" spans="1:16" x14ac:dyDescent="0.25">
      <c r="A22" s="16">
        <v>17</v>
      </c>
      <c r="B22" s="16" t="s">
        <v>47</v>
      </c>
      <c r="C22" s="3">
        <f>'AUGUST 21'!G22:G41</f>
        <v>0</v>
      </c>
      <c r="D22" s="16">
        <v>1500</v>
      </c>
      <c r="E22" s="16">
        <f t="shared" si="3"/>
        <v>1500</v>
      </c>
      <c r="F22" s="44">
        <f>1500</f>
        <v>1500</v>
      </c>
      <c r="G22" s="3">
        <f t="shared" si="2"/>
        <v>0</v>
      </c>
    </row>
    <row r="23" spans="1:16" x14ac:dyDescent="0.25">
      <c r="A23" s="3">
        <v>18</v>
      </c>
      <c r="B23" s="18" t="s">
        <v>45</v>
      </c>
      <c r="C23" s="3">
        <f>'AUGUST 21'!G23:G42</f>
        <v>0</v>
      </c>
      <c r="D23" s="3"/>
      <c r="E23" s="16">
        <f t="shared" si="3"/>
        <v>0</v>
      </c>
      <c r="F23" s="44"/>
      <c r="G23" s="3">
        <f t="shared" si="2"/>
        <v>0</v>
      </c>
    </row>
    <row r="24" spans="1:16" x14ac:dyDescent="0.25">
      <c r="A24" s="3">
        <v>19</v>
      </c>
      <c r="B24" s="36" t="s">
        <v>15</v>
      </c>
      <c r="C24" s="3">
        <f>'AUGUST 21'!G24:G43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16" x14ac:dyDescent="0.25">
      <c r="A25" s="3">
        <v>20</v>
      </c>
      <c r="B25" s="36" t="s">
        <v>118</v>
      </c>
      <c r="C25" s="3">
        <f>'AUGUST 21'!G25:G44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16" x14ac:dyDescent="0.25">
      <c r="B26" s="2" t="s">
        <v>26</v>
      </c>
      <c r="C26" s="3">
        <f>SUM(C6:C25)</f>
        <v>10850</v>
      </c>
      <c r="D26" s="2">
        <f>SUM(D6:D25)</f>
        <v>14500</v>
      </c>
      <c r="E26" s="2">
        <f t="shared" ref="E26:G26" si="4">SUM(E6:E25)</f>
        <v>25350</v>
      </c>
      <c r="F26" s="2">
        <f t="shared" si="4"/>
        <v>20500</v>
      </c>
      <c r="G26" s="2">
        <f t="shared" si="4"/>
        <v>4850</v>
      </c>
    </row>
    <row r="27" spans="1:16" x14ac:dyDescent="0.25">
      <c r="C27" s="3">
        <f>'APRIL 21'!G27:G47</f>
        <v>0</v>
      </c>
    </row>
    <row r="28" spans="1:16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6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  <c r="P29" s="42">
        <f>1800</f>
        <v>1800</v>
      </c>
    </row>
    <row r="30" spans="1:16" x14ac:dyDescent="0.25">
      <c r="B30" s="3" t="s">
        <v>182</v>
      </c>
      <c r="C30" s="3">
        <f>D26</f>
        <v>14500</v>
      </c>
      <c r="D30" s="3"/>
      <c r="E30" s="3"/>
      <c r="F30" s="3" t="s">
        <v>182</v>
      </c>
      <c r="G30" s="3">
        <f>F26</f>
        <v>20500</v>
      </c>
      <c r="H30" s="3"/>
      <c r="I30" s="3"/>
      <c r="P30" s="42">
        <v>700</v>
      </c>
    </row>
    <row r="31" spans="1:16" x14ac:dyDescent="0.25">
      <c r="B31" s="3" t="s">
        <v>62</v>
      </c>
      <c r="C31" s="3">
        <f>'AUGUST 21'!E41</f>
        <v>0</v>
      </c>
      <c r="D31" s="3"/>
      <c r="E31" s="3"/>
      <c r="F31" s="3" t="s">
        <v>62</v>
      </c>
      <c r="G31">
        <f>'AUGUST 21'!I41</f>
        <v>-12280</v>
      </c>
      <c r="H31" s="3"/>
      <c r="I31" s="3"/>
      <c r="P31" s="42">
        <v>1320</v>
      </c>
    </row>
    <row r="32" spans="1:16" x14ac:dyDescent="0.25">
      <c r="B32" s="3" t="s">
        <v>41</v>
      </c>
      <c r="C32" s="5">
        <v>0.1</v>
      </c>
      <c r="D32" s="3">
        <f>C32*C30</f>
        <v>1450</v>
      </c>
      <c r="E32" s="3"/>
      <c r="F32" s="3" t="s">
        <v>41</v>
      </c>
      <c r="G32" s="5">
        <v>0.1</v>
      </c>
      <c r="H32" s="3">
        <f>G32*C30</f>
        <v>1450</v>
      </c>
      <c r="I32" s="3"/>
      <c r="P32" s="42">
        <f>SUM(P29:P31)</f>
        <v>3820</v>
      </c>
    </row>
    <row r="33" spans="2:16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6" x14ac:dyDescent="0.25">
      <c r="B34" s="19" t="s">
        <v>354</v>
      </c>
      <c r="C34" s="3"/>
      <c r="D34" s="3">
        <v>13050</v>
      </c>
      <c r="E34" s="3"/>
      <c r="F34" s="19" t="s">
        <v>354</v>
      </c>
      <c r="G34" s="3"/>
      <c r="H34" s="3">
        <v>13050</v>
      </c>
      <c r="I34" s="3"/>
    </row>
    <row r="35" spans="2:16" x14ac:dyDescent="0.25">
      <c r="B35" s="19"/>
      <c r="C35" s="3"/>
      <c r="D35" s="3"/>
      <c r="E35" s="3"/>
      <c r="F35" s="19"/>
      <c r="G35" s="3"/>
      <c r="H35" s="3"/>
      <c r="I35" s="3"/>
    </row>
    <row r="36" spans="2:16" x14ac:dyDescent="0.25">
      <c r="B36" s="19"/>
      <c r="C36" s="3"/>
      <c r="D36" s="3"/>
      <c r="E36" s="3"/>
      <c r="F36" s="19"/>
      <c r="G36" s="3"/>
      <c r="H36" s="3"/>
      <c r="I36" s="3"/>
      <c r="P36">
        <f>3820+3000</f>
        <v>6820</v>
      </c>
    </row>
    <row r="37" spans="2:16" x14ac:dyDescent="0.25">
      <c r="B37" s="19"/>
      <c r="C37" s="3"/>
      <c r="D37" s="3"/>
      <c r="E37" s="3"/>
      <c r="F37" s="19"/>
      <c r="G37" s="3"/>
      <c r="H37" s="3"/>
      <c r="I37" s="3"/>
      <c r="P37">
        <f>P36-500</f>
        <v>6320</v>
      </c>
    </row>
    <row r="38" spans="2:16" x14ac:dyDescent="0.25">
      <c r="B38" s="19"/>
      <c r="C38" s="3"/>
      <c r="D38" s="3"/>
      <c r="E38" s="3"/>
      <c r="F38" s="19"/>
      <c r="G38" s="3"/>
      <c r="H38" s="3"/>
      <c r="I38" s="3"/>
      <c r="P38">
        <v>500</v>
      </c>
    </row>
    <row r="39" spans="2:16" x14ac:dyDescent="0.25">
      <c r="B39" s="19"/>
      <c r="C39" s="3"/>
      <c r="D39" s="3"/>
      <c r="E39" s="3"/>
      <c r="F39" s="19"/>
      <c r="G39" s="3"/>
      <c r="H39" s="3"/>
      <c r="I39" s="3"/>
      <c r="P39">
        <f>P37-P38</f>
        <v>5820</v>
      </c>
    </row>
    <row r="40" spans="2:16" x14ac:dyDescent="0.25">
      <c r="B40" s="19"/>
      <c r="C40" s="3"/>
      <c r="D40" s="3"/>
      <c r="E40" s="3"/>
      <c r="F40" s="19"/>
      <c r="G40" s="3"/>
      <c r="H40" s="3"/>
      <c r="I40" s="3"/>
    </row>
    <row r="41" spans="2:16" x14ac:dyDescent="0.25">
      <c r="B41" s="2" t="s">
        <v>26</v>
      </c>
      <c r="C41" s="2">
        <f>C30+C31-D32</f>
        <v>13050</v>
      </c>
      <c r="D41" s="2">
        <f>SUM(D34:D40)</f>
        <v>13050</v>
      </c>
      <c r="E41" s="2">
        <f>C41-D41</f>
        <v>0</v>
      </c>
      <c r="F41" s="2" t="s">
        <v>26</v>
      </c>
      <c r="G41" s="2">
        <f>G30+G31-H32</f>
        <v>6770</v>
      </c>
      <c r="H41" s="2">
        <f>SUM(H34:H40)</f>
        <v>13050</v>
      </c>
      <c r="I41" s="2">
        <f>G41-H41</f>
        <v>-6280</v>
      </c>
    </row>
    <row r="42" spans="2:16" x14ac:dyDescent="0.25">
      <c r="B42" t="s">
        <v>33</v>
      </c>
      <c r="D42" t="s">
        <v>49</v>
      </c>
      <c r="G42" t="s">
        <v>34</v>
      </c>
    </row>
    <row r="43" spans="2:16" x14ac:dyDescent="0.25">
      <c r="B43" t="s">
        <v>179</v>
      </c>
      <c r="D43" t="s">
        <v>50</v>
      </c>
      <c r="G43" t="s">
        <v>51</v>
      </c>
    </row>
    <row r="46" spans="2:16" ht="18.75" x14ac:dyDescent="0.3">
      <c r="C46" s="1" t="s">
        <v>42</v>
      </c>
      <c r="D46" s="21"/>
      <c r="E46" s="21"/>
      <c r="F46" s="21"/>
      <c r="G46" s="22"/>
    </row>
    <row r="47" spans="2:16" ht="15.75" x14ac:dyDescent="0.25">
      <c r="C47" s="21" t="s">
        <v>0</v>
      </c>
      <c r="D47" s="29"/>
      <c r="E47" s="29"/>
      <c r="F47" s="29"/>
      <c r="G47" s="22"/>
      <c r="M47">
        <f>3820+3000</f>
        <v>6820</v>
      </c>
    </row>
    <row r="48" spans="2:16" ht="15.75" x14ac:dyDescent="0.25">
      <c r="C48" s="21" t="s">
        <v>352</v>
      </c>
      <c r="D48" s="29"/>
      <c r="E48" s="29"/>
      <c r="F48" s="29"/>
      <c r="G48" s="22"/>
      <c r="J48">
        <f>E41+E77</f>
        <v>0</v>
      </c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'AUGUST 21'!G51:G62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'AUGUST 21'!G52:G63</f>
        <v>0</v>
      </c>
      <c r="D52" s="3">
        <v>2000</v>
      </c>
      <c r="E52" s="16">
        <f>C52+D52</f>
        <v>2000</v>
      </c>
      <c r="F52" s="15">
        <f>1000</f>
        <v>1000</v>
      </c>
      <c r="G52" s="3">
        <f t="shared" ref="G52:G60" si="5">E52-F52</f>
        <v>1000</v>
      </c>
    </row>
    <row r="53" spans="1:7" x14ac:dyDescent="0.25">
      <c r="A53">
        <v>3</v>
      </c>
      <c r="B53" s="18" t="s">
        <v>193</v>
      </c>
      <c r="C53" s="3">
        <f>'AUGUST 21'!G53:G64</f>
        <v>0</v>
      </c>
      <c r="D53" s="3">
        <v>2000</v>
      </c>
      <c r="E53" s="16">
        <f>C53+D53</f>
        <v>2000</v>
      </c>
      <c r="F53" s="15">
        <f>1500+500</f>
        <v>2000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'AUGUST 21'!G54:G65</f>
        <v>0</v>
      </c>
      <c r="D54" s="3">
        <v>2000</v>
      </c>
      <c r="E54" s="16">
        <f t="shared" ref="E54:E60" si="6">C54+D54</f>
        <v>2000</v>
      </c>
      <c r="F54" s="15">
        <f>2000</f>
        <v>2000</v>
      </c>
      <c r="G54" s="3">
        <f t="shared" si="5"/>
        <v>0</v>
      </c>
    </row>
    <row r="55" spans="1:7" x14ac:dyDescent="0.25">
      <c r="A55">
        <v>5</v>
      </c>
      <c r="B55" s="18" t="s">
        <v>307</v>
      </c>
      <c r="C55" s="3">
        <f>'AUGUST 21'!G55:G66</f>
        <v>1000</v>
      </c>
      <c r="D55" s="3">
        <v>2000</v>
      </c>
      <c r="E55" s="16">
        <f t="shared" si="6"/>
        <v>3000</v>
      </c>
      <c r="F55" s="15">
        <f>500+1600</f>
        <v>2100</v>
      </c>
      <c r="G55" s="3">
        <f t="shared" si="5"/>
        <v>900</v>
      </c>
    </row>
    <row r="56" spans="1:7" x14ac:dyDescent="0.25">
      <c r="A56">
        <v>6</v>
      </c>
      <c r="B56" s="18" t="s">
        <v>165</v>
      </c>
      <c r="C56" s="3">
        <f>'AUGUST 21'!G56:G67</f>
        <v>0</v>
      </c>
      <c r="D56" s="3">
        <v>2000</v>
      </c>
      <c r="E56" s="16">
        <f t="shared" si="6"/>
        <v>2000</v>
      </c>
      <c r="F56" s="15">
        <f>2000</f>
        <v>2000</v>
      </c>
      <c r="G56" s="3">
        <f t="shared" si="5"/>
        <v>0</v>
      </c>
    </row>
    <row r="57" spans="1:7" x14ac:dyDescent="0.25">
      <c r="A57">
        <v>7</v>
      </c>
      <c r="B57" s="36" t="s">
        <v>15</v>
      </c>
      <c r="C57" s="3">
        <f>'AUGUST 21'!G57:G68</f>
        <v>0</v>
      </c>
      <c r="D57" s="3"/>
      <c r="E57" s="16">
        <f t="shared" si="6"/>
        <v>0</v>
      </c>
      <c r="F57" s="15"/>
      <c r="G57" s="3">
        <f t="shared" si="5"/>
        <v>0</v>
      </c>
    </row>
    <row r="58" spans="1:7" x14ac:dyDescent="0.25">
      <c r="A58">
        <v>8</v>
      </c>
      <c r="B58" s="18" t="s">
        <v>322</v>
      </c>
      <c r="C58" s="3">
        <f>'AUGUST 21'!G58:G69</f>
        <v>0</v>
      </c>
      <c r="D58" s="3">
        <v>2000</v>
      </c>
      <c r="E58" s="16">
        <f t="shared" si="6"/>
        <v>2000</v>
      </c>
      <c r="F58" s="15"/>
      <c r="G58" s="3">
        <f t="shared" si="5"/>
        <v>2000</v>
      </c>
    </row>
    <row r="59" spans="1:7" x14ac:dyDescent="0.25">
      <c r="A59">
        <v>9</v>
      </c>
      <c r="B59" s="18" t="s">
        <v>190</v>
      </c>
      <c r="C59" s="3">
        <f>'AUGUST 21'!G59:G70</f>
        <v>0</v>
      </c>
      <c r="D59" s="3">
        <v>2000</v>
      </c>
      <c r="E59" s="16">
        <f t="shared" si="6"/>
        <v>2000</v>
      </c>
      <c r="F59" s="15">
        <f>2000</f>
        <v>2000</v>
      </c>
      <c r="G59" s="3">
        <f t="shared" si="5"/>
        <v>0</v>
      </c>
    </row>
    <row r="60" spans="1:7" x14ac:dyDescent="0.25">
      <c r="A60">
        <v>10</v>
      </c>
      <c r="B60" s="18" t="s">
        <v>228</v>
      </c>
      <c r="C60" s="3">
        <f>'AUGUST 21'!G60:G71</f>
        <v>1000</v>
      </c>
      <c r="D60" s="3">
        <v>2000</v>
      </c>
      <c r="E60" s="16">
        <f t="shared" si="6"/>
        <v>3000</v>
      </c>
      <c r="F60" s="15"/>
      <c r="G60" s="3">
        <f t="shared" si="5"/>
        <v>3000</v>
      </c>
    </row>
    <row r="61" spans="1:7" x14ac:dyDescent="0.25">
      <c r="A61">
        <v>11</v>
      </c>
      <c r="B61" s="18"/>
      <c r="C61" s="3">
        <f>'AUGUST 21'!G61:G72</f>
        <v>0</v>
      </c>
      <c r="D61" s="3"/>
      <c r="E61" s="16"/>
      <c r="F61" s="15"/>
      <c r="G61" s="3"/>
    </row>
    <row r="62" spans="1:7" x14ac:dyDescent="0.25">
      <c r="A62">
        <v>0</v>
      </c>
      <c r="B62" s="18"/>
      <c r="C62" s="3">
        <f>'JULY 21'!G62:G73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SUM(C51:C62)</f>
        <v>2000</v>
      </c>
      <c r="D63" s="2">
        <f>SUM(D51:D62)</f>
        <v>16000</v>
      </c>
      <c r="E63" s="2">
        <f>SUM(E51:E62)</f>
        <v>18000</v>
      </c>
      <c r="F63" s="2">
        <f>SUM(F51:F62)</f>
        <v>11100</v>
      </c>
      <c r="G63" s="2">
        <f>SUM(G51:G62)</f>
        <v>6900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182</v>
      </c>
      <c r="C67" s="3">
        <f>D63</f>
        <v>16000</v>
      </c>
      <c r="D67" s="3"/>
      <c r="E67" s="3"/>
      <c r="F67" s="3" t="s">
        <v>182</v>
      </c>
      <c r="G67" s="3">
        <f>F63</f>
        <v>11100</v>
      </c>
      <c r="H67" s="3"/>
      <c r="I67" s="3"/>
    </row>
    <row r="68" spans="2:9" x14ac:dyDescent="0.25">
      <c r="B68" s="3" t="s">
        <v>62</v>
      </c>
      <c r="C68" s="3">
        <f>'AUGUST 21'!E77</f>
        <v>-1800</v>
      </c>
      <c r="D68" s="3"/>
      <c r="E68" s="3"/>
      <c r="F68" s="3" t="s">
        <v>62</v>
      </c>
      <c r="G68">
        <f>'AUGUST 21'!I77</f>
        <v>-3800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/>
      <c r="C71" s="19"/>
      <c r="D71" s="3"/>
      <c r="E71" s="3"/>
      <c r="F71" s="14"/>
      <c r="G71" s="19"/>
      <c r="H71" s="3"/>
      <c r="I71" s="3"/>
    </row>
    <row r="72" spans="2:9" x14ac:dyDescent="0.25">
      <c r="B72" s="14" t="s">
        <v>354</v>
      </c>
      <c r="C72" s="19"/>
      <c r="D72" s="3">
        <v>12600</v>
      </c>
      <c r="E72" s="3"/>
      <c r="F72" s="14" t="s">
        <v>354</v>
      </c>
      <c r="G72" s="19"/>
      <c r="H72" s="3">
        <v>12600</v>
      </c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5700</v>
      </c>
      <c r="H77" s="2">
        <f>SUM(H71:H76)</f>
        <v>12600</v>
      </c>
      <c r="I77" s="2">
        <f>G77-H77</f>
        <v>-6900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4" workbookViewId="0">
      <selection activeCell="F10" sqref="F10"/>
    </sheetView>
  </sheetViews>
  <sheetFormatPr defaultRowHeight="15" x14ac:dyDescent="0.25"/>
  <cols>
    <col min="2" max="2" width="22.140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355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15</v>
      </c>
      <c r="C6" s="3">
        <f>'SEPTEMBER 21'!G6:G26</f>
        <v>0</v>
      </c>
      <c r="D6" s="3"/>
      <c r="E6" s="3">
        <f>D6+C6</f>
        <v>0</v>
      </c>
      <c r="F6" s="15"/>
      <c r="G6" s="3">
        <f>E6-F6</f>
        <v>0</v>
      </c>
    </row>
    <row r="7" spans="1:7" x14ac:dyDescent="0.25">
      <c r="A7" s="3">
        <v>2</v>
      </c>
      <c r="B7" s="16" t="s">
        <v>333</v>
      </c>
      <c r="C7" s="3">
        <f>'SEPTEMBER 21'!G7:G27</f>
        <v>0</v>
      </c>
      <c r="D7" s="3">
        <v>1000</v>
      </c>
      <c r="E7" s="3">
        <f t="shared" ref="E7:E16" si="0">D7+C7</f>
        <v>1000</v>
      </c>
      <c r="G7" s="3">
        <f>E7-F7</f>
        <v>1000</v>
      </c>
    </row>
    <row r="8" spans="1:7" x14ac:dyDescent="0.25">
      <c r="A8" s="16">
        <v>3</v>
      </c>
      <c r="B8" s="18" t="s">
        <v>137</v>
      </c>
      <c r="C8" s="3">
        <f>'SEPTEMBER 21'!G8:G28</f>
        <v>1300</v>
      </c>
      <c r="D8" s="18">
        <v>1000</v>
      </c>
      <c r="E8" s="16">
        <f>D8+C8</f>
        <v>2300</v>
      </c>
      <c r="F8" s="15">
        <v>1000</v>
      </c>
      <c r="G8" s="3">
        <f t="shared" ref="G8:G9" si="1">E8-F8</f>
        <v>1300</v>
      </c>
    </row>
    <row r="9" spans="1:7" x14ac:dyDescent="0.25">
      <c r="A9" s="16">
        <v>4</v>
      </c>
      <c r="B9" s="15" t="s">
        <v>45</v>
      </c>
      <c r="C9" s="3"/>
      <c r="D9" s="16"/>
      <c r="E9" s="16">
        <f>D9+C9</f>
        <v>0</v>
      </c>
      <c r="F9" s="44"/>
      <c r="G9" s="3">
        <f t="shared" si="1"/>
        <v>0</v>
      </c>
    </row>
    <row r="10" spans="1:7" x14ac:dyDescent="0.25">
      <c r="A10" s="16">
        <v>5</v>
      </c>
      <c r="B10" s="44" t="s">
        <v>334</v>
      </c>
      <c r="C10" s="3">
        <f>'SEPTEMBER 21'!G10:G30</f>
        <v>1000</v>
      </c>
      <c r="D10" s="16">
        <v>1000</v>
      </c>
      <c r="E10" s="16">
        <f>D10+C10</f>
        <v>2000</v>
      </c>
      <c r="F10" s="44"/>
      <c r="G10" s="3">
        <f>E10-F10</f>
        <v>2000</v>
      </c>
    </row>
    <row r="11" spans="1:7" x14ac:dyDescent="0.25">
      <c r="A11" s="16">
        <v>6</v>
      </c>
      <c r="B11" s="44" t="s">
        <v>291</v>
      </c>
      <c r="C11" s="3">
        <f>'SEPTEMBER 21'!G11:G31</f>
        <v>0</v>
      </c>
      <c r="D11" s="16">
        <v>1000</v>
      </c>
      <c r="E11" s="16">
        <f t="shared" si="0"/>
        <v>1000</v>
      </c>
      <c r="F11" s="44"/>
      <c r="G11" s="3">
        <f>E11-F11</f>
        <v>1000</v>
      </c>
    </row>
    <row r="12" spans="1:7" x14ac:dyDescent="0.25">
      <c r="A12" s="16">
        <v>7</v>
      </c>
      <c r="B12" s="16" t="s">
        <v>28</v>
      </c>
      <c r="C12" s="3">
        <f>'SEPTEMBER 21'!G12:G32</f>
        <v>1000</v>
      </c>
      <c r="D12" s="16">
        <v>1000</v>
      </c>
      <c r="E12" s="16">
        <f t="shared" si="0"/>
        <v>2000</v>
      </c>
      <c r="F12" s="44">
        <f>1000+1000</f>
        <v>2000</v>
      </c>
      <c r="G12" s="3">
        <f t="shared" ref="G12:G25" si="2">E12-F12</f>
        <v>0</v>
      </c>
    </row>
    <row r="13" spans="1:7" x14ac:dyDescent="0.25">
      <c r="A13" s="16">
        <v>8</v>
      </c>
      <c r="B13" s="15" t="s">
        <v>15</v>
      </c>
      <c r="C13" s="3">
        <f>'SEPTEMBER 21'!G13:G33</f>
        <v>0</v>
      </c>
      <c r="D13" s="16"/>
      <c r="E13" s="16">
        <f t="shared" si="0"/>
        <v>0</v>
      </c>
      <c r="F13" s="44"/>
      <c r="G13" s="3">
        <f t="shared" si="2"/>
        <v>0</v>
      </c>
    </row>
    <row r="14" spans="1:7" x14ac:dyDescent="0.25">
      <c r="A14" s="16">
        <v>9</v>
      </c>
      <c r="B14" s="3" t="s">
        <v>313</v>
      </c>
      <c r="C14" s="3">
        <f>'SEPTEMBER 21'!G14:G34</f>
        <v>0</v>
      </c>
      <c r="D14" s="3">
        <v>1000</v>
      </c>
      <c r="E14" s="16">
        <f t="shared" si="0"/>
        <v>1000</v>
      </c>
      <c r="F14" s="44"/>
      <c r="G14" s="3">
        <f t="shared" si="2"/>
        <v>1000</v>
      </c>
    </row>
    <row r="15" spans="1:7" x14ac:dyDescent="0.25">
      <c r="A15" s="16">
        <v>10</v>
      </c>
      <c r="B15" s="16" t="s">
        <v>346</v>
      </c>
      <c r="C15" s="3">
        <f>'SEPTEMBER 21'!G15:G35</f>
        <v>0</v>
      </c>
      <c r="D15" s="16">
        <v>1000</v>
      </c>
      <c r="E15" s="16">
        <f t="shared" si="0"/>
        <v>1000</v>
      </c>
      <c r="F15" s="44">
        <v>1000</v>
      </c>
      <c r="G15" s="3">
        <f>E15-F15</f>
        <v>0</v>
      </c>
    </row>
    <row r="16" spans="1:7" x14ac:dyDescent="0.25">
      <c r="A16" s="16">
        <v>11</v>
      </c>
      <c r="B16" s="45" t="s">
        <v>350</v>
      </c>
      <c r="C16" s="3">
        <f>'SEPTEMBER 21'!G16:G36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13" x14ac:dyDescent="0.25">
      <c r="A17" s="16">
        <v>12</v>
      </c>
      <c r="B17" s="3" t="s">
        <v>252</v>
      </c>
      <c r="C17" s="3">
        <f>'SEPTEMBER 21'!G17:G37</f>
        <v>-1000</v>
      </c>
      <c r="D17" s="3">
        <v>1000</v>
      </c>
      <c r="E17" s="16">
        <f>D17+C17</f>
        <v>0</v>
      </c>
      <c r="F17" s="44"/>
      <c r="G17" s="14">
        <f>E17-F17</f>
        <v>0</v>
      </c>
    </row>
    <row r="18" spans="1:13" x14ac:dyDescent="0.25">
      <c r="A18" s="16">
        <v>13</v>
      </c>
      <c r="B18" s="16" t="s">
        <v>204</v>
      </c>
      <c r="C18" s="3">
        <f>'SEPTEMBER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3" x14ac:dyDescent="0.25">
      <c r="A19" s="16">
        <v>14</v>
      </c>
      <c r="B19" s="16" t="s">
        <v>209</v>
      </c>
      <c r="C19" s="3">
        <f>'SEPTEMBER 21'!G19:G39</f>
        <v>530</v>
      </c>
      <c r="D19" s="16">
        <v>1000</v>
      </c>
      <c r="E19" s="16">
        <f>D19+C19</f>
        <v>1530</v>
      </c>
      <c r="F19" s="44">
        <v>1000</v>
      </c>
      <c r="G19" s="3">
        <f t="shared" si="2"/>
        <v>530</v>
      </c>
    </row>
    <row r="20" spans="1:13" x14ac:dyDescent="0.25">
      <c r="A20" s="16">
        <v>15</v>
      </c>
      <c r="B20" s="16" t="s">
        <v>137</v>
      </c>
      <c r="C20" s="3">
        <f>'SEPTEMBER 21'!G20:G40</f>
        <v>0</v>
      </c>
      <c r="D20" s="16">
        <v>1000</v>
      </c>
      <c r="E20" s="16">
        <f t="shared" ref="E20:E25" si="3">D20+C20</f>
        <v>1000</v>
      </c>
      <c r="F20" s="44">
        <v>1000</v>
      </c>
      <c r="G20" s="3">
        <f t="shared" si="2"/>
        <v>0</v>
      </c>
    </row>
    <row r="21" spans="1:13" x14ac:dyDescent="0.25">
      <c r="A21" s="16">
        <v>16</v>
      </c>
      <c r="B21" s="16" t="s">
        <v>30</v>
      </c>
      <c r="C21" s="3">
        <f>'SEPTEMBER 21'!G21:G41</f>
        <v>0</v>
      </c>
      <c r="D21" s="3">
        <v>1000</v>
      </c>
      <c r="E21" s="16">
        <f t="shared" si="3"/>
        <v>1000</v>
      </c>
      <c r="F21" s="44">
        <v>500</v>
      </c>
      <c r="G21" s="3">
        <f>E21-F21</f>
        <v>500</v>
      </c>
    </row>
    <row r="22" spans="1:13" x14ac:dyDescent="0.25">
      <c r="A22" s="16">
        <v>17</v>
      </c>
      <c r="B22" s="16" t="s">
        <v>47</v>
      </c>
      <c r="C22" s="3">
        <f>'SEPTEMBER 21'!G22:G42</f>
        <v>0</v>
      </c>
      <c r="D22" s="16">
        <v>1500</v>
      </c>
      <c r="E22" s="16">
        <f t="shared" si="3"/>
        <v>1500</v>
      </c>
      <c r="F22" s="44">
        <v>1500</v>
      </c>
      <c r="G22" s="3">
        <f t="shared" si="2"/>
        <v>0</v>
      </c>
      <c r="M22">
        <f>D26</f>
        <v>14500</v>
      </c>
    </row>
    <row r="23" spans="1:13" x14ac:dyDescent="0.25">
      <c r="A23" s="3">
        <v>18</v>
      </c>
      <c r="B23" s="36" t="s">
        <v>15</v>
      </c>
      <c r="C23" s="3">
        <f>'SEPTEMBER 21'!G23:G43</f>
        <v>0</v>
      </c>
      <c r="D23" s="3"/>
      <c r="E23" s="16">
        <f t="shared" si="3"/>
        <v>0</v>
      </c>
      <c r="F23" s="44"/>
      <c r="G23" s="3">
        <f t="shared" si="2"/>
        <v>0</v>
      </c>
      <c r="M23">
        <f>D32</f>
        <v>1450</v>
      </c>
    </row>
    <row r="24" spans="1:13" x14ac:dyDescent="0.25">
      <c r="A24" s="3">
        <v>19</v>
      </c>
      <c r="B24" s="36" t="s">
        <v>15</v>
      </c>
      <c r="C24" s="3">
        <f>'SEPTEMBER 21'!G24:G44</f>
        <v>0</v>
      </c>
      <c r="D24" s="3"/>
      <c r="E24" s="16">
        <f t="shared" si="3"/>
        <v>0</v>
      </c>
      <c r="F24" s="44"/>
      <c r="G24" s="3">
        <f t="shared" si="2"/>
        <v>0</v>
      </c>
      <c r="M24">
        <f>M22-M23</f>
        <v>13050</v>
      </c>
    </row>
    <row r="25" spans="1:13" x14ac:dyDescent="0.25">
      <c r="A25" s="3">
        <v>20</v>
      </c>
      <c r="B25" s="36" t="s">
        <v>118</v>
      </c>
      <c r="C25" s="3">
        <f>'SEPTEMBER 21'!G25:G45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13" x14ac:dyDescent="0.25">
      <c r="B26" s="2" t="s">
        <v>26</v>
      </c>
      <c r="C26" s="3">
        <f>'SEPTEMBER 21'!G26:G46</f>
        <v>4850</v>
      </c>
      <c r="D26" s="2">
        <f>SUM(D6:D25)</f>
        <v>14500</v>
      </c>
      <c r="E26" s="2">
        <f t="shared" ref="E26:G26" si="4">SUM(E6:E25)</f>
        <v>18650</v>
      </c>
      <c r="F26" s="2">
        <f t="shared" si="4"/>
        <v>10000</v>
      </c>
      <c r="G26" s="2">
        <f t="shared" si="4"/>
        <v>8650</v>
      </c>
    </row>
    <row r="27" spans="1:13" x14ac:dyDescent="0.25">
      <c r="C27" s="3">
        <f>'SEPTEMBER 21'!G27:G47</f>
        <v>0</v>
      </c>
    </row>
    <row r="28" spans="1:13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3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3" x14ac:dyDescent="0.25">
      <c r="B30" s="3" t="s">
        <v>356</v>
      </c>
      <c r="C30" s="3">
        <f>D26</f>
        <v>14500</v>
      </c>
      <c r="D30" s="3"/>
      <c r="E30" s="3"/>
      <c r="F30" s="3" t="s">
        <v>356</v>
      </c>
      <c r="G30" s="3">
        <f>F26</f>
        <v>10000</v>
      </c>
      <c r="H30" s="3"/>
      <c r="I30" s="3"/>
    </row>
    <row r="31" spans="1:13" x14ac:dyDescent="0.25">
      <c r="B31" s="3" t="s">
        <v>62</v>
      </c>
      <c r="C31" s="3">
        <f>'SEPTEMBER 21'!E41</f>
        <v>0</v>
      </c>
      <c r="D31" s="3"/>
      <c r="E31" s="3"/>
      <c r="F31" s="3" t="s">
        <v>62</v>
      </c>
      <c r="G31">
        <f>'SEPTEMBER 21'!I41</f>
        <v>-6280</v>
      </c>
      <c r="H31" s="3"/>
      <c r="I31" s="3"/>
    </row>
    <row r="32" spans="1:13" x14ac:dyDescent="0.25">
      <c r="B32" s="3" t="s">
        <v>41</v>
      </c>
      <c r="C32" s="5">
        <v>0.1</v>
      </c>
      <c r="D32" s="3">
        <f>C32*C30</f>
        <v>1450</v>
      </c>
      <c r="E32" s="3"/>
      <c r="F32" s="3" t="s">
        <v>41</v>
      </c>
      <c r="G32" s="5">
        <v>0.1</v>
      </c>
      <c r="H32" s="3">
        <f>G32*C30</f>
        <v>1450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220</v>
      </c>
      <c r="C34" s="3"/>
      <c r="D34" s="3">
        <v>500</v>
      </c>
      <c r="E34" s="3"/>
      <c r="F34" s="19" t="s">
        <v>220</v>
      </c>
      <c r="G34" s="3"/>
      <c r="H34" s="3"/>
      <c r="I34" s="3"/>
    </row>
    <row r="35" spans="2:9" x14ac:dyDescent="0.25">
      <c r="B35" s="19" t="s">
        <v>357</v>
      </c>
      <c r="C35" s="3"/>
      <c r="D35" s="3">
        <v>12550</v>
      </c>
      <c r="E35" s="3"/>
      <c r="F35" s="19" t="s">
        <v>357</v>
      </c>
      <c r="G35" s="3"/>
      <c r="H35" s="3">
        <v>12550</v>
      </c>
      <c r="I35" s="3"/>
    </row>
    <row r="36" spans="2:9" x14ac:dyDescent="0.25">
      <c r="B36" s="19" t="s">
        <v>360</v>
      </c>
      <c r="C36" s="3"/>
      <c r="D36" s="3">
        <v>500</v>
      </c>
      <c r="E36" s="3"/>
      <c r="F36" s="19"/>
      <c r="G36" s="3"/>
      <c r="H36" s="3"/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13050</v>
      </c>
      <c r="D41" s="2">
        <f>SUM(D34:D40)</f>
        <v>13550</v>
      </c>
      <c r="E41" s="2">
        <f>C41-D41</f>
        <v>-500</v>
      </c>
      <c r="F41" s="2" t="s">
        <v>26</v>
      </c>
      <c r="G41" s="2">
        <f>G30+G31-H32</f>
        <v>2270</v>
      </c>
      <c r="H41" s="2">
        <f>SUM(H34:H40)</f>
        <v>12550</v>
      </c>
      <c r="I41" s="2">
        <f>G41-H41</f>
        <v>-10280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358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'SEPTEMBER 21'!G51:G63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'SEPTEMBER 21'!G52:G64</f>
        <v>1000</v>
      </c>
      <c r="D52" s="3">
        <v>2000</v>
      </c>
      <c r="E52" s="16">
        <f>C52+D52</f>
        <v>3000</v>
      </c>
      <c r="F52" s="15">
        <f>2300</f>
        <v>2300</v>
      </c>
      <c r="G52" s="3">
        <f t="shared" ref="G52:G60" si="5">E52-F52</f>
        <v>700</v>
      </c>
    </row>
    <row r="53" spans="1:7" x14ac:dyDescent="0.25">
      <c r="A53">
        <v>3</v>
      </c>
      <c r="B53" s="18" t="s">
        <v>193</v>
      </c>
      <c r="C53" s="3">
        <f>'SEPTEMBER 21'!G53:G65</f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'SEPTEMBER 21'!G54:G66</f>
        <v>0</v>
      </c>
      <c r="D54" s="3">
        <v>2000</v>
      </c>
      <c r="E54" s="16">
        <f t="shared" ref="E54:E60" si="6">C54+D54</f>
        <v>2000</v>
      </c>
      <c r="F54" s="15">
        <v>2000</v>
      </c>
      <c r="G54" s="3">
        <f t="shared" si="5"/>
        <v>0</v>
      </c>
    </row>
    <row r="55" spans="1:7" x14ac:dyDescent="0.25">
      <c r="A55">
        <v>5</v>
      </c>
      <c r="B55" s="18" t="s">
        <v>307</v>
      </c>
      <c r="C55" s="3">
        <f>'SEPTEMBER 21'!G55:G67</f>
        <v>900</v>
      </c>
      <c r="D55" s="3">
        <v>2000</v>
      </c>
      <c r="E55" s="16">
        <f t="shared" si="6"/>
        <v>2900</v>
      </c>
      <c r="F55" s="15">
        <v>1000</v>
      </c>
      <c r="G55" s="3">
        <f t="shared" si="5"/>
        <v>1900</v>
      </c>
    </row>
    <row r="56" spans="1:7" x14ac:dyDescent="0.25">
      <c r="A56">
        <v>6</v>
      </c>
      <c r="B56" s="18" t="s">
        <v>165</v>
      </c>
      <c r="C56" s="3">
        <f>'SEPTEMBER 21'!G56:G68</f>
        <v>0</v>
      </c>
      <c r="D56" s="3">
        <v>2000</v>
      </c>
      <c r="E56" s="16">
        <f t="shared" si="6"/>
        <v>2000</v>
      </c>
      <c r="F56" s="15">
        <v>2000</v>
      </c>
      <c r="G56" s="3">
        <f t="shared" si="5"/>
        <v>0</v>
      </c>
    </row>
    <row r="57" spans="1:7" x14ac:dyDescent="0.25">
      <c r="A57">
        <v>7</v>
      </c>
      <c r="B57" s="36" t="s">
        <v>15</v>
      </c>
      <c r="C57" s="3">
        <f>'SEPTEMBER 21'!G57:G69</f>
        <v>0</v>
      </c>
      <c r="D57" s="3"/>
      <c r="E57" s="16">
        <f t="shared" si="6"/>
        <v>0</v>
      </c>
      <c r="F57" s="15"/>
      <c r="G57" s="3">
        <f t="shared" si="5"/>
        <v>0</v>
      </c>
    </row>
    <row r="58" spans="1:7" x14ac:dyDescent="0.25">
      <c r="A58">
        <v>8</v>
      </c>
      <c r="B58" s="18" t="s">
        <v>322</v>
      </c>
      <c r="C58" s="3">
        <f>'SEPTEMBER 21'!G58:G70</f>
        <v>2000</v>
      </c>
      <c r="D58" s="3">
        <v>2000</v>
      </c>
      <c r="E58" s="16">
        <f t="shared" si="6"/>
        <v>4000</v>
      </c>
      <c r="F58" s="15">
        <f>1300</f>
        <v>1300</v>
      </c>
      <c r="G58" s="3">
        <f t="shared" si="5"/>
        <v>2700</v>
      </c>
    </row>
    <row r="59" spans="1:7" x14ac:dyDescent="0.25">
      <c r="A59">
        <v>9</v>
      </c>
      <c r="B59" s="18" t="s">
        <v>190</v>
      </c>
      <c r="C59" s="3">
        <f>'SEPTEMBER 21'!G59:G71</f>
        <v>0</v>
      </c>
      <c r="D59" s="3">
        <v>2000</v>
      </c>
      <c r="E59" s="16">
        <f t="shared" si="6"/>
        <v>2000</v>
      </c>
      <c r="F59" s="15">
        <v>2000</v>
      </c>
      <c r="G59" s="3">
        <f t="shared" si="5"/>
        <v>0</v>
      </c>
    </row>
    <row r="60" spans="1:7" x14ac:dyDescent="0.25">
      <c r="A60">
        <v>10</v>
      </c>
      <c r="B60" s="36" t="s">
        <v>228</v>
      </c>
      <c r="C60" s="15">
        <f>'SEPTEMBER 21'!G60:G72</f>
        <v>3000</v>
      </c>
      <c r="D60" s="3"/>
      <c r="E60" s="16">
        <f t="shared" si="6"/>
        <v>3000</v>
      </c>
      <c r="F60" s="15"/>
      <c r="G60" s="3">
        <f t="shared" si="5"/>
        <v>3000</v>
      </c>
    </row>
    <row r="61" spans="1:7" x14ac:dyDescent="0.25">
      <c r="A61">
        <v>11</v>
      </c>
      <c r="B61" s="18"/>
      <c r="C61" s="3">
        <f>'SEPTEMBER 21'!G61:G73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'SEPTEMBER 21'!G62:G74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'SEPTEMBER 21'!G63:G75</f>
        <v>6900</v>
      </c>
      <c r="D63" s="2">
        <f>SUM(D51:D62)</f>
        <v>14000</v>
      </c>
      <c r="E63" s="2">
        <f>SUM(E51:E62)</f>
        <v>20900</v>
      </c>
      <c r="F63" s="2">
        <f>SUM(F51:F62)</f>
        <v>12600</v>
      </c>
      <c r="G63" s="2">
        <f>SUM(G51:G62)</f>
        <v>8300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182</v>
      </c>
      <c r="C67" s="3">
        <f>D63</f>
        <v>14000</v>
      </c>
      <c r="D67" s="3"/>
      <c r="E67" s="3"/>
      <c r="F67" s="3" t="s">
        <v>182</v>
      </c>
      <c r="G67" s="3">
        <f>F63</f>
        <v>12600</v>
      </c>
      <c r="H67" s="3"/>
      <c r="I67" s="3"/>
    </row>
    <row r="68" spans="2:9" x14ac:dyDescent="0.25">
      <c r="B68" s="3" t="s">
        <v>62</v>
      </c>
      <c r="C68" s="3">
        <f>'SEPTEMBER 21'!E77</f>
        <v>0</v>
      </c>
      <c r="D68" s="3"/>
      <c r="E68" s="3"/>
      <c r="F68" s="3" t="s">
        <v>62</v>
      </c>
      <c r="G68">
        <f>'SEPTEMBER 21'!I77</f>
        <v>-6900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/>
      <c r="C71" s="19"/>
      <c r="D71" s="3"/>
      <c r="E71" s="3"/>
      <c r="F71" s="14"/>
      <c r="G71" s="19"/>
      <c r="H71" s="3"/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 t="s">
        <v>357</v>
      </c>
      <c r="C73" s="3"/>
      <c r="D73" s="3">
        <v>12600</v>
      </c>
      <c r="E73" s="3"/>
      <c r="F73" s="10" t="s">
        <v>357</v>
      </c>
      <c r="G73" s="3"/>
      <c r="H73" s="3">
        <v>12600</v>
      </c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4300</v>
      </c>
      <c r="H77" s="2">
        <f>SUM(H71:H76)</f>
        <v>12600</v>
      </c>
      <c r="I77" s="2">
        <f>G77-H77</f>
        <v>-8300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4" workbookViewId="0">
      <selection activeCell="B13" sqref="B13"/>
    </sheetView>
  </sheetViews>
  <sheetFormatPr defaultRowHeight="15" x14ac:dyDescent="0.25"/>
  <cols>
    <col min="2" max="2" width="22.140625" customWidth="1"/>
    <col min="3" max="3" width="12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359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367</v>
      </c>
      <c r="C6" s="3">
        <f>' OCTOBER 21'!G6:G25</f>
        <v>0</v>
      </c>
      <c r="D6" s="3">
        <v>1000</v>
      </c>
      <c r="E6" s="3">
        <f>D6+C6</f>
        <v>1000</v>
      </c>
      <c r="F6" s="15">
        <v>1000</v>
      </c>
      <c r="G6" s="3">
        <f>E6-F6</f>
        <v>0</v>
      </c>
    </row>
    <row r="7" spans="1:7" x14ac:dyDescent="0.25">
      <c r="A7" s="3">
        <v>2</v>
      </c>
      <c r="B7" s="16" t="s">
        <v>333</v>
      </c>
      <c r="C7" s="3">
        <f>' OCTOBER 21'!G7:G26</f>
        <v>1000</v>
      </c>
      <c r="D7" s="3">
        <v>1000</v>
      </c>
      <c r="E7" s="3">
        <f t="shared" ref="E7:E16" si="0">D7+C7</f>
        <v>2000</v>
      </c>
      <c r="F7">
        <v>1400</v>
      </c>
      <c r="G7" s="3">
        <f>E7-F7</f>
        <v>600</v>
      </c>
    </row>
    <row r="8" spans="1:7" x14ac:dyDescent="0.25">
      <c r="A8" s="16">
        <v>3</v>
      </c>
      <c r="B8" s="18" t="s">
        <v>137</v>
      </c>
      <c r="C8" s="3">
        <f>' OCTOBER 21'!G8:G27</f>
        <v>1300</v>
      </c>
      <c r="D8" s="18">
        <v>1000</v>
      </c>
      <c r="E8" s="16">
        <f>D8+C8</f>
        <v>2300</v>
      </c>
      <c r="F8" s="15">
        <f>800</f>
        <v>800</v>
      </c>
      <c r="G8" s="3">
        <f t="shared" ref="G8:G9" si="1">E8-F8</f>
        <v>1500</v>
      </c>
    </row>
    <row r="9" spans="1:7" x14ac:dyDescent="0.25">
      <c r="A9" s="16">
        <v>4</v>
      </c>
      <c r="B9" s="15" t="s">
        <v>45</v>
      </c>
      <c r="C9" s="3">
        <f>' OCTOBER 21'!G9:G28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7" x14ac:dyDescent="0.25">
      <c r="A10" s="16">
        <v>5</v>
      </c>
      <c r="B10" s="44" t="s">
        <v>334</v>
      </c>
      <c r="C10" s="3">
        <f>' OCTOBER 21'!G10:G29</f>
        <v>2000</v>
      </c>
      <c r="D10" s="16">
        <v>1000</v>
      </c>
      <c r="E10" s="16">
        <f>D10+C10</f>
        <v>3000</v>
      </c>
      <c r="F10" s="44">
        <v>500</v>
      </c>
      <c r="G10" s="3">
        <f>E10-F10</f>
        <v>2500</v>
      </c>
    </row>
    <row r="11" spans="1:7" x14ac:dyDescent="0.25">
      <c r="A11" s="16">
        <v>6</v>
      </c>
      <c r="B11" s="44" t="s">
        <v>291</v>
      </c>
      <c r="C11" s="3">
        <f>' OCTOBER 21'!G11:G30</f>
        <v>1000</v>
      </c>
      <c r="D11" s="16">
        <v>1000</v>
      </c>
      <c r="E11" s="16">
        <f t="shared" si="0"/>
        <v>2000</v>
      </c>
      <c r="F11" s="44">
        <v>1000</v>
      </c>
      <c r="G11" s="3">
        <f>E11-F11</f>
        <v>1000</v>
      </c>
    </row>
    <row r="12" spans="1:7" x14ac:dyDescent="0.25">
      <c r="A12" s="16">
        <v>7</v>
      </c>
      <c r="B12" s="16" t="s">
        <v>28</v>
      </c>
      <c r="C12" s="3">
        <f>' OCTOBER 21'!G12:G31</f>
        <v>0</v>
      </c>
      <c r="D12" s="16">
        <v>1000</v>
      </c>
      <c r="E12" s="16">
        <f t="shared" si="0"/>
        <v>1000</v>
      </c>
      <c r="F12" s="44"/>
      <c r="G12" s="3">
        <f t="shared" ref="G12:G25" si="2">E12-F12</f>
        <v>1000</v>
      </c>
    </row>
    <row r="13" spans="1:7" x14ac:dyDescent="0.25">
      <c r="A13" s="16">
        <v>8</v>
      </c>
      <c r="B13" s="15" t="s">
        <v>15</v>
      </c>
      <c r="C13" s="3">
        <f>' OCTOBER 21'!G13:G32</f>
        <v>0</v>
      </c>
      <c r="D13" s="16"/>
      <c r="E13" s="16">
        <f t="shared" si="0"/>
        <v>0</v>
      </c>
      <c r="F13" s="44"/>
      <c r="G13" s="3">
        <f t="shared" si="2"/>
        <v>0</v>
      </c>
    </row>
    <row r="14" spans="1:7" x14ac:dyDescent="0.25">
      <c r="A14" s="16">
        <v>9</v>
      </c>
      <c r="B14" s="3" t="s">
        <v>313</v>
      </c>
      <c r="C14" s="3">
        <f>' OCTOBER 21'!G14:G33</f>
        <v>1000</v>
      </c>
      <c r="D14" s="3">
        <v>1000</v>
      </c>
      <c r="E14" s="16">
        <f t="shared" si="0"/>
        <v>2000</v>
      </c>
      <c r="F14" s="44"/>
      <c r="G14" s="3">
        <f t="shared" si="2"/>
        <v>2000</v>
      </c>
    </row>
    <row r="15" spans="1:7" x14ac:dyDescent="0.25">
      <c r="A15" s="16">
        <v>10</v>
      </c>
      <c r="B15" s="16" t="s">
        <v>346</v>
      </c>
      <c r="C15" s="3">
        <f>' OCTOBER 21'!G15:G34</f>
        <v>0</v>
      </c>
      <c r="D15" s="16">
        <v>1000</v>
      </c>
      <c r="E15" s="16">
        <f t="shared" si="0"/>
        <v>1000</v>
      </c>
      <c r="F15" s="44">
        <v>1000</v>
      </c>
      <c r="G15" s="3">
        <f>E15-F15</f>
        <v>0</v>
      </c>
    </row>
    <row r="16" spans="1:7" x14ac:dyDescent="0.25">
      <c r="A16" s="16">
        <v>11</v>
      </c>
      <c r="B16" s="45" t="s">
        <v>350</v>
      </c>
      <c r="C16" s="3">
        <f>' OCTOBER 21'!G16:G35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14" x14ac:dyDescent="0.25">
      <c r="A17" s="16">
        <v>12</v>
      </c>
      <c r="B17" s="3" t="s">
        <v>252</v>
      </c>
      <c r="C17" s="3">
        <f>' OCTOBER 21'!G17:G36</f>
        <v>0</v>
      </c>
      <c r="D17" s="3">
        <v>1000</v>
      </c>
      <c r="E17" s="16">
        <f>D17+C17</f>
        <v>1000</v>
      </c>
      <c r="F17" s="44"/>
      <c r="G17" s="14">
        <f>E17-F17</f>
        <v>1000</v>
      </c>
    </row>
    <row r="18" spans="1:14" x14ac:dyDescent="0.25">
      <c r="A18" s="16">
        <v>13</v>
      </c>
      <c r="B18" s="16" t="s">
        <v>204</v>
      </c>
      <c r="C18" s="3">
        <f>' OCTOBER 21'!G18:G37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4" x14ac:dyDescent="0.25">
      <c r="A19" s="16">
        <v>14</v>
      </c>
      <c r="B19" s="16" t="s">
        <v>209</v>
      </c>
      <c r="C19" s="3">
        <f>' OCTOBER 21'!G19:G38</f>
        <v>530</v>
      </c>
      <c r="D19" s="16">
        <v>1000</v>
      </c>
      <c r="E19" s="16">
        <f>D19+C19</f>
        <v>1530</v>
      </c>
      <c r="F19" s="44">
        <v>1000</v>
      </c>
      <c r="G19" s="3">
        <f t="shared" si="2"/>
        <v>530</v>
      </c>
    </row>
    <row r="20" spans="1:14" x14ac:dyDescent="0.25">
      <c r="A20" s="16">
        <v>15</v>
      </c>
      <c r="B20" s="16" t="s">
        <v>137</v>
      </c>
      <c r="C20" s="3">
        <f>' OCTOBER 21'!G20:G39</f>
        <v>0</v>
      </c>
      <c r="D20" s="16">
        <v>1000</v>
      </c>
      <c r="E20" s="16">
        <f t="shared" ref="E20:E25" si="3">D20+C20</f>
        <v>1000</v>
      </c>
      <c r="F20" s="44">
        <v>1000</v>
      </c>
      <c r="G20" s="3">
        <f t="shared" si="2"/>
        <v>0</v>
      </c>
    </row>
    <row r="21" spans="1:14" x14ac:dyDescent="0.25">
      <c r="A21" s="16">
        <v>16</v>
      </c>
      <c r="B21" s="15" t="s">
        <v>15</v>
      </c>
      <c r="C21" s="3"/>
      <c r="D21" s="3"/>
      <c r="E21" s="16">
        <f t="shared" si="3"/>
        <v>0</v>
      </c>
      <c r="F21" s="44"/>
      <c r="G21" s="3">
        <f>E21-F21</f>
        <v>0</v>
      </c>
    </row>
    <row r="22" spans="1:14" x14ac:dyDescent="0.25">
      <c r="A22" s="16">
        <v>17</v>
      </c>
      <c r="B22" s="16" t="s">
        <v>47</v>
      </c>
      <c r="C22" s="3">
        <f>' OCTOBER 21'!G22:G41</f>
        <v>0</v>
      </c>
      <c r="D22" s="16">
        <v>1500</v>
      </c>
      <c r="E22" s="16">
        <f t="shared" si="3"/>
        <v>1500</v>
      </c>
      <c r="F22" s="44">
        <v>1500</v>
      </c>
      <c r="G22" s="3">
        <f t="shared" si="2"/>
        <v>0</v>
      </c>
      <c r="M22">
        <f>D26</f>
        <v>15500</v>
      </c>
    </row>
    <row r="23" spans="1:14" x14ac:dyDescent="0.25">
      <c r="A23" s="3">
        <v>18</v>
      </c>
      <c r="B23" s="36" t="s">
        <v>15</v>
      </c>
      <c r="C23" s="3">
        <f>' OCTOBER 21'!G23:G42</f>
        <v>0</v>
      </c>
      <c r="D23" s="3"/>
      <c r="E23" s="16">
        <f t="shared" si="3"/>
        <v>0</v>
      </c>
      <c r="F23" s="44"/>
      <c r="G23" s="3">
        <f t="shared" si="2"/>
        <v>0</v>
      </c>
      <c r="M23">
        <f>D32</f>
        <v>1550</v>
      </c>
    </row>
    <row r="24" spans="1:14" x14ac:dyDescent="0.25">
      <c r="A24" s="3">
        <v>19</v>
      </c>
      <c r="B24" s="36" t="s">
        <v>15</v>
      </c>
      <c r="C24" s="3">
        <f>' OCTOBER 21'!G24:G43</f>
        <v>0</v>
      </c>
      <c r="D24" s="3"/>
      <c r="E24" s="16">
        <f t="shared" si="3"/>
        <v>0</v>
      </c>
      <c r="F24" s="44"/>
      <c r="G24" s="3">
        <f t="shared" si="2"/>
        <v>0</v>
      </c>
      <c r="M24">
        <f>M22-M23</f>
        <v>13950</v>
      </c>
    </row>
    <row r="25" spans="1:14" x14ac:dyDescent="0.25">
      <c r="A25" s="3">
        <v>20</v>
      </c>
      <c r="B25" s="36" t="s">
        <v>118</v>
      </c>
      <c r="C25" s="3">
        <f>' OCTOBER 21'!G25:G44</f>
        <v>1320</v>
      </c>
      <c r="D25" s="3"/>
      <c r="E25" s="16">
        <f t="shared" si="3"/>
        <v>1320</v>
      </c>
      <c r="F25" s="44"/>
      <c r="G25" s="3">
        <f t="shared" si="2"/>
        <v>1320</v>
      </c>
      <c r="M25">
        <v>500</v>
      </c>
      <c r="N25" t="s">
        <v>364</v>
      </c>
    </row>
    <row r="26" spans="1:14" x14ac:dyDescent="0.25">
      <c r="B26" s="2" t="s">
        <v>26</v>
      </c>
      <c r="C26" s="3">
        <f>SUM(C6:C25)</f>
        <v>8150</v>
      </c>
      <c r="D26" s="2">
        <f>SUM(D6:D25)</f>
        <v>15500</v>
      </c>
      <c r="E26" s="2">
        <f t="shared" ref="E26:G26" si="4">SUM(E6:E25)</f>
        <v>23650</v>
      </c>
      <c r="F26" s="2">
        <f t="shared" si="4"/>
        <v>12200</v>
      </c>
      <c r="G26" s="2">
        <f t="shared" si="4"/>
        <v>11450</v>
      </c>
      <c r="M26">
        <f>M24-M25</f>
        <v>13450</v>
      </c>
    </row>
    <row r="27" spans="1:14" x14ac:dyDescent="0.25">
      <c r="C27" s="3">
        <f>'SEPTEMBER 21'!G27:G47</f>
        <v>0</v>
      </c>
      <c r="M27">
        <v>500</v>
      </c>
      <c r="N27" t="s">
        <v>361</v>
      </c>
    </row>
    <row r="28" spans="1:14" x14ac:dyDescent="0.25">
      <c r="B28" s="12" t="s">
        <v>44</v>
      </c>
      <c r="C28" s="12"/>
      <c r="D28" s="12"/>
      <c r="E28" s="33"/>
      <c r="F28" s="12" t="s">
        <v>43</v>
      </c>
      <c r="G28" s="12"/>
      <c r="M28">
        <f>M26-M27</f>
        <v>12950</v>
      </c>
    </row>
    <row r="29" spans="1:14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4" x14ac:dyDescent="0.25">
      <c r="B30" s="3" t="s">
        <v>106</v>
      </c>
      <c r="C30" s="3">
        <f>D26</f>
        <v>15500</v>
      </c>
      <c r="D30" s="3"/>
      <c r="E30" s="3"/>
      <c r="F30" s="3" t="s">
        <v>106</v>
      </c>
      <c r="G30" s="3">
        <f>F26</f>
        <v>12200</v>
      </c>
      <c r="H30" s="3"/>
      <c r="I30" s="3"/>
    </row>
    <row r="31" spans="1:14" x14ac:dyDescent="0.25">
      <c r="B31" s="3" t="s">
        <v>62</v>
      </c>
      <c r="C31" s="3">
        <f>' OCTOBER 21'!E41</f>
        <v>-500</v>
      </c>
      <c r="D31" s="3"/>
      <c r="E31" s="3"/>
      <c r="F31" s="3" t="s">
        <v>62</v>
      </c>
      <c r="G31">
        <f>' OCTOBER 21'!I41</f>
        <v>-10280</v>
      </c>
      <c r="H31" s="3"/>
      <c r="I31" s="3"/>
    </row>
    <row r="32" spans="1:14" x14ac:dyDescent="0.25">
      <c r="B32" s="3" t="s">
        <v>41</v>
      </c>
      <c r="C32" s="5">
        <v>0.1</v>
      </c>
      <c r="D32" s="3">
        <f>C32*C30</f>
        <v>1550</v>
      </c>
      <c r="E32" s="3"/>
      <c r="F32" s="3" t="s">
        <v>41</v>
      </c>
      <c r="G32" s="5">
        <v>0.1</v>
      </c>
      <c r="H32" s="3">
        <f>G32*C30</f>
        <v>1550</v>
      </c>
      <c r="I32" s="3"/>
    </row>
    <row r="33" spans="2:15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5" x14ac:dyDescent="0.25">
      <c r="B34" s="19" t="s">
        <v>361</v>
      </c>
      <c r="C34" s="3"/>
      <c r="D34" s="3">
        <v>500</v>
      </c>
      <c r="E34" s="3"/>
      <c r="F34" s="19" t="s">
        <v>361</v>
      </c>
      <c r="G34" s="3"/>
      <c r="H34" s="3">
        <v>500</v>
      </c>
      <c r="I34" s="3"/>
    </row>
    <row r="35" spans="2:15" x14ac:dyDescent="0.25">
      <c r="B35" s="19" t="s">
        <v>366</v>
      </c>
      <c r="C35" s="3"/>
      <c r="D35" s="3">
        <v>12950</v>
      </c>
      <c r="E35" s="3"/>
      <c r="F35" s="19" t="s">
        <v>366</v>
      </c>
      <c r="G35" s="3"/>
      <c r="H35" s="3">
        <v>12950</v>
      </c>
      <c r="I35" s="3"/>
    </row>
    <row r="36" spans="2:15" x14ac:dyDescent="0.25">
      <c r="B36" s="19"/>
      <c r="C36" s="3"/>
      <c r="D36" s="3"/>
      <c r="E36" s="3"/>
      <c r="F36" s="19"/>
      <c r="G36" s="3"/>
      <c r="H36" s="3"/>
      <c r="I36" s="3"/>
    </row>
    <row r="37" spans="2:15" x14ac:dyDescent="0.25">
      <c r="B37" s="19"/>
      <c r="C37" s="3"/>
      <c r="D37" s="3"/>
      <c r="E37" s="3"/>
      <c r="F37" s="19"/>
      <c r="G37" s="3"/>
      <c r="H37" s="3"/>
      <c r="I37" s="3"/>
    </row>
    <row r="38" spans="2:15" x14ac:dyDescent="0.25">
      <c r="B38" s="19"/>
      <c r="C38" s="3"/>
      <c r="D38" s="3"/>
      <c r="E38" s="3"/>
      <c r="F38" s="19"/>
      <c r="G38" s="3"/>
      <c r="H38" s="3"/>
      <c r="I38" s="3"/>
    </row>
    <row r="39" spans="2:15" x14ac:dyDescent="0.25">
      <c r="B39" s="19"/>
      <c r="C39" s="3"/>
      <c r="D39" s="3"/>
      <c r="E39" s="3"/>
      <c r="F39" s="19"/>
      <c r="G39" s="3"/>
      <c r="H39" s="3"/>
      <c r="I39" s="3"/>
    </row>
    <row r="40" spans="2:15" x14ac:dyDescent="0.25">
      <c r="B40" s="19"/>
      <c r="C40" s="3"/>
      <c r="D40" s="3"/>
      <c r="E40" s="3"/>
      <c r="F40" s="19"/>
      <c r="G40" s="3"/>
      <c r="H40" s="3"/>
      <c r="I40" s="3"/>
    </row>
    <row r="41" spans="2:15" x14ac:dyDescent="0.25">
      <c r="B41" s="2" t="s">
        <v>26</v>
      </c>
      <c r="C41" s="2">
        <f>C30+C31-D32</f>
        <v>13450</v>
      </c>
      <c r="D41" s="2">
        <f>SUM(D34:D40)</f>
        <v>13450</v>
      </c>
      <c r="E41" s="2">
        <f>C41-D41</f>
        <v>0</v>
      </c>
      <c r="F41" s="2" t="s">
        <v>26</v>
      </c>
      <c r="G41" s="2">
        <f>G30+G31-H32</f>
        <v>370</v>
      </c>
      <c r="H41" s="2">
        <f>SUM(H34:H40)</f>
        <v>13450</v>
      </c>
      <c r="I41" s="2">
        <f>G41-H41</f>
        <v>-13080</v>
      </c>
      <c r="O41">
        <f>M28+M65</f>
        <v>24550</v>
      </c>
    </row>
    <row r="42" spans="2:15" x14ac:dyDescent="0.25">
      <c r="B42" t="s">
        <v>33</v>
      </c>
      <c r="D42" t="s">
        <v>49</v>
      </c>
      <c r="G42" t="s">
        <v>34</v>
      </c>
      <c r="O42">
        <v>79520</v>
      </c>
    </row>
    <row r="43" spans="2:15" x14ac:dyDescent="0.25">
      <c r="B43" t="s">
        <v>179</v>
      </c>
      <c r="D43" t="s">
        <v>50</v>
      </c>
      <c r="G43" t="s">
        <v>51</v>
      </c>
      <c r="O43">
        <f>O41+O42</f>
        <v>104070</v>
      </c>
    </row>
    <row r="46" spans="2:15" ht="18.75" x14ac:dyDescent="0.3">
      <c r="C46" s="1" t="s">
        <v>42</v>
      </c>
      <c r="D46" s="21"/>
      <c r="E46" s="21"/>
      <c r="F46" s="21"/>
      <c r="G46" s="22"/>
    </row>
    <row r="47" spans="2:15" ht="15.75" x14ac:dyDescent="0.25">
      <c r="C47" s="21" t="s">
        <v>0</v>
      </c>
      <c r="D47" s="29"/>
      <c r="E47" s="29"/>
      <c r="F47" s="29"/>
      <c r="G47" s="22"/>
      <c r="L47">
        <f>O42-55000</f>
        <v>24520</v>
      </c>
    </row>
    <row r="48" spans="2:15" ht="15.75" x14ac:dyDescent="0.25">
      <c r="C48" s="21" t="s">
        <v>358</v>
      </c>
      <c r="D48" s="29"/>
      <c r="E48" s="29"/>
      <c r="F48" s="29"/>
      <c r="G48" s="22"/>
    </row>
    <row r="49" spans="1:14" ht="18.75" x14ac:dyDescent="0.3">
      <c r="B49" s="18"/>
      <c r="C49" s="46" t="s">
        <v>139</v>
      </c>
      <c r="D49" s="47"/>
      <c r="E49" s="30"/>
      <c r="F49" s="31"/>
      <c r="G49" s="3"/>
    </row>
    <row r="50" spans="1:14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4" x14ac:dyDescent="0.25">
      <c r="A51">
        <v>1</v>
      </c>
      <c r="B51" s="18"/>
      <c r="C51" s="3">
        <f>' OCTOBER 21'!G51:G62</f>
        <v>0</v>
      </c>
      <c r="D51" s="3"/>
      <c r="E51" s="16"/>
      <c r="F51" s="15"/>
      <c r="G51" s="3"/>
    </row>
    <row r="52" spans="1:14" x14ac:dyDescent="0.25">
      <c r="A52">
        <v>2</v>
      </c>
      <c r="B52" s="18" t="s">
        <v>10</v>
      </c>
      <c r="C52" s="3">
        <f>' OCTOBER 21'!G52:G63</f>
        <v>700</v>
      </c>
      <c r="D52" s="3">
        <v>2000</v>
      </c>
      <c r="E52" s="16">
        <f>C52+D52</f>
        <v>2700</v>
      </c>
      <c r="F52" s="15">
        <v>2700</v>
      </c>
      <c r="G52" s="3">
        <f t="shared" ref="G52:G60" si="5">E52-F52</f>
        <v>0</v>
      </c>
    </row>
    <row r="53" spans="1:14" x14ac:dyDescent="0.25">
      <c r="A53">
        <v>3</v>
      </c>
      <c r="B53" s="18" t="s">
        <v>193</v>
      </c>
      <c r="C53" s="3">
        <f>' OCTOBER 21'!G53:G64</f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14" x14ac:dyDescent="0.25">
      <c r="A54">
        <v>4</v>
      </c>
      <c r="B54" s="18" t="s">
        <v>144</v>
      </c>
      <c r="C54" s="3">
        <f>' OCTOBER 21'!G54:G65</f>
        <v>0</v>
      </c>
      <c r="D54" s="3">
        <v>2000</v>
      </c>
      <c r="E54" s="16">
        <f t="shared" ref="E54:E60" si="6">C54+D54</f>
        <v>2000</v>
      </c>
      <c r="F54" s="15">
        <v>2000</v>
      </c>
      <c r="G54" s="3">
        <f t="shared" si="5"/>
        <v>0</v>
      </c>
    </row>
    <row r="55" spans="1:14" x14ac:dyDescent="0.25">
      <c r="A55">
        <v>5</v>
      </c>
      <c r="B55" s="18" t="s">
        <v>307</v>
      </c>
      <c r="C55" s="3">
        <f>' OCTOBER 21'!G55:G66</f>
        <v>1900</v>
      </c>
      <c r="D55" s="3">
        <v>2000</v>
      </c>
      <c r="E55" s="16">
        <f t="shared" si="6"/>
        <v>3900</v>
      </c>
      <c r="F55" s="15">
        <f>1000+1600</f>
        <v>2600</v>
      </c>
      <c r="G55" s="3">
        <f t="shared" si="5"/>
        <v>1300</v>
      </c>
    </row>
    <row r="56" spans="1:14" x14ac:dyDescent="0.25">
      <c r="A56">
        <v>6</v>
      </c>
      <c r="B56" s="18" t="s">
        <v>165</v>
      </c>
      <c r="C56" s="3">
        <f>' OCTOBER 21'!G56:G67</f>
        <v>0</v>
      </c>
      <c r="D56" s="3">
        <v>2000</v>
      </c>
      <c r="E56" s="16">
        <f t="shared" si="6"/>
        <v>2000</v>
      </c>
      <c r="F56" s="15"/>
      <c r="G56" s="3">
        <f t="shared" si="5"/>
        <v>2000</v>
      </c>
    </row>
    <row r="57" spans="1:14" x14ac:dyDescent="0.25">
      <c r="A57">
        <v>7</v>
      </c>
      <c r="B57" s="36" t="s">
        <v>15</v>
      </c>
      <c r="C57" s="3">
        <f>' OCTOBER 21'!G57:G68</f>
        <v>0</v>
      </c>
      <c r="D57" s="3"/>
      <c r="E57" s="16">
        <f t="shared" si="6"/>
        <v>0</v>
      </c>
      <c r="F57" s="15"/>
      <c r="G57" s="3">
        <f t="shared" si="5"/>
        <v>0</v>
      </c>
    </row>
    <row r="58" spans="1:14" x14ac:dyDescent="0.25">
      <c r="A58">
        <v>8</v>
      </c>
      <c r="B58" s="18" t="s">
        <v>322</v>
      </c>
      <c r="C58" s="3">
        <f>' OCTOBER 21'!G58:G69</f>
        <v>2700</v>
      </c>
      <c r="D58" s="3">
        <v>2000</v>
      </c>
      <c r="E58" s="16">
        <f t="shared" si="6"/>
        <v>4700</v>
      </c>
      <c r="F58" s="15">
        <f>1000+2000+500+500</f>
        <v>4000</v>
      </c>
      <c r="G58" s="3">
        <f t="shared" si="5"/>
        <v>700</v>
      </c>
      <c r="H58" t="s">
        <v>362</v>
      </c>
    </row>
    <row r="59" spans="1:14" x14ac:dyDescent="0.25">
      <c r="A59">
        <v>9</v>
      </c>
      <c r="B59" s="18" t="s">
        <v>190</v>
      </c>
      <c r="C59" s="3">
        <f>' OCTOBER 21'!G59:G70</f>
        <v>0</v>
      </c>
      <c r="D59" s="3">
        <v>2000</v>
      </c>
      <c r="E59" s="16">
        <f t="shared" si="6"/>
        <v>2000</v>
      </c>
      <c r="F59" s="15"/>
      <c r="G59" s="3">
        <f t="shared" si="5"/>
        <v>2000</v>
      </c>
    </row>
    <row r="60" spans="1:14" x14ac:dyDescent="0.25">
      <c r="A60">
        <v>10</v>
      </c>
      <c r="B60" s="36" t="s">
        <v>228</v>
      </c>
      <c r="C60" s="3">
        <f>' OCTOBER 21'!G60:G71</f>
        <v>3000</v>
      </c>
      <c r="D60" s="3"/>
      <c r="E60" s="16">
        <f t="shared" si="6"/>
        <v>3000</v>
      </c>
      <c r="F60" s="15"/>
      <c r="G60" s="3">
        <f t="shared" si="5"/>
        <v>3000</v>
      </c>
    </row>
    <row r="61" spans="1:14" x14ac:dyDescent="0.25">
      <c r="A61">
        <v>11</v>
      </c>
      <c r="B61" s="18"/>
      <c r="C61" s="3">
        <f>' OCTOBER 21'!G61:G72</f>
        <v>0</v>
      </c>
      <c r="D61" s="3"/>
      <c r="E61" s="16"/>
      <c r="F61" s="15"/>
      <c r="G61" s="3"/>
      <c r="M61">
        <f>C67</f>
        <v>14000</v>
      </c>
    </row>
    <row r="62" spans="1:14" x14ac:dyDescent="0.25">
      <c r="A62">
        <v>12</v>
      </c>
      <c r="B62" s="18"/>
      <c r="C62" s="3">
        <f>' OCTOBER 21'!G62:G73</f>
        <v>0</v>
      </c>
      <c r="D62" s="3"/>
      <c r="E62" s="16"/>
      <c r="F62" s="15"/>
      <c r="G62" s="3"/>
      <c r="M62">
        <f>D69</f>
        <v>1400</v>
      </c>
    </row>
    <row r="63" spans="1:14" x14ac:dyDescent="0.25">
      <c r="B63" s="2" t="s">
        <v>26</v>
      </c>
      <c r="C63" s="3">
        <f>SUM(C51:C62)</f>
        <v>8300</v>
      </c>
      <c r="D63" s="2">
        <f>SUM(D51:D62)</f>
        <v>14000</v>
      </c>
      <c r="E63" s="2">
        <f>SUM(E51:E62)</f>
        <v>22300</v>
      </c>
      <c r="F63" s="2">
        <f>SUM(F51:F62)</f>
        <v>13300</v>
      </c>
      <c r="G63" s="2">
        <f>SUM(G51:G62)</f>
        <v>9000</v>
      </c>
      <c r="M63">
        <f>M61-M62</f>
        <v>12600</v>
      </c>
    </row>
    <row r="64" spans="1:14" x14ac:dyDescent="0.25">
      <c r="M64">
        <v>1000</v>
      </c>
      <c r="N64" t="s">
        <v>365</v>
      </c>
    </row>
    <row r="65" spans="2:13" x14ac:dyDescent="0.25">
      <c r="B65" s="12" t="s">
        <v>44</v>
      </c>
      <c r="C65" s="12"/>
      <c r="D65" s="12"/>
      <c r="E65" s="12"/>
      <c r="F65" s="34" t="s">
        <v>43</v>
      </c>
      <c r="G65" s="12"/>
      <c r="M65">
        <f>M63-M64</f>
        <v>11600</v>
      </c>
    </row>
    <row r="66" spans="2:13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13" x14ac:dyDescent="0.25">
      <c r="B67" s="3" t="s">
        <v>106</v>
      </c>
      <c r="C67" s="3">
        <f>D63</f>
        <v>14000</v>
      </c>
      <c r="D67" s="3"/>
      <c r="E67" s="3"/>
      <c r="F67" s="3" t="s">
        <v>106</v>
      </c>
      <c r="G67" s="3">
        <f>F63</f>
        <v>13300</v>
      </c>
      <c r="H67" s="3"/>
      <c r="I67" s="3"/>
    </row>
    <row r="68" spans="2:13" x14ac:dyDescent="0.25">
      <c r="B68" s="3" t="s">
        <v>62</v>
      </c>
      <c r="C68" s="3">
        <f>' OCTOBER 21'!E77</f>
        <v>0</v>
      </c>
      <c r="D68" s="3"/>
      <c r="E68" s="3"/>
      <c r="F68" s="3" t="s">
        <v>62</v>
      </c>
      <c r="G68">
        <f>' OCTOBER 21'!I77</f>
        <v>-8300</v>
      </c>
      <c r="H68" s="3"/>
      <c r="I68" s="3"/>
    </row>
    <row r="69" spans="2:13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13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3" x14ac:dyDescent="0.25">
      <c r="B71" s="14" t="s">
        <v>363</v>
      </c>
      <c r="C71" s="19"/>
      <c r="D71" s="3">
        <v>1000</v>
      </c>
      <c r="E71" s="3"/>
      <c r="F71" s="14" t="s">
        <v>363</v>
      </c>
      <c r="G71" s="19"/>
      <c r="H71" s="3">
        <v>1000</v>
      </c>
      <c r="I71" s="3"/>
    </row>
    <row r="72" spans="2:13" x14ac:dyDescent="0.25">
      <c r="B72" s="14" t="s">
        <v>366</v>
      </c>
      <c r="C72" s="19"/>
      <c r="D72" s="3">
        <v>11600</v>
      </c>
      <c r="E72" s="3"/>
      <c r="F72" s="14" t="s">
        <v>366</v>
      </c>
      <c r="G72" s="19"/>
      <c r="H72" s="3">
        <v>11600</v>
      </c>
      <c r="I72" s="3"/>
    </row>
    <row r="73" spans="2:13" x14ac:dyDescent="0.25">
      <c r="B73" s="10"/>
      <c r="C73" s="3"/>
      <c r="D73" s="3"/>
      <c r="E73" s="3"/>
      <c r="F73" s="10"/>
      <c r="G73" s="3"/>
      <c r="H73" s="3"/>
      <c r="I73" s="3"/>
    </row>
    <row r="74" spans="2:13" x14ac:dyDescent="0.25">
      <c r="B74" s="35"/>
      <c r="C74" s="19"/>
      <c r="D74" s="3"/>
      <c r="E74" s="3"/>
      <c r="F74" s="35"/>
      <c r="G74" s="19"/>
      <c r="H74" s="3"/>
      <c r="I74" s="3"/>
    </row>
    <row r="75" spans="2:13" x14ac:dyDescent="0.25">
      <c r="B75" s="35"/>
      <c r="C75" s="19"/>
      <c r="D75" s="3"/>
      <c r="E75" s="3"/>
      <c r="F75" s="35"/>
      <c r="G75" s="19"/>
      <c r="H75" s="3"/>
      <c r="I75" s="3"/>
    </row>
    <row r="76" spans="2:13" x14ac:dyDescent="0.25">
      <c r="B76" s="10"/>
      <c r="C76" s="3"/>
      <c r="D76" s="3"/>
      <c r="E76" s="3"/>
      <c r="F76" s="10"/>
      <c r="G76" s="3"/>
      <c r="H76" s="3"/>
      <c r="I76" s="3"/>
    </row>
    <row r="77" spans="2:13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3600</v>
      </c>
      <c r="H77" s="2">
        <f>SUM(H71:H76)</f>
        <v>12600</v>
      </c>
      <c r="I77" s="2">
        <f>G77-H77</f>
        <v>-9000</v>
      </c>
    </row>
    <row r="79" spans="2:13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paperSize="0" orientation="portrait" horizontalDpi="203" verticalDpi="20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B13" workbookViewId="0">
      <selection activeCell="F21" sqref="F21"/>
    </sheetView>
  </sheetViews>
  <sheetFormatPr defaultRowHeight="15" x14ac:dyDescent="0.25"/>
  <cols>
    <col min="2" max="2" width="22.28515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369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367</v>
      </c>
      <c r="C6" s="3">
        <f>'NOVEMBER 21'!G6:G25</f>
        <v>0</v>
      </c>
      <c r="D6" s="3">
        <v>1000</v>
      </c>
      <c r="E6" s="3">
        <f>D6+C6</f>
        <v>1000</v>
      </c>
      <c r="F6" s="15"/>
      <c r="G6" s="3">
        <f>E6-F6</f>
        <v>1000</v>
      </c>
    </row>
    <row r="7" spans="1:7" x14ac:dyDescent="0.25">
      <c r="A7" s="3">
        <v>2</v>
      </c>
      <c r="B7" s="16" t="s">
        <v>333</v>
      </c>
      <c r="C7" s="3">
        <f>'NOVEMBER 21'!G7:G26</f>
        <v>600</v>
      </c>
      <c r="D7" s="3">
        <v>1000</v>
      </c>
      <c r="E7" s="3">
        <f t="shared" ref="E7:E16" si="0">D7+C7</f>
        <v>1600</v>
      </c>
      <c r="G7" s="3">
        <f>E7-F7</f>
        <v>1600</v>
      </c>
    </row>
    <row r="8" spans="1:7" x14ac:dyDescent="0.25">
      <c r="A8" s="16">
        <v>3</v>
      </c>
      <c r="B8" s="18" t="s">
        <v>137</v>
      </c>
      <c r="C8" s="3">
        <f>'NOVEMBER 21'!G8:G27</f>
        <v>1500</v>
      </c>
      <c r="D8" s="18">
        <v>1000</v>
      </c>
      <c r="E8" s="16">
        <f>D8+C8</f>
        <v>2500</v>
      </c>
      <c r="F8" s="15"/>
      <c r="G8" s="3">
        <f t="shared" ref="G8:G9" si="1">E8-F8</f>
        <v>2500</v>
      </c>
    </row>
    <row r="9" spans="1:7" x14ac:dyDescent="0.25">
      <c r="A9" s="16">
        <v>4</v>
      </c>
      <c r="B9" s="15" t="s">
        <v>15</v>
      </c>
      <c r="C9" s="3">
        <f>'NOVEMBER 21'!G9:G28</f>
        <v>0</v>
      </c>
      <c r="D9" s="16"/>
      <c r="E9" s="16">
        <f>D9+C9</f>
        <v>0</v>
      </c>
      <c r="F9" s="44"/>
      <c r="G9" s="3">
        <f t="shared" si="1"/>
        <v>0</v>
      </c>
    </row>
    <row r="10" spans="1:7" x14ac:dyDescent="0.25">
      <c r="A10" s="16">
        <v>5</v>
      </c>
      <c r="B10" s="15" t="s">
        <v>334</v>
      </c>
      <c r="C10" s="3">
        <f>'NOVEMBER 21'!G10:G29</f>
        <v>2500</v>
      </c>
      <c r="D10" s="16"/>
      <c r="E10" s="16">
        <f>D10+C10</f>
        <v>2500</v>
      </c>
      <c r="F10" s="44"/>
      <c r="G10" s="3">
        <f>E10-F10</f>
        <v>2500</v>
      </c>
    </row>
    <row r="11" spans="1:7" x14ac:dyDescent="0.25">
      <c r="A11" s="16">
        <v>6</v>
      </c>
      <c r="B11" s="44" t="s">
        <v>291</v>
      </c>
      <c r="C11" s="3">
        <f>'NOVEMBER 21'!G11:G30</f>
        <v>1000</v>
      </c>
      <c r="D11" s="16">
        <v>1000</v>
      </c>
      <c r="E11" s="16">
        <f t="shared" si="0"/>
        <v>2000</v>
      </c>
      <c r="F11" s="44">
        <v>2000</v>
      </c>
      <c r="G11" s="3">
        <f>E11-F11</f>
        <v>0</v>
      </c>
    </row>
    <row r="12" spans="1:7" x14ac:dyDescent="0.25">
      <c r="A12" s="16">
        <v>7</v>
      </c>
      <c r="B12" s="16" t="s">
        <v>28</v>
      </c>
      <c r="C12" s="3">
        <f>'NOVEMBER 21'!G12:G31</f>
        <v>1000</v>
      </c>
      <c r="D12" s="16">
        <v>1000</v>
      </c>
      <c r="E12" s="16">
        <f t="shared" si="0"/>
        <v>2000</v>
      </c>
      <c r="F12" s="44"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5" t="s">
        <v>15</v>
      </c>
      <c r="C13" s="3">
        <f>'NOVEMBER 21'!G13:G32</f>
        <v>0</v>
      </c>
      <c r="D13" s="16"/>
      <c r="E13" s="16">
        <f t="shared" si="0"/>
        <v>0</v>
      </c>
      <c r="F13" s="44"/>
      <c r="G13" s="3">
        <f t="shared" si="2"/>
        <v>0</v>
      </c>
    </row>
    <row r="14" spans="1:7" x14ac:dyDescent="0.25">
      <c r="A14" s="16">
        <v>9</v>
      </c>
      <c r="B14" s="15" t="s">
        <v>313</v>
      </c>
      <c r="C14" s="3">
        <f>'NOVEMBER 21'!G14:G33</f>
        <v>2000</v>
      </c>
      <c r="D14" s="3"/>
      <c r="E14" s="16">
        <f t="shared" si="0"/>
        <v>2000</v>
      </c>
      <c r="F14" s="44"/>
      <c r="G14" s="3">
        <f t="shared" si="2"/>
        <v>2000</v>
      </c>
    </row>
    <row r="15" spans="1:7" x14ac:dyDescent="0.25">
      <c r="A15" s="16">
        <v>10</v>
      </c>
      <c r="B15" s="16" t="s">
        <v>346</v>
      </c>
      <c r="C15" s="3">
        <f>'NOVEMBER 21'!G15:G34</f>
        <v>0</v>
      </c>
      <c r="D15" s="16">
        <v>1000</v>
      </c>
      <c r="E15" s="16">
        <f t="shared" si="0"/>
        <v>1000</v>
      </c>
      <c r="F15" s="44"/>
      <c r="G15" s="3">
        <f>E15-F15</f>
        <v>1000</v>
      </c>
    </row>
    <row r="16" spans="1:7" x14ac:dyDescent="0.25">
      <c r="A16" s="16">
        <v>11</v>
      </c>
      <c r="B16" s="45" t="s">
        <v>350</v>
      </c>
      <c r="C16" s="3">
        <f>'NOVEMBER 21'!G16:G35</f>
        <v>0</v>
      </c>
      <c r="D16" s="18">
        <v>1000</v>
      </c>
      <c r="E16" s="16">
        <f t="shared" si="0"/>
        <v>1000</v>
      </c>
      <c r="F16" s="45"/>
      <c r="G16" s="14">
        <f>E16-F16</f>
        <v>1000</v>
      </c>
    </row>
    <row r="17" spans="1:17" x14ac:dyDescent="0.25">
      <c r="A17" s="16">
        <v>12</v>
      </c>
      <c r="B17" s="3" t="s">
        <v>252</v>
      </c>
      <c r="C17" s="3">
        <f>'NOVEMBER 21'!G17:G36</f>
        <v>1000</v>
      </c>
      <c r="D17" s="3">
        <v>1000</v>
      </c>
      <c r="E17" s="16">
        <f>D17+C17</f>
        <v>2000</v>
      </c>
      <c r="F17" s="44">
        <v>2000</v>
      </c>
      <c r="G17" s="14">
        <f>E17-F17</f>
        <v>0</v>
      </c>
      <c r="H17" t="s">
        <v>46</v>
      </c>
    </row>
    <row r="18" spans="1:17" x14ac:dyDescent="0.25">
      <c r="A18" s="16">
        <v>13</v>
      </c>
      <c r="B18" s="16" t="s">
        <v>204</v>
      </c>
      <c r="C18" s="3">
        <f>'NOVEMBER 21'!G18:G37</f>
        <v>0</v>
      </c>
      <c r="D18" s="16">
        <v>1000</v>
      </c>
      <c r="E18" s="16">
        <f>D18+C18</f>
        <v>1000</v>
      </c>
      <c r="F18" s="44"/>
      <c r="G18" s="3">
        <f t="shared" si="2"/>
        <v>1000</v>
      </c>
      <c r="P18">
        <v>30000</v>
      </c>
    </row>
    <row r="19" spans="1:17" x14ac:dyDescent="0.25">
      <c r="A19" s="16">
        <v>14</v>
      </c>
      <c r="B19" s="16" t="s">
        <v>209</v>
      </c>
      <c r="C19" s="3">
        <f>'NOVEMBER 21'!G19:G38</f>
        <v>530</v>
      </c>
      <c r="D19" s="16">
        <v>1000</v>
      </c>
      <c r="E19" s="16">
        <f>D19+C19</f>
        <v>1530</v>
      </c>
      <c r="F19" s="44">
        <v>1000</v>
      </c>
      <c r="G19" s="3">
        <f t="shared" si="2"/>
        <v>530</v>
      </c>
      <c r="P19">
        <v>2100</v>
      </c>
    </row>
    <row r="20" spans="1:17" x14ac:dyDescent="0.25">
      <c r="A20" s="16">
        <v>15</v>
      </c>
      <c r="B20" s="16" t="s">
        <v>137</v>
      </c>
      <c r="C20" s="3">
        <f>'NOVEMBER 21'!G20:G39</f>
        <v>0</v>
      </c>
      <c r="D20" s="16">
        <v>1000</v>
      </c>
      <c r="E20" s="16">
        <f t="shared" ref="E20:E25" si="3">D20+C20</f>
        <v>1000</v>
      </c>
      <c r="F20" s="44">
        <v>1000</v>
      </c>
      <c r="G20" s="3">
        <f t="shared" si="2"/>
        <v>0</v>
      </c>
      <c r="P20">
        <f>200*3</f>
        <v>600</v>
      </c>
    </row>
    <row r="21" spans="1:17" x14ac:dyDescent="0.25">
      <c r="A21" s="16">
        <v>16</v>
      </c>
      <c r="B21" s="15" t="s">
        <v>46</v>
      </c>
      <c r="C21" s="3">
        <f>'NOVEMBER 21'!G21:G40</f>
        <v>0</v>
      </c>
      <c r="D21" s="3"/>
      <c r="E21" s="16">
        <f t="shared" si="3"/>
        <v>0</v>
      </c>
      <c r="F21" s="44"/>
      <c r="G21" s="3">
        <f>E21-F21</f>
        <v>0</v>
      </c>
      <c r="P21">
        <v>5000</v>
      </c>
    </row>
    <row r="22" spans="1:17" x14ac:dyDescent="0.25">
      <c r="A22" s="16">
        <v>17</v>
      </c>
      <c r="B22" s="16" t="s">
        <v>47</v>
      </c>
      <c r="C22" s="3">
        <f>'NOVEMBER 21'!G22:G41</f>
        <v>0</v>
      </c>
      <c r="D22" s="16">
        <v>1500</v>
      </c>
      <c r="E22" s="16">
        <f t="shared" si="3"/>
        <v>1500</v>
      </c>
      <c r="F22" s="44"/>
      <c r="G22" s="3">
        <f t="shared" si="2"/>
        <v>1500</v>
      </c>
      <c r="M22">
        <f>D26</f>
        <v>12500</v>
      </c>
      <c r="P22">
        <v>450</v>
      </c>
    </row>
    <row r="23" spans="1:17" x14ac:dyDescent="0.25">
      <c r="A23" s="3">
        <v>18</v>
      </c>
      <c r="B23" s="36" t="s">
        <v>15</v>
      </c>
      <c r="C23" s="3">
        <f>'NOVEMBER 21'!G23:G42</f>
        <v>0</v>
      </c>
      <c r="D23" s="3"/>
      <c r="E23" s="16">
        <f t="shared" si="3"/>
        <v>0</v>
      </c>
      <c r="F23" s="44"/>
      <c r="G23" s="3">
        <f t="shared" si="2"/>
        <v>0</v>
      </c>
      <c r="M23">
        <f>D32</f>
        <v>1250</v>
      </c>
      <c r="P23">
        <f>SUM(P18:P22)</f>
        <v>38150</v>
      </c>
    </row>
    <row r="24" spans="1:17" x14ac:dyDescent="0.25">
      <c r="A24" s="3">
        <v>19</v>
      </c>
      <c r="B24" s="36" t="s">
        <v>15</v>
      </c>
      <c r="C24" s="3">
        <f>'NOVEMBER 21'!G24:G43</f>
        <v>0</v>
      </c>
      <c r="D24" s="3"/>
      <c r="E24" s="16">
        <f t="shared" si="3"/>
        <v>0</v>
      </c>
      <c r="F24" s="44"/>
      <c r="G24" s="3">
        <f t="shared" si="2"/>
        <v>0</v>
      </c>
      <c r="M24">
        <f>M22-M23</f>
        <v>11250</v>
      </c>
      <c r="P24">
        <v>9800</v>
      </c>
      <c r="Q24">
        <f>1500+4500+2500</f>
        <v>8500</v>
      </c>
    </row>
    <row r="25" spans="1:17" x14ac:dyDescent="0.25">
      <c r="A25" s="3">
        <v>20</v>
      </c>
      <c r="B25" s="36" t="s">
        <v>118</v>
      </c>
      <c r="C25" s="3">
        <f>'NOVEMBER 21'!G25:G44</f>
        <v>1320</v>
      </c>
      <c r="D25" s="3"/>
      <c r="E25" s="16">
        <f t="shared" si="3"/>
        <v>1320</v>
      </c>
      <c r="F25" s="44"/>
      <c r="G25" s="3">
        <f t="shared" si="2"/>
        <v>1320</v>
      </c>
      <c r="M25">
        <f>2000</f>
        <v>2000</v>
      </c>
      <c r="P25">
        <v>3000</v>
      </c>
    </row>
    <row r="26" spans="1:17" x14ac:dyDescent="0.25">
      <c r="B26" s="2" t="s">
        <v>26</v>
      </c>
      <c r="C26" s="3">
        <f>SUM(C6:C25)</f>
        <v>11450</v>
      </c>
      <c r="D26" s="2">
        <f>SUM(D6:D25)</f>
        <v>12500</v>
      </c>
      <c r="E26" s="2">
        <f t="shared" ref="E26:G26" si="4">SUM(E6:E25)</f>
        <v>23950</v>
      </c>
      <c r="F26" s="2">
        <f t="shared" si="4"/>
        <v>7000</v>
      </c>
      <c r="G26" s="2">
        <f t="shared" si="4"/>
        <v>16950</v>
      </c>
      <c r="M26">
        <f>M24-M25</f>
        <v>9250</v>
      </c>
      <c r="P26">
        <f>P23+P24+P25</f>
        <v>50950</v>
      </c>
      <c r="Q26">
        <f>P26-51750</f>
        <v>-800</v>
      </c>
    </row>
    <row r="27" spans="1:17" x14ac:dyDescent="0.25">
      <c r="C27" s="3">
        <f>'SEPTEMBER 21'!G27:G47</f>
        <v>0</v>
      </c>
      <c r="M27">
        <v>500</v>
      </c>
      <c r="P27">
        <v>6000</v>
      </c>
    </row>
    <row r="28" spans="1:17" x14ac:dyDescent="0.25">
      <c r="B28" s="12" t="s">
        <v>44</v>
      </c>
      <c r="C28" s="12"/>
      <c r="D28" s="12"/>
      <c r="E28" s="33"/>
      <c r="F28" s="12" t="s">
        <v>43</v>
      </c>
      <c r="G28" s="12"/>
      <c r="M28">
        <f>M26-M27</f>
        <v>8750</v>
      </c>
      <c r="P28">
        <f>P26+P27</f>
        <v>56950</v>
      </c>
    </row>
    <row r="29" spans="1:17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7" x14ac:dyDescent="0.25">
      <c r="B30" s="3" t="s">
        <v>211</v>
      </c>
      <c r="C30" s="3">
        <f>D26</f>
        <v>12500</v>
      </c>
      <c r="D30" s="3"/>
      <c r="E30" s="3"/>
      <c r="F30" s="3" t="s">
        <v>211</v>
      </c>
      <c r="G30" s="3">
        <f>F26</f>
        <v>7000</v>
      </c>
      <c r="H30" s="3"/>
      <c r="I30" s="3"/>
    </row>
    <row r="31" spans="1:17" x14ac:dyDescent="0.25">
      <c r="B31" s="3" t="s">
        <v>62</v>
      </c>
      <c r="C31" s="3">
        <f>'NOVEMBER 21'!E41</f>
        <v>0</v>
      </c>
      <c r="D31" s="3"/>
      <c r="E31" s="3"/>
      <c r="F31" s="3" t="s">
        <v>62</v>
      </c>
      <c r="G31">
        <f>'NOVEMBER 21'!I41</f>
        <v>-13080</v>
      </c>
      <c r="H31" s="3"/>
      <c r="I31" s="3"/>
    </row>
    <row r="32" spans="1:17" x14ac:dyDescent="0.25">
      <c r="B32" s="3" t="s">
        <v>41</v>
      </c>
      <c r="C32" s="5">
        <v>0.1</v>
      </c>
      <c r="D32" s="3">
        <f>C32*C30</f>
        <v>1250</v>
      </c>
      <c r="E32" s="3"/>
      <c r="F32" s="3" t="s">
        <v>41</v>
      </c>
      <c r="G32" s="5">
        <v>0.1</v>
      </c>
      <c r="H32" s="3">
        <f>G32*C30</f>
        <v>1250</v>
      </c>
      <c r="I32" s="3"/>
    </row>
    <row r="33" spans="2:15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5" x14ac:dyDescent="0.25">
      <c r="B34" s="19" t="s">
        <v>361</v>
      </c>
      <c r="C34" s="3"/>
      <c r="D34" s="3">
        <v>500</v>
      </c>
      <c r="E34" s="3"/>
      <c r="F34" s="19" t="s">
        <v>361</v>
      </c>
      <c r="G34" s="3"/>
      <c r="H34" s="3">
        <v>500</v>
      </c>
      <c r="I34" s="3"/>
    </row>
    <row r="35" spans="2:15" x14ac:dyDescent="0.25">
      <c r="B35" s="19" t="s">
        <v>370</v>
      </c>
      <c r="C35" s="3"/>
      <c r="D35" s="3">
        <v>2000</v>
      </c>
      <c r="E35" s="3"/>
      <c r="F35" s="19" t="s">
        <v>370</v>
      </c>
      <c r="G35" s="3"/>
      <c r="H35" s="3">
        <v>2000</v>
      </c>
      <c r="I35" s="3"/>
    </row>
    <row r="36" spans="2:15" x14ac:dyDescent="0.25">
      <c r="B36" s="19" t="s">
        <v>303</v>
      </c>
      <c r="C36" s="3"/>
      <c r="D36" s="3">
        <v>8750</v>
      </c>
      <c r="E36" s="3"/>
      <c r="F36" s="19" t="s">
        <v>303</v>
      </c>
      <c r="G36" s="3"/>
      <c r="H36" s="3">
        <v>8750</v>
      </c>
      <c r="I36" s="3"/>
    </row>
    <row r="37" spans="2:15" x14ac:dyDescent="0.25">
      <c r="B37" s="19"/>
      <c r="C37" s="3"/>
      <c r="D37" s="3"/>
      <c r="E37" s="3"/>
      <c r="F37" s="19"/>
      <c r="G37" s="3"/>
      <c r="H37" s="3"/>
      <c r="I37" s="3"/>
    </row>
    <row r="38" spans="2:15" x14ac:dyDescent="0.25">
      <c r="B38" s="19"/>
      <c r="C38" s="3"/>
      <c r="D38" s="3"/>
      <c r="E38" s="3"/>
      <c r="F38" s="19"/>
      <c r="G38" s="3"/>
      <c r="H38" s="3"/>
      <c r="I38" s="3"/>
    </row>
    <row r="39" spans="2:15" x14ac:dyDescent="0.25">
      <c r="B39" s="19"/>
      <c r="C39" s="3"/>
      <c r="D39" s="3"/>
      <c r="E39" s="3"/>
      <c r="F39" s="19"/>
      <c r="G39" s="3"/>
      <c r="H39" s="3"/>
      <c r="I39" s="3"/>
    </row>
    <row r="40" spans="2:15" x14ac:dyDescent="0.25">
      <c r="B40" s="19"/>
      <c r="C40" s="3"/>
      <c r="D40" s="3"/>
      <c r="E40" s="3"/>
      <c r="F40" s="19"/>
      <c r="G40" s="3"/>
      <c r="H40" s="3"/>
      <c r="I40" s="3"/>
    </row>
    <row r="41" spans="2:15" x14ac:dyDescent="0.25">
      <c r="B41" s="2" t="s">
        <v>26</v>
      </c>
      <c r="C41" s="2">
        <f>C30+C31-D32</f>
        <v>11250</v>
      </c>
      <c r="D41" s="2">
        <f>SUM(D34:D40)</f>
        <v>11250</v>
      </c>
      <c r="E41" s="2">
        <f>C41-D41</f>
        <v>0</v>
      </c>
      <c r="F41" s="2" t="s">
        <v>26</v>
      </c>
      <c r="G41" s="2">
        <f>G30+G31-H32</f>
        <v>-7330</v>
      </c>
      <c r="H41" s="2">
        <f>SUM(H34:H40)</f>
        <v>11250</v>
      </c>
      <c r="I41" s="2">
        <f>G41-H41</f>
        <v>-18580</v>
      </c>
      <c r="O41">
        <f>M28+M65</f>
        <v>8750</v>
      </c>
    </row>
    <row r="42" spans="2:15" x14ac:dyDescent="0.25">
      <c r="B42" t="s">
        <v>33</v>
      </c>
      <c r="D42" t="s">
        <v>49</v>
      </c>
      <c r="G42" t="s">
        <v>34</v>
      </c>
      <c r="O42">
        <v>85520</v>
      </c>
    </row>
    <row r="43" spans="2:15" x14ac:dyDescent="0.25">
      <c r="B43" t="s">
        <v>179</v>
      </c>
      <c r="D43" t="s">
        <v>50</v>
      </c>
      <c r="G43" t="s">
        <v>51</v>
      </c>
      <c r="O43">
        <v>12600</v>
      </c>
    </row>
    <row r="44" spans="2:15" x14ac:dyDescent="0.25">
      <c r="O44">
        <f>O41+O42+O43</f>
        <v>106870</v>
      </c>
    </row>
    <row r="46" spans="2:15" ht="18.75" x14ac:dyDescent="0.3">
      <c r="C46" s="1" t="s">
        <v>42</v>
      </c>
      <c r="D46" s="21"/>
      <c r="E46" s="21"/>
      <c r="F46" s="21"/>
      <c r="G46" s="22"/>
    </row>
    <row r="47" spans="2:15" ht="15.75" x14ac:dyDescent="0.25">
      <c r="C47" s="21" t="s">
        <v>0</v>
      </c>
      <c r="D47" s="29"/>
      <c r="E47" s="29"/>
      <c r="F47" s="29"/>
      <c r="G47" s="22"/>
      <c r="L47">
        <f>O42-55000</f>
        <v>30520</v>
      </c>
    </row>
    <row r="48" spans="2:15" ht="15.75" x14ac:dyDescent="0.25">
      <c r="C48" s="21" t="s">
        <v>368</v>
      </c>
      <c r="D48" s="29"/>
      <c r="E48" s="29"/>
      <c r="F48" s="29"/>
      <c r="G48" s="22"/>
    </row>
    <row r="49" spans="1:11" ht="18.75" x14ac:dyDescent="0.3">
      <c r="B49" s="18"/>
      <c r="C49" s="46" t="s">
        <v>139</v>
      </c>
      <c r="D49" s="47"/>
      <c r="E49" s="30"/>
      <c r="F49" s="31"/>
      <c r="G49" s="3"/>
    </row>
    <row r="50" spans="1:11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1" x14ac:dyDescent="0.25">
      <c r="A51">
        <v>1</v>
      </c>
      <c r="B51" s="18"/>
      <c r="C51" s="3">
        <f>'NOVEMBER 21'!G51:G62</f>
        <v>0</v>
      </c>
      <c r="D51" s="3"/>
      <c r="E51" s="16"/>
      <c r="F51" s="15"/>
      <c r="G51" s="3"/>
    </row>
    <row r="52" spans="1:11" x14ac:dyDescent="0.25">
      <c r="A52">
        <v>2</v>
      </c>
      <c r="B52" s="18" t="s">
        <v>10</v>
      </c>
      <c r="C52" s="3">
        <f>'NOVEMBER 21'!G52:G62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5">E52-F52</f>
        <v>0</v>
      </c>
    </row>
    <row r="53" spans="1:11" x14ac:dyDescent="0.25">
      <c r="A53">
        <v>3</v>
      </c>
      <c r="B53" s="18" t="s">
        <v>193</v>
      </c>
      <c r="C53" s="3">
        <f>'NOVEMBER 21'!G53:G63</f>
        <v>0</v>
      </c>
      <c r="D53" s="3">
        <v>2000</v>
      </c>
      <c r="E53" s="16">
        <f>C53+D53</f>
        <v>2000</v>
      </c>
      <c r="F53" s="15">
        <v>1000</v>
      </c>
      <c r="G53" s="3">
        <f>E53-F53</f>
        <v>1000</v>
      </c>
    </row>
    <row r="54" spans="1:11" x14ac:dyDescent="0.25">
      <c r="A54">
        <v>4</v>
      </c>
      <c r="B54" s="18" t="s">
        <v>144</v>
      </c>
      <c r="C54" s="3">
        <f>'NOVEMBER 21'!G54:G64</f>
        <v>0</v>
      </c>
      <c r="D54" s="3">
        <v>2000</v>
      </c>
      <c r="E54" s="16">
        <f t="shared" ref="E54:E60" si="6">C54+D54</f>
        <v>2000</v>
      </c>
      <c r="F54" s="15">
        <v>2000</v>
      </c>
      <c r="G54" s="3">
        <f t="shared" si="5"/>
        <v>0</v>
      </c>
    </row>
    <row r="55" spans="1:11" x14ac:dyDescent="0.25">
      <c r="A55">
        <v>5</v>
      </c>
      <c r="B55" s="18" t="s">
        <v>307</v>
      </c>
      <c r="C55" s="3">
        <f>'NOVEMBER 21'!G55:G65</f>
        <v>1300</v>
      </c>
      <c r="D55" s="3">
        <v>2000</v>
      </c>
      <c r="E55" s="16">
        <f t="shared" si="6"/>
        <v>3300</v>
      </c>
      <c r="F55" s="15"/>
      <c r="G55" s="3">
        <f t="shared" si="5"/>
        <v>3300</v>
      </c>
    </row>
    <row r="56" spans="1:11" x14ac:dyDescent="0.25">
      <c r="A56">
        <v>6</v>
      </c>
      <c r="B56" s="18" t="s">
        <v>165</v>
      </c>
      <c r="C56" s="3">
        <f>'NOVEMBER 21'!G56:G66</f>
        <v>2000</v>
      </c>
      <c r="D56" s="3">
        <v>2000</v>
      </c>
      <c r="E56" s="16">
        <f t="shared" si="6"/>
        <v>4000</v>
      </c>
      <c r="F56" s="15">
        <v>2000</v>
      </c>
      <c r="G56" s="3">
        <f t="shared" si="5"/>
        <v>2000</v>
      </c>
    </row>
    <row r="57" spans="1:11" x14ac:dyDescent="0.25">
      <c r="A57">
        <v>7</v>
      </c>
      <c r="B57" s="36" t="s">
        <v>15</v>
      </c>
      <c r="C57" s="3">
        <f>'NOVEMBER 21'!G57:G67</f>
        <v>0</v>
      </c>
      <c r="D57" s="3"/>
      <c r="E57" s="16">
        <f t="shared" si="6"/>
        <v>0</v>
      </c>
      <c r="F57" s="15"/>
      <c r="G57" s="3">
        <f t="shared" si="5"/>
        <v>0</v>
      </c>
      <c r="K57">
        <f>D63</f>
        <v>14000</v>
      </c>
    </row>
    <row r="58" spans="1:11" x14ac:dyDescent="0.25">
      <c r="A58">
        <v>8</v>
      </c>
      <c r="B58" s="18" t="s">
        <v>322</v>
      </c>
      <c r="C58" s="3">
        <f>'NOVEMBER 21'!G58:G68</f>
        <v>700</v>
      </c>
      <c r="D58" s="3">
        <v>2000</v>
      </c>
      <c r="E58" s="16">
        <f t="shared" si="6"/>
        <v>2700</v>
      </c>
      <c r="F58" s="15">
        <f>700+1000</f>
        <v>1700</v>
      </c>
      <c r="G58" s="3">
        <f t="shared" si="5"/>
        <v>1000</v>
      </c>
      <c r="K58">
        <f>D69</f>
        <v>1400</v>
      </c>
    </row>
    <row r="59" spans="1:11" x14ac:dyDescent="0.25">
      <c r="A59">
        <v>9</v>
      </c>
      <c r="B59" s="18" t="s">
        <v>190</v>
      </c>
      <c r="C59" s="3">
        <f>'NOVEMBER 21'!G59:G69</f>
        <v>2000</v>
      </c>
      <c r="D59" s="3">
        <v>2000</v>
      </c>
      <c r="E59" s="16">
        <f t="shared" si="6"/>
        <v>4000</v>
      </c>
      <c r="F59" s="15">
        <v>4000</v>
      </c>
      <c r="G59" s="3">
        <f t="shared" si="5"/>
        <v>0</v>
      </c>
      <c r="K59">
        <f>K57-K58</f>
        <v>12600</v>
      </c>
    </row>
    <row r="60" spans="1:11" x14ac:dyDescent="0.25">
      <c r="A60">
        <v>10</v>
      </c>
      <c r="B60" s="36" t="s">
        <v>228</v>
      </c>
      <c r="C60" s="3">
        <f>'NOVEMBER 21'!G60:G70</f>
        <v>3000</v>
      </c>
      <c r="D60" s="3"/>
      <c r="E60" s="16">
        <f t="shared" si="6"/>
        <v>3000</v>
      </c>
      <c r="F60" s="15"/>
      <c r="G60" s="3">
        <f t="shared" si="5"/>
        <v>3000</v>
      </c>
    </row>
    <row r="61" spans="1:11" x14ac:dyDescent="0.25">
      <c r="A61">
        <v>11</v>
      </c>
      <c r="B61" s="18"/>
      <c r="C61" s="3">
        <f>'NOVEMBER 21'!G61:G71</f>
        <v>0</v>
      </c>
      <c r="D61" s="3"/>
      <c r="E61" s="16"/>
      <c r="F61" s="15"/>
      <c r="G61" s="3"/>
    </row>
    <row r="62" spans="1:11" x14ac:dyDescent="0.25">
      <c r="A62">
        <v>12</v>
      </c>
      <c r="B62" s="18"/>
      <c r="C62" s="3">
        <f>'NOVEMBER 21'!G62:G72</f>
        <v>0</v>
      </c>
      <c r="D62" s="3"/>
      <c r="E62" s="16"/>
      <c r="F62" s="15"/>
      <c r="G62" s="3"/>
    </row>
    <row r="63" spans="1:11" x14ac:dyDescent="0.25">
      <c r="B63" s="2" t="s">
        <v>26</v>
      </c>
      <c r="C63" s="3">
        <f>SUM(C51:C62)</f>
        <v>9000</v>
      </c>
      <c r="D63" s="2">
        <f>SUM(D51:D62)</f>
        <v>14000</v>
      </c>
      <c r="E63" s="2">
        <f>SUM(E51:E62)</f>
        <v>23000</v>
      </c>
      <c r="F63" s="2">
        <f>SUM(F51:F62)</f>
        <v>12700</v>
      </c>
      <c r="G63" s="2">
        <f>SUM(G51:G62)</f>
        <v>10300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211</v>
      </c>
      <c r="C67" s="3">
        <f>D63</f>
        <v>14000</v>
      </c>
      <c r="D67" s="3"/>
      <c r="E67" s="3"/>
      <c r="F67" s="3" t="s">
        <v>211</v>
      </c>
      <c r="G67" s="3">
        <f>F63</f>
        <v>12700</v>
      </c>
      <c r="H67" s="3"/>
      <c r="I67" s="3"/>
    </row>
    <row r="68" spans="2:9" x14ac:dyDescent="0.25">
      <c r="B68" s="3" t="s">
        <v>62</v>
      </c>
      <c r="C68" s="3">
        <f>'NOVEMBER 21'!E77</f>
        <v>0</v>
      </c>
      <c r="D68" s="3"/>
      <c r="E68" s="3"/>
      <c r="F68" s="3" t="s">
        <v>62</v>
      </c>
      <c r="G68">
        <f>'NOVEMBER 21'!I77</f>
        <v>-9000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303</v>
      </c>
      <c r="C71" s="19"/>
      <c r="D71" s="3">
        <v>12600</v>
      </c>
      <c r="E71" s="3"/>
      <c r="F71" s="14" t="s">
        <v>303</v>
      </c>
      <c r="G71" s="19"/>
      <c r="H71" s="3">
        <v>12600</v>
      </c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2300</v>
      </c>
      <c r="H77" s="2">
        <f>SUM(H71:H76)</f>
        <v>12600</v>
      </c>
      <c r="I77" s="2">
        <f>G77-H77</f>
        <v>-10300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workbookViewId="0">
      <selection activeCell="F22" sqref="F22"/>
    </sheetView>
  </sheetViews>
  <sheetFormatPr defaultRowHeight="15" x14ac:dyDescent="0.25"/>
  <cols>
    <col min="1" max="1" width="4.140625" customWidth="1"/>
    <col min="2" max="2" width="20.85546875" customWidth="1"/>
    <col min="3" max="3" width="7.5703125" customWidth="1"/>
    <col min="4" max="4" width="7.140625" customWidth="1"/>
    <col min="5" max="5" width="10.140625" customWidth="1"/>
    <col min="6" max="6" width="17.42578125" customWidth="1"/>
    <col min="7" max="7" width="9.28515625" customWidth="1"/>
    <col min="8" max="8" width="6.710937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70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15</v>
      </c>
      <c r="C5" s="3"/>
      <c r="D5" s="3"/>
      <c r="E5" s="3"/>
      <c r="F5" s="3"/>
      <c r="G5" s="3"/>
    </row>
    <row r="6" spans="1:7" x14ac:dyDescent="0.25">
      <c r="A6" s="3">
        <v>2</v>
      </c>
      <c r="B6" s="16" t="s">
        <v>78</v>
      </c>
      <c r="C6" s="16"/>
      <c r="D6" s="16">
        <v>1000</v>
      </c>
      <c r="E6" s="16">
        <f t="shared" ref="E6:E18" si="0">C6+D6</f>
        <v>1000</v>
      </c>
      <c r="F6" s="16">
        <v>1000</v>
      </c>
      <c r="G6" s="16">
        <f>E6-F6</f>
        <v>0</v>
      </c>
    </row>
    <row r="7" spans="1:7" x14ac:dyDescent="0.25">
      <c r="A7" s="3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16">
        <f>E7-F7</f>
        <v>0</v>
      </c>
    </row>
    <row r="8" spans="1:7" x14ac:dyDescent="0.25">
      <c r="A8" s="3">
        <v>4</v>
      </c>
      <c r="B8" s="16" t="s">
        <v>18</v>
      </c>
      <c r="C8" s="16">
        <v>200</v>
      </c>
      <c r="D8" s="16">
        <v>1000</v>
      </c>
      <c r="E8" s="16">
        <f t="shared" si="0"/>
        <v>1200</v>
      </c>
      <c r="F8" s="16"/>
      <c r="G8" s="16">
        <f>E8-F8</f>
        <v>1200</v>
      </c>
    </row>
    <row r="9" spans="1:7" x14ac:dyDescent="0.25">
      <c r="A9" s="3">
        <v>5</v>
      </c>
      <c r="B9" s="16" t="s">
        <v>58</v>
      </c>
      <c r="C9" s="16">
        <v>100</v>
      </c>
      <c r="D9" s="16">
        <v>1000</v>
      </c>
      <c r="E9" s="16">
        <f t="shared" si="0"/>
        <v>1100</v>
      </c>
      <c r="F9" s="16">
        <v>1100</v>
      </c>
      <c r="G9" s="16">
        <f>E9-F9</f>
        <v>0</v>
      </c>
    </row>
    <row r="10" spans="1:7" x14ac:dyDescent="0.25">
      <c r="A10" s="3">
        <v>6</v>
      </c>
      <c r="B10" s="16" t="s">
        <v>28</v>
      </c>
      <c r="C10" s="16"/>
      <c r="D10" s="16">
        <v>1000</v>
      </c>
      <c r="E10" s="16">
        <f t="shared" si="0"/>
        <v>1000</v>
      </c>
      <c r="F10" s="16">
        <v>1000</v>
      </c>
      <c r="G10" s="16">
        <f t="shared" ref="G10:G24" si="1">E10-F10</f>
        <v>0</v>
      </c>
    </row>
    <row r="11" spans="1:7" x14ac:dyDescent="0.25">
      <c r="A11" s="3">
        <v>7</v>
      </c>
      <c r="B11" s="16" t="s">
        <v>10</v>
      </c>
      <c r="C11" s="16"/>
      <c r="D11" s="16">
        <v>1000</v>
      </c>
      <c r="E11" s="16">
        <f t="shared" si="0"/>
        <v>1000</v>
      </c>
      <c r="F11" s="16">
        <v>1000</v>
      </c>
      <c r="G11" s="16">
        <f t="shared" si="1"/>
        <v>0</v>
      </c>
    </row>
    <row r="12" spans="1:7" x14ac:dyDescent="0.25">
      <c r="A12" s="3">
        <v>8</v>
      </c>
      <c r="B12" s="16" t="s">
        <v>57</v>
      </c>
      <c r="C12" s="16"/>
      <c r="D12" s="16">
        <v>1000</v>
      </c>
      <c r="E12" s="16">
        <f t="shared" si="0"/>
        <v>1000</v>
      </c>
      <c r="F12" s="16">
        <v>1000</v>
      </c>
      <c r="G12" s="16">
        <f t="shared" si="1"/>
        <v>0</v>
      </c>
    </row>
    <row r="13" spans="1:7" x14ac:dyDescent="0.25">
      <c r="A13" s="3">
        <v>9</v>
      </c>
      <c r="B13" s="16" t="s">
        <v>69</v>
      </c>
      <c r="C13" s="16"/>
      <c r="D13" s="16">
        <v>1000</v>
      </c>
      <c r="E13" s="16">
        <f>C13+D13</f>
        <v>1000</v>
      </c>
      <c r="F13" s="16">
        <v>1000</v>
      </c>
      <c r="G13" s="16">
        <f t="shared" si="1"/>
        <v>0</v>
      </c>
    </row>
    <row r="14" spans="1:7" x14ac:dyDescent="0.25">
      <c r="A14" s="3">
        <v>10</v>
      </c>
      <c r="B14" s="16" t="s">
        <v>7</v>
      </c>
      <c r="C14" s="16"/>
      <c r="D14" s="16">
        <v>1000</v>
      </c>
      <c r="E14" s="16">
        <f t="shared" si="0"/>
        <v>1000</v>
      </c>
      <c r="F14" s="16">
        <v>1000</v>
      </c>
      <c r="G14" s="16">
        <f t="shared" si="1"/>
        <v>0</v>
      </c>
    </row>
    <row r="15" spans="1:7" x14ac:dyDescent="0.25">
      <c r="A15" s="3">
        <v>11</v>
      </c>
      <c r="B15" s="16" t="s">
        <v>55</v>
      </c>
      <c r="C15" s="16">
        <v>1000</v>
      </c>
      <c r="D15" s="16">
        <v>1000</v>
      </c>
      <c r="E15" s="16">
        <f t="shared" si="0"/>
        <v>2000</v>
      </c>
      <c r="F15" s="16">
        <v>1000</v>
      </c>
      <c r="G15" s="16">
        <f t="shared" si="1"/>
        <v>1000</v>
      </c>
    </row>
    <row r="16" spans="1:7" x14ac:dyDescent="0.25">
      <c r="A16" s="3">
        <v>12</v>
      </c>
      <c r="B16" s="16" t="s">
        <v>54</v>
      </c>
      <c r="C16" s="16"/>
      <c r="D16" s="16">
        <v>1000</v>
      </c>
      <c r="E16" s="16">
        <f t="shared" si="0"/>
        <v>1000</v>
      </c>
      <c r="F16" s="16">
        <v>1000</v>
      </c>
      <c r="G16" s="16">
        <f t="shared" si="1"/>
        <v>0</v>
      </c>
    </row>
    <row r="17" spans="1:9" x14ac:dyDescent="0.25">
      <c r="A17" s="15">
        <v>13</v>
      </c>
      <c r="B17" s="16" t="s">
        <v>59</v>
      </c>
      <c r="C17" s="16">
        <v>1000</v>
      </c>
      <c r="D17" s="16">
        <v>1000</v>
      </c>
      <c r="E17" s="16">
        <f t="shared" si="0"/>
        <v>2000</v>
      </c>
      <c r="F17" s="16"/>
      <c r="G17" s="16">
        <f t="shared" si="1"/>
        <v>2000</v>
      </c>
    </row>
    <row r="18" spans="1:9" x14ac:dyDescent="0.25">
      <c r="A18" s="3">
        <v>14</v>
      </c>
      <c r="B18" s="16" t="s">
        <v>29</v>
      </c>
      <c r="C18" s="16">
        <v>1000</v>
      </c>
      <c r="D18" s="16"/>
      <c r="E18" s="16">
        <f t="shared" si="0"/>
        <v>1000</v>
      </c>
      <c r="F18" s="16"/>
      <c r="G18" s="16">
        <f t="shared" si="1"/>
        <v>1000</v>
      </c>
      <c r="H18" t="s">
        <v>74</v>
      </c>
    </row>
    <row r="19" spans="1:9" x14ac:dyDescent="0.25">
      <c r="A19" s="3">
        <v>15</v>
      </c>
      <c r="B19" s="16" t="s">
        <v>56</v>
      </c>
      <c r="C19" s="16">
        <v>1000</v>
      </c>
      <c r="D19" s="16">
        <v>1000</v>
      </c>
      <c r="E19" s="16">
        <f t="shared" ref="E19:E24" si="2">C19+D19</f>
        <v>2000</v>
      </c>
      <c r="F19" s="16">
        <v>1850</v>
      </c>
      <c r="G19" s="16">
        <f t="shared" si="1"/>
        <v>150</v>
      </c>
    </row>
    <row r="20" spans="1:9" x14ac:dyDescent="0.25">
      <c r="A20" s="3">
        <v>16</v>
      </c>
      <c r="B20" s="16" t="s">
        <v>67</v>
      </c>
      <c r="C20" s="16">
        <v>1000</v>
      </c>
      <c r="D20" s="16">
        <v>1000</v>
      </c>
      <c r="E20" s="16">
        <f t="shared" si="2"/>
        <v>2000</v>
      </c>
      <c r="F20" s="16">
        <v>1000</v>
      </c>
      <c r="G20" s="16">
        <f t="shared" si="1"/>
        <v>1000</v>
      </c>
    </row>
    <row r="21" spans="1:9" x14ac:dyDescent="0.25">
      <c r="A21" s="3">
        <v>17</v>
      </c>
      <c r="B21" s="16" t="s">
        <v>47</v>
      </c>
      <c r="C21" s="16"/>
      <c r="D21" s="16">
        <v>1500</v>
      </c>
      <c r="E21" s="16">
        <f t="shared" si="2"/>
        <v>1500</v>
      </c>
      <c r="F21" s="16"/>
      <c r="G21" s="16">
        <f t="shared" si="1"/>
        <v>1500</v>
      </c>
    </row>
    <row r="22" spans="1:9" x14ac:dyDescent="0.25">
      <c r="A22" s="3">
        <v>18</v>
      </c>
      <c r="B22" s="16" t="s">
        <v>75</v>
      </c>
      <c r="C22" s="16"/>
      <c r="D22" s="16">
        <v>1500</v>
      </c>
      <c r="E22" s="16">
        <f t="shared" si="2"/>
        <v>1500</v>
      </c>
      <c r="F22" s="16"/>
      <c r="G22" s="16">
        <f>E22-F22</f>
        <v>1500</v>
      </c>
    </row>
    <row r="23" spans="1:9" x14ac:dyDescent="0.25">
      <c r="A23" s="3">
        <v>19</v>
      </c>
      <c r="B23" s="3" t="s">
        <v>73</v>
      </c>
      <c r="C23" s="3"/>
      <c r="D23" s="3">
        <v>1500</v>
      </c>
      <c r="E23" s="3">
        <f t="shared" si="2"/>
        <v>1500</v>
      </c>
      <c r="F23" s="3">
        <v>1500</v>
      </c>
      <c r="G23" s="3">
        <f>E23-F23</f>
        <v>0</v>
      </c>
    </row>
    <row r="24" spans="1:9" x14ac:dyDescent="0.25">
      <c r="A24" s="3">
        <v>20</v>
      </c>
      <c r="B24" s="3" t="s">
        <v>68</v>
      </c>
      <c r="C24" s="3"/>
      <c r="D24" s="3">
        <v>1500</v>
      </c>
      <c r="E24" s="3">
        <f t="shared" si="2"/>
        <v>1500</v>
      </c>
      <c r="F24" s="3">
        <v>1500</v>
      </c>
      <c r="G24" s="3">
        <f t="shared" si="1"/>
        <v>0</v>
      </c>
    </row>
    <row r="25" spans="1:9" ht="15.75" thickBot="1" x14ac:dyDescent="0.3">
      <c r="A25" s="2"/>
      <c r="B25" s="2" t="s">
        <v>26</v>
      </c>
      <c r="C25" s="2">
        <f>SUM(C8:C24)</f>
        <v>5300</v>
      </c>
      <c r="D25" s="6">
        <f>SUM(D5:D24)</f>
        <v>20000</v>
      </c>
      <c r="E25" s="6">
        <f>SUM(E5:E24)</f>
        <v>25300</v>
      </c>
      <c r="F25" s="6">
        <f>SUM(F5:F24)</f>
        <v>15950</v>
      </c>
      <c r="G25" s="6">
        <f>SUM(G5:G24)</f>
        <v>9350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71</v>
      </c>
      <c r="C29" s="3">
        <f>D25</f>
        <v>20000</v>
      </c>
      <c r="D29" s="3"/>
      <c r="E29" s="3"/>
      <c r="F29" s="3" t="s">
        <v>71</v>
      </c>
      <c r="G29" s="3">
        <f>F25</f>
        <v>15950</v>
      </c>
      <c r="H29" s="3"/>
      <c r="I29" s="3"/>
    </row>
    <row r="30" spans="1:9" x14ac:dyDescent="0.25">
      <c r="B30" s="3" t="s">
        <v>62</v>
      </c>
      <c r="C30" s="3"/>
      <c r="D30" s="3"/>
      <c r="E30" s="3"/>
      <c r="F30" s="3" t="s">
        <v>62</v>
      </c>
      <c r="G30">
        <f>APRIL!I37</f>
        <v>-4500</v>
      </c>
      <c r="H30" s="3"/>
      <c r="I30" s="3"/>
    </row>
    <row r="31" spans="1:9" x14ac:dyDescent="0.25">
      <c r="B31" s="2" t="s">
        <v>20</v>
      </c>
      <c r="C31" s="3"/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2000</v>
      </c>
      <c r="E32" s="3"/>
      <c r="F32" s="3"/>
      <c r="G32" s="3" t="s">
        <v>41</v>
      </c>
      <c r="H32" s="3">
        <f>C32*C29</f>
        <v>2000</v>
      </c>
      <c r="I32" s="3"/>
    </row>
    <row r="33" spans="2:9" x14ac:dyDescent="0.25">
      <c r="B33" s="14" t="s">
        <v>76</v>
      </c>
      <c r="C33" s="3"/>
      <c r="D33" s="3"/>
      <c r="E33" s="3"/>
      <c r="F33" s="14" t="s">
        <v>76</v>
      </c>
      <c r="G33" s="3"/>
      <c r="H33" s="3"/>
      <c r="I33" s="3"/>
    </row>
    <row r="34" spans="2:9" x14ac:dyDescent="0.25">
      <c r="B34" s="10" t="s">
        <v>77</v>
      </c>
      <c r="C34" s="3"/>
      <c r="D34" s="3">
        <v>2000</v>
      </c>
      <c r="E34" s="3"/>
      <c r="F34" s="10" t="s">
        <v>77</v>
      </c>
      <c r="G34" s="3"/>
      <c r="H34" s="3">
        <v>2000</v>
      </c>
      <c r="I34" s="3"/>
    </row>
    <row r="35" spans="2:9" x14ac:dyDescent="0.25">
      <c r="B35" s="10">
        <v>43241</v>
      </c>
      <c r="C35" s="3"/>
      <c r="D35" s="3">
        <v>16800</v>
      </c>
      <c r="E35" s="3"/>
      <c r="F35" s="10">
        <v>43241</v>
      </c>
      <c r="G35" s="3"/>
      <c r="H35" s="3">
        <v>16800</v>
      </c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</f>
        <v>20000</v>
      </c>
      <c r="D37" s="3">
        <f>SUM(D32:D36)</f>
        <v>20800</v>
      </c>
      <c r="E37" s="3">
        <f>C37-D37</f>
        <v>-800</v>
      </c>
      <c r="F37" s="2" t="s">
        <v>26</v>
      </c>
      <c r="G37" s="3">
        <f>G29+G30</f>
        <v>11450</v>
      </c>
      <c r="H37" s="3">
        <f>SUM(H32:H36)</f>
        <v>20800</v>
      </c>
      <c r="I37" s="3">
        <f>G37-H37</f>
        <v>-9350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25" right="0.25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workbookViewId="0">
      <selection activeCell="H35" sqref="H35"/>
    </sheetView>
  </sheetViews>
  <sheetFormatPr defaultRowHeight="15" x14ac:dyDescent="0.25"/>
  <cols>
    <col min="1" max="1" width="4.28515625" customWidth="1"/>
    <col min="2" max="2" width="21.140625" customWidth="1"/>
    <col min="5" max="5" width="10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82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/>
      <c r="G5" s="3">
        <f>E5-F5</f>
        <v>1000</v>
      </c>
    </row>
    <row r="6" spans="1:7" x14ac:dyDescent="0.25">
      <c r="A6" s="3">
        <v>2</v>
      </c>
      <c r="B6" s="3" t="s">
        <v>78</v>
      </c>
      <c r="C6" s="3"/>
      <c r="D6" s="3">
        <v>1000</v>
      </c>
      <c r="E6" s="3">
        <f t="shared" ref="E6:E24" si="0">D6+C6</f>
        <v>1000</v>
      </c>
      <c r="F6" s="3">
        <v>1000</v>
      </c>
      <c r="G6" s="3">
        <f t="shared" ref="G6:G22" si="1">E6-F6</f>
        <v>0</v>
      </c>
    </row>
    <row r="7" spans="1:7" x14ac:dyDescent="0.25">
      <c r="A7" s="16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</row>
    <row r="8" spans="1:7" x14ac:dyDescent="0.25">
      <c r="A8" s="16">
        <v>4</v>
      </c>
      <c r="B8" s="16" t="s">
        <v>18</v>
      </c>
      <c r="C8" s="16">
        <v>1200</v>
      </c>
      <c r="D8" s="16">
        <v>1000</v>
      </c>
      <c r="E8" s="16">
        <f t="shared" si="0"/>
        <v>2200</v>
      </c>
      <c r="F8" s="16">
        <v>2200</v>
      </c>
      <c r="G8" s="3">
        <f t="shared" si="1"/>
        <v>0</v>
      </c>
    </row>
    <row r="9" spans="1:7" x14ac:dyDescent="0.25">
      <c r="A9" s="16">
        <v>5</v>
      </c>
      <c r="B9" s="16" t="s">
        <v>58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10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57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16" t="s">
        <v>54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10</v>
      </c>
      <c r="B14" s="16" t="s">
        <v>7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6" t="s">
        <v>55</v>
      </c>
      <c r="C15" s="16">
        <v>1000</v>
      </c>
      <c r="D15" s="16">
        <v>1000</v>
      </c>
      <c r="E15" s="16">
        <f t="shared" si="0"/>
        <v>2000</v>
      </c>
      <c r="F15" s="16">
        <v>1000</v>
      </c>
      <c r="G15" s="3">
        <f t="shared" si="1"/>
        <v>1000</v>
      </c>
    </row>
    <row r="16" spans="1:7" x14ac:dyDescent="0.25">
      <c r="A16" s="16">
        <v>12</v>
      </c>
      <c r="B16" s="17" t="s">
        <v>28</v>
      </c>
      <c r="C16" s="16"/>
      <c r="D16" s="18">
        <v>1000</v>
      </c>
      <c r="E16" s="16">
        <f t="shared" si="0"/>
        <v>1000</v>
      </c>
      <c r="F16" s="16">
        <v>1000</v>
      </c>
      <c r="G16" s="3">
        <f t="shared" si="1"/>
        <v>0</v>
      </c>
    </row>
    <row r="17" spans="1:9" x14ac:dyDescent="0.25">
      <c r="A17" s="16">
        <v>13</v>
      </c>
      <c r="B17" s="16" t="s">
        <v>59</v>
      </c>
      <c r="C17" s="16">
        <v>2000</v>
      </c>
      <c r="D17" s="16">
        <v>1000</v>
      </c>
      <c r="E17" s="16">
        <f t="shared" si="0"/>
        <v>3000</v>
      </c>
      <c r="F17" s="16">
        <v>3000</v>
      </c>
      <c r="G17" s="3">
        <f t="shared" si="1"/>
        <v>0</v>
      </c>
    </row>
    <row r="18" spans="1:9" x14ac:dyDescent="0.25">
      <c r="A18" s="16">
        <v>14</v>
      </c>
      <c r="B18" s="16" t="s">
        <v>45</v>
      </c>
      <c r="C18" s="16">
        <v>1000</v>
      </c>
      <c r="D18" s="16">
        <v>1000</v>
      </c>
      <c r="E18" s="16">
        <f t="shared" si="0"/>
        <v>2000</v>
      </c>
      <c r="F18" s="16">
        <v>1500</v>
      </c>
      <c r="G18" s="3">
        <f t="shared" si="1"/>
        <v>500</v>
      </c>
    </row>
    <row r="19" spans="1:9" x14ac:dyDescent="0.25">
      <c r="A19" s="16">
        <v>15</v>
      </c>
      <c r="B19" s="16" t="s">
        <v>56</v>
      </c>
      <c r="C19" s="16">
        <v>150</v>
      </c>
      <c r="D19" s="16">
        <v>1000</v>
      </c>
      <c r="E19" s="16">
        <f t="shared" si="0"/>
        <v>1150</v>
      </c>
      <c r="F19" s="16">
        <v>1000</v>
      </c>
      <c r="G19" s="3">
        <f>E19-F19</f>
        <v>150</v>
      </c>
    </row>
    <row r="20" spans="1:9" x14ac:dyDescent="0.25">
      <c r="A20" s="16">
        <v>16</v>
      </c>
      <c r="B20" s="16" t="s">
        <v>67</v>
      </c>
      <c r="C20" s="16">
        <v>1000</v>
      </c>
      <c r="D20" s="16">
        <v>1000</v>
      </c>
      <c r="E20" s="16">
        <f t="shared" si="0"/>
        <v>2000</v>
      </c>
      <c r="F20" s="16">
        <v>2000</v>
      </c>
      <c r="G20" s="3">
        <f t="shared" si="1"/>
        <v>0</v>
      </c>
    </row>
    <row r="21" spans="1:9" x14ac:dyDescent="0.25">
      <c r="A21" s="16">
        <v>17</v>
      </c>
      <c r="B21" s="16" t="s">
        <v>47</v>
      </c>
      <c r="C21" s="16">
        <v>1500</v>
      </c>
      <c r="D21" s="16">
        <v>1500</v>
      </c>
      <c r="E21" s="16">
        <f t="shared" si="0"/>
        <v>3000</v>
      </c>
      <c r="F21" s="16">
        <v>1500</v>
      </c>
      <c r="G21" s="3">
        <f t="shared" si="1"/>
        <v>1500</v>
      </c>
    </row>
    <row r="22" spans="1:9" x14ac:dyDescent="0.25">
      <c r="A22" s="3">
        <v>18</v>
      </c>
      <c r="B22" s="3" t="s">
        <v>75</v>
      </c>
      <c r="C22" s="3">
        <v>1500</v>
      </c>
      <c r="D22" s="3">
        <v>1500</v>
      </c>
      <c r="E22" s="3">
        <f t="shared" si="0"/>
        <v>3000</v>
      </c>
      <c r="F22" s="3">
        <v>3000</v>
      </c>
      <c r="G22" s="3">
        <f t="shared" si="1"/>
        <v>0</v>
      </c>
    </row>
    <row r="23" spans="1:9" x14ac:dyDescent="0.25">
      <c r="A23" s="3">
        <v>19</v>
      </c>
      <c r="B23" s="3" t="s">
        <v>68</v>
      </c>
      <c r="C23" s="3"/>
      <c r="D23" s="3"/>
      <c r="E23" s="3">
        <f t="shared" si="0"/>
        <v>0</v>
      </c>
      <c r="F23" s="3"/>
      <c r="G23" s="3">
        <f>E23-F23</f>
        <v>0</v>
      </c>
    </row>
    <row r="24" spans="1:9" x14ac:dyDescent="0.25">
      <c r="A24" s="3">
        <v>20</v>
      </c>
      <c r="B24" s="3" t="s">
        <v>73</v>
      </c>
      <c r="C24" s="3"/>
      <c r="D24" s="3">
        <v>1500</v>
      </c>
      <c r="E24" s="3">
        <f t="shared" si="0"/>
        <v>1500</v>
      </c>
      <c r="F24" s="3">
        <v>1500</v>
      </c>
      <c r="G24" s="3">
        <f>E24-F24</f>
        <v>0</v>
      </c>
    </row>
    <row r="25" spans="1:9" ht="15.75" thickBot="1" x14ac:dyDescent="0.3">
      <c r="A25" s="2"/>
      <c r="B25" s="2" t="s">
        <v>26</v>
      </c>
      <c r="C25" s="2">
        <f>SUM(C5:C24)</f>
        <v>9350</v>
      </c>
      <c r="D25" s="6">
        <f>SUM(D5:D24)</f>
        <v>20500</v>
      </c>
      <c r="E25" s="6">
        <f>SUM(E5:E24)</f>
        <v>29850</v>
      </c>
      <c r="F25" s="6">
        <f>SUM(F5:F24)</f>
        <v>25700</v>
      </c>
      <c r="G25" s="6">
        <f>SUM(G5:G24)</f>
        <v>4150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81</v>
      </c>
      <c r="C29" s="3">
        <f>D25</f>
        <v>20500</v>
      </c>
      <c r="D29" s="3"/>
      <c r="E29" s="3"/>
      <c r="F29" s="3" t="s">
        <v>81</v>
      </c>
      <c r="G29" s="3">
        <f>F25</f>
        <v>25700</v>
      </c>
      <c r="H29" s="3"/>
      <c r="I29" s="3"/>
    </row>
    <row r="30" spans="1:9" x14ac:dyDescent="0.25">
      <c r="B30" s="3" t="s">
        <v>62</v>
      </c>
      <c r="C30" s="3">
        <f>MAY!E37</f>
        <v>-800</v>
      </c>
      <c r="D30" s="3"/>
      <c r="E30" s="3"/>
      <c r="F30" s="3" t="s">
        <v>62</v>
      </c>
      <c r="G30">
        <f>MAY!I37</f>
        <v>-9350</v>
      </c>
      <c r="H30" s="3"/>
      <c r="I30" s="3"/>
    </row>
    <row r="31" spans="1:9" x14ac:dyDescent="0.25">
      <c r="B31" s="2" t="s">
        <v>20</v>
      </c>
      <c r="C31" s="3"/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2050</v>
      </c>
      <c r="E32" s="3"/>
      <c r="F32" s="3"/>
      <c r="G32" s="3" t="s">
        <v>41</v>
      </c>
      <c r="H32" s="3">
        <f>C32*C29</f>
        <v>2050</v>
      </c>
      <c r="I32" s="3"/>
    </row>
    <row r="33" spans="2:9" x14ac:dyDescent="0.25">
      <c r="B33" s="14">
        <v>18</v>
      </c>
      <c r="C33" s="3"/>
      <c r="D33" s="3">
        <v>1500</v>
      </c>
      <c r="E33" s="3"/>
      <c r="F33" s="14">
        <v>18</v>
      </c>
      <c r="G33" s="3"/>
      <c r="H33" s="3">
        <v>1500</v>
      </c>
      <c r="I33" s="3"/>
    </row>
    <row r="34" spans="2:9" x14ac:dyDescent="0.25">
      <c r="B34" s="10">
        <v>43276</v>
      </c>
      <c r="C34" s="3"/>
      <c r="D34" s="3">
        <v>18300</v>
      </c>
      <c r="E34" s="3"/>
      <c r="F34" s="10">
        <v>43276</v>
      </c>
      <c r="G34" s="3"/>
      <c r="H34" s="3">
        <v>18300</v>
      </c>
      <c r="I34" s="3"/>
    </row>
    <row r="35" spans="2:9" x14ac:dyDescent="0.25">
      <c r="B35" s="10"/>
      <c r="C35" s="3"/>
      <c r="D35" s="3"/>
      <c r="E35" s="3"/>
      <c r="F35" s="10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</f>
        <v>20500</v>
      </c>
      <c r="D37" s="3">
        <f>SUM(D32:D36)</f>
        <v>21850</v>
      </c>
      <c r="E37" s="3">
        <f>C37-D37</f>
        <v>-1350</v>
      </c>
      <c r="F37" s="2" t="s">
        <v>26</v>
      </c>
      <c r="G37" s="3">
        <f>G29+G30</f>
        <v>16350</v>
      </c>
      <c r="H37" s="3">
        <f>SUM(H32:H36)</f>
        <v>21850</v>
      </c>
      <c r="I37" s="3">
        <f>G37-H37</f>
        <v>-5500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25" right="0.25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6" workbookViewId="0">
      <selection activeCell="G21" sqref="G21"/>
    </sheetView>
  </sheetViews>
  <sheetFormatPr defaultRowHeight="15" x14ac:dyDescent="0.25"/>
  <cols>
    <col min="1" max="1" width="3.85546875" customWidth="1"/>
    <col min="2" max="2" width="23" customWidth="1"/>
    <col min="5" max="5" width="10.285156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85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83</v>
      </c>
      <c r="C5" s="3">
        <v>1000</v>
      </c>
      <c r="D5" s="3">
        <v>1000</v>
      </c>
      <c r="E5" s="3">
        <f>D5+C5</f>
        <v>2000</v>
      </c>
      <c r="F5" s="3">
        <v>2000</v>
      </c>
      <c r="G5" s="3">
        <f>E5-F5</f>
        <v>0</v>
      </c>
    </row>
    <row r="6" spans="1:7" x14ac:dyDescent="0.25">
      <c r="A6" s="3">
        <v>2</v>
      </c>
      <c r="B6" s="3" t="s">
        <v>78</v>
      </c>
      <c r="C6" s="3"/>
      <c r="D6" s="3">
        <v>1000</v>
      </c>
      <c r="E6" s="3">
        <f t="shared" ref="E6:E16" si="0">D6+C6</f>
        <v>1000</v>
      </c>
      <c r="F6" s="3">
        <v>1000</v>
      </c>
      <c r="G6" s="3">
        <f t="shared" ref="G6:G18" si="1">E6-F6</f>
        <v>0</v>
      </c>
    </row>
    <row r="7" spans="1:7" x14ac:dyDescent="0.25">
      <c r="A7" s="16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</row>
    <row r="8" spans="1:7" x14ac:dyDescent="0.25">
      <c r="A8" s="16">
        <v>4</v>
      </c>
      <c r="B8" s="16" t="s">
        <v>18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7" x14ac:dyDescent="0.25">
      <c r="A9" s="16">
        <v>5</v>
      </c>
      <c r="B9" s="16" t="s">
        <v>58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10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57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16" t="s">
        <v>54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10</v>
      </c>
      <c r="B14" s="16" t="s">
        <v>7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6" t="s">
        <v>55</v>
      </c>
      <c r="C15" s="16">
        <v>1000</v>
      </c>
      <c r="D15" s="16">
        <v>1000</v>
      </c>
      <c r="E15" s="16">
        <f t="shared" si="0"/>
        <v>2000</v>
      </c>
      <c r="F15" s="16">
        <v>2000</v>
      </c>
      <c r="G15" s="3">
        <f t="shared" si="1"/>
        <v>0</v>
      </c>
    </row>
    <row r="16" spans="1:7" x14ac:dyDescent="0.25">
      <c r="A16" s="16">
        <v>12</v>
      </c>
      <c r="B16" s="17" t="s">
        <v>28</v>
      </c>
      <c r="C16" s="16"/>
      <c r="D16" s="18">
        <v>1000</v>
      </c>
      <c r="E16" s="16">
        <f t="shared" si="0"/>
        <v>1000</v>
      </c>
      <c r="F16" s="16"/>
      <c r="G16" s="3">
        <f t="shared" si="1"/>
        <v>1000</v>
      </c>
    </row>
    <row r="17" spans="1:9" x14ac:dyDescent="0.25">
      <c r="A17" s="16">
        <v>13</v>
      </c>
      <c r="B17" s="16" t="s">
        <v>59</v>
      </c>
      <c r="C17" s="16"/>
      <c r="D17" s="16">
        <v>1000</v>
      </c>
      <c r="E17" s="16">
        <f>D17+C17</f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88</v>
      </c>
      <c r="C18" s="16">
        <v>500</v>
      </c>
      <c r="D18" s="16">
        <v>1000</v>
      </c>
      <c r="E18" s="16">
        <f t="shared" ref="E18:E24" si="2">D18+C18</f>
        <v>1500</v>
      </c>
      <c r="F18" s="16">
        <v>500</v>
      </c>
      <c r="G18" s="3">
        <f t="shared" si="1"/>
        <v>1000</v>
      </c>
    </row>
    <row r="19" spans="1:9" x14ac:dyDescent="0.25">
      <c r="A19" s="16">
        <v>15</v>
      </c>
      <c r="B19" s="16" t="s">
        <v>56</v>
      </c>
      <c r="C19" s="16">
        <v>150</v>
      </c>
      <c r="D19" s="16">
        <v>1000</v>
      </c>
      <c r="E19" s="16">
        <f t="shared" si="2"/>
        <v>1150</v>
      </c>
      <c r="F19" s="16">
        <v>1150</v>
      </c>
      <c r="G19" s="3">
        <f t="shared" ref="G19:G24" si="3">E19-F19</f>
        <v>0</v>
      </c>
    </row>
    <row r="20" spans="1:9" x14ac:dyDescent="0.25">
      <c r="A20" s="16">
        <v>16</v>
      </c>
      <c r="B20" s="16" t="s">
        <v>67</v>
      </c>
      <c r="C20" s="16"/>
      <c r="D20" s="16">
        <v>1000</v>
      </c>
      <c r="E20" s="16">
        <f t="shared" si="2"/>
        <v>1000</v>
      </c>
      <c r="F20" s="16">
        <v>1000</v>
      </c>
      <c r="G20" s="3">
        <f t="shared" si="3"/>
        <v>0</v>
      </c>
    </row>
    <row r="21" spans="1:9" x14ac:dyDescent="0.25">
      <c r="A21" s="16">
        <v>17</v>
      </c>
      <c r="B21" s="16" t="s">
        <v>47</v>
      </c>
      <c r="C21" s="16">
        <v>1500</v>
      </c>
      <c r="D21" s="16">
        <v>1500</v>
      </c>
      <c r="E21" s="16">
        <f t="shared" si="2"/>
        <v>3000</v>
      </c>
      <c r="F21" s="16">
        <v>3000</v>
      </c>
      <c r="G21" s="3">
        <f t="shared" si="3"/>
        <v>0</v>
      </c>
    </row>
    <row r="22" spans="1:9" x14ac:dyDescent="0.25">
      <c r="A22" s="3">
        <v>18</v>
      </c>
      <c r="B22" s="17" t="s">
        <v>89</v>
      </c>
      <c r="C22" s="3"/>
      <c r="D22" s="3">
        <v>1500</v>
      </c>
      <c r="E22" s="16">
        <f t="shared" si="2"/>
        <v>1500</v>
      </c>
      <c r="F22" s="3">
        <v>1500</v>
      </c>
      <c r="G22" s="3">
        <f t="shared" si="3"/>
        <v>0</v>
      </c>
    </row>
    <row r="23" spans="1:9" x14ac:dyDescent="0.25">
      <c r="A23" s="3">
        <v>19</v>
      </c>
      <c r="B23" s="3" t="s">
        <v>73</v>
      </c>
      <c r="C23" s="17"/>
      <c r="D23" s="3">
        <v>1500</v>
      </c>
      <c r="E23" s="16">
        <f t="shared" si="2"/>
        <v>1500</v>
      </c>
      <c r="F23" s="3">
        <v>1500</v>
      </c>
      <c r="G23" s="3">
        <f t="shared" si="3"/>
        <v>0</v>
      </c>
    </row>
    <row r="24" spans="1:9" x14ac:dyDescent="0.25">
      <c r="A24" s="3">
        <v>20</v>
      </c>
      <c r="B24" s="17" t="s">
        <v>87</v>
      </c>
      <c r="C24" s="3"/>
      <c r="D24" s="3">
        <v>1500</v>
      </c>
      <c r="E24" s="16">
        <f t="shared" si="2"/>
        <v>1500</v>
      </c>
      <c r="F24" s="3">
        <v>1500</v>
      </c>
      <c r="G24" s="3">
        <f t="shared" si="3"/>
        <v>0</v>
      </c>
    </row>
    <row r="25" spans="1:9" ht="15.75" thickBot="1" x14ac:dyDescent="0.3">
      <c r="A25" s="2"/>
      <c r="B25" s="2" t="s">
        <v>26</v>
      </c>
      <c r="C25" s="2">
        <f>SUM(C5:C24)</f>
        <v>4150</v>
      </c>
      <c r="D25" s="6">
        <f>SUM(D5:D24)</f>
        <v>22000</v>
      </c>
      <c r="E25" s="6">
        <f>SUM(E5:E24)</f>
        <v>26150</v>
      </c>
      <c r="F25" s="6">
        <f>SUM(F5:F24)</f>
        <v>24150</v>
      </c>
      <c r="G25" s="6">
        <f>SUM(G5:G24)</f>
        <v>2000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86</v>
      </c>
      <c r="C29" s="3">
        <f>D25</f>
        <v>22000</v>
      </c>
      <c r="D29" s="3"/>
      <c r="E29" s="3"/>
      <c r="F29" s="3" t="s">
        <v>86</v>
      </c>
      <c r="G29" s="3">
        <f>F25</f>
        <v>24150</v>
      </c>
      <c r="H29" s="3"/>
      <c r="I29" s="3"/>
    </row>
    <row r="30" spans="1:9" x14ac:dyDescent="0.25">
      <c r="B30" s="3" t="s">
        <v>62</v>
      </c>
      <c r="C30" s="3">
        <f>JUNE!E37</f>
        <v>-1350</v>
      </c>
      <c r="D30" s="3"/>
      <c r="E30" s="3"/>
      <c r="F30" s="3" t="s">
        <v>62</v>
      </c>
      <c r="G30">
        <f>JUNE!I37</f>
        <v>-5500</v>
      </c>
      <c r="H30" s="3"/>
      <c r="I30" s="3"/>
    </row>
    <row r="31" spans="1:9" x14ac:dyDescent="0.25">
      <c r="B31" s="2" t="s">
        <v>20</v>
      </c>
      <c r="C31" s="3">
        <f>SUM(C29:C30)</f>
        <v>20650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2200</v>
      </c>
      <c r="E32" s="3"/>
      <c r="F32" s="3"/>
      <c r="G32" s="3" t="s">
        <v>41</v>
      </c>
      <c r="H32" s="3">
        <f>C32*C29</f>
        <v>2200</v>
      </c>
      <c r="I32" s="3"/>
    </row>
    <row r="33" spans="2:9" x14ac:dyDescent="0.25">
      <c r="B33" s="14" t="s">
        <v>47</v>
      </c>
      <c r="C33" s="3"/>
      <c r="D33" s="3">
        <v>1500</v>
      </c>
      <c r="E33" s="3"/>
      <c r="F33" s="14" t="s">
        <v>47</v>
      </c>
      <c r="G33" s="3"/>
      <c r="H33" s="3">
        <v>1500</v>
      </c>
      <c r="I33" s="3"/>
    </row>
    <row r="34" spans="2:9" x14ac:dyDescent="0.25">
      <c r="B34" s="10">
        <v>43306</v>
      </c>
      <c r="C34" s="3"/>
      <c r="D34" s="3">
        <v>16950</v>
      </c>
      <c r="E34" s="3"/>
      <c r="F34" s="10">
        <v>43306</v>
      </c>
      <c r="G34" s="3"/>
      <c r="H34" s="3">
        <v>16950</v>
      </c>
      <c r="I34" s="3"/>
    </row>
    <row r="35" spans="2:9" x14ac:dyDescent="0.25">
      <c r="B35" s="10" t="s">
        <v>90</v>
      </c>
      <c r="C35" s="3"/>
      <c r="D35" s="3">
        <v>500</v>
      </c>
      <c r="E35" s="3"/>
      <c r="F35" s="10" t="s">
        <v>90</v>
      </c>
      <c r="G35" s="3"/>
      <c r="H35" s="3">
        <v>500</v>
      </c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20650</v>
      </c>
      <c r="D37" s="3">
        <f>SUM(D32:D36)</f>
        <v>21150</v>
      </c>
      <c r="E37" s="3">
        <f>C37-D37</f>
        <v>-500</v>
      </c>
      <c r="F37" s="2" t="s">
        <v>26</v>
      </c>
      <c r="G37" s="3">
        <f>G29+G30</f>
        <v>18650</v>
      </c>
      <c r="H37" s="3">
        <f>SUM(H32:H36)</f>
        <v>21150</v>
      </c>
      <c r="I37" s="3">
        <f>G37-H37</f>
        <v>-2500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" right="0" top="0" bottom="0" header="0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9" workbookViewId="0">
      <selection activeCell="F50" sqref="F50"/>
    </sheetView>
  </sheetViews>
  <sheetFormatPr defaultRowHeight="15" x14ac:dyDescent="0.25"/>
  <cols>
    <col min="1" max="1" width="4" customWidth="1"/>
    <col min="2" max="2" width="19.140625" customWidth="1"/>
    <col min="3" max="3" width="7.5703125" customWidth="1"/>
    <col min="5" max="5" width="10.28515625" customWidth="1"/>
    <col min="6" max="6" width="8.7109375" customWidth="1"/>
    <col min="7" max="7" width="9.1406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91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3" t="s">
        <v>78</v>
      </c>
      <c r="C6" s="3"/>
      <c r="D6" s="3">
        <v>1000</v>
      </c>
      <c r="E6" s="3">
        <f t="shared" ref="E6:E16" si="0">D6+C6</f>
        <v>1000</v>
      </c>
      <c r="F6" s="3">
        <v>1000</v>
      </c>
      <c r="G6" s="3">
        <f t="shared" ref="G6:G18" si="1">E6-F6</f>
        <v>0</v>
      </c>
    </row>
    <row r="7" spans="1:7" x14ac:dyDescent="0.25">
      <c r="A7" s="16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</row>
    <row r="8" spans="1:7" x14ac:dyDescent="0.25">
      <c r="A8" s="16">
        <v>4</v>
      </c>
      <c r="B8" s="16" t="s">
        <v>18</v>
      </c>
      <c r="C8" s="16"/>
      <c r="D8" s="16">
        <v>1000</v>
      </c>
      <c r="E8" s="16">
        <f t="shared" si="0"/>
        <v>1000</v>
      </c>
      <c r="F8" s="16">
        <v>800</v>
      </c>
      <c r="G8" s="3">
        <f t="shared" si="1"/>
        <v>200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>
        <v>1000</v>
      </c>
      <c r="D11" s="16">
        <v>1000</v>
      </c>
      <c r="E11" s="16">
        <f t="shared" si="0"/>
        <v>2000</v>
      </c>
      <c r="F11" s="16">
        <v>1000</v>
      </c>
      <c r="G11" s="3">
        <f t="shared" si="1"/>
        <v>1000</v>
      </c>
    </row>
    <row r="12" spans="1:7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16" t="s">
        <v>54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10</v>
      </c>
      <c r="B14" s="16" t="s">
        <v>94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6" t="s">
        <v>7</v>
      </c>
      <c r="C15" s="16"/>
      <c r="D15" s="16">
        <v>1000</v>
      </c>
      <c r="E15" s="16">
        <f t="shared" si="0"/>
        <v>1000</v>
      </c>
      <c r="F15" s="16">
        <v>1000</v>
      </c>
      <c r="G15" s="3">
        <f t="shared" si="1"/>
        <v>0</v>
      </c>
    </row>
    <row r="16" spans="1:7" x14ac:dyDescent="0.25">
      <c r="A16" s="16">
        <v>12</v>
      </c>
      <c r="B16" s="17" t="s">
        <v>88</v>
      </c>
      <c r="C16" s="16">
        <v>1000</v>
      </c>
      <c r="D16" s="18">
        <v>1000</v>
      </c>
      <c r="E16" s="16">
        <f t="shared" si="0"/>
        <v>2000</v>
      </c>
      <c r="F16" s="16">
        <v>550</v>
      </c>
      <c r="G16" s="3">
        <f t="shared" si="1"/>
        <v>1450</v>
      </c>
    </row>
    <row r="17" spans="1:9" x14ac:dyDescent="0.25">
      <c r="A17" s="16">
        <v>13</v>
      </c>
      <c r="B17" s="16" t="s">
        <v>15</v>
      </c>
      <c r="C17" s="16"/>
      <c r="D17" s="16"/>
      <c r="E17" s="16"/>
      <c r="F17" s="16"/>
      <c r="G17" s="3"/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67</v>
      </c>
      <c r="C19" s="16"/>
      <c r="D19" s="16">
        <v>1000</v>
      </c>
      <c r="E19" s="16">
        <f>D19+C19</f>
        <v>1000</v>
      </c>
      <c r="F19" s="16">
        <v>1000</v>
      </c>
      <c r="G19" s="3">
        <f>E19-F19</f>
        <v>0</v>
      </c>
    </row>
    <row r="20" spans="1:9" x14ac:dyDescent="0.25">
      <c r="A20" s="16">
        <v>16</v>
      </c>
      <c r="B20" s="16" t="s">
        <v>59</v>
      </c>
      <c r="C20" s="16"/>
      <c r="D20" s="16">
        <v>1000</v>
      </c>
      <c r="E20" s="16">
        <f>D20+C20</f>
        <v>1000</v>
      </c>
      <c r="F20" s="16"/>
      <c r="G20" s="3">
        <f>E20-F20</f>
        <v>1000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>D21+C21</f>
        <v>1500</v>
      </c>
      <c r="F21" s="16">
        <v>1500</v>
      </c>
      <c r="G21" s="3">
        <f>E21-F21</f>
        <v>0</v>
      </c>
    </row>
    <row r="22" spans="1:9" x14ac:dyDescent="0.25">
      <c r="A22" s="3">
        <v>18</v>
      </c>
      <c r="B22" s="18" t="s">
        <v>15</v>
      </c>
      <c r="C22" s="3"/>
      <c r="D22" s="3"/>
      <c r="E22" s="16"/>
      <c r="F22" s="3"/>
      <c r="G22" s="3"/>
    </row>
    <row r="23" spans="1:9" x14ac:dyDescent="0.25">
      <c r="A23" s="3">
        <v>19</v>
      </c>
      <c r="B23" s="18" t="s">
        <v>87</v>
      </c>
      <c r="C23" s="3"/>
      <c r="D23" s="3">
        <v>1500</v>
      </c>
      <c r="E23" s="16">
        <f>D23+C23</f>
        <v>1500</v>
      </c>
      <c r="F23" s="3">
        <v>1500</v>
      </c>
      <c r="G23" s="3"/>
    </row>
    <row r="24" spans="1:9" x14ac:dyDescent="0.25">
      <c r="A24" s="3">
        <v>20</v>
      </c>
      <c r="B24" s="18" t="s">
        <v>15</v>
      </c>
      <c r="C24" s="3"/>
      <c r="D24" s="3"/>
      <c r="E24" s="3"/>
      <c r="F24" s="3"/>
      <c r="G24" s="3">
        <f>E23-F23</f>
        <v>0</v>
      </c>
    </row>
    <row r="25" spans="1:9" x14ac:dyDescent="0.25">
      <c r="A25" s="2"/>
      <c r="B25" s="2" t="s">
        <v>26</v>
      </c>
      <c r="C25" s="2">
        <f>SUM(C5:C23)</f>
        <v>2000</v>
      </c>
      <c r="D25" s="2">
        <f>SUM(D5:D23)</f>
        <v>18000</v>
      </c>
      <c r="E25" s="2">
        <f>SUM(E5:E23)</f>
        <v>20000</v>
      </c>
      <c r="F25" s="2">
        <f>SUM(F5:F23)</f>
        <v>16350</v>
      </c>
      <c r="G25" s="2">
        <f>SUM(G5:G24)</f>
        <v>3650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92</v>
      </c>
      <c r="C29" s="3">
        <f>D25</f>
        <v>18000</v>
      </c>
      <c r="D29" s="3"/>
      <c r="E29" s="3"/>
      <c r="F29" s="3" t="s">
        <v>93</v>
      </c>
      <c r="G29" s="3">
        <f>F25</f>
        <v>16350</v>
      </c>
      <c r="H29" s="3"/>
      <c r="I29" s="3"/>
    </row>
    <row r="30" spans="1:9" x14ac:dyDescent="0.25">
      <c r="B30" s="3" t="s">
        <v>62</v>
      </c>
      <c r="C30" s="3">
        <f>JULY!E37</f>
        <v>-500</v>
      </c>
      <c r="D30" s="3"/>
      <c r="E30" s="3"/>
      <c r="F30" s="3" t="s">
        <v>62</v>
      </c>
      <c r="G30">
        <f>JULY!I37</f>
        <v>-2500</v>
      </c>
      <c r="H30" s="3"/>
      <c r="I30" s="3"/>
    </row>
    <row r="31" spans="1:9" x14ac:dyDescent="0.25">
      <c r="B31" s="2" t="s">
        <v>20</v>
      </c>
      <c r="C31" s="3">
        <f>SUM(C29:C30)</f>
        <v>17500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1800</v>
      </c>
      <c r="E32" s="3"/>
      <c r="F32" s="3"/>
      <c r="G32" s="3" t="s">
        <v>41</v>
      </c>
      <c r="H32" s="3">
        <f>C32*C29</f>
        <v>1800</v>
      </c>
      <c r="I32" s="3"/>
    </row>
    <row r="33" spans="2:9" x14ac:dyDescent="0.25">
      <c r="B33" s="19">
        <v>43339</v>
      </c>
      <c r="C33" s="3"/>
      <c r="D33" s="3">
        <v>15700</v>
      </c>
      <c r="E33" s="3"/>
      <c r="F33" s="19">
        <v>43339</v>
      </c>
      <c r="G33" s="3"/>
      <c r="H33" s="3">
        <v>15700</v>
      </c>
      <c r="I33" s="3"/>
    </row>
    <row r="34" spans="2:9" x14ac:dyDescent="0.25">
      <c r="B34" s="10"/>
      <c r="C34" s="3"/>
      <c r="D34" s="3"/>
      <c r="E34" s="3"/>
      <c r="F34" s="10"/>
      <c r="G34" s="3"/>
      <c r="H34" s="3"/>
      <c r="I34" s="3"/>
    </row>
    <row r="35" spans="2:9" x14ac:dyDescent="0.25">
      <c r="B35" s="10"/>
      <c r="C35" s="3"/>
      <c r="D35" s="3"/>
      <c r="E35" s="3"/>
      <c r="F35" s="10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17500</v>
      </c>
      <c r="D37" s="3">
        <f>SUM(D32:D36)</f>
        <v>17500</v>
      </c>
      <c r="E37" s="3">
        <f>C37-D37</f>
        <v>0</v>
      </c>
      <c r="F37" s="2" t="s">
        <v>26</v>
      </c>
      <c r="G37" s="3">
        <f>G29+G30</f>
        <v>13850</v>
      </c>
      <c r="H37" s="3">
        <f>SUM(H32:H36)</f>
        <v>17500</v>
      </c>
      <c r="I37" s="3">
        <f>G37-H37</f>
        <v>-3650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" right="0" top="0" bottom="0" header="0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14" sqref="G14"/>
    </sheetView>
  </sheetViews>
  <sheetFormatPr defaultRowHeight="15" x14ac:dyDescent="0.25"/>
  <cols>
    <col min="1" max="1" width="4" customWidth="1"/>
    <col min="2" max="2" width="19.1406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95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3" t="s">
        <v>78</v>
      </c>
      <c r="C6" s="3"/>
      <c r="D6" s="3">
        <v>1000</v>
      </c>
      <c r="E6" s="3">
        <f t="shared" ref="E6:E16" si="0">D6+C6</f>
        <v>1000</v>
      </c>
      <c r="F6" s="3">
        <v>1000</v>
      </c>
      <c r="G6" s="3">
        <f t="shared" ref="G6:G18" si="1">E6-F6</f>
        <v>0</v>
      </c>
    </row>
    <row r="7" spans="1:7" x14ac:dyDescent="0.25">
      <c r="A7" s="16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</row>
    <row r="8" spans="1:7" x14ac:dyDescent="0.25">
      <c r="A8" s="16">
        <v>4</v>
      </c>
      <c r="B8" s="16" t="s">
        <v>18</v>
      </c>
      <c r="C8" s="16">
        <v>200</v>
      </c>
      <c r="D8" s="16">
        <v>1000</v>
      </c>
      <c r="E8" s="16">
        <f t="shared" si="0"/>
        <v>1200</v>
      </c>
      <c r="F8" s="16">
        <v>1000</v>
      </c>
      <c r="G8" s="3">
        <f t="shared" si="1"/>
        <v>200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>
        <v>1000</v>
      </c>
      <c r="D11" s="16">
        <v>1000</v>
      </c>
      <c r="E11" s="16">
        <f t="shared" si="0"/>
        <v>2000</v>
      </c>
      <c r="F11" s="16">
        <v>2000</v>
      </c>
      <c r="G11" s="3">
        <f t="shared" si="1"/>
        <v>0</v>
      </c>
    </row>
    <row r="12" spans="1:7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16" t="s">
        <v>54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10</v>
      </c>
      <c r="B14" s="16" t="s">
        <v>94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6" t="s">
        <v>7</v>
      </c>
      <c r="C15" s="16"/>
      <c r="D15" s="16">
        <v>1000</v>
      </c>
      <c r="E15" s="16">
        <f t="shared" si="0"/>
        <v>1000</v>
      </c>
      <c r="F15" s="16">
        <v>1000</v>
      </c>
      <c r="G15" s="3">
        <f t="shared" si="1"/>
        <v>0</v>
      </c>
    </row>
    <row r="16" spans="1:7" x14ac:dyDescent="0.25">
      <c r="A16" s="16">
        <v>12</v>
      </c>
      <c r="B16" s="17" t="s">
        <v>88</v>
      </c>
      <c r="C16" s="16">
        <v>1450</v>
      </c>
      <c r="D16" s="18">
        <v>1000</v>
      </c>
      <c r="E16" s="16">
        <f t="shared" si="0"/>
        <v>2450</v>
      </c>
      <c r="F16" s="16">
        <v>2450</v>
      </c>
      <c r="G16" s="3">
        <f t="shared" si="1"/>
        <v>0</v>
      </c>
    </row>
    <row r="17" spans="1:9" x14ac:dyDescent="0.25">
      <c r="A17" s="16">
        <v>13</v>
      </c>
      <c r="B17" s="16" t="s">
        <v>15</v>
      </c>
      <c r="C17" s="16"/>
      <c r="D17" s="16"/>
      <c r="E17" s="16"/>
      <c r="F17" s="16"/>
      <c r="G17" s="3"/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ref="E18:E23" si="2"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67</v>
      </c>
      <c r="C19" s="16"/>
      <c r="D19" s="16">
        <v>1000</v>
      </c>
      <c r="E19" s="16">
        <f t="shared" si="2"/>
        <v>1000</v>
      </c>
      <c r="F19" s="16">
        <v>1000</v>
      </c>
      <c r="G19" s="3">
        <f>E19-F19</f>
        <v>0</v>
      </c>
    </row>
    <row r="20" spans="1:9" x14ac:dyDescent="0.25">
      <c r="A20" s="16">
        <v>16</v>
      </c>
      <c r="B20" s="16" t="s">
        <v>59</v>
      </c>
      <c r="C20" s="16">
        <v>1000</v>
      </c>
      <c r="D20" s="16">
        <v>1000</v>
      </c>
      <c r="E20" s="16">
        <f t="shared" si="2"/>
        <v>2000</v>
      </c>
      <c r="F20" s="16">
        <v>2000</v>
      </c>
      <c r="G20" s="3">
        <f>E20-F20</f>
        <v>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2"/>
        <v>1500</v>
      </c>
      <c r="F21" s="16">
        <v>1500</v>
      </c>
      <c r="G21" s="3">
        <f>E21-F21</f>
        <v>0</v>
      </c>
    </row>
    <row r="22" spans="1:9" x14ac:dyDescent="0.25">
      <c r="A22" s="3">
        <v>18</v>
      </c>
      <c r="B22" s="18" t="s">
        <v>97</v>
      </c>
      <c r="C22" s="3"/>
      <c r="D22" s="3">
        <v>1500</v>
      </c>
      <c r="E22" s="16">
        <f t="shared" si="2"/>
        <v>1500</v>
      </c>
      <c r="F22" s="3">
        <v>1500</v>
      </c>
      <c r="G22" s="3">
        <f>E22-F22</f>
        <v>0</v>
      </c>
    </row>
    <row r="23" spans="1:9" x14ac:dyDescent="0.25">
      <c r="A23" s="3">
        <v>19</v>
      </c>
      <c r="B23" s="18" t="s">
        <v>87</v>
      </c>
      <c r="C23" s="3"/>
      <c r="D23" s="3"/>
      <c r="E23" s="16">
        <f t="shared" si="2"/>
        <v>0</v>
      </c>
      <c r="F23" s="3"/>
      <c r="G23" s="3"/>
    </row>
    <row r="24" spans="1:9" x14ac:dyDescent="0.25">
      <c r="A24" s="3">
        <v>20</v>
      </c>
      <c r="B24" s="18" t="s">
        <v>15</v>
      </c>
      <c r="C24" s="3"/>
      <c r="D24" s="3"/>
      <c r="E24" s="3"/>
      <c r="F24" s="3"/>
      <c r="G24" s="3">
        <f>E23-F23</f>
        <v>0</v>
      </c>
    </row>
    <row r="25" spans="1:9" x14ac:dyDescent="0.25">
      <c r="A25" s="2"/>
      <c r="B25" s="2" t="s">
        <v>26</v>
      </c>
      <c r="C25" s="2">
        <f>SUM(C5:C23)</f>
        <v>3650</v>
      </c>
      <c r="D25" s="2">
        <f>SUM(D5:D24)</f>
        <v>18000</v>
      </c>
      <c r="E25" s="2">
        <f>SUM(E5:E24)</f>
        <v>21650</v>
      </c>
      <c r="F25" s="2">
        <f>SUM(F5:F24)</f>
        <v>21450</v>
      </c>
      <c r="G25" s="2">
        <f>SUM(G5:G24)</f>
        <v>200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96</v>
      </c>
      <c r="C29" s="3">
        <f>D25</f>
        <v>18000</v>
      </c>
      <c r="D29" s="3"/>
      <c r="E29" s="3"/>
      <c r="F29" s="3" t="s">
        <v>96</v>
      </c>
      <c r="G29" s="3">
        <f>F25</f>
        <v>21450</v>
      </c>
      <c r="H29" s="3"/>
      <c r="I29" s="3"/>
    </row>
    <row r="30" spans="1:9" x14ac:dyDescent="0.25">
      <c r="B30" s="3" t="s">
        <v>62</v>
      </c>
      <c r="C30" s="3"/>
      <c r="D30" s="3"/>
      <c r="E30" s="3"/>
      <c r="F30" s="3" t="s">
        <v>62</v>
      </c>
      <c r="G30">
        <f>AUGUST!I37</f>
        <v>-3650</v>
      </c>
      <c r="H30" s="3"/>
      <c r="I30" s="3"/>
    </row>
    <row r="31" spans="1:9" x14ac:dyDescent="0.25">
      <c r="B31" s="2" t="s">
        <v>20</v>
      </c>
      <c r="C31" s="3">
        <f>SUM(C29:C30)</f>
        <v>18000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1800</v>
      </c>
      <c r="E32" s="3"/>
      <c r="F32" s="3"/>
      <c r="G32" s="3" t="s">
        <v>41</v>
      </c>
      <c r="H32" s="3">
        <f>C32*C29</f>
        <v>1800</v>
      </c>
      <c r="I32" s="3"/>
    </row>
    <row r="33" spans="2:9" x14ac:dyDescent="0.25">
      <c r="B33" s="19">
        <v>43367</v>
      </c>
      <c r="C33" s="3"/>
      <c r="D33" s="3">
        <v>16200</v>
      </c>
      <c r="E33" s="3"/>
      <c r="F33" s="19"/>
      <c r="G33" s="10">
        <v>43367</v>
      </c>
      <c r="H33" s="3">
        <v>16200</v>
      </c>
      <c r="I33" s="3"/>
    </row>
    <row r="34" spans="2:9" x14ac:dyDescent="0.25">
      <c r="B34" s="10"/>
      <c r="C34" s="3"/>
      <c r="D34" s="3"/>
      <c r="E34" s="3"/>
      <c r="F34" s="10"/>
      <c r="G34" s="3"/>
      <c r="H34" s="3"/>
      <c r="I34" s="3"/>
    </row>
    <row r="35" spans="2:9" x14ac:dyDescent="0.25">
      <c r="B35" s="10"/>
      <c r="C35" s="3"/>
      <c r="D35" s="3"/>
      <c r="E35" s="3"/>
      <c r="F35" s="10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18000</v>
      </c>
      <c r="D37" s="3">
        <f>SUM(D32:D36)</f>
        <v>18000</v>
      </c>
      <c r="E37" s="3">
        <f>C37-D37</f>
        <v>0</v>
      </c>
      <c r="F37" s="2" t="s">
        <v>26</v>
      </c>
      <c r="G37" s="3">
        <f>G29+G30</f>
        <v>17800</v>
      </c>
      <c r="H37" s="3">
        <f>SUM(H32:H36)</f>
        <v>18000</v>
      </c>
      <c r="I37" s="3">
        <f>G37-H37</f>
        <v>-200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JANUARY 18</vt:lpstr>
      <vt:lpstr>FEB18</vt:lpstr>
      <vt:lpstr>MARCH 18</vt:lpstr>
      <vt:lpstr>APRIL</vt:lpstr>
      <vt:lpstr>MAY</vt:lpstr>
      <vt:lpstr>JUNE</vt:lpstr>
      <vt:lpstr>JULY</vt:lpstr>
      <vt:lpstr>AUGUST</vt:lpstr>
      <vt:lpstr>SEP</vt:lpstr>
      <vt:lpstr>OCTOBER</vt:lpstr>
      <vt:lpstr>NOVEMBER</vt:lpstr>
      <vt:lpstr>DECEMBER</vt:lpstr>
      <vt:lpstr>JANUARY </vt:lpstr>
      <vt:lpstr>FEBRUARY </vt:lpstr>
      <vt:lpstr>MARCH </vt:lpstr>
      <vt:lpstr>APRIL </vt:lpstr>
      <vt:lpstr>MAY </vt:lpstr>
      <vt:lpstr>JUNE </vt:lpstr>
      <vt:lpstr>JULLY </vt:lpstr>
      <vt:lpstr>AUGUST19</vt:lpstr>
      <vt:lpstr>SEPTEMBER 19</vt:lpstr>
      <vt:lpstr>OCTOBER 19</vt:lpstr>
      <vt:lpstr>NOVEMBER 19</vt:lpstr>
      <vt:lpstr>DECEMBER 19</vt:lpstr>
      <vt:lpstr>JANUARY 20</vt:lpstr>
      <vt:lpstr>FEBRUARY</vt:lpstr>
      <vt:lpstr>MARCH 20</vt:lpstr>
      <vt:lpstr>APRIL 20</vt:lpstr>
      <vt:lpstr>JUNE 20</vt:lpstr>
      <vt:lpstr>MAY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 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2021-12-17T08:15:53Z</dcterms:modified>
</cp:coreProperties>
</file>