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35" windowWidth="18195" windowHeight="11205" firstSheet="14" activeTab="17"/>
  </bookViews>
  <sheets>
    <sheet name="JULY 20" sheetId="1" r:id="rId1"/>
    <sheet name="AUGUST 20" sheetId="2" r:id="rId2"/>
    <sheet name="SEPTEMBER 20" sheetId="3" r:id="rId3"/>
    <sheet name="OCTOBER 2020" sheetId="4" r:id="rId4"/>
    <sheet name="NOVEMBER20" sheetId="5" r:id="rId5"/>
    <sheet name="DECEMBER 20" sheetId="6" r:id="rId6"/>
    <sheet name="JANUARY 21" sheetId="7" r:id="rId7"/>
    <sheet name="FEBRUARY 21" sheetId="8" r:id="rId8"/>
    <sheet name="MARCH 21" sheetId="9" r:id="rId9"/>
    <sheet name="APRIL 21" sheetId="10" r:id="rId10"/>
    <sheet name="MAY 21" sheetId="11" r:id="rId11"/>
    <sheet name="JUNE 21" sheetId="12" r:id="rId12"/>
    <sheet name="JULY 21" sheetId="13" r:id="rId13"/>
    <sheet name="AUGUST 21" sheetId="14" r:id="rId14"/>
    <sheet name="SEPTEMBER 21" sheetId="15" r:id="rId15"/>
    <sheet name="OCTOBER 21" sheetId="16" r:id="rId16"/>
    <sheet name="NOVEMBER 21" sheetId="17" r:id="rId17"/>
    <sheet name="DECEMBER 21" sheetId="18" r:id="rId18"/>
  </sheets>
  <calcPr calcId="162913"/>
</workbook>
</file>

<file path=xl/calcChain.xml><?xml version="1.0" encoding="utf-8"?>
<calcChain xmlns="http://schemas.openxmlformats.org/spreadsheetml/2006/main">
  <c r="J25" i="17" l="1"/>
  <c r="O40" i="17"/>
  <c r="O38" i="17"/>
  <c r="L54" i="17"/>
  <c r="C43" i="18" l="1"/>
  <c r="N57" i="18"/>
  <c r="C68" i="18" s="1"/>
  <c r="I57" i="18"/>
  <c r="C62" i="18" s="1"/>
  <c r="H57" i="18"/>
  <c r="C61" i="18" s="1"/>
  <c r="G57" i="18"/>
  <c r="C66" i="18" s="1"/>
  <c r="F57" i="18"/>
  <c r="C65" i="18" s="1"/>
  <c r="E57" i="18"/>
  <c r="C64" i="18" s="1"/>
  <c r="D57" i="18"/>
  <c r="C67" i="18" s="1"/>
  <c r="J56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K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L57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57" i="18" l="1"/>
  <c r="C63" i="18" s="1"/>
  <c r="K74" i="18"/>
  <c r="E74" i="18"/>
  <c r="H61" i="18"/>
  <c r="K71" i="18"/>
  <c r="E71" i="18"/>
  <c r="I58" i="18"/>
  <c r="K80" i="16"/>
  <c r="J80" i="16"/>
  <c r="J81" i="16" s="1"/>
  <c r="E76" i="18" l="1"/>
  <c r="K76" i="18"/>
  <c r="K77" i="18" s="1"/>
  <c r="L17" i="16"/>
  <c r="L30" i="17" l="1"/>
  <c r="N57" i="17" l="1"/>
  <c r="C68" i="17" s="1"/>
  <c r="N57" i="16"/>
  <c r="L30" i="16" l="1"/>
  <c r="L27" i="16"/>
  <c r="L16" i="16"/>
  <c r="L13" i="16"/>
  <c r="L10" i="16"/>
  <c r="C43" i="17" l="1"/>
  <c r="L57" i="17"/>
  <c r="I57" i="17"/>
  <c r="C62" i="17" s="1"/>
  <c r="H57" i="17"/>
  <c r="G57" i="17"/>
  <c r="C66" i="17" s="1"/>
  <c r="F57" i="17"/>
  <c r="C65" i="17" s="1"/>
  <c r="E57" i="17"/>
  <c r="C64" i="17" s="1"/>
  <c r="D57" i="17"/>
  <c r="C67" i="17" s="1"/>
  <c r="J56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6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C61" i="17" l="1"/>
  <c r="E74" i="17"/>
  <c r="K74" i="17"/>
  <c r="H61" i="17"/>
  <c r="K43" i="17"/>
  <c r="J57" i="17"/>
  <c r="C63" i="17" s="1"/>
  <c r="L54" i="15"/>
  <c r="I58" i="17" l="1"/>
  <c r="E71" i="17"/>
  <c r="E76" i="17" s="1"/>
  <c r="K71" i="17"/>
  <c r="K76" i="17" s="1"/>
  <c r="K77" i="17" s="1"/>
  <c r="L56" i="5"/>
  <c r="L56" i="3"/>
  <c r="L56" i="7"/>
  <c r="C43" i="16" l="1"/>
  <c r="C68" i="16"/>
  <c r="I57" i="16"/>
  <c r="C62" i="16" s="1"/>
  <c r="H57" i="16"/>
  <c r="G57" i="16"/>
  <c r="C66" i="16" s="1"/>
  <c r="F57" i="16"/>
  <c r="C65" i="16" s="1"/>
  <c r="E57" i="16"/>
  <c r="C64" i="16" s="1"/>
  <c r="D57" i="16"/>
  <c r="C67" i="16" s="1"/>
  <c r="J56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L57" i="16"/>
  <c r="J5" i="16"/>
  <c r="C61" i="16" l="1"/>
  <c r="K71" i="16" s="1"/>
  <c r="J57" i="16"/>
  <c r="C63" i="16" s="1"/>
  <c r="K43" i="16"/>
  <c r="K74" i="16"/>
  <c r="K76" i="16" s="1"/>
  <c r="K77" i="16" s="1"/>
  <c r="E74" i="16"/>
  <c r="H61" i="16"/>
  <c r="C70" i="14"/>
  <c r="E71" i="16" l="1"/>
  <c r="I58" i="16"/>
  <c r="E76" i="16"/>
  <c r="L38" i="15"/>
  <c r="L37" i="15"/>
  <c r="L40" i="15" l="1"/>
  <c r="L35" i="15" l="1"/>
  <c r="L36" i="15" l="1"/>
  <c r="L30" i="15" l="1"/>
  <c r="L16" i="15" l="1"/>
  <c r="L39" i="15" l="1"/>
  <c r="L11" i="15" l="1"/>
  <c r="L13" i="15" l="1"/>
  <c r="L43" i="15" l="1"/>
  <c r="L10" i="15" l="1"/>
  <c r="L19" i="15" l="1"/>
  <c r="L25" i="15" l="1"/>
  <c r="L26" i="15" l="1"/>
  <c r="L5" i="15" l="1"/>
  <c r="L34" i="15" l="1"/>
  <c r="C43" i="15" l="1"/>
  <c r="N57" i="15"/>
  <c r="C68" i="15" s="1"/>
  <c r="I57" i="15"/>
  <c r="C62" i="15" s="1"/>
  <c r="H57" i="15"/>
  <c r="C61" i="15" s="1"/>
  <c r="G57" i="15"/>
  <c r="C66" i="15" s="1"/>
  <c r="F57" i="15"/>
  <c r="C65" i="15" s="1"/>
  <c r="E57" i="15"/>
  <c r="C64" i="15" s="1"/>
  <c r="D57" i="15"/>
  <c r="C67" i="15" s="1"/>
  <c r="J56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L57" i="15"/>
  <c r="J5" i="15"/>
  <c r="K43" i="15" l="1"/>
  <c r="J57" i="15"/>
  <c r="C63" i="15" s="1"/>
  <c r="K74" i="15"/>
  <c r="E74" i="15"/>
  <c r="H61" i="15"/>
  <c r="K71" i="15"/>
  <c r="E71" i="15"/>
  <c r="I58" i="15"/>
  <c r="L54" i="14"/>
  <c r="L35" i="14"/>
  <c r="L17" i="14"/>
  <c r="L13" i="14"/>
  <c r="L6" i="14"/>
  <c r="L30" i="14"/>
  <c r="E76" i="15" l="1"/>
  <c r="K76" i="15"/>
  <c r="K77" i="15" s="1"/>
  <c r="L44" i="5"/>
  <c r="L44" i="7"/>
  <c r="L54" i="8" l="1"/>
  <c r="L39" i="14" l="1"/>
  <c r="L26" i="14" l="1"/>
  <c r="L27" i="14" l="1"/>
  <c r="L28" i="14" l="1"/>
  <c r="L12" i="14" l="1"/>
  <c r="L18" i="14" l="1"/>
  <c r="L29" i="14" l="1"/>
  <c r="L32" i="14" l="1"/>
  <c r="L33" i="14" l="1"/>
  <c r="L19" i="14" l="1"/>
  <c r="L25" i="14" l="1"/>
  <c r="L10" i="14" l="1"/>
  <c r="L5" i="14" l="1"/>
  <c r="L16" i="14" l="1"/>
  <c r="L36" i="14" l="1"/>
  <c r="L40" i="14" l="1"/>
  <c r="L11" i="14" l="1"/>
  <c r="C43" i="14" l="1"/>
  <c r="N57" i="14"/>
  <c r="C68" i="14" s="1"/>
  <c r="I57" i="14"/>
  <c r="C62" i="14" s="1"/>
  <c r="H57" i="14"/>
  <c r="C61" i="14" s="1"/>
  <c r="G57" i="14"/>
  <c r="C66" i="14" s="1"/>
  <c r="F57" i="14"/>
  <c r="C65" i="14" s="1"/>
  <c r="E57" i="14"/>
  <c r="C64" i="14" s="1"/>
  <c r="D57" i="14"/>
  <c r="C67" i="14" s="1"/>
  <c r="J56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K43" i="14" s="1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L57" i="14"/>
  <c r="J5" i="14"/>
  <c r="J57" i="14" l="1"/>
  <c r="C63" i="14" s="1"/>
  <c r="K74" i="14"/>
  <c r="E74" i="14"/>
  <c r="H61" i="14"/>
  <c r="K71" i="14"/>
  <c r="E71" i="14"/>
  <c r="I58" i="14"/>
  <c r="L6" i="12"/>
  <c r="L6" i="13"/>
  <c r="L54" i="13"/>
  <c r="L39" i="13"/>
  <c r="E76" i="14" l="1"/>
  <c r="K76" i="14"/>
  <c r="K77" i="14" s="1"/>
  <c r="L13" i="13"/>
  <c r="L16" i="13" l="1"/>
  <c r="L35" i="13" l="1"/>
  <c r="L34" i="13" l="1"/>
  <c r="L17" i="13" l="1"/>
  <c r="L36" i="13" l="1"/>
  <c r="L26" i="13" l="1"/>
  <c r="L43" i="13" l="1"/>
  <c r="L29" i="13" l="1"/>
  <c r="L10" i="13" l="1"/>
  <c r="L30" i="13" l="1"/>
  <c r="L5" i="13" l="1"/>
  <c r="L56" i="13" l="1"/>
  <c r="L54" i="12" l="1"/>
  <c r="L39" i="12" l="1"/>
  <c r="L6" i="11"/>
  <c r="L14" i="9" l="1"/>
  <c r="C43" i="13"/>
  <c r="N57" i="13"/>
  <c r="C68" i="13" s="1"/>
  <c r="I57" i="13"/>
  <c r="C62" i="13" s="1"/>
  <c r="H57" i="13"/>
  <c r="C61" i="13" s="1"/>
  <c r="G57" i="13"/>
  <c r="C66" i="13" s="1"/>
  <c r="F57" i="13"/>
  <c r="C65" i="13" s="1"/>
  <c r="E57" i="13"/>
  <c r="C64" i="13" s="1"/>
  <c r="D57" i="13"/>
  <c r="C67" i="13" s="1"/>
  <c r="J56" i="13"/>
  <c r="K55" i="13"/>
  <c r="M55" i="13" s="1"/>
  <c r="C55" i="14" s="1"/>
  <c r="K55" i="14" s="1"/>
  <c r="M55" i="14" s="1"/>
  <c r="C55" i="15" s="1"/>
  <c r="K55" i="15" s="1"/>
  <c r="M55" i="15" s="1"/>
  <c r="C55" i="16" s="1"/>
  <c r="K55" i="16" s="1"/>
  <c r="M55" i="16" s="1"/>
  <c r="C55" i="17" s="1"/>
  <c r="K55" i="17" s="1"/>
  <c r="M55" i="17" s="1"/>
  <c r="C55" i="18" s="1"/>
  <c r="K55" i="18" s="1"/>
  <c r="M55" i="18" s="1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K43" i="13" l="1"/>
  <c r="J57" i="13"/>
  <c r="C63" i="13" s="1"/>
  <c r="L57" i="13"/>
  <c r="K71" i="13"/>
  <c r="E71" i="13"/>
  <c r="I58" i="13"/>
  <c r="K74" i="13" l="1"/>
  <c r="K76" i="13" s="1"/>
  <c r="K77" i="13" s="1"/>
  <c r="E74" i="13"/>
  <c r="E76" i="13" s="1"/>
  <c r="H61" i="13"/>
  <c r="I80" i="11" l="1"/>
  <c r="L56" i="9"/>
  <c r="L55" i="9"/>
  <c r="L56" i="10"/>
  <c r="L56" i="12"/>
  <c r="L26" i="12" l="1"/>
  <c r="L34" i="12" l="1"/>
  <c r="L30" i="12" l="1"/>
  <c r="L16" i="12" l="1"/>
  <c r="L17" i="12" l="1"/>
  <c r="L36" i="12" l="1"/>
  <c r="L5" i="12" l="1"/>
  <c r="C43" i="12" l="1"/>
  <c r="N57" i="12"/>
  <c r="C68" i="12" s="1"/>
  <c r="I57" i="12"/>
  <c r="C62" i="12" s="1"/>
  <c r="H57" i="12"/>
  <c r="G57" i="12"/>
  <c r="C66" i="12" s="1"/>
  <c r="F57" i="12"/>
  <c r="C65" i="12" s="1"/>
  <c r="E57" i="12"/>
  <c r="C64" i="12" s="1"/>
  <c r="D57" i="12"/>
  <c r="C67" i="12" s="1"/>
  <c r="J56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K10" i="12" s="1"/>
  <c r="M10" i="12" s="1"/>
  <c r="C10" i="13" s="1"/>
  <c r="K10" i="13" s="1"/>
  <c r="M10" i="13" s="1"/>
  <c r="C10" i="14" s="1"/>
  <c r="K10" i="14" s="1"/>
  <c r="M10" i="14" s="1"/>
  <c r="C10" i="15" s="1"/>
  <c r="K10" i="15" s="1"/>
  <c r="M10" i="15" s="1"/>
  <c r="C10" i="16" s="1"/>
  <c r="K10" i="16" s="1"/>
  <c r="M10" i="16" s="1"/>
  <c r="C10" i="17" s="1"/>
  <c r="K10" i="17" s="1"/>
  <c r="M10" i="17" s="1"/>
  <c r="C10" i="18" s="1"/>
  <c r="K10" i="18" s="1"/>
  <c r="M10" i="18" s="1"/>
  <c r="J9" i="12"/>
  <c r="J8" i="12"/>
  <c r="J7" i="12"/>
  <c r="L57" i="12"/>
  <c r="J6" i="12"/>
  <c r="J5" i="12"/>
  <c r="K43" i="12" l="1"/>
  <c r="C61" i="12"/>
  <c r="K71" i="12" s="1"/>
  <c r="J57" i="12"/>
  <c r="C63" i="12" s="1"/>
  <c r="K74" i="12"/>
  <c r="H61" i="12"/>
  <c r="E74" i="12"/>
  <c r="E71" i="12" l="1"/>
  <c r="E76" i="12" s="1"/>
  <c r="K76" i="12"/>
  <c r="K77" i="12" s="1"/>
  <c r="I58" i="12"/>
  <c r="L35" i="11"/>
  <c r="L54" i="11" l="1"/>
  <c r="L56" i="11" l="1"/>
  <c r="L10" i="11" l="1"/>
  <c r="L40" i="11" l="1"/>
  <c r="L16" i="11" l="1"/>
  <c r="L36" i="11" l="1"/>
  <c r="L26" i="11" l="1"/>
  <c r="L13" i="11" l="1"/>
  <c r="L11" i="11"/>
  <c r="L30" i="11" l="1"/>
  <c r="L17" i="11" l="1"/>
  <c r="L54" i="10" l="1"/>
  <c r="L26" i="10"/>
  <c r="L54" i="9"/>
  <c r="C43" i="11" l="1"/>
  <c r="H57" i="10"/>
  <c r="N57" i="11"/>
  <c r="C68" i="11" s="1"/>
  <c r="I57" i="11"/>
  <c r="C62" i="11" s="1"/>
  <c r="H57" i="11"/>
  <c r="C61" i="11" s="1"/>
  <c r="G57" i="11"/>
  <c r="C66" i="11" s="1"/>
  <c r="F57" i="11"/>
  <c r="C65" i="11" s="1"/>
  <c r="E57" i="11"/>
  <c r="C64" i="11" s="1"/>
  <c r="D57" i="11"/>
  <c r="C67" i="11" s="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K43" i="11" s="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57" i="11" l="1"/>
  <c r="C63" i="11" s="1"/>
  <c r="L57" i="11"/>
  <c r="K71" i="11"/>
  <c r="E71" i="11"/>
  <c r="K74" i="11" l="1"/>
  <c r="K76" i="11" s="1"/>
  <c r="K77" i="11" s="1"/>
  <c r="H61" i="11"/>
  <c r="E74" i="11"/>
  <c r="E76" i="11" s="1"/>
  <c r="L6" i="10"/>
  <c r="L35" i="10"/>
  <c r="L16" i="10" l="1"/>
  <c r="L19" i="10" l="1"/>
  <c r="L25" i="10"/>
  <c r="L17" i="10" l="1"/>
  <c r="L34" i="10" l="1"/>
  <c r="L36" i="10" l="1"/>
  <c r="L40" i="10"/>
  <c r="O78" i="9" l="1"/>
  <c r="L30" i="10" l="1"/>
  <c r="L58" i="10" s="1"/>
  <c r="L13" i="10"/>
  <c r="L5" i="7" l="1"/>
  <c r="C43" i="10" l="1"/>
  <c r="L5" i="9"/>
  <c r="N57" i="10"/>
  <c r="C68" i="10" s="1"/>
  <c r="I57" i="10"/>
  <c r="C62" i="10" s="1"/>
  <c r="C61" i="10"/>
  <c r="K71" i="10" s="1"/>
  <c r="G57" i="10"/>
  <c r="C66" i="10" s="1"/>
  <c r="F57" i="10"/>
  <c r="C65" i="10" s="1"/>
  <c r="E57" i="10"/>
  <c r="C64" i="10" s="1"/>
  <c r="D57" i="10"/>
  <c r="C67" i="10" s="1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K43" i="10" s="1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L57" i="10"/>
  <c r="J5" i="10"/>
  <c r="L30" i="9"/>
  <c r="L17" i="9"/>
  <c r="J57" i="10" l="1"/>
  <c r="C63" i="10" s="1"/>
  <c r="K74" i="10"/>
  <c r="E74" i="10"/>
  <c r="H61" i="10"/>
  <c r="E71" i="10"/>
  <c r="E76" i="10" l="1"/>
  <c r="K76" i="10"/>
  <c r="K77" i="10" s="1"/>
  <c r="L37" i="9" l="1"/>
  <c r="O27" i="8" l="1"/>
  <c r="O54" i="9" l="1"/>
  <c r="L39" i="9" l="1"/>
  <c r="L40" i="9" l="1"/>
  <c r="L16" i="9"/>
  <c r="L13" i="9" l="1"/>
  <c r="L6" i="9" l="1"/>
  <c r="L34" i="9" l="1"/>
  <c r="L36" i="9" l="1"/>
  <c r="L34" i="6" l="1"/>
  <c r="N57" i="9"/>
  <c r="C68" i="9" s="1"/>
  <c r="I57" i="9"/>
  <c r="C62" i="9" s="1"/>
  <c r="H57" i="9"/>
  <c r="C61" i="9" s="1"/>
  <c r="K71" i="9" s="1"/>
  <c r="G57" i="9"/>
  <c r="C66" i="9" s="1"/>
  <c r="F57" i="9"/>
  <c r="C65" i="9" s="1"/>
  <c r="E57" i="9"/>
  <c r="C64" i="9" s="1"/>
  <c r="D57" i="9"/>
  <c r="C67" i="9" s="1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K43" i="9" s="1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O29" i="9" s="1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K8" i="9" s="1"/>
  <c r="M8" i="9" s="1"/>
  <c r="C8" i="10" s="1"/>
  <c r="K8" i="10" s="1"/>
  <c r="M8" i="10" s="1"/>
  <c r="C8" i="11" s="1"/>
  <c r="K8" i="11" s="1"/>
  <c r="M8" i="11" s="1"/>
  <c r="C8" i="12" s="1"/>
  <c r="K8" i="12" s="1"/>
  <c r="M8" i="12" s="1"/>
  <c r="C8" i="13" s="1"/>
  <c r="K8" i="13" s="1"/>
  <c r="M8" i="13" s="1"/>
  <c r="C8" i="14" s="1"/>
  <c r="K8" i="14" s="1"/>
  <c r="M8" i="14" s="1"/>
  <c r="C8" i="15" s="1"/>
  <c r="K8" i="15" s="1"/>
  <c r="M8" i="15" s="1"/>
  <c r="C8" i="16" s="1"/>
  <c r="K8" i="16" s="1"/>
  <c r="M8" i="16" s="1"/>
  <c r="C8" i="17" s="1"/>
  <c r="K8" i="17" s="1"/>
  <c r="M8" i="17" s="1"/>
  <c r="C8" i="18" s="1"/>
  <c r="K8" i="18" s="1"/>
  <c r="M8" i="18" s="1"/>
  <c r="J7" i="9"/>
  <c r="J6" i="9"/>
  <c r="L57" i="9"/>
  <c r="J5" i="9"/>
  <c r="J57" i="9" l="1"/>
  <c r="C63" i="9" s="1"/>
  <c r="O30" i="9"/>
  <c r="P29" i="9" s="1"/>
  <c r="P30" i="9" s="1"/>
  <c r="O34" i="9"/>
  <c r="Q30" i="9"/>
  <c r="K74" i="9"/>
  <c r="K76" i="9" s="1"/>
  <c r="K77" i="9" s="1"/>
  <c r="E74" i="9"/>
  <c r="H61" i="9"/>
  <c r="E71" i="9"/>
  <c r="Q29" i="9" l="1"/>
  <c r="E76" i="9"/>
  <c r="L25" i="8" l="1"/>
  <c r="L17" i="8" l="1"/>
  <c r="L6" i="8" l="1"/>
  <c r="L55" i="8" l="1"/>
  <c r="L36" i="8" l="1"/>
  <c r="L13" i="8" l="1"/>
  <c r="L40" i="8" l="1"/>
  <c r="L5" i="8" l="1"/>
  <c r="L30" i="8" l="1"/>
  <c r="L11" i="8" l="1"/>
  <c r="J28" i="8" l="1"/>
  <c r="P30" i="7"/>
  <c r="O33" i="7"/>
  <c r="P34" i="7" s="1"/>
  <c r="J28" i="7"/>
  <c r="J27" i="7"/>
  <c r="J27" i="8"/>
  <c r="P35" i="7" l="1"/>
  <c r="P58" i="7"/>
  <c r="P57" i="7"/>
  <c r="L26" i="7" l="1"/>
  <c r="L39" i="7" l="1"/>
  <c r="L33" i="7" l="1"/>
  <c r="N57" i="8" l="1"/>
  <c r="C68" i="8" s="1"/>
  <c r="L57" i="8"/>
  <c r="K74" i="8" s="1"/>
  <c r="I57" i="8"/>
  <c r="C62" i="8" s="1"/>
  <c r="H57" i="8"/>
  <c r="C61" i="8" s="1"/>
  <c r="K71" i="8" s="1"/>
  <c r="G57" i="8"/>
  <c r="C66" i="8" s="1"/>
  <c r="F57" i="8"/>
  <c r="C65" i="8" s="1"/>
  <c r="E57" i="8"/>
  <c r="C64" i="8" s="1"/>
  <c r="D57" i="8"/>
  <c r="C67" i="8" s="1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K29" i="8" s="1"/>
  <c r="M29" i="8" s="1"/>
  <c r="C29" i="9" s="1"/>
  <c r="K29" i="9" s="1"/>
  <c r="M29" i="9" s="1"/>
  <c r="C29" i="10" s="1"/>
  <c r="K29" i="10" s="1"/>
  <c r="M29" i="10" s="1"/>
  <c r="C29" i="11" s="1"/>
  <c r="K29" i="11" s="1"/>
  <c r="M29" i="11" s="1"/>
  <c r="C29" i="12" s="1"/>
  <c r="K29" i="12" s="1"/>
  <c r="M29" i="12" s="1"/>
  <c r="C29" i="13" s="1"/>
  <c r="K29" i="13" s="1"/>
  <c r="M29" i="13" s="1"/>
  <c r="C29" i="14" s="1"/>
  <c r="K29" i="14" s="1"/>
  <c r="M29" i="14" s="1"/>
  <c r="C29" i="15" s="1"/>
  <c r="K29" i="15" s="1"/>
  <c r="M29" i="15" s="1"/>
  <c r="C29" i="16" s="1"/>
  <c r="K29" i="16" s="1"/>
  <c r="M29" i="16" s="1"/>
  <c r="C29" i="17" s="1"/>
  <c r="K29" i="17" s="1"/>
  <c r="M29" i="17" s="1"/>
  <c r="C29" i="18" s="1"/>
  <c r="K29" i="18" s="1"/>
  <c r="M29" i="18" s="1"/>
  <c r="J26" i="8"/>
  <c r="J25" i="8"/>
  <c r="J24" i="8"/>
  <c r="J23" i="8"/>
  <c r="J22" i="8"/>
  <c r="J21" i="8"/>
  <c r="J20" i="8"/>
  <c r="J19" i="8"/>
  <c r="J18" i="8"/>
  <c r="K18" i="8" s="1"/>
  <c r="M18" i="8" s="1"/>
  <c r="C18" i="9" s="1"/>
  <c r="K18" i="9" s="1"/>
  <c r="M18" i="9" s="1"/>
  <c r="C18" i="10" s="1"/>
  <c r="K18" i="10" s="1"/>
  <c r="M18" i="10" s="1"/>
  <c r="C18" i="11" s="1"/>
  <c r="K18" i="11" s="1"/>
  <c r="M18" i="11" s="1"/>
  <c r="C18" i="12" s="1"/>
  <c r="K18" i="12" s="1"/>
  <c r="M18" i="12" s="1"/>
  <c r="C18" i="13" s="1"/>
  <c r="K18" i="13" s="1"/>
  <c r="M18" i="13" s="1"/>
  <c r="C18" i="14" s="1"/>
  <c r="K18" i="14" s="1"/>
  <c r="M18" i="14" s="1"/>
  <c r="C18" i="15" s="1"/>
  <c r="K18" i="15" s="1"/>
  <c r="M18" i="15" s="1"/>
  <c r="C18" i="16" s="1"/>
  <c r="K18" i="16" s="1"/>
  <c r="M18" i="16" s="1"/>
  <c r="C18" i="17" s="1"/>
  <c r="K18" i="17" s="1"/>
  <c r="M18" i="17" s="1"/>
  <c r="C18" i="18" s="1"/>
  <c r="K18" i="18" s="1"/>
  <c r="M18" i="18" s="1"/>
  <c r="J17" i="8"/>
  <c r="J16" i="8"/>
  <c r="J15" i="8"/>
  <c r="J14" i="8"/>
  <c r="J13" i="8"/>
  <c r="J12" i="8"/>
  <c r="K12" i="8" s="1"/>
  <c r="M12" i="8" s="1"/>
  <c r="C12" i="9" s="1"/>
  <c r="K12" i="9" s="1"/>
  <c r="M12" i="9" s="1"/>
  <c r="C12" i="10" s="1"/>
  <c r="K12" i="10" s="1"/>
  <c r="M12" i="10" s="1"/>
  <c r="C12" i="11" s="1"/>
  <c r="K12" i="11" s="1"/>
  <c r="M12" i="11" s="1"/>
  <c r="C12" i="12" s="1"/>
  <c r="K12" i="12" s="1"/>
  <c r="M12" i="12" s="1"/>
  <c r="C12" i="13" s="1"/>
  <c r="K12" i="13" s="1"/>
  <c r="M12" i="13" s="1"/>
  <c r="C12" i="14" s="1"/>
  <c r="K12" i="14" s="1"/>
  <c r="M12" i="14" s="1"/>
  <c r="C12" i="15" s="1"/>
  <c r="K12" i="15" s="1"/>
  <c r="M12" i="15" s="1"/>
  <c r="C12" i="16" s="1"/>
  <c r="K12" i="16" s="1"/>
  <c r="M12" i="16" s="1"/>
  <c r="C12" i="17" s="1"/>
  <c r="K12" i="17" s="1"/>
  <c r="M12" i="17" s="1"/>
  <c r="C12" i="18" s="1"/>
  <c r="K12" i="18" s="1"/>
  <c r="M12" i="18" s="1"/>
  <c r="J11" i="8"/>
  <c r="J10" i="8"/>
  <c r="J9" i="8"/>
  <c r="J8" i="8"/>
  <c r="J7" i="8"/>
  <c r="J6" i="8"/>
  <c r="J5" i="8"/>
  <c r="K76" i="8" l="1"/>
  <c r="K77" i="8" s="1"/>
  <c r="J57" i="8"/>
  <c r="C63" i="8" s="1"/>
  <c r="H61" i="8"/>
  <c r="E71" i="8"/>
  <c r="E74" i="8"/>
  <c r="E76" i="8" l="1"/>
  <c r="L10" i="7" l="1"/>
  <c r="L6" i="7" l="1"/>
  <c r="L17" i="7" l="1"/>
  <c r="P22" i="6" l="1"/>
  <c r="P23" i="6" s="1"/>
  <c r="L35" i="7" l="1"/>
  <c r="L16" i="7" l="1"/>
  <c r="L13" i="7" l="1"/>
  <c r="L40" i="7" l="1"/>
  <c r="L55" i="7" l="1"/>
  <c r="L14" i="7" l="1"/>
  <c r="L30" i="7" l="1"/>
  <c r="L36" i="7" l="1"/>
  <c r="J44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5" i="7"/>
  <c r="J46" i="7"/>
  <c r="J47" i="7"/>
  <c r="J48" i="7"/>
  <c r="J49" i="7"/>
  <c r="J50" i="7"/>
  <c r="J51" i="7"/>
  <c r="J52" i="7"/>
  <c r="J53" i="7"/>
  <c r="J54" i="7"/>
  <c r="J55" i="7"/>
  <c r="J56" i="7"/>
  <c r="J5" i="7"/>
  <c r="L11" i="7" l="1"/>
  <c r="L33" i="6" l="1"/>
  <c r="Q23" i="6"/>
  <c r="Q22" i="6" s="1"/>
  <c r="L6" i="6" l="1"/>
  <c r="L25" i="6"/>
  <c r="P31" i="6" l="1"/>
  <c r="L19" i="6"/>
  <c r="N39" i="6"/>
  <c r="O39" i="5"/>
  <c r="L39" i="6"/>
  <c r="L36" i="6"/>
  <c r="L5" i="6"/>
  <c r="N57" i="7"/>
  <c r="I57" i="7"/>
  <c r="C62" i="7" s="1"/>
  <c r="H57" i="7"/>
  <c r="C61" i="7" s="1"/>
  <c r="G57" i="7"/>
  <c r="C66" i="7" s="1"/>
  <c r="F57" i="7"/>
  <c r="C65" i="7" s="1"/>
  <c r="E57" i="7"/>
  <c r="C64" i="7" s="1"/>
  <c r="D57" i="7"/>
  <c r="C67" i="7" s="1"/>
  <c r="L57" i="7"/>
  <c r="K74" i="7" s="1"/>
  <c r="J57" i="7"/>
  <c r="C63" i="7" l="1"/>
  <c r="C68" i="7"/>
  <c r="E74" i="7"/>
  <c r="H61" i="7"/>
  <c r="E71" i="7"/>
  <c r="K71" i="7"/>
  <c r="K76" i="7" s="1"/>
  <c r="K77" i="7" s="1"/>
  <c r="L40" i="6"/>
  <c r="E76" i="7" l="1"/>
  <c r="L26" i="6"/>
  <c r="L8" i="6" l="1"/>
  <c r="L16" i="6" l="1"/>
  <c r="L11" i="6" l="1"/>
  <c r="L39" i="5" l="1"/>
  <c r="O40" i="5" s="1"/>
  <c r="L56" i="6"/>
  <c r="O44" i="5" l="1"/>
  <c r="L8" i="5"/>
  <c r="N57" i="6" l="1"/>
  <c r="C68" i="6" s="1"/>
  <c r="I57" i="6"/>
  <c r="C62" i="6" s="1"/>
  <c r="H57" i="6"/>
  <c r="C61" i="6" s="1"/>
  <c r="G57" i="6"/>
  <c r="C66" i="6" s="1"/>
  <c r="F57" i="6"/>
  <c r="C65" i="6" s="1"/>
  <c r="E57" i="6"/>
  <c r="C64" i="6" s="1"/>
  <c r="D57" i="6"/>
  <c r="C67" i="6" s="1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L57" i="6"/>
  <c r="J5" i="6"/>
  <c r="K73" i="3"/>
  <c r="E73" i="3"/>
  <c r="L31" i="3"/>
  <c r="E74" i="6" l="1"/>
  <c r="K74" i="6"/>
  <c r="J57" i="6"/>
  <c r="C63" i="6" s="1"/>
  <c r="H61" i="6"/>
  <c r="E71" i="6"/>
  <c r="K71" i="6"/>
  <c r="K76" i="6" l="1"/>
  <c r="K77" i="6" s="1"/>
  <c r="E76" i="6"/>
  <c r="L33" i="5"/>
  <c r="L16" i="5" l="1"/>
  <c r="L11" i="5" l="1"/>
  <c r="L5" i="5" l="1"/>
  <c r="L30" i="5" l="1"/>
  <c r="L55" i="5" l="1"/>
  <c r="L36" i="5" l="1"/>
  <c r="L40" i="5" l="1"/>
  <c r="L17" i="5" l="1"/>
  <c r="L19" i="5" l="1"/>
  <c r="L25" i="5"/>
  <c r="L10" i="5" l="1"/>
  <c r="N57" i="5" l="1"/>
  <c r="C68" i="5" s="1"/>
  <c r="I57" i="5"/>
  <c r="C62" i="5" s="1"/>
  <c r="H57" i="5"/>
  <c r="C61" i="5" s="1"/>
  <c r="G57" i="5"/>
  <c r="C66" i="5" s="1"/>
  <c r="F57" i="5"/>
  <c r="C65" i="5" s="1"/>
  <c r="E57" i="5"/>
  <c r="C64" i="5" s="1"/>
  <c r="D57" i="5"/>
  <c r="C67" i="5" s="1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K31" i="5"/>
  <c r="M31" i="5" s="1"/>
  <c r="C31" i="6" s="1"/>
  <c r="K31" i="6" s="1"/>
  <c r="M31" i="6" s="1"/>
  <c r="C31" i="7" s="1"/>
  <c r="K31" i="7" s="1"/>
  <c r="M31" i="7" s="1"/>
  <c r="C31" i="8" s="1"/>
  <c r="K31" i="8" s="1"/>
  <c r="M31" i="8" s="1"/>
  <c r="C31" i="9" s="1"/>
  <c r="K31" i="9" s="1"/>
  <c r="M31" i="9" s="1"/>
  <c r="C31" i="10" s="1"/>
  <c r="K31" i="10" s="1"/>
  <c r="M31" i="10" s="1"/>
  <c r="C31" i="11" s="1"/>
  <c r="K31" i="11" s="1"/>
  <c r="M31" i="11" s="1"/>
  <c r="C31" i="12" s="1"/>
  <c r="K31" i="12" s="1"/>
  <c r="M31" i="12" s="1"/>
  <c r="C31" i="13" s="1"/>
  <c r="K31" i="13" s="1"/>
  <c r="M31" i="13" s="1"/>
  <c r="C31" i="14" s="1"/>
  <c r="K31" i="14" s="1"/>
  <c r="M31" i="14" s="1"/>
  <c r="C31" i="15" s="1"/>
  <c r="K31" i="15" s="1"/>
  <c r="M31" i="15" s="1"/>
  <c r="C31" i="16" s="1"/>
  <c r="K31" i="16" s="1"/>
  <c r="M31" i="16" s="1"/>
  <c r="C31" i="17" s="1"/>
  <c r="K31" i="17" s="1"/>
  <c r="M31" i="17" s="1"/>
  <c r="C31" i="18" s="1"/>
  <c r="K31" i="18" s="1"/>
  <c r="M31" i="18" s="1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E71" i="5" l="1"/>
  <c r="N59" i="5"/>
  <c r="N63" i="5"/>
  <c r="J57" i="5"/>
  <c r="C63" i="5" s="1"/>
  <c r="K71" i="5"/>
  <c r="L12" i="4"/>
  <c r="L13" i="4" l="1"/>
  <c r="L6" i="4" l="1"/>
  <c r="P7" i="4" s="1"/>
  <c r="L16" i="4" l="1"/>
  <c r="L25" i="4" l="1"/>
  <c r="L19" i="4" l="1"/>
  <c r="L39" i="4" l="1"/>
  <c r="L5" i="4" l="1"/>
  <c r="L11" i="4" l="1"/>
  <c r="L55" i="4" l="1"/>
  <c r="L56" i="4" l="1"/>
  <c r="L36" i="4" l="1"/>
  <c r="L57" i="4" s="1"/>
  <c r="E73" i="4" l="1"/>
  <c r="K73" i="4"/>
  <c r="J28" i="4"/>
  <c r="J27" i="4"/>
  <c r="L40" i="3" l="1"/>
  <c r="L6" i="3" l="1"/>
  <c r="I57" i="4" l="1"/>
  <c r="C62" i="4" s="1"/>
  <c r="H57" i="4"/>
  <c r="C61" i="4" s="1"/>
  <c r="G57" i="4"/>
  <c r="C66" i="4" s="1"/>
  <c r="F57" i="4"/>
  <c r="C65" i="4" s="1"/>
  <c r="E57" i="4"/>
  <c r="C64" i="4" s="1"/>
  <c r="D57" i="4"/>
  <c r="C67" i="4" s="1"/>
  <c r="J56" i="4"/>
  <c r="J55" i="4"/>
  <c r="K55" i="4" s="1"/>
  <c r="M55" i="4" s="1"/>
  <c r="C55" i="5" s="1"/>
  <c r="K55" i="5" s="1"/>
  <c r="M55" i="5" s="1"/>
  <c r="C55" i="6" s="1"/>
  <c r="K55" i="6" s="1"/>
  <c r="M55" i="6" s="1"/>
  <c r="C55" i="7" s="1"/>
  <c r="K55" i="7" s="1"/>
  <c r="M55" i="7" s="1"/>
  <c r="C55" i="8" s="1"/>
  <c r="K55" i="8" s="1"/>
  <c r="M55" i="8" s="1"/>
  <c r="C55" i="9" s="1"/>
  <c r="K55" i="9" s="1"/>
  <c r="M55" i="9" s="1"/>
  <c r="C55" i="10" s="1"/>
  <c r="K55" i="10" s="1"/>
  <c r="M55" i="10" s="1"/>
  <c r="C55" i="11" s="1"/>
  <c r="K55" i="11" s="1"/>
  <c r="M55" i="11" s="1"/>
  <c r="C55" i="12" s="1"/>
  <c r="K55" i="12" s="1"/>
  <c r="M55" i="12" s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K38" i="4" s="1"/>
  <c r="M38" i="4" s="1"/>
  <c r="C38" i="5" s="1"/>
  <c r="K38" i="5" s="1"/>
  <c r="M38" i="5" s="1"/>
  <c r="C38" i="6" s="1"/>
  <c r="K38" i="6" s="1"/>
  <c r="M38" i="6" s="1"/>
  <c r="C38" i="7" s="1"/>
  <c r="K38" i="7" s="1"/>
  <c r="M38" i="7" s="1"/>
  <c r="C38" i="8" s="1"/>
  <c r="K38" i="8" s="1"/>
  <c r="M38" i="8" s="1"/>
  <c r="C38" i="9" s="1"/>
  <c r="K38" i="9" s="1"/>
  <c r="M38" i="9" s="1"/>
  <c r="C38" i="10" s="1"/>
  <c r="K38" i="10" s="1"/>
  <c r="M38" i="10" s="1"/>
  <c r="C38" i="11" s="1"/>
  <c r="K38" i="11" s="1"/>
  <c r="M38" i="11" s="1"/>
  <c r="C38" i="12" s="1"/>
  <c r="K38" i="12" s="1"/>
  <c r="M38" i="12" s="1"/>
  <c r="C38" i="13" s="1"/>
  <c r="K38" i="13" s="1"/>
  <c r="M38" i="13" s="1"/>
  <c r="C38" i="14" s="1"/>
  <c r="K38" i="14" s="1"/>
  <c r="M38" i="14" s="1"/>
  <c r="C38" i="15" s="1"/>
  <c r="K38" i="15" s="1"/>
  <c r="M38" i="15" s="1"/>
  <c r="C38" i="16" s="1"/>
  <c r="K38" i="16" s="1"/>
  <c r="M38" i="16" s="1"/>
  <c r="C38" i="17" s="1"/>
  <c r="K38" i="17" s="1"/>
  <c r="M38" i="17" s="1"/>
  <c r="C38" i="18" s="1"/>
  <c r="K38" i="18" s="1"/>
  <c r="M38" i="18" s="1"/>
  <c r="J37" i="4"/>
  <c r="K37" i="4" s="1"/>
  <c r="M37" i="4" s="1"/>
  <c r="C37" i="5" s="1"/>
  <c r="K37" i="5" s="1"/>
  <c r="M37" i="5" s="1"/>
  <c r="C37" i="6" s="1"/>
  <c r="K37" i="6" s="1"/>
  <c r="M37" i="6" s="1"/>
  <c r="C37" i="7" s="1"/>
  <c r="K37" i="7" s="1"/>
  <c r="M37" i="7" s="1"/>
  <c r="C37" i="8" s="1"/>
  <c r="J36" i="4"/>
  <c r="J35" i="4"/>
  <c r="J34" i="4"/>
  <c r="J33" i="4"/>
  <c r="J32" i="4"/>
  <c r="K31" i="4"/>
  <c r="M31" i="4" s="1"/>
  <c r="J30" i="4"/>
  <c r="J29" i="4"/>
  <c r="J26" i="4"/>
  <c r="J25" i="4"/>
  <c r="J24" i="4"/>
  <c r="J23" i="4"/>
  <c r="J22" i="4"/>
  <c r="J21" i="4"/>
  <c r="J20" i="4"/>
  <c r="J19" i="4"/>
  <c r="J18" i="4"/>
  <c r="N57" i="4"/>
  <c r="C68" i="4" s="1"/>
  <c r="J17" i="4"/>
  <c r="J16" i="4"/>
  <c r="J15" i="4"/>
  <c r="J14" i="4"/>
  <c r="J13" i="4"/>
  <c r="J12" i="4"/>
  <c r="J11" i="4"/>
  <c r="J10" i="4"/>
  <c r="J9" i="4"/>
  <c r="J8" i="4"/>
  <c r="J7" i="4"/>
  <c r="H61" i="4"/>
  <c r="J6" i="4"/>
  <c r="J5" i="4"/>
  <c r="K37" i="8" l="1"/>
  <c r="E70" i="4"/>
  <c r="E76" i="4" s="1"/>
  <c r="J57" i="4"/>
  <c r="C63" i="4" s="1"/>
  <c r="K71" i="4"/>
  <c r="K76" i="4" s="1"/>
  <c r="K77" i="4" s="1"/>
  <c r="M37" i="8" l="1"/>
  <c r="C37" i="9" s="1"/>
  <c r="K37" i="9" s="1"/>
  <c r="M37" i="9" s="1"/>
  <c r="C37" i="10" s="1"/>
  <c r="K37" i="10" s="1"/>
  <c r="M37" i="10" s="1"/>
  <c r="C37" i="11" s="1"/>
  <c r="K37" i="11" s="1"/>
  <c r="M37" i="11" s="1"/>
  <c r="C37" i="12" s="1"/>
  <c r="K37" i="12" s="1"/>
  <c r="M37" i="12" s="1"/>
  <c r="C37" i="13" s="1"/>
  <c r="K37" i="13" s="1"/>
  <c r="M37" i="13" s="1"/>
  <c r="C37" i="14" s="1"/>
  <c r="K37" i="14" s="1"/>
  <c r="M37" i="14" s="1"/>
  <c r="C37" i="15" s="1"/>
  <c r="K37" i="15" s="1"/>
  <c r="M37" i="15" s="1"/>
  <c r="C37" i="16" s="1"/>
  <c r="K37" i="16" s="1"/>
  <c r="M37" i="16" s="1"/>
  <c r="C37" i="17" s="1"/>
  <c r="K37" i="17" s="1"/>
  <c r="M37" i="17" s="1"/>
  <c r="C37" i="18" s="1"/>
  <c r="K37" i="18" s="1"/>
  <c r="M37" i="18" s="1"/>
  <c r="L5" i="2"/>
  <c r="J28" i="3" l="1"/>
  <c r="J27" i="3"/>
  <c r="J31" i="3"/>
  <c r="L36" i="3" l="1"/>
  <c r="N17" i="3" l="1"/>
  <c r="N57" i="3" s="1"/>
  <c r="C68" i="3" s="1"/>
  <c r="L37" i="3" l="1"/>
  <c r="L38" i="3"/>
  <c r="C57" i="3" l="1"/>
  <c r="K27" i="3"/>
  <c r="M27" i="3" s="1"/>
  <c r="C27" i="4" s="1"/>
  <c r="K27" i="4" s="1"/>
  <c r="M27" i="4" s="1"/>
  <c r="C27" i="5" s="1"/>
  <c r="K27" i="5" s="1"/>
  <c r="K28" i="3"/>
  <c r="M28" i="3" s="1"/>
  <c r="C28" i="4" s="1"/>
  <c r="K28" i="4" s="1"/>
  <c r="M28" i="4" s="1"/>
  <c r="C28" i="5" s="1"/>
  <c r="K28" i="5" s="1"/>
  <c r="M28" i="5" s="1"/>
  <c r="C28" i="6" s="1"/>
  <c r="K28" i="6" s="1"/>
  <c r="M28" i="6" s="1"/>
  <c r="C28" i="7" s="1"/>
  <c r="K31" i="3"/>
  <c r="J6" i="3"/>
  <c r="K6" i="3" s="1"/>
  <c r="M6" i="3" s="1"/>
  <c r="C6" i="4" s="1"/>
  <c r="K6" i="4" s="1"/>
  <c r="M6" i="4" s="1"/>
  <c r="J7" i="3"/>
  <c r="K7" i="3" s="1"/>
  <c r="M7" i="3" s="1"/>
  <c r="C7" i="4" s="1"/>
  <c r="K7" i="4" s="1"/>
  <c r="M7" i="4" s="1"/>
  <c r="C7" i="5" s="1"/>
  <c r="K7" i="5" s="1"/>
  <c r="M7" i="5" s="1"/>
  <c r="C7" i="6" s="1"/>
  <c r="K7" i="6" s="1"/>
  <c r="M7" i="6" s="1"/>
  <c r="C7" i="7" s="1"/>
  <c r="K7" i="7" s="1"/>
  <c r="M7" i="7" s="1"/>
  <c r="C7" i="8" s="1"/>
  <c r="K7" i="8" s="1"/>
  <c r="M7" i="8" s="1"/>
  <c r="C7" i="9" s="1"/>
  <c r="K7" i="9" s="1"/>
  <c r="M7" i="9" s="1"/>
  <c r="C7" i="10" s="1"/>
  <c r="K7" i="10" s="1"/>
  <c r="M7" i="10" s="1"/>
  <c r="C7" i="11" s="1"/>
  <c r="K7" i="11" s="1"/>
  <c r="M7" i="11" s="1"/>
  <c r="C7" i="12" s="1"/>
  <c r="K7" i="12" s="1"/>
  <c r="M7" i="12" s="1"/>
  <c r="C7" i="13" s="1"/>
  <c r="K7" i="13" s="1"/>
  <c r="M7" i="13" s="1"/>
  <c r="C7" i="14" s="1"/>
  <c r="K7" i="14" s="1"/>
  <c r="M7" i="14" s="1"/>
  <c r="C7" i="15" s="1"/>
  <c r="K7" i="15" s="1"/>
  <c r="M7" i="15" s="1"/>
  <c r="C7" i="16" s="1"/>
  <c r="K7" i="16" s="1"/>
  <c r="M7" i="16" s="1"/>
  <c r="C7" i="17" s="1"/>
  <c r="K7" i="17" s="1"/>
  <c r="M7" i="17" s="1"/>
  <c r="C7" i="18" s="1"/>
  <c r="K7" i="18" s="1"/>
  <c r="M7" i="18" s="1"/>
  <c r="J8" i="3"/>
  <c r="K8" i="3" s="1"/>
  <c r="M8" i="3" s="1"/>
  <c r="C8" i="4" s="1"/>
  <c r="J9" i="3"/>
  <c r="K9" i="3" s="1"/>
  <c r="M9" i="3" s="1"/>
  <c r="C9" i="4" s="1"/>
  <c r="K9" i="4" s="1"/>
  <c r="M9" i="4" s="1"/>
  <c r="C9" i="5" s="1"/>
  <c r="K9" i="5" s="1"/>
  <c r="M9" i="5" s="1"/>
  <c r="C9" i="6" s="1"/>
  <c r="K9" i="6" s="1"/>
  <c r="M9" i="6" s="1"/>
  <c r="C9" i="7" s="1"/>
  <c r="K9" i="7" s="1"/>
  <c r="M9" i="7" s="1"/>
  <c r="C9" i="8" s="1"/>
  <c r="K9" i="8" s="1"/>
  <c r="M9" i="8" s="1"/>
  <c r="C9" i="9" s="1"/>
  <c r="K9" i="9" s="1"/>
  <c r="M9" i="9" s="1"/>
  <c r="C9" i="10" s="1"/>
  <c r="K9" i="10" s="1"/>
  <c r="M9" i="10" s="1"/>
  <c r="C9" i="11" s="1"/>
  <c r="K9" i="11" s="1"/>
  <c r="M9" i="11" s="1"/>
  <c r="C9" i="12" s="1"/>
  <c r="K9" i="12" s="1"/>
  <c r="M9" i="12" s="1"/>
  <c r="C9" i="13" s="1"/>
  <c r="K9" i="13" s="1"/>
  <c r="M9" i="13" s="1"/>
  <c r="C9" i="14" s="1"/>
  <c r="K9" i="14" s="1"/>
  <c r="M9" i="14" s="1"/>
  <c r="C9" i="15" s="1"/>
  <c r="K9" i="15" s="1"/>
  <c r="M9" i="15" s="1"/>
  <c r="C9" i="16" s="1"/>
  <c r="K9" i="16" s="1"/>
  <c r="M9" i="16" s="1"/>
  <c r="C9" i="17" s="1"/>
  <c r="K9" i="17" s="1"/>
  <c r="M9" i="17" s="1"/>
  <c r="C9" i="18" s="1"/>
  <c r="K9" i="18" s="1"/>
  <c r="M9" i="18" s="1"/>
  <c r="J10" i="3"/>
  <c r="K10" i="3" s="1"/>
  <c r="M10" i="3" s="1"/>
  <c r="C10" i="4" s="1"/>
  <c r="K10" i="4" s="1"/>
  <c r="M10" i="4" s="1"/>
  <c r="C10" i="5" s="1"/>
  <c r="K10" i="5" s="1"/>
  <c r="M10" i="5" s="1"/>
  <c r="C10" i="6" s="1"/>
  <c r="K10" i="6" s="1"/>
  <c r="M10" i="6" s="1"/>
  <c r="C10" i="7" s="1"/>
  <c r="K10" i="7" s="1"/>
  <c r="M10" i="7" s="1"/>
  <c r="C10" i="8" s="1"/>
  <c r="K10" i="8" s="1"/>
  <c r="M10" i="8" s="1"/>
  <c r="C10" i="9" s="1"/>
  <c r="K10" i="9" s="1"/>
  <c r="M10" i="9" s="1"/>
  <c r="C10" i="10" s="1"/>
  <c r="K10" i="10" s="1"/>
  <c r="M10" i="10" s="1"/>
  <c r="C10" i="11" s="1"/>
  <c r="K10" i="11" s="1"/>
  <c r="M10" i="11" s="1"/>
  <c r="J11" i="3"/>
  <c r="K11" i="3" s="1"/>
  <c r="M11" i="3" s="1"/>
  <c r="C11" i="4" s="1"/>
  <c r="K11" i="4" s="1"/>
  <c r="M11" i="4" s="1"/>
  <c r="C11" i="5" s="1"/>
  <c r="K11" i="5" s="1"/>
  <c r="M11" i="5" s="1"/>
  <c r="C11" i="6" s="1"/>
  <c r="K11" i="6" s="1"/>
  <c r="M11" i="6" s="1"/>
  <c r="C11" i="7" s="1"/>
  <c r="K11" i="7" s="1"/>
  <c r="M11" i="7" s="1"/>
  <c r="C11" i="8" s="1"/>
  <c r="K11" i="8" s="1"/>
  <c r="M11" i="8" s="1"/>
  <c r="C11" i="9" s="1"/>
  <c r="K11" i="9" s="1"/>
  <c r="M11" i="9" s="1"/>
  <c r="C11" i="10" s="1"/>
  <c r="K11" i="10" s="1"/>
  <c r="M11" i="10" s="1"/>
  <c r="C11" i="11" s="1"/>
  <c r="K11" i="11" s="1"/>
  <c r="M11" i="11" s="1"/>
  <c r="C11" i="12" s="1"/>
  <c r="K11" i="12" s="1"/>
  <c r="M11" i="12" s="1"/>
  <c r="C11" i="13" s="1"/>
  <c r="K11" i="13" s="1"/>
  <c r="M11" i="13" s="1"/>
  <c r="C11" i="14" s="1"/>
  <c r="K11" i="14" s="1"/>
  <c r="M11" i="14" s="1"/>
  <c r="C11" i="15" s="1"/>
  <c r="K11" i="15" s="1"/>
  <c r="M11" i="15" s="1"/>
  <c r="C11" i="16" s="1"/>
  <c r="K11" i="16" s="1"/>
  <c r="M11" i="16" s="1"/>
  <c r="C11" i="17" s="1"/>
  <c r="K11" i="17" s="1"/>
  <c r="M11" i="17" s="1"/>
  <c r="C11" i="18" s="1"/>
  <c r="K11" i="18" s="1"/>
  <c r="M11" i="18" s="1"/>
  <c r="J12" i="3"/>
  <c r="K12" i="3" s="1"/>
  <c r="J13" i="3"/>
  <c r="K13" i="3" s="1"/>
  <c r="M13" i="3" s="1"/>
  <c r="C13" i="4" s="1"/>
  <c r="K13" i="4" s="1"/>
  <c r="M13" i="4" s="1"/>
  <c r="C13" i="5" s="1"/>
  <c r="K13" i="5" s="1"/>
  <c r="M13" i="5" s="1"/>
  <c r="C13" i="6" s="1"/>
  <c r="K13" i="6" s="1"/>
  <c r="M13" i="6" s="1"/>
  <c r="C13" i="7" s="1"/>
  <c r="K13" i="7" s="1"/>
  <c r="M13" i="7" s="1"/>
  <c r="C13" i="8" s="1"/>
  <c r="K13" i="8" s="1"/>
  <c r="M13" i="8" s="1"/>
  <c r="C13" i="9" s="1"/>
  <c r="K13" i="9" s="1"/>
  <c r="M13" i="9" s="1"/>
  <c r="C13" i="10" s="1"/>
  <c r="K13" i="10" s="1"/>
  <c r="M13" i="10" s="1"/>
  <c r="C13" i="11" s="1"/>
  <c r="K13" i="11" s="1"/>
  <c r="M13" i="11" s="1"/>
  <c r="C13" i="12" s="1"/>
  <c r="K13" i="12" s="1"/>
  <c r="M13" i="12" s="1"/>
  <c r="C13" i="13" s="1"/>
  <c r="K13" i="13" s="1"/>
  <c r="M13" i="13" s="1"/>
  <c r="C13" i="14" s="1"/>
  <c r="K13" i="14" s="1"/>
  <c r="M13" i="14" s="1"/>
  <c r="C13" i="15" s="1"/>
  <c r="K13" i="15" s="1"/>
  <c r="M13" i="15" s="1"/>
  <c r="C13" i="16" s="1"/>
  <c r="K13" i="16" s="1"/>
  <c r="M13" i="16" s="1"/>
  <c r="C13" i="17" s="1"/>
  <c r="K13" i="17" s="1"/>
  <c r="M13" i="17" s="1"/>
  <c r="C13" i="18" s="1"/>
  <c r="K13" i="18" s="1"/>
  <c r="M13" i="18" s="1"/>
  <c r="J14" i="3"/>
  <c r="K14" i="3" s="1"/>
  <c r="M14" i="3" s="1"/>
  <c r="C14" i="4" s="1"/>
  <c r="K14" i="4" s="1"/>
  <c r="M14" i="4" s="1"/>
  <c r="C14" i="5" s="1"/>
  <c r="K14" i="5" s="1"/>
  <c r="M14" i="5" s="1"/>
  <c r="C14" i="6" s="1"/>
  <c r="K14" i="6" s="1"/>
  <c r="M14" i="6" s="1"/>
  <c r="C14" i="7" s="1"/>
  <c r="K14" i="7" s="1"/>
  <c r="M14" i="7" s="1"/>
  <c r="C14" i="8" s="1"/>
  <c r="K14" i="8" s="1"/>
  <c r="M14" i="8" s="1"/>
  <c r="C14" i="9" s="1"/>
  <c r="K14" i="9" s="1"/>
  <c r="M14" i="9" s="1"/>
  <c r="M14" i="10" s="1"/>
  <c r="C14" i="11" s="1"/>
  <c r="K14" i="11" s="1"/>
  <c r="M14" i="11" s="1"/>
  <c r="C14" i="12" s="1"/>
  <c r="K14" i="12" s="1"/>
  <c r="M14" i="12" s="1"/>
  <c r="C14" i="13" s="1"/>
  <c r="K14" i="13" s="1"/>
  <c r="M14" i="13" s="1"/>
  <c r="C14" i="14" s="1"/>
  <c r="K14" i="14" s="1"/>
  <c r="M14" i="14" s="1"/>
  <c r="C14" i="15" s="1"/>
  <c r="K14" i="15" s="1"/>
  <c r="M14" i="15" s="1"/>
  <c r="C14" i="16" s="1"/>
  <c r="K14" i="16" s="1"/>
  <c r="M14" i="16" s="1"/>
  <c r="C14" i="17" s="1"/>
  <c r="K14" i="17" s="1"/>
  <c r="M14" i="17" s="1"/>
  <c r="C14" i="18" s="1"/>
  <c r="K14" i="18" s="1"/>
  <c r="M14" i="18" s="1"/>
  <c r="J15" i="3"/>
  <c r="K15" i="3" s="1"/>
  <c r="M15" i="3" s="1"/>
  <c r="C15" i="4" s="1"/>
  <c r="K15" i="4" s="1"/>
  <c r="M15" i="4" s="1"/>
  <c r="C15" i="5" s="1"/>
  <c r="K15" i="5" s="1"/>
  <c r="M15" i="5" s="1"/>
  <c r="C15" i="6" s="1"/>
  <c r="K15" i="6" s="1"/>
  <c r="M15" i="6" s="1"/>
  <c r="C15" i="7" s="1"/>
  <c r="K15" i="7" s="1"/>
  <c r="M15" i="7" s="1"/>
  <c r="C15" i="8" s="1"/>
  <c r="K15" i="8" s="1"/>
  <c r="M15" i="8" s="1"/>
  <c r="C15" i="9" s="1"/>
  <c r="K15" i="9" s="1"/>
  <c r="M15" i="9" s="1"/>
  <c r="C15" i="10" s="1"/>
  <c r="K15" i="10" s="1"/>
  <c r="M15" i="10" s="1"/>
  <c r="C15" i="11" s="1"/>
  <c r="K15" i="11" s="1"/>
  <c r="M15" i="11" s="1"/>
  <c r="C15" i="12" s="1"/>
  <c r="K15" i="12" s="1"/>
  <c r="M15" i="12" s="1"/>
  <c r="C15" i="13" s="1"/>
  <c r="K15" i="13" s="1"/>
  <c r="M15" i="13" s="1"/>
  <c r="C15" i="14" s="1"/>
  <c r="K15" i="14" s="1"/>
  <c r="M15" i="14" s="1"/>
  <c r="C15" i="15" s="1"/>
  <c r="K15" i="15" s="1"/>
  <c r="M15" i="15" s="1"/>
  <c r="C15" i="16" s="1"/>
  <c r="K15" i="16" s="1"/>
  <c r="M15" i="16" s="1"/>
  <c r="C15" i="17" s="1"/>
  <c r="K15" i="17" s="1"/>
  <c r="M15" i="17" s="1"/>
  <c r="C15" i="18" s="1"/>
  <c r="K15" i="18" s="1"/>
  <c r="M15" i="18" s="1"/>
  <c r="J16" i="3"/>
  <c r="K16" i="3" s="1"/>
  <c r="M16" i="3" s="1"/>
  <c r="C16" i="4" s="1"/>
  <c r="K16" i="4" s="1"/>
  <c r="M16" i="4" s="1"/>
  <c r="C16" i="5" s="1"/>
  <c r="K16" i="5" s="1"/>
  <c r="M16" i="5" s="1"/>
  <c r="C16" i="6" s="1"/>
  <c r="K16" i="6" s="1"/>
  <c r="M16" i="6" s="1"/>
  <c r="C16" i="7" s="1"/>
  <c r="K16" i="7" s="1"/>
  <c r="M16" i="7" s="1"/>
  <c r="C16" i="8" s="1"/>
  <c r="K16" i="8" s="1"/>
  <c r="M16" i="8" s="1"/>
  <c r="C16" i="9" s="1"/>
  <c r="K16" i="9" s="1"/>
  <c r="M16" i="9" s="1"/>
  <c r="C16" i="10" s="1"/>
  <c r="K16" i="10" s="1"/>
  <c r="M16" i="10" s="1"/>
  <c r="C16" i="11" s="1"/>
  <c r="K16" i="11" s="1"/>
  <c r="M16" i="11" s="1"/>
  <c r="C16" i="12" s="1"/>
  <c r="K16" i="12" s="1"/>
  <c r="M16" i="12" s="1"/>
  <c r="C16" i="13" s="1"/>
  <c r="K16" i="13" s="1"/>
  <c r="M16" i="13" s="1"/>
  <c r="C16" i="14" s="1"/>
  <c r="K16" i="14" s="1"/>
  <c r="M16" i="14" s="1"/>
  <c r="C16" i="15" s="1"/>
  <c r="K16" i="15" s="1"/>
  <c r="M16" i="15" s="1"/>
  <c r="C16" i="16" s="1"/>
  <c r="K16" i="16" s="1"/>
  <c r="M16" i="16" s="1"/>
  <c r="C16" i="17" s="1"/>
  <c r="K16" i="17" s="1"/>
  <c r="M16" i="17" s="1"/>
  <c r="C16" i="18" s="1"/>
  <c r="K16" i="18" s="1"/>
  <c r="M16" i="18" s="1"/>
  <c r="J17" i="3"/>
  <c r="K17" i="3" s="1"/>
  <c r="M17" i="3" s="1"/>
  <c r="C17" i="4" s="1"/>
  <c r="K17" i="4" s="1"/>
  <c r="M17" i="4" s="1"/>
  <c r="C17" i="5" s="1"/>
  <c r="K17" i="5" s="1"/>
  <c r="M17" i="5" s="1"/>
  <c r="C17" i="6" s="1"/>
  <c r="K17" i="6" s="1"/>
  <c r="M17" i="6" s="1"/>
  <c r="C17" i="7" s="1"/>
  <c r="K17" i="7" s="1"/>
  <c r="M17" i="7" s="1"/>
  <c r="C17" i="8" s="1"/>
  <c r="K17" i="8" s="1"/>
  <c r="M17" i="8" s="1"/>
  <c r="C17" i="9" s="1"/>
  <c r="K17" i="9" s="1"/>
  <c r="M17" i="9" s="1"/>
  <c r="C17" i="10" s="1"/>
  <c r="K17" i="10" s="1"/>
  <c r="M17" i="10" s="1"/>
  <c r="C17" i="11" s="1"/>
  <c r="K17" i="11" s="1"/>
  <c r="M17" i="11" s="1"/>
  <c r="C17" i="12" s="1"/>
  <c r="K17" i="12" s="1"/>
  <c r="M17" i="12" s="1"/>
  <c r="C17" i="13" s="1"/>
  <c r="K17" i="13" s="1"/>
  <c r="M17" i="13" s="1"/>
  <c r="C17" i="14" s="1"/>
  <c r="K17" i="14" s="1"/>
  <c r="M17" i="14" s="1"/>
  <c r="C17" i="15" s="1"/>
  <c r="K17" i="15" s="1"/>
  <c r="M17" i="15" s="1"/>
  <c r="C17" i="16" s="1"/>
  <c r="K17" i="16" s="1"/>
  <c r="M17" i="16" s="1"/>
  <c r="C17" i="17" s="1"/>
  <c r="K17" i="17" s="1"/>
  <c r="J18" i="3"/>
  <c r="K18" i="3" s="1"/>
  <c r="M18" i="3" s="1"/>
  <c r="C18" i="4" s="1"/>
  <c r="K18" i="4" s="1"/>
  <c r="M18" i="4" s="1"/>
  <c r="C18" i="5" s="1"/>
  <c r="K18" i="5" s="1"/>
  <c r="M18" i="5" s="1"/>
  <c r="C18" i="6" s="1"/>
  <c r="K18" i="6" s="1"/>
  <c r="M18" i="6" s="1"/>
  <c r="C18" i="7" s="1"/>
  <c r="K18" i="7" s="1"/>
  <c r="M18" i="7" s="1"/>
  <c r="J19" i="3"/>
  <c r="K19" i="3" s="1"/>
  <c r="J20" i="3"/>
  <c r="K20" i="3" s="1"/>
  <c r="M20" i="3" s="1"/>
  <c r="C20" i="4" s="1"/>
  <c r="K20" i="4" s="1"/>
  <c r="M20" i="4" s="1"/>
  <c r="C20" i="5" s="1"/>
  <c r="K20" i="5" s="1"/>
  <c r="M20" i="5" s="1"/>
  <c r="C20" i="6" s="1"/>
  <c r="K20" i="6" s="1"/>
  <c r="M20" i="6" s="1"/>
  <c r="C20" i="7" s="1"/>
  <c r="K20" i="7" s="1"/>
  <c r="M20" i="7" s="1"/>
  <c r="C20" i="8" s="1"/>
  <c r="K20" i="8" s="1"/>
  <c r="M20" i="8" s="1"/>
  <c r="C20" i="9" s="1"/>
  <c r="K20" i="9" s="1"/>
  <c r="M20" i="9" s="1"/>
  <c r="C20" i="10" s="1"/>
  <c r="K20" i="10" s="1"/>
  <c r="M20" i="10" s="1"/>
  <c r="C20" i="11" s="1"/>
  <c r="K20" i="11" s="1"/>
  <c r="M20" i="11" s="1"/>
  <c r="C20" i="12" s="1"/>
  <c r="K20" i="12" s="1"/>
  <c r="M20" i="12" s="1"/>
  <c r="C20" i="13" s="1"/>
  <c r="K20" i="13" s="1"/>
  <c r="M20" i="13" s="1"/>
  <c r="C20" i="14" s="1"/>
  <c r="K20" i="14" s="1"/>
  <c r="M20" i="14" s="1"/>
  <c r="C20" i="15" s="1"/>
  <c r="K20" i="15" s="1"/>
  <c r="M20" i="15" s="1"/>
  <c r="C20" i="16" s="1"/>
  <c r="K20" i="16" s="1"/>
  <c r="M20" i="16" s="1"/>
  <c r="C20" i="17" s="1"/>
  <c r="K20" i="17" s="1"/>
  <c r="M20" i="17" s="1"/>
  <c r="C20" i="18" s="1"/>
  <c r="K20" i="18" s="1"/>
  <c r="M20" i="18" s="1"/>
  <c r="J21" i="3"/>
  <c r="K21" i="3" s="1"/>
  <c r="M21" i="3" s="1"/>
  <c r="C21" i="4" s="1"/>
  <c r="K21" i="4" s="1"/>
  <c r="M21" i="4" s="1"/>
  <c r="C21" i="5" s="1"/>
  <c r="K21" i="5" s="1"/>
  <c r="M21" i="5" s="1"/>
  <c r="C21" i="6" s="1"/>
  <c r="K21" i="6" s="1"/>
  <c r="M21" i="6" s="1"/>
  <c r="C21" i="7" s="1"/>
  <c r="K21" i="7" s="1"/>
  <c r="M21" i="7" s="1"/>
  <c r="C21" i="8" s="1"/>
  <c r="K21" i="8" s="1"/>
  <c r="M21" i="8" s="1"/>
  <c r="C21" i="9" s="1"/>
  <c r="K21" i="9" s="1"/>
  <c r="M21" i="9" s="1"/>
  <c r="C21" i="10" s="1"/>
  <c r="K21" i="10" s="1"/>
  <c r="M21" i="10" s="1"/>
  <c r="C21" i="11" s="1"/>
  <c r="K21" i="11" s="1"/>
  <c r="M21" i="11" s="1"/>
  <c r="C21" i="12" s="1"/>
  <c r="K21" i="12" s="1"/>
  <c r="M21" i="12" s="1"/>
  <c r="C21" i="13" s="1"/>
  <c r="K21" i="13" s="1"/>
  <c r="M21" i="13" s="1"/>
  <c r="C21" i="14" s="1"/>
  <c r="K21" i="14" s="1"/>
  <c r="M21" i="14" s="1"/>
  <c r="C21" i="15" s="1"/>
  <c r="K21" i="15" s="1"/>
  <c r="M21" i="15" s="1"/>
  <c r="C21" i="16" s="1"/>
  <c r="K21" i="16" s="1"/>
  <c r="M21" i="16" s="1"/>
  <c r="C21" i="17" s="1"/>
  <c r="K21" i="17" s="1"/>
  <c r="M21" i="17" s="1"/>
  <c r="C21" i="18" s="1"/>
  <c r="K21" i="18" s="1"/>
  <c r="M21" i="18" s="1"/>
  <c r="J22" i="3"/>
  <c r="K22" i="3" s="1"/>
  <c r="M22" i="3" s="1"/>
  <c r="C22" i="4" s="1"/>
  <c r="K22" i="4" s="1"/>
  <c r="M22" i="4" s="1"/>
  <c r="C22" i="5" s="1"/>
  <c r="K22" i="5" s="1"/>
  <c r="M22" i="5" s="1"/>
  <c r="C22" i="6" s="1"/>
  <c r="K22" i="6" s="1"/>
  <c r="M22" i="6" s="1"/>
  <c r="C22" i="7" s="1"/>
  <c r="K22" i="7" s="1"/>
  <c r="M22" i="7" s="1"/>
  <c r="C22" i="8" s="1"/>
  <c r="K22" i="8" s="1"/>
  <c r="M22" i="8" s="1"/>
  <c r="C22" i="9" s="1"/>
  <c r="K22" i="9" s="1"/>
  <c r="M22" i="9" s="1"/>
  <c r="C22" i="10" s="1"/>
  <c r="K22" i="10" s="1"/>
  <c r="M22" i="10" s="1"/>
  <c r="C22" i="11" s="1"/>
  <c r="K22" i="11" s="1"/>
  <c r="M22" i="11" s="1"/>
  <c r="C22" i="12" s="1"/>
  <c r="K22" i="12" s="1"/>
  <c r="M22" i="12" s="1"/>
  <c r="C22" i="13" s="1"/>
  <c r="K22" i="13" s="1"/>
  <c r="M22" i="13" s="1"/>
  <c r="C22" i="14" s="1"/>
  <c r="K22" i="14" s="1"/>
  <c r="M22" i="14" s="1"/>
  <c r="C22" i="15" s="1"/>
  <c r="K22" i="15" s="1"/>
  <c r="M22" i="15" s="1"/>
  <c r="C22" i="16" s="1"/>
  <c r="K22" i="16" s="1"/>
  <c r="M22" i="16" s="1"/>
  <c r="C22" i="17" s="1"/>
  <c r="K22" i="17" s="1"/>
  <c r="M22" i="17" s="1"/>
  <c r="C22" i="18" s="1"/>
  <c r="K22" i="18" s="1"/>
  <c r="M22" i="18" s="1"/>
  <c r="J23" i="3"/>
  <c r="K23" i="3" s="1"/>
  <c r="M23" i="3" s="1"/>
  <c r="C23" i="4" s="1"/>
  <c r="K23" i="4" s="1"/>
  <c r="M23" i="4" s="1"/>
  <c r="C23" i="5" s="1"/>
  <c r="K23" i="5" s="1"/>
  <c r="M23" i="5" s="1"/>
  <c r="C23" i="6" s="1"/>
  <c r="K23" i="6" s="1"/>
  <c r="M23" i="6" s="1"/>
  <c r="C23" i="7" s="1"/>
  <c r="K23" i="7" s="1"/>
  <c r="M23" i="7" s="1"/>
  <c r="C23" i="8" s="1"/>
  <c r="K23" i="8" s="1"/>
  <c r="M23" i="8" s="1"/>
  <c r="C23" i="9" s="1"/>
  <c r="K23" i="9" s="1"/>
  <c r="M23" i="9" s="1"/>
  <c r="C23" i="10" s="1"/>
  <c r="K23" i="10" s="1"/>
  <c r="M23" i="10" s="1"/>
  <c r="C23" i="11" s="1"/>
  <c r="K23" i="11" s="1"/>
  <c r="M23" i="11" s="1"/>
  <c r="C23" i="12" s="1"/>
  <c r="K23" i="12" s="1"/>
  <c r="M23" i="12" s="1"/>
  <c r="C23" i="13" s="1"/>
  <c r="K23" i="13" s="1"/>
  <c r="M23" i="13" s="1"/>
  <c r="C23" i="14" s="1"/>
  <c r="K23" i="14" s="1"/>
  <c r="M23" i="14" s="1"/>
  <c r="C23" i="15" s="1"/>
  <c r="K23" i="15" s="1"/>
  <c r="M23" i="15" s="1"/>
  <c r="C23" i="16" s="1"/>
  <c r="K23" i="16" s="1"/>
  <c r="M23" i="16" s="1"/>
  <c r="C23" i="17" s="1"/>
  <c r="K23" i="17" s="1"/>
  <c r="M23" i="17" s="1"/>
  <c r="C23" i="18" s="1"/>
  <c r="K23" i="18" s="1"/>
  <c r="M23" i="18" s="1"/>
  <c r="J24" i="3"/>
  <c r="K24" i="3" s="1"/>
  <c r="M24" i="3" s="1"/>
  <c r="C24" i="4" s="1"/>
  <c r="K24" i="4" s="1"/>
  <c r="M24" i="4" s="1"/>
  <c r="C24" i="5" s="1"/>
  <c r="K24" i="5" s="1"/>
  <c r="M24" i="5" s="1"/>
  <c r="C24" i="6" s="1"/>
  <c r="K24" i="6" s="1"/>
  <c r="M24" i="6" s="1"/>
  <c r="C24" i="7" s="1"/>
  <c r="K24" i="7" s="1"/>
  <c r="M24" i="7" s="1"/>
  <c r="C24" i="8" s="1"/>
  <c r="K24" i="8" s="1"/>
  <c r="M24" i="8" s="1"/>
  <c r="C24" i="9" s="1"/>
  <c r="K24" i="9" s="1"/>
  <c r="M24" i="9" s="1"/>
  <c r="C24" i="10" s="1"/>
  <c r="K24" i="10" s="1"/>
  <c r="M24" i="10" s="1"/>
  <c r="C24" i="11" s="1"/>
  <c r="K24" i="11" s="1"/>
  <c r="M24" i="11" s="1"/>
  <c r="C24" i="12" s="1"/>
  <c r="K24" i="12" s="1"/>
  <c r="M24" i="12" s="1"/>
  <c r="C24" i="13" s="1"/>
  <c r="K24" i="13" s="1"/>
  <c r="M24" i="13" s="1"/>
  <c r="C24" i="14" s="1"/>
  <c r="K24" i="14" s="1"/>
  <c r="M24" i="14" s="1"/>
  <c r="C24" i="15" s="1"/>
  <c r="K24" i="15" s="1"/>
  <c r="M24" i="15" s="1"/>
  <c r="C24" i="16" s="1"/>
  <c r="K24" i="16" s="1"/>
  <c r="M24" i="16" s="1"/>
  <c r="C24" i="17" s="1"/>
  <c r="K24" i="17" s="1"/>
  <c r="M24" i="17" s="1"/>
  <c r="C24" i="18" s="1"/>
  <c r="K24" i="18" s="1"/>
  <c r="M24" i="18" s="1"/>
  <c r="J25" i="3"/>
  <c r="K25" i="3" s="1"/>
  <c r="J26" i="3"/>
  <c r="K26" i="3" s="1"/>
  <c r="M26" i="3" s="1"/>
  <c r="C26" i="4" s="1"/>
  <c r="K26" i="4" s="1"/>
  <c r="M26" i="4" s="1"/>
  <c r="C26" i="5" s="1"/>
  <c r="K26" i="5" s="1"/>
  <c r="M26" i="5" s="1"/>
  <c r="C26" i="6" s="1"/>
  <c r="K26" i="6" s="1"/>
  <c r="M26" i="6" s="1"/>
  <c r="C26" i="7" s="1"/>
  <c r="K26" i="7" s="1"/>
  <c r="M26" i="7" s="1"/>
  <c r="C26" i="8" s="1"/>
  <c r="K26" i="8" s="1"/>
  <c r="M26" i="8" s="1"/>
  <c r="C26" i="9" s="1"/>
  <c r="K26" i="9" s="1"/>
  <c r="M26" i="9" s="1"/>
  <c r="C26" i="10" s="1"/>
  <c r="K26" i="10" s="1"/>
  <c r="M26" i="10" s="1"/>
  <c r="C26" i="11" s="1"/>
  <c r="K26" i="11" s="1"/>
  <c r="M26" i="11" s="1"/>
  <c r="C26" i="12" s="1"/>
  <c r="K26" i="12" s="1"/>
  <c r="M26" i="12" s="1"/>
  <c r="C26" i="13" s="1"/>
  <c r="K26" i="13" s="1"/>
  <c r="M26" i="13" s="1"/>
  <c r="C26" i="14" s="1"/>
  <c r="K26" i="14" s="1"/>
  <c r="M26" i="14" s="1"/>
  <c r="C26" i="15" s="1"/>
  <c r="K26" i="15" s="1"/>
  <c r="M26" i="15" s="1"/>
  <c r="C26" i="16" s="1"/>
  <c r="K26" i="16" s="1"/>
  <c r="M26" i="16" s="1"/>
  <c r="C26" i="17" s="1"/>
  <c r="K26" i="17" s="1"/>
  <c r="M26" i="17" s="1"/>
  <c r="C26" i="18" s="1"/>
  <c r="K26" i="18" s="1"/>
  <c r="M26" i="18" s="1"/>
  <c r="J29" i="3"/>
  <c r="K29" i="3" s="1"/>
  <c r="M29" i="3" s="1"/>
  <c r="C29" i="4" s="1"/>
  <c r="K29" i="4" s="1"/>
  <c r="M29" i="4" s="1"/>
  <c r="C29" i="5" s="1"/>
  <c r="K29" i="5" s="1"/>
  <c r="M29" i="5" s="1"/>
  <c r="C29" i="6" s="1"/>
  <c r="K29" i="6" s="1"/>
  <c r="M29" i="6" s="1"/>
  <c r="C29" i="7" s="1"/>
  <c r="K29" i="7" s="1"/>
  <c r="M29" i="7" s="1"/>
  <c r="J30" i="3"/>
  <c r="K30" i="3" s="1"/>
  <c r="M30" i="3" s="1"/>
  <c r="C30" i="4" s="1"/>
  <c r="K30" i="4" s="1"/>
  <c r="M30" i="4" s="1"/>
  <c r="C30" i="5" s="1"/>
  <c r="K30" i="5" s="1"/>
  <c r="M30" i="5" s="1"/>
  <c r="C30" i="6" s="1"/>
  <c r="K30" i="6" s="1"/>
  <c r="M30" i="6" s="1"/>
  <c r="C30" i="7" s="1"/>
  <c r="K30" i="7" s="1"/>
  <c r="M30" i="7" s="1"/>
  <c r="C30" i="8" s="1"/>
  <c r="K30" i="8" s="1"/>
  <c r="M30" i="8" s="1"/>
  <c r="C30" i="9" s="1"/>
  <c r="K30" i="9" s="1"/>
  <c r="M30" i="9" s="1"/>
  <c r="C30" i="10" s="1"/>
  <c r="K30" i="10" s="1"/>
  <c r="M30" i="10" s="1"/>
  <c r="C30" i="11" s="1"/>
  <c r="K30" i="11" s="1"/>
  <c r="M30" i="11" s="1"/>
  <c r="C30" i="12" s="1"/>
  <c r="K30" i="12" s="1"/>
  <c r="M30" i="12" s="1"/>
  <c r="C30" i="13" s="1"/>
  <c r="K30" i="13" s="1"/>
  <c r="M30" i="13" s="1"/>
  <c r="C30" i="14" s="1"/>
  <c r="K30" i="14" s="1"/>
  <c r="M30" i="14" s="1"/>
  <c r="C30" i="15" s="1"/>
  <c r="K30" i="15" s="1"/>
  <c r="M30" i="15" s="1"/>
  <c r="C30" i="16" s="1"/>
  <c r="K30" i="16" s="1"/>
  <c r="M30" i="16" s="1"/>
  <c r="C30" i="17" s="1"/>
  <c r="K30" i="17" s="1"/>
  <c r="M30" i="17" s="1"/>
  <c r="C30" i="18" s="1"/>
  <c r="K30" i="18" s="1"/>
  <c r="M30" i="18" s="1"/>
  <c r="J32" i="3"/>
  <c r="K32" i="3" s="1"/>
  <c r="M32" i="3" s="1"/>
  <c r="C32" i="4" s="1"/>
  <c r="K32" i="4" s="1"/>
  <c r="M32" i="4" s="1"/>
  <c r="C32" i="5" s="1"/>
  <c r="K32" i="5" s="1"/>
  <c r="M32" i="5" s="1"/>
  <c r="C32" i="6" s="1"/>
  <c r="K32" i="6" s="1"/>
  <c r="M32" i="6" s="1"/>
  <c r="C32" i="7" s="1"/>
  <c r="K32" i="7" s="1"/>
  <c r="J33" i="3"/>
  <c r="K33" i="3" s="1"/>
  <c r="M33" i="3" s="1"/>
  <c r="C33" i="4" s="1"/>
  <c r="K33" i="4" s="1"/>
  <c r="M33" i="4" s="1"/>
  <c r="C33" i="5" s="1"/>
  <c r="K33" i="5" s="1"/>
  <c r="M33" i="5" s="1"/>
  <c r="C33" i="6" s="1"/>
  <c r="K33" i="6" s="1"/>
  <c r="M33" i="6" s="1"/>
  <c r="C33" i="7" s="1"/>
  <c r="K33" i="7" s="1"/>
  <c r="M33" i="7" s="1"/>
  <c r="J34" i="3"/>
  <c r="K34" i="3" s="1"/>
  <c r="M34" i="3" s="1"/>
  <c r="C34" i="4" s="1"/>
  <c r="K34" i="4" s="1"/>
  <c r="M34" i="4" s="1"/>
  <c r="C34" i="5" s="1"/>
  <c r="K34" i="5" s="1"/>
  <c r="M34" i="5" s="1"/>
  <c r="C34" i="6" s="1"/>
  <c r="K34" i="6" s="1"/>
  <c r="M34" i="6" s="1"/>
  <c r="C34" i="7" s="1"/>
  <c r="K34" i="7" s="1"/>
  <c r="M34" i="7" s="1"/>
  <c r="C34" i="8" s="1"/>
  <c r="K34" i="8" s="1"/>
  <c r="M34" i="8" s="1"/>
  <c r="C34" i="9" s="1"/>
  <c r="K34" i="9" s="1"/>
  <c r="M34" i="9" s="1"/>
  <c r="C34" i="10" s="1"/>
  <c r="K34" i="10" s="1"/>
  <c r="M34" i="10" s="1"/>
  <c r="C34" i="11" s="1"/>
  <c r="K34" i="11" s="1"/>
  <c r="M34" i="11" s="1"/>
  <c r="C34" i="12" s="1"/>
  <c r="K34" i="12" s="1"/>
  <c r="M34" i="12" s="1"/>
  <c r="C34" i="13" s="1"/>
  <c r="K34" i="13" s="1"/>
  <c r="M34" i="13" s="1"/>
  <c r="C34" i="14" s="1"/>
  <c r="K34" i="14" s="1"/>
  <c r="M34" i="14" s="1"/>
  <c r="C34" i="15" s="1"/>
  <c r="K34" i="15" s="1"/>
  <c r="M34" i="15" s="1"/>
  <c r="C34" i="16" s="1"/>
  <c r="K34" i="16" s="1"/>
  <c r="M34" i="16" s="1"/>
  <c r="C34" i="17" s="1"/>
  <c r="K34" i="17" s="1"/>
  <c r="M34" i="17" s="1"/>
  <c r="C34" i="18" s="1"/>
  <c r="K34" i="18" s="1"/>
  <c r="M34" i="18" s="1"/>
  <c r="J35" i="3"/>
  <c r="K35" i="3" s="1"/>
  <c r="M35" i="3" s="1"/>
  <c r="C35" i="4" s="1"/>
  <c r="K35" i="4" s="1"/>
  <c r="M35" i="4" s="1"/>
  <c r="C35" i="5" s="1"/>
  <c r="K35" i="5" s="1"/>
  <c r="M35" i="5" s="1"/>
  <c r="C35" i="6" s="1"/>
  <c r="K35" i="6" s="1"/>
  <c r="M35" i="6" s="1"/>
  <c r="C35" i="7" s="1"/>
  <c r="K35" i="7" s="1"/>
  <c r="M35" i="7" s="1"/>
  <c r="C35" i="8" s="1"/>
  <c r="K35" i="8" s="1"/>
  <c r="M35" i="8" s="1"/>
  <c r="C35" i="9" s="1"/>
  <c r="K35" i="9" s="1"/>
  <c r="M35" i="9" s="1"/>
  <c r="C35" i="10" s="1"/>
  <c r="K35" i="10" s="1"/>
  <c r="M35" i="10" s="1"/>
  <c r="C35" i="11" s="1"/>
  <c r="K35" i="11" s="1"/>
  <c r="M35" i="11" s="1"/>
  <c r="C35" i="12" s="1"/>
  <c r="K35" i="12" s="1"/>
  <c r="M35" i="12" s="1"/>
  <c r="C35" i="13" s="1"/>
  <c r="K35" i="13" s="1"/>
  <c r="M35" i="13" s="1"/>
  <c r="C35" i="14" s="1"/>
  <c r="K35" i="14" s="1"/>
  <c r="M35" i="14" s="1"/>
  <c r="C35" i="15" s="1"/>
  <c r="K35" i="15" s="1"/>
  <c r="M35" i="15" s="1"/>
  <c r="C35" i="16" s="1"/>
  <c r="K35" i="16" s="1"/>
  <c r="M35" i="16" s="1"/>
  <c r="C35" i="17" s="1"/>
  <c r="K35" i="17" s="1"/>
  <c r="M35" i="17" s="1"/>
  <c r="C35" i="18" s="1"/>
  <c r="K35" i="18" s="1"/>
  <c r="M35" i="18" s="1"/>
  <c r="J36" i="3"/>
  <c r="K36" i="3" s="1"/>
  <c r="M36" i="3" s="1"/>
  <c r="C36" i="4" s="1"/>
  <c r="K36" i="4" s="1"/>
  <c r="M36" i="4" s="1"/>
  <c r="C36" i="5" s="1"/>
  <c r="K36" i="5" s="1"/>
  <c r="M36" i="5" s="1"/>
  <c r="C36" i="6" s="1"/>
  <c r="K36" i="6" s="1"/>
  <c r="M36" i="6" s="1"/>
  <c r="C36" i="7" s="1"/>
  <c r="K36" i="7" s="1"/>
  <c r="M36" i="7" s="1"/>
  <c r="C36" i="8" s="1"/>
  <c r="K36" i="8" s="1"/>
  <c r="M36" i="8" s="1"/>
  <c r="C36" i="9" s="1"/>
  <c r="K36" i="9" s="1"/>
  <c r="M36" i="9" s="1"/>
  <c r="C36" i="10" s="1"/>
  <c r="K36" i="10" s="1"/>
  <c r="M36" i="10" s="1"/>
  <c r="C36" i="11" s="1"/>
  <c r="K36" i="11" s="1"/>
  <c r="M36" i="11" s="1"/>
  <c r="C36" i="12" s="1"/>
  <c r="K36" i="12" s="1"/>
  <c r="M36" i="12" s="1"/>
  <c r="C36" i="13" s="1"/>
  <c r="K36" i="13" s="1"/>
  <c r="M36" i="13" s="1"/>
  <c r="C36" i="14" s="1"/>
  <c r="K36" i="14" s="1"/>
  <c r="M36" i="14" s="1"/>
  <c r="C36" i="15" s="1"/>
  <c r="K36" i="15" s="1"/>
  <c r="M36" i="15" s="1"/>
  <c r="C36" i="16" s="1"/>
  <c r="K36" i="16" s="1"/>
  <c r="M36" i="16" s="1"/>
  <c r="C36" i="17" s="1"/>
  <c r="K36" i="17" s="1"/>
  <c r="M36" i="17" s="1"/>
  <c r="C36" i="18" s="1"/>
  <c r="K36" i="18" s="1"/>
  <c r="M36" i="18" s="1"/>
  <c r="J37" i="3"/>
  <c r="K37" i="3" s="1"/>
  <c r="M37" i="3" s="1"/>
  <c r="J38" i="3"/>
  <c r="K38" i="3" s="1"/>
  <c r="M38" i="3" s="1"/>
  <c r="J39" i="3"/>
  <c r="K39" i="3" s="1"/>
  <c r="M39" i="3" s="1"/>
  <c r="C39" i="4" s="1"/>
  <c r="K39" i="4" s="1"/>
  <c r="M39" i="4" s="1"/>
  <c r="C39" i="5" s="1"/>
  <c r="K39" i="5" s="1"/>
  <c r="J40" i="3"/>
  <c r="K40" i="3" s="1"/>
  <c r="M40" i="3" s="1"/>
  <c r="C40" i="4" s="1"/>
  <c r="K40" i="4" s="1"/>
  <c r="M40" i="4" s="1"/>
  <c r="C40" i="5" s="1"/>
  <c r="K40" i="5" s="1"/>
  <c r="M40" i="5" s="1"/>
  <c r="C40" i="6" s="1"/>
  <c r="K40" i="6" s="1"/>
  <c r="M40" i="6" s="1"/>
  <c r="C40" i="7" s="1"/>
  <c r="K40" i="7" s="1"/>
  <c r="M40" i="7" s="1"/>
  <c r="C40" i="8" s="1"/>
  <c r="K40" i="8" s="1"/>
  <c r="M40" i="8" s="1"/>
  <c r="C40" i="9" s="1"/>
  <c r="K40" i="9" s="1"/>
  <c r="M40" i="9" s="1"/>
  <c r="C40" i="10" s="1"/>
  <c r="K40" i="10" s="1"/>
  <c r="M40" i="10" s="1"/>
  <c r="C40" i="11" s="1"/>
  <c r="K40" i="11" s="1"/>
  <c r="M40" i="11" s="1"/>
  <c r="C40" i="12" s="1"/>
  <c r="K40" i="12" s="1"/>
  <c r="M40" i="12" s="1"/>
  <c r="C40" i="13" s="1"/>
  <c r="K40" i="13" s="1"/>
  <c r="M40" i="13" s="1"/>
  <c r="C40" i="14" s="1"/>
  <c r="K40" i="14" s="1"/>
  <c r="M40" i="14" s="1"/>
  <c r="C40" i="15" s="1"/>
  <c r="K40" i="15" s="1"/>
  <c r="M40" i="15" s="1"/>
  <c r="C40" i="16" s="1"/>
  <c r="K40" i="16" s="1"/>
  <c r="M40" i="16" s="1"/>
  <c r="C40" i="17" s="1"/>
  <c r="K40" i="17" s="1"/>
  <c r="M40" i="17" s="1"/>
  <c r="C40" i="18" s="1"/>
  <c r="K40" i="18" s="1"/>
  <c r="M40" i="18" s="1"/>
  <c r="J41" i="3"/>
  <c r="K41" i="3" s="1"/>
  <c r="M41" i="3" s="1"/>
  <c r="C41" i="4" s="1"/>
  <c r="K41" i="4" s="1"/>
  <c r="M41" i="4" s="1"/>
  <c r="C41" i="5" s="1"/>
  <c r="K41" i="5" s="1"/>
  <c r="M41" i="5" s="1"/>
  <c r="C41" i="6" s="1"/>
  <c r="K41" i="6" s="1"/>
  <c r="M41" i="6" s="1"/>
  <c r="C41" i="7" s="1"/>
  <c r="K41" i="7" s="1"/>
  <c r="M41" i="7" s="1"/>
  <c r="C41" i="8" s="1"/>
  <c r="K41" i="8" s="1"/>
  <c r="M41" i="8" s="1"/>
  <c r="C41" i="9" s="1"/>
  <c r="K41" i="9" s="1"/>
  <c r="M41" i="9" s="1"/>
  <c r="C41" i="10" s="1"/>
  <c r="K41" i="10" s="1"/>
  <c r="M41" i="10" s="1"/>
  <c r="C41" i="11" s="1"/>
  <c r="K41" i="11" s="1"/>
  <c r="M41" i="11" s="1"/>
  <c r="C41" i="12" s="1"/>
  <c r="K41" i="12" s="1"/>
  <c r="M41" i="12" s="1"/>
  <c r="C41" i="13" s="1"/>
  <c r="K41" i="13" s="1"/>
  <c r="M41" i="13" s="1"/>
  <c r="C41" i="14" s="1"/>
  <c r="K41" i="14" s="1"/>
  <c r="M41" i="14" s="1"/>
  <c r="C41" i="15" s="1"/>
  <c r="K41" i="15" s="1"/>
  <c r="M41" i="15" s="1"/>
  <c r="C41" i="16" s="1"/>
  <c r="K41" i="16" s="1"/>
  <c r="M41" i="16" s="1"/>
  <c r="C41" i="17" s="1"/>
  <c r="K41" i="17" s="1"/>
  <c r="M41" i="17" s="1"/>
  <c r="C41" i="18" s="1"/>
  <c r="K41" i="18" s="1"/>
  <c r="M41" i="18" s="1"/>
  <c r="J42" i="3"/>
  <c r="K42" i="3" s="1"/>
  <c r="M42" i="3" s="1"/>
  <c r="C42" i="4" s="1"/>
  <c r="K42" i="4" s="1"/>
  <c r="M42" i="4" s="1"/>
  <c r="C42" i="5" s="1"/>
  <c r="K42" i="5" s="1"/>
  <c r="M42" i="5" s="1"/>
  <c r="C42" i="6" s="1"/>
  <c r="K42" i="6" s="1"/>
  <c r="M42" i="6" s="1"/>
  <c r="C42" i="7" s="1"/>
  <c r="K42" i="7" s="1"/>
  <c r="M42" i="7" s="1"/>
  <c r="C42" i="8" s="1"/>
  <c r="K42" i="8" s="1"/>
  <c r="M42" i="8" s="1"/>
  <c r="C42" i="9" s="1"/>
  <c r="K42" i="9" s="1"/>
  <c r="M42" i="9" s="1"/>
  <c r="C42" i="10" s="1"/>
  <c r="K42" i="10" s="1"/>
  <c r="M42" i="10" s="1"/>
  <c r="C42" i="11" s="1"/>
  <c r="K42" i="11" s="1"/>
  <c r="M42" i="11" s="1"/>
  <c r="C42" i="12" s="1"/>
  <c r="K42" i="12" s="1"/>
  <c r="M42" i="12" s="1"/>
  <c r="C42" i="13" s="1"/>
  <c r="K42" i="13" s="1"/>
  <c r="M42" i="13" s="1"/>
  <c r="C42" i="14" s="1"/>
  <c r="K42" i="14" s="1"/>
  <c r="M42" i="14" s="1"/>
  <c r="C42" i="15" s="1"/>
  <c r="K42" i="15" s="1"/>
  <c r="M42" i="15" s="1"/>
  <c r="C42" i="16" s="1"/>
  <c r="K42" i="16" s="1"/>
  <c r="M42" i="16" s="1"/>
  <c r="C42" i="17" s="1"/>
  <c r="K42" i="17" s="1"/>
  <c r="M42" i="17" s="1"/>
  <c r="C42" i="18" s="1"/>
  <c r="K42" i="18" s="1"/>
  <c r="M42" i="18" s="1"/>
  <c r="J43" i="3"/>
  <c r="K43" i="3" s="1"/>
  <c r="M43" i="3" s="1"/>
  <c r="C43" i="4" s="1"/>
  <c r="K43" i="4" s="1"/>
  <c r="M43" i="4" s="1"/>
  <c r="C43" i="5" s="1"/>
  <c r="K43" i="5" s="1"/>
  <c r="M43" i="5" s="1"/>
  <c r="C43" i="6" s="1"/>
  <c r="K43" i="6" s="1"/>
  <c r="M43" i="6" s="1"/>
  <c r="C43" i="7" s="1"/>
  <c r="K43" i="7" s="1"/>
  <c r="M43" i="7" s="1"/>
  <c r="C43" i="8" s="1"/>
  <c r="K43" i="8" s="1"/>
  <c r="M43" i="8" s="1"/>
  <c r="J44" i="3"/>
  <c r="J45" i="3"/>
  <c r="K45" i="3" s="1"/>
  <c r="M45" i="3" s="1"/>
  <c r="C45" i="4" s="1"/>
  <c r="K45" i="4" s="1"/>
  <c r="M45" i="4" s="1"/>
  <c r="C45" i="5" s="1"/>
  <c r="K45" i="5" s="1"/>
  <c r="M45" i="5" s="1"/>
  <c r="C45" i="6" s="1"/>
  <c r="K45" i="6" s="1"/>
  <c r="M45" i="6" s="1"/>
  <c r="C45" i="7" s="1"/>
  <c r="K45" i="7" s="1"/>
  <c r="M45" i="7" s="1"/>
  <c r="C45" i="8" s="1"/>
  <c r="K45" i="8" s="1"/>
  <c r="M45" i="8" s="1"/>
  <c r="C45" i="9" s="1"/>
  <c r="K45" i="9" s="1"/>
  <c r="M45" i="9" s="1"/>
  <c r="C45" i="10" s="1"/>
  <c r="K45" i="10" s="1"/>
  <c r="M45" i="10" s="1"/>
  <c r="C45" i="11" s="1"/>
  <c r="K45" i="11" s="1"/>
  <c r="M45" i="11" s="1"/>
  <c r="C45" i="12" s="1"/>
  <c r="K45" i="12" s="1"/>
  <c r="M45" i="12" s="1"/>
  <c r="C45" i="13" s="1"/>
  <c r="K45" i="13" s="1"/>
  <c r="M45" i="13" s="1"/>
  <c r="C45" i="14" s="1"/>
  <c r="K45" i="14" s="1"/>
  <c r="M45" i="14" s="1"/>
  <c r="C45" i="15" s="1"/>
  <c r="K45" i="15" s="1"/>
  <c r="M45" i="15" s="1"/>
  <c r="C45" i="16" s="1"/>
  <c r="K45" i="16" s="1"/>
  <c r="M45" i="16" s="1"/>
  <c r="C45" i="17" s="1"/>
  <c r="K45" i="17" s="1"/>
  <c r="M45" i="17" s="1"/>
  <c r="C45" i="18" s="1"/>
  <c r="K45" i="18" s="1"/>
  <c r="M45" i="18" s="1"/>
  <c r="J46" i="3"/>
  <c r="K46" i="3" s="1"/>
  <c r="M46" i="3" s="1"/>
  <c r="C46" i="4" s="1"/>
  <c r="K46" i="4" s="1"/>
  <c r="M46" i="4" s="1"/>
  <c r="C46" i="5" s="1"/>
  <c r="K46" i="5" s="1"/>
  <c r="M46" i="5" s="1"/>
  <c r="C46" i="6" s="1"/>
  <c r="K46" i="6" s="1"/>
  <c r="M46" i="6" s="1"/>
  <c r="C46" i="7" s="1"/>
  <c r="K46" i="7" s="1"/>
  <c r="M46" i="7" s="1"/>
  <c r="C46" i="8" s="1"/>
  <c r="K46" i="8" s="1"/>
  <c r="M46" i="8" s="1"/>
  <c r="C46" i="9" s="1"/>
  <c r="K46" i="9" s="1"/>
  <c r="M46" i="9" s="1"/>
  <c r="C46" i="10" s="1"/>
  <c r="K46" i="10" s="1"/>
  <c r="M46" i="10" s="1"/>
  <c r="C46" i="11" s="1"/>
  <c r="K46" i="11" s="1"/>
  <c r="M46" i="11" s="1"/>
  <c r="C46" i="12" s="1"/>
  <c r="K46" i="12" s="1"/>
  <c r="M46" i="12" s="1"/>
  <c r="C46" i="13" s="1"/>
  <c r="K46" i="13" s="1"/>
  <c r="M46" i="13" s="1"/>
  <c r="C46" i="14" s="1"/>
  <c r="K46" i="14" s="1"/>
  <c r="M46" i="14" s="1"/>
  <c r="C46" i="15" s="1"/>
  <c r="K46" i="15" s="1"/>
  <c r="M46" i="15" s="1"/>
  <c r="C46" i="16" s="1"/>
  <c r="K46" i="16" s="1"/>
  <c r="M46" i="16" s="1"/>
  <c r="C46" i="17" s="1"/>
  <c r="K46" i="17" s="1"/>
  <c r="M46" i="17" s="1"/>
  <c r="C46" i="18" s="1"/>
  <c r="K46" i="18" s="1"/>
  <c r="M46" i="18" s="1"/>
  <c r="J47" i="3"/>
  <c r="K47" i="3" s="1"/>
  <c r="M47" i="3" s="1"/>
  <c r="C47" i="4" s="1"/>
  <c r="K47" i="4" s="1"/>
  <c r="M47" i="4" s="1"/>
  <c r="C47" i="5" s="1"/>
  <c r="K47" i="5" s="1"/>
  <c r="M47" i="5" s="1"/>
  <c r="C47" i="6" s="1"/>
  <c r="K47" i="6" s="1"/>
  <c r="M47" i="6" s="1"/>
  <c r="C47" i="7" s="1"/>
  <c r="K47" i="7" s="1"/>
  <c r="M47" i="7" s="1"/>
  <c r="C47" i="8" s="1"/>
  <c r="K47" i="8" s="1"/>
  <c r="M47" i="8" s="1"/>
  <c r="C47" i="9" s="1"/>
  <c r="K47" i="9" s="1"/>
  <c r="M47" i="9" s="1"/>
  <c r="C47" i="10" s="1"/>
  <c r="K47" i="10" s="1"/>
  <c r="M47" i="10" s="1"/>
  <c r="C47" i="11" s="1"/>
  <c r="K47" i="11" s="1"/>
  <c r="M47" i="11" s="1"/>
  <c r="C47" i="12" s="1"/>
  <c r="K47" i="12" s="1"/>
  <c r="M47" i="12" s="1"/>
  <c r="C47" i="13" s="1"/>
  <c r="K47" i="13" s="1"/>
  <c r="M47" i="13" s="1"/>
  <c r="C47" i="14" s="1"/>
  <c r="K47" i="14" s="1"/>
  <c r="M47" i="14" s="1"/>
  <c r="C47" i="15" s="1"/>
  <c r="K47" i="15" s="1"/>
  <c r="M47" i="15" s="1"/>
  <c r="C47" i="16" s="1"/>
  <c r="K47" i="16" s="1"/>
  <c r="M47" i="16" s="1"/>
  <c r="C47" i="17" s="1"/>
  <c r="K47" i="17" s="1"/>
  <c r="M47" i="17" s="1"/>
  <c r="C47" i="18" s="1"/>
  <c r="K47" i="18" s="1"/>
  <c r="M47" i="18" s="1"/>
  <c r="J48" i="3"/>
  <c r="K48" i="3" s="1"/>
  <c r="M48" i="3" s="1"/>
  <c r="C48" i="4" s="1"/>
  <c r="K48" i="4" s="1"/>
  <c r="M48" i="4" s="1"/>
  <c r="C48" i="5" s="1"/>
  <c r="K48" i="5" s="1"/>
  <c r="M48" i="5" s="1"/>
  <c r="C48" i="6" s="1"/>
  <c r="K48" i="6" s="1"/>
  <c r="M48" i="6" s="1"/>
  <c r="C48" i="7" s="1"/>
  <c r="K48" i="7" s="1"/>
  <c r="M48" i="7" s="1"/>
  <c r="C48" i="8" s="1"/>
  <c r="K48" i="8" s="1"/>
  <c r="M48" i="8" s="1"/>
  <c r="C48" i="9" s="1"/>
  <c r="K48" i="9" s="1"/>
  <c r="M48" i="9" s="1"/>
  <c r="C48" i="10" s="1"/>
  <c r="K48" i="10" s="1"/>
  <c r="M48" i="10" s="1"/>
  <c r="C48" i="11" s="1"/>
  <c r="K48" i="11" s="1"/>
  <c r="M48" i="11" s="1"/>
  <c r="C48" i="12" s="1"/>
  <c r="K48" i="12" s="1"/>
  <c r="M48" i="12" s="1"/>
  <c r="C48" i="13" s="1"/>
  <c r="K48" i="13" s="1"/>
  <c r="M48" i="13" s="1"/>
  <c r="C48" i="14" s="1"/>
  <c r="K48" i="14" s="1"/>
  <c r="M48" i="14" s="1"/>
  <c r="C48" i="15" s="1"/>
  <c r="K48" i="15" s="1"/>
  <c r="M48" i="15" s="1"/>
  <c r="C48" i="16" s="1"/>
  <c r="K48" i="16" s="1"/>
  <c r="M48" i="16" s="1"/>
  <c r="C48" i="17" s="1"/>
  <c r="K48" i="17" s="1"/>
  <c r="M48" i="17" s="1"/>
  <c r="C48" i="18" s="1"/>
  <c r="K48" i="18" s="1"/>
  <c r="M48" i="18" s="1"/>
  <c r="J49" i="3"/>
  <c r="K49" i="3" s="1"/>
  <c r="M49" i="3" s="1"/>
  <c r="C49" i="4" s="1"/>
  <c r="K49" i="4" s="1"/>
  <c r="M49" i="4" s="1"/>
  <c r="C49" i="5" s="1"/>
  <c r="K49" i="5" s="1"/>
  <c r="M49" i="5" s="1"/>
  <c r="C49" i="6" s="1"/>
  <c r="K49" i="6" s="1"/>
  <c r="M49" i="6" s="1"/>
  <c r="C49" i="7" s="1"/>
  <c r="K49" i="7" s="1"/>
  <c r="M49" i="7" s="1"/>
  <c r="C49" i="8" s="1"/>
  <c r="K49" i="8" s="1"/>
  <c r="M49" i="8" s="1"/>
  <c r="C49" i="9" s="1"/>
  <c r="K49" i="9" s="1"/>
  <c r="M49" i="9" s="1"/>
  <c r="C49" i="10" s="1"/>
  <c r="K49" i="10" s="1"/>
  <c r="M49" i="10" s="1"/>
  <c r="C49" i="11" s="1"/>
  <c r="K49" i="11" s="1"/>
  <c r="M49" i="11" s="1"/>
  <c r="C49" i="12" s="1"/>
  <c r="K49" i="12" s="1"/>
  <c r="M49" i="12" s="1"/>
  <c r="C49" i="13" s="1"/>
  <c r="K49" i="13" s="1"/>
  <c r="M49" i="13" s="1"/>
  <c r="C49" i="14" s="1"/>
  <c r="K49" i="14" s="1"/>
  <c r="M49" i="14" s="1"/>
  <c r="C49" i="15" s="1"/>
  <c r="K49" i="15" s="1"/>
  <c r="M49" i="15" s="1"/>
  <c r="C49" i="16" s="1"/>
  <c r="K49" i="16" s="1"/>
  <c r="M49" i="16" s="1"/>
  <c r="C49" i="17" s="1"/>
  <c r="K49" i="17" s="1"/>
  <c r="M49" i="17" s="1"/>
  <c r="C49" i="18" s="1"/>
  <c r="K49" i="18" s="1"/>
  <c r="M49" i="18" s="1"/>
  <c r="J50" i="3"/>
  <c r="K50" i="3" s="1"/>
  <c r="M50" i="3" s="1"/>
  <c r="C50" i="4" s="1"/>
  <c r="K50" i="4" s="1"/>
  <c r="M50" i="4" s="1"/>
  <c r="C50" i="5" s="1"/>
  <c r="K50" i="5" s="1"/>
  <c r="M50" i="5" s="1"/>
  <c r="C50" i="6" s="1"/>
  <c r="K50" i="6" s="1"/>
  <c r="M50" i="6" s="1"/>
  <c r="C50" i="7" s="1"/>
  <c r="K50" i="7" s="1"/>
  <c r="M50" i="7" s="1"/>
  <c r="C50" i="8" s="1"/>
  <c r="K50" i="8" s="1"/>
  <c r="M50" i="8" s="1"/>
  <c r="C50" i="9" s="1"/>
  <c r="K50" i="9" s="1"/>
  <c r="M50" i="9" s="1"/>
  <c r="C50" i="10" s="1"/>
  <c r="K50" i="10" s="1"/>
  <c r="M50" i="10" s="1"/>
  <c r="C50" i="11" s="1"/>
  <c r="K50" i="11" s="1"/>
  <c r="M50" i="11" s="1"/>
  <c r="C50" i="12" s="1"/>
  <c r="K50" i="12" s="1"/>
  <c r="M50" i="12" s="1"/>
  <c r="C50" i="13" s="1"/>
  <c r="K50" i="13" s="1"/>
  <c r="M50" i="13" s="1"/>
  <c r="C50" i="14" s="1"/>
  <c r="K50" i="14" s="1"/>
  <c r="M50" i="14" s="1"/>
  <c r="C50" i="15" s="1"/>
  <c r="K50" i="15" s="1"/>
  <c r="M50" i="15" s="1"/>
  <c r="C50" i="16" s="1"/>
  <c r="K50" i="16" s="1"/>
  <c r="M50" i="16" s="1"/>
  <c r="C50" i="17" s="1"/>
  <c r="K50" i="17" s="1"/>
  <c r="M50" i="17" s="1"/>
  <c r="C50" i="18" s="1"/>
  <c r="K50" i="18" s="1"/>
  <c r="M50" i="18" s="1"/>
  <c r="J51" i="3"/>
  <c r="K51" i="3" s="1"/>
  <c r="M51" i="3" s="1"/>
  <c r="C51" i="4" s="1"/>
  <c r="K51" i="4" s="1"/>
  <c r="M51" i="4" s="1"/>
  <c r="C51" i="5" s="1"/>
  <c r="K51" i="5" s="1"/>
  <c r="M51" i="5" s="1"/>
  <c r="C51" i="6" s="1"/>
  <c r="K51" i="6" s="1"/>
  <c r="M51" i="6" s="1"/>
  <c r="C51" i="7" s="1"/>
  <c r="K51" i="7" s="1"/>
  <c r="M51" i="7" s="1"/>
  <c r="C51" i="8" s="1"/>
  <c r="K51" i="8" s="1"/>
  <c r="M51" i="8" s="1"/>
  <c r="C51" i="9" s="1"/>
  <c r="K51" i="9" s="1"/>
  <c r="M51" i="9" s="1"/>
  <c r="C51" i="10" s="1"/>
  <c r="K51" i="10" s="1"/>
  <c r="M51" i="10" s="1"/>
  <c r="C51" i="11" s="1"/>
  <c r="K51" i="11" s="1"/>
  <c r="M51" i="11" s="1"/>
  <c r="C51" i="12" s="1"/>
  <c r="K51" i="12" s="1"/>
  <c r="M51" i="12" s="1"/>
  <c r="C51" i="13" s="1"/>
  <c r="K51" i="13" s="1"/>
  <c r="M51" i="13" s="1"/>
  <c r="C51" i="14" s="1"/>
  <c r="K51" i="14" s="1"/>
  <c r="M51" i="14" s="1"/>
  <c r="C51" i="15" s="1"/>
  <c r="K51" i="15" s="1"/>
  <c r="M51" i="15" s="1"/>
  <c r="C51" i="16" s="1"/>
  <c r="K51" i="16" s="1"/>
  <c r="M51" i="16" s="1"/>
  <c r="C51" i="17" s="1"/>
  <c r="K51" i="17" s="1"/>
  <c r="M51" i="17" s="1"/>
  <c r="C51" i="18" s="1"/>
  <c r="K51" i="18" s="1"/>
  <c r="M51" i="18" s="1"/>
  <c r="J52" i="3"/>
  <c r="K52" i="3" s="1"/>
  <c r="M52" i="3" s="1"/>
  <c r="C52" i="4" s="1"/>
  <c r="K52" i="4" s="1"/>
  <c r="M52" i="4" s="1"/>
  <c r="C52" i="5" s="1"/>
  <c r="K52" i="5" s="1"/>
  <c r="M52" i="5" s="1"/>
  <c r="C52" i="6" s="1"/>
  <c r="K52" i="6" s="1"/>
  <c r="M52" i="6" s="1"/>
  <c r="C52" i="7" s="1"/>
  <c r="K52" i="7" s="1"/>
  <c r="M52" i="7" s="1"/>
  <c r="C52" i="8" s="1"/>
  <c r="K52" i="8" s="1"/>
  <c r="M52" i="8" s="1"/>
  <c r="C52" i="9" s="1"/>
  <c r="K52" i="9" s="1"/>
  <c r="M52" i="9" s="1"/>
  <c r="C52" i="10" s="1"/>
  <c r="K52" i="10" s="1"/>
  <c r="M52" i="10" s="1"/>
  <c r="C52" i="11" s="1"/>
  <c r="K52" i="11" s="1"/>
  <c r="M52" i="11" s="1"/>
  <c r="C52" i="12" s="1"/>
  <c r="K52" i="12" s="1"/>
  <c r="M52" i="12" s="1"/>
  <c r="C52" i="13" s="1"/>
  <c r="K52" i="13" s="1"/>
  <c r="M52" i="13" s="1"/>
  <c r="C52" i="14" s="1"/>
  <c r="K52" i="14" s="1"/>
  <c r="M52" i="14" s="1"/>
  <c r="C52" i="15" s="1"/>
  <c r="K52" i="15" s="1"/>
  <c r="M52" i="15" s="1"/>
  <c r="C52" i="16" s="1"/>
  <c r="K52" i="16" s="1"/>
  <c r="M52" i="16" s="1"/>
  <c r="C52" i="17" s="1"/>
  <c r="K52" i="17" s="1"/>
  <c r="M52" i="17" s="1"/>
  <c r="C52" i="18" s="1"/>
  <c r="K52" i="18" s="1"/>
  <c r="M52" i="18" s="1"/>
  <c r="J53" i="3"/>
  <c r="K53" i="3" s="1"/>
  <c r="M53" i="3" s="1"/>
  <c r="C53" i="4" s="1"/>
  <c r="K53" i="4" s="1"/>
  <c r="M53" i="4" s="1"/>
  <c r="C53" i="5" s="1"/>
  <c r="K53" i="5" s="1"/>
  <c r="M53" i="5" s="1"/>
  <c r="C53" i="6" s="1"/>
  <c r="K53" i="6" s="1"/>
  <c r="M53" i="6" s="1"/>
  <c r="C53" i="7" s="1"/>
  <c r="K53" i="7" s="1"/>
  <c r="M53" i="7" s="1"/>
  <c r="C53" i="8" s="1"/>
  <c r="K53" i="8" s="1"/>
  <c r="M53" i="8" s="1"/>
  <c r="C53" i="9" s="1"/>
  <c r="K53" i="9" s="1"/>
  <c r="M53" i="9" s="1"/>
  <c r="C53" i="10" s="1"/>
  <c r="K53" i="10" s="1"/>
  <c r="M53" i="10" s="1"/>
  <c r="C53" i="11" s="1"/>
  <c r="K53" i="11" s="1"/>
  <c r="M53" i="11" s="1"/>
  <c r="C53" i="12" s="1"/>
  <c r="K53" i="12" s="1"/>
  <c r="M53" i="12" s="1"/>
  <c r="C53" i="13" s="1"/>
  <c r="K53" i="13" s="1"/>
  <c r="M53" i="13" s="1"/>
  <c r="C53" i="14" s="1"/>
  <c r="K53" i="14" s="1"/>
  <c r="M53" i="14" s="1"/>
  <c r="C53" i="15" s="1"/>
  <c r="K53" i="15" s="1"/>
  <c r="M53" i="15" s="1"/>
  <c r="C53" i="16" s="1"/>
  <c r="K53" i="16" s="1"/>
  <c r="M53" i="16" s="1"/>
  <c r="C53" i="17" s="1"/>
  <c r="K53" i="17" s="1"/>
  <c r="M53" i="17" s="1"/>
  <c r="C53" i="18" s="1"/>
  <c r="K53" i="18" s="1"/>
  <c r="M53" i="18" s="1"/>
  <c r="J54" i="3"/>
  <c r="K54" i="3" s="1"/>
  <c r="M54" i="3" s="1"/>
  <c r="C54" i="4" s="1"/>
  <c r="K54" i="4" s="1"/>
  <c r="M54" i="4" s="1"/>
  <c r="C54" i="5" s="1"/>
  <c r="K54" i="5" s="1"/>
  <c r="M54" i="5" s="1"/>
  <c r="C54" i="6" s="1"/>
  <c r="K54" i="6" s="1"/>
  <c r="M54" i="6" s="1"/>
  <c r="C54" i="7" s="1"/>
  <c r="K54" i="7" s="1"/>
  <c r="M54" i="7" s="1"/>
  <c r="C54" i="8" s="1"/>
  <c r="K54" i="8" s="1"/>
  <c r="M54" i="8" s="1"/>
  <c r="C54" i="9" s="1"/>
  <c r="K54" i="9" s="1"/>
  <c r="M54" i="9" s="1"/>
  <c r="J55" i="3"/>
  <c r="K55" i="3" s="1"/>
  <c r="M55" i="3" s="1"/>
  <c r="J56" i="3"/>
  <c r="K56" i="3" s="1"/>
  <c r="J5" i="3"/>
  <c r="K5" i="3" s="1"/>
  <c r="M5" i="3" s="1"/>
  <c r="C5" i="4" s="1"/>
  <c r="K5" i="4" s="1"/>
  <c r="M5" i="4" s="1"/>
  <c r="C5" i="5" s="1"/>
  <c r="K5" i="5" s="1"/>
  <c r="M5" i="5" s="1"/>
  <c r="C5" i="6" s="1"/>
  <c r="K5" i="6" s="1"/>
  <c r="M5" i="6" s="1"/>
  <c r="C5" i="7" s="1"/>
  <c r="H57" i="3"/>
  <c r="C61" i="3" s="1"/>
  <c r="I57" i="3"/>
  <c r="D57" i="3"/>
  <c r="E57" i="3"/>
  <c r="F57" i="3"/>
  <c r="G57" i="3"/>
  <c r="M17" i="17" l="1"/>
  <c r="C17" i="18" s="1"/>
  <c r="K17" i="18" s="1"/>
  <c r="M17" i="18" s="1"/>
  <c r="K32" i="8"/>
  <c r="M32" i="8" s="1"/>
  <c r="C32" i="9" s="1"/>
  <c r="K32" i="9" s="1"/>
  <c r="M32" i="9" s="1"/>
  <c r="C32" i="10" s="1"/>
  <c r="K32" i="10" s="1"/>
  <c r="M32" i="10" s="1"/>
  <c r="C32" i="11" s="1"/>
  <c r="K32" i="11" s="1"/>
  <c r="M32" i="11" s="1"/>
  <c r="C32" i="12" s="1"/>
  <c r="K32" i="12" s="1"/>
  <c r="M32" i="12" s="1"/>
  <c r="C32" i="13" s="1"/>
  <c r="K32" i="13" s="1"/>
  <c r="M32" i="13" s="1"/>
  <c r="C32" i="14" s="1"/>
  <c r="K32" i="14" s="1"/>
  <c r="M32" i="14" s="1"/>
  <c r="C32" i="15" s="1"/>
  <c r="K32" i="15" s="1"/>
  <c r="M32" i="15" s="1"/>
  <c r="C32" i="16" s="1"/>
  <c r="K32" i="16" s="1"/>
  <c r="M32" i="16" s="1"/>
  <c r="C32" i="17" s="1"/>
  <c r="K32" i="17" s="1"/>
  <c r="M32" i="17" s="1"/>
  <c r="C32" i="18" s="1"/>
  <c r="K32" i="18" s="1"/>
  <c r="M32" i="18" s="1"/>
  <c r="M32" i="7"/>
  <c r="C6" i="5"/>
  <c r="K6" i="5" s="1"/>
  <c r="M6" i="5" s="1"/>
  <c r="C6" i="6" s="1"/>
  <c r="K6" i="6" s="1"/>
  <c r="M6" i="6" s="1"/>
  <c r="C6" i="7" s="1"/>
  <c r="K6" i="7" s="1"/>
  <c r="M6" i="7" s="1"/>
  <c r="C6" i="8" s="1"/>
  <c r="K6" i="8" s="1"/>
  <c r="M6" i="8" s="1"/>
  <c r="C6" i="9" s="1"/>
  <c r="K6" i="9" s="1"/>
  <c r="M6" i="9" s="1"/>
  <c r="C6" i="10" s="1"/>
  <c r="K6" i="10" s="1"/>
  <c r="M6" i="10" s="1"/>
  <c r="C6" i="11" s="1"/>
  <c r="K6" i="11" s="1"/>
  <c r="M6" i="11" s="1"/>
  <c r="C6" i="12" s="1"/>
  <c r="K6" i="12" s="1"/>
  <c r="M6" i="12" s="1"/>
  <c r="C6" i="13" s="1"/>
  <c r="K6" i="13" s="1"/>
  <c r="M6" i="13" s="1"/>
  <c r="C6" i="14" s="1"/>
  <c r="K6" i="14" s="1"/>
  <c r="M6" i="14" s="1"/>
  <c r="C6" i="15" s="1"/>
  <c r="K6" i="15" s="1"/>
  <c r="M6" i="15" s="1"/>
  <c r="C6" i="16" s="1"/>
  <c r="K6" i="16" s="1"/>
  <c r="M6" i="16" s="1"/>
  <c r="C6" i="17" s="1"/>
  <c r="K6" i="17" s="1"/>
  <c r="M6" i="17" s="1"/>
  <c r="C6" i="18" s="1"/>
  <c r="K6" i="18" s="1"/>
  <c r="M6" i="18" s="1"/>
  <c r="K28" i="7"/>
  <c r="M28" i="7" s="1"/>
  <c r="C28" i="8" s="1"/>
  <c r="K28" i="8" s="1"/>
  <c r="M28" i="8" s="1"/>
  <c r="C54" i="10"/>
  <c r="K54" i="10" s="1"/>
  <c r="M54" i="10" s="1"/>
  <c r="C54" i="11" s="1"/>
  <c r="K33" i="8"/>
  <c r="K5" i="7"/>
  <c r="E70" i="3"/>
  <c r="E75" i="3" s="1"/>
  <c r="K44" i="3"/>
  <c r="M44" i="3" s="1"/>
  <c r="C44" i="4" s="1"/>
  <c r="K44" i="4" s="1"/>
  <c r="M44" i="4" s="1"/>
  <c r="C44" i="5" s="1"/>
  <c r="K44" i="5" s="1"/>
  <c r="M44" i="5" s="1"/>
  <c r="P17" i="5"/>
  <c r="M27" i="5"/>
  <c r="C27" i="6" s="1"/>
  <c r="K27" i="6" s="1"/>
  <c r="K8" i="4"/>
  <c r="M12" i="3"/>
  <c r="C12" i="4" s="1"/>
  <c r="K12" i="4" s="1"/>
  <c r="M12" i="4" s="1"/>
  <c r="C12" i="5" s="1"/>
  <c r="K12" i="5" s="1"/>
  <c r="M12" i="5" s="1"/>
  <c r="C12" i="6" s="1"/>
  <c r="K12" i="6" s="1"/>
  <c r="M12" i="6" s="1"/>
  <c r="C12" i="7" s="1"/>
  <c r="K12" i="7" s="1"/>
  <c r="M12" i="7" s="1"/>
  <c r="M31" i="3"/>
  <c r="L58" i="3" s="1"/>
  <c r="M56" i="3"/>
  <c r="C56" i="4" s="1"/>
  <c r="K56" i="4" s="1"/>
  <c r="M56" i="4" s="1"/>
  <c r="C56" i="5" s="1"/>
  <c r="K56" i="5" s="1"/>
  <c r="M56" i="5" s="1"/>
  <c r="C56" i="6" s="1"/>
  <c r="K56" i="6" s="1"/>
  <c r="M56" i="6" s="1"/>
  <c r="C56" i="7" s="1"/>
  <c r="K56" i="7" s="1"/>
  <c r="M56" i="7" s="1"/>
  <c r="C56" i="8" s="1"/>
  <c r="K56" i="8" s="1"/>
  <c r="M56" i="8" s="1"/>
  <c r="C56" i="9" s="1"/>
  <c r="K56" i="9" s="1"/>
  <c r="M56" i="9" s="1"/>
  <c r="C56" i="10" s="1"/>
  <c r="K56" i="10" s="1"/>
  <c r="M56" i="10" s="1"/>
  <c r="C56" i="11" s="1"/>
  <c r="K56" i="11" s="1"/>
  <c r="M56" i="11" s="1"/>
  <c r="J57" i="3"/>
  <c r="L25" i="3"/>
  <c r="M25" i="3" s="1"/>
  <c r="C25" i="4" s="1"/>
  <c r="K25" i="4" s="1"/>
  <c r="M25" i="4" s="1"/>
  <c r="C25" i="5" s="1"/>
  <c r="K25" i="5" s="1"/>
  <c r="M25" i="5" s="1"/>
  <c r="C25" i="6" s="1"/>
  <c r="K25" i="6" s="1"/>
  <c r="M25" i="6" s="1"/>
  <c r="C25" i="7" s="1"/>
  <c r="K25" i="7" s="1"/>
  <c r="M25" i="7" s="1"/>
  <c r="C25" i="8" s="1"/>
  <c r="K25" i="8" s="1"/>
  <c r="M25" i="8" s="1"/>
  <c r="C25" i="9" s="1"/>
  <c r="K25" i="9" s="1"/>
  <c r="M25" i="9" s="1"/>
  <c r="C25" i="10" s="1"/>
  <c r="K25" i="10" s="1"/>
  <c r="M25" i="10" s="1"/>
  <c r="C25" i="11" s="1"/>
  <c r="K25" i="11" s="1"/>
  <c r="M25" i="11" s="1"/>
  <c r="C25" i="12" s="1"/>
  <c r="K25" i="12" s="1"/>
  <c r="M25" i="12" s="1"/>
  <c r="C25" i="13" s="1"/>
  <c r="K25" i="13" s="1"/>
  <c r="M25" i="13" s="1"/>
  <c r="C25" i="14" s="1"/>
  <c r="K25" i="14" s="1"/>
  <c r="M25" i="14" s="1"/>
  <c r="C25" i="15" s="1"/>
  <c r="K25" i="15" s="1"/>
  <c r="M25" i="15" s="1"/>
  <c r="C25" i="16" s="1"/>
  <c r="K25" i="16" s="1"/>
  <c r="M25" i="16" s="1"/>
  <c r="C25" i="17" s="1"/>
  <c r="K25" i="17" s="1"/>
  <c r="M25" i="17" s="1"/>
  <c r="C25" i="18" s="1"/>
  <c r="K25" i="18" s="1"/>
  <c r="M25" i="18" s="1"/>
  <c r="L19" i="3"/>
  <c r="M19" i="3" s="1"/>
  <c r="C19" i="4" s="1"/>
  <c r="K19" i="4" s="1"/>
  <c r="C19" i="5" s="1"/>
  <c r="K19" i="5" s="1"/>
  <c r="M19" i="5" s="1"/>
  <c r="C19" i="6" s="1"/>
  <c r="K19" i="6" s="1"/>
  <c r="M19" i="6" s="1"/>
  <c r="C19" i="7" s="1"/>
  <c r="K19" i="7" s="1"/>
  <c r="M19" i="7" s="1"/>
  <c r="C19" i="8" s="1"/>
  <c r="K19" i="8" s="1"/>
  <c r="M19" i="8" s="1"/>
  <c r="C19" i="9" s="1"/>
  <c r="K19" i="9" s="1"/>
  <c r="M19" i="9" s="1"/>
  <c r="C19" i="10" s="1"/>
  <c r="K19" i="10" s="1"/>
  <c r="M19" i="10" s="1"/>
  <c r="C19" i="11" s="1"/>
  <c r="K19" i="11" s="1"/>
  <c r="M19" i="11" s="1"/>
  <c r="C19" i="12" s="1"/>
  <c r="K19" i="12" s="1"/>
  <c r="M19" i="12" s="1"/>
  <c r="C19" i="13" s="1"/>
  <c r="K19" i="13" s="1"/>
  <c r="M19" i="13" s="1"/>
  <c r="C19" i="14" s="1"/>
  <c r="K19" i="14" s="1"/>
  <c r="M19" i="14" s="1"/>
  <c r="C19" i="15" s="1"/>
  <c r="K19" i="15" s="1"/>
  <c r="M19" i="15" s="1"/>
  <c r="C19" i="16" s="1"/>
  <c r="K19" i="16" s="1"/>
  <c r="M19" i="16" s="1"/>
  <c r="C19" i="17" s="1"/>
  <c r="K19" i="17" s="1"/>
  <c r="M19" i="17" s="1"/>
  <c r="C19" i="18" s="1"/>
  <c r="K19" i="18" s="1"/>
  <c r="M19" i="18" s="1"/>
  <c r="K57" i="3" l="1"/>
  <c r="C28" i="9"/>
  <c r="K28" i="9" s="1"/>
  <c r="M28" i="9" s="1"/>
  <c r="C28" i="10" s="1"/>
  <c r="K28" i="10" s="1"/>
  <c r="M28" i="10" s="1"/>
  <c r="C28" i="11" s="1"/>
  <c r="K28" i="11" s="1"/>
  <c r="M28" i="11" s="1"/>
  <c r="C28" i="12" s="1"/>
  <c r="K28" i="12" s="1"/>
  <c r="M28" i="12" s="1"/>
  <c r="C28" i="13" s="1"/>
  <c r="K28" i="13" s="1"/>
  <c r="M28" i="13" s="1"/>
  <c r="C28" i="14" s="1"/>
  <c r="K28" i="14" s="1"/>
  <c r="M28" i="14" s="1"/>
  <c r="C28" i="15" s="1"/>
  <c r="K28" i="15" s="1"/>
  <c r="M28" i="15" s="1"/>
  <c r="C28" i="16" s="1"/>
  <c r="K28" i="16" s="1"/>
  <c r="M28" i="16" s="1"/>
  <c r="M28" i="17" s="1"/>
  <c r="C28" i="18" s="1"/>
  <c r="K28" i="18" s="1"/>
  <c r="M28" i="18" s="1"/>
  <c r="N69" i="11"/>
  <c r="C56" i="12"/>
  <c r="K54" i="11"/>
  <c r="M33" i="8"/>
  <c r="C33" i="9" s="1"/>
  <c r="K33" i="9" s="1"/>
  <c r="M33" i="9" s="1"/>
  <c r="C33" i="10" s="1"/>
  <c r="K33" i="10" s="1"/>
  <c r="M33" i="10" s="1"/>
  <c r="C33" i="11" s="1"/>
  <c r="K33" i="11" s="1"/>
  <c r="M33" i="11" s="1"/>
  <c r="C33" i="12" s="1"/>
  <c r="K33" i="12" s="1"/>
  <c r="M33" i="12" s="1"/>
  <c r="C33" i="13" s="1"/>
  <c r="K33" i="13" s="1"/>
  <c r="M33" i="13" s="1"/>
  <c r="C33" i="14" s="1"/>
  <c r="K33" i="14" s="1"/>
  <c r="M33" i="14" s="1"/>
  <c r="C33" i="15" s="1"/>
  <c r="K33" i="15" s="1"/>
  <c r="M33" i="15" s="1"/>
  <c r="C33" i="16" s="1"/>
  <c r="K33" i="16" s="1"/>
  <c r="M33" i="16" s="1"/>
  <c r="C33" i="17" s="1"/>
  <c r="K33" i="17" s="1"/>
  <c r="M33" i="17" s="1"/>
  <c r="C33" i="18" s="1"/>
  <c r="K33" i="18" s="1"/>
  <c r="M33" i="18" s="1"/>
  <c r="M5" i="7"/>
  <c r="C5" i="8" s="1"/>
  <c r="K5" i="8" s="1"/>
  <c r="M5" i="8" s="1"/>
  <c r="C5" i="9" s="1"/>
  <c r="K5" i="9" s="1"/>
  <c r="M5" i="9" s="1"/>
  <c r="C5" i="10" s="1"/>
  <c r="C44" i="6"/>
  <c r="K44" i="6" s="1"/>
  <c r="M44" i="6" s="1"/>
  <c r="C44" i="7" s="1"/>
  <c r="K44" i="7" s="1"/>
  <c r="M44" i="7" s="1"/>
  <c r="C44" i="8" s="1"/>
  <c r="K44" i="8" s="1"/>
  <c r="M44" i="8" s="1"/>
  <c r="C44" i="9" s="1"/>
  <c r="K44" i="9" s="1"/>
  <c r="M44" i="9" s="1"/>
  <c r="C44" i="10" s="1"/>
  <c r="K44" i="10" s="1"/>
  <c r="M44" i="10" s="1"/>
  <c r="K44" i="11" s="1"/>
  <c r="M44" i="11" s="1"/>
  <c r="C44" i="12" s="1"/>
  <c r="K44" i="12" s="1"/>
  <c r="M44" i="12" s="1"/>
  <c r="C44" i="13" s="1"/>
  <c r="K44" i="13" s="1"/>
  <c r="M44" i="13" s="1"/>
  <c r="C44" i="14" s="1"/>
  <c r="K44" i="14" s="1"/>
  <c r="M44" i="14" s="1"/>
  <c r="C44" i="15" s="1"/>
  <c r="K44" i="15" s="1"/>
  <c r="M44" i="15" s="1"/>
  <c r="C44" i="16" s="1"/>
  <c r="K44" i="16" s="1"/>
  <c r="M44" i="16" s="1"/>
  <c r="C44" i="17" s="1"/>
  <c r="K44" i="17" s="1"/>
  <c r="M44" i="17" s="1"/>
  <c r="C44" i="18" s="1"/>
  <c r="K44" i="18" s="1"/>
  <c r="M44" i="18" s="1"/>
  <c r="P63" i="5"/>
  <c r="N64" i="5" s="1"/>
  <c r="O23" i="3"/>
  <c r="L57" i="3"/>
  <c r="H61" i="3" s="1"/>
  <c r="P17" i="6"/>
  <c r="M27" i="6"/>
  <c r="C27" i="7" s="1"/>
  <c r="C57" i="4"/>
  <c r="M57" i="3"/>
  <c r="M8" i="4"/>
  <c r="K57" i="4"/>
  <c r="C63" i="3"/>
  <c r="C62" i="3"/>
  <c r="C66" i="3"/>
  <c r="C65" i="3"/>
  <c r="C64" i="3"/>
  <c r="C67" i="3"/>
  <c r="E40" i="2"/>
  <c r="K40" i="2"/>
  <c r="K56" i="12" l="1"/>
  <c r="M54" i="11"/>
  <c r="K5" i="10"/>
  <c r="K27" i="7"/>
  <c r="P36" i="7" s="1"/>
  <c r="P37" i="7" s="1"/>
  <c r="H75" i="3"/>
  <c r="J80" i="3"/>
  <c r="C75" i="3"/>
  <c r="M57" i="4"/>
  <c r="C57" i="5" s="1"/>
  <c r="C8" i="5"/>
  <c r="K8" i="5" s="1"/>
  <c r="K70" i="3"/>
  <c r="C54" i="12" l="1"/>
  <c r="M56" i="12"/>
  <c r="C56" i="13" s="1"/>
  <c r="K56" i="13" s="1"/>
  <c r="M56" i="13" s="1"/>
  <c r="C56" i="14" s="1"/>
  <c r="K56" i="14" s="1"/>
  <c r="M56" i="14" s="1"/>
  <c r="C56" i="15" s="1"/>
  <c r="M5" i="10"/>
  <c r="M27" i="7"/>
  <c r="C27" i="8" s="1"/>
  <c r="K27" i="8" s="1"/>
  <c r="K75" i="3"/>
  <c r="K76" i="3" s="1"/>
  <c r="M8" i="5"/>
  <c r="C8" i="6" s="1"/>
  <c r="K8" i="6" s="1"/>
  <c r="M8" i="6" s="1"/>
  <c r="C8" i="7" s="1"/>
  <c r="K57" i="5"/>
  <c r="F75" i="3"/>
  <c r="C69" i="4" s="1"/>
  <c r="C5" i="11" l="1"/>
  <c r="K56" i="15"/>
  <c r="K54" i="12"/>
  <c r="K8" i="7"/>
  <c r="C76" i="4"/>
  <c r="F76" i="4" s="1"/>
  <c r="C69" i="5" s="1"/>
  <c r="C76" i="5" s="1"/>
  <c r="L75" i="3"/>
  <c r="H63" i="4" s="1"/>
  <c r="H76" i="4" s="1"/>
  <c r="L76" i="4" s="1"/>
  <c r="H63" i="5" s="1"/>
  <c r="N29" i="1"/>
  <c r="N30" i="1" s="1"/>
  <c r="K5" i="11" l="1"/>
  <c r="M56" i="15"/>
  <c r="M54" i="12"/>
  <c r="M27" i="8"/>
  <c r="M8" i="7"/>
  <c r="C8" i="8" s="1"/>
  <c r="K5" i="2"/>
  <c r="K8" i="8" l="1"/>
  <c r="C27" i="9"/>
  <c r="K27" i="9" s="1"/>
  <c r="O29" i="8"/>
  <c r="M5" i="11"/>
  <c r="C56" i="16"/>
  <c r="K56" i="16" s="1"/>
  <c r="C54" i="13"/>
  <c r="J23" i="2"/>
  <c r="C29" i="2" s="1"/>
  <c r="I23" i="2"/>
  <c r="C28" i="2" s="1"/>
  <c r="H23" i="2"/>
  <c r="C27" i="2" s="1"/>
  <c r="G23" i="2"/>
  <c r="C32" i="2" s="1"/>
  <c r="F23" i="2"/>
  <c r="C31" i="2" s="1"/>
  <c r="E23" i="2"/>
  <c r="C30" i="2" s="1"/>
  <c r="D23" i="2"/>
  <c r="C23" i="2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L23" i="2"/>
  <c r="H27" i="2" s="1"/>
  <c r="C5" i="12" l="1"/>
  <c r="M8" i="8"/>
  <c r="M56" i="16"/>
  <c r="C56" i="17" s="1"/>
  <c r="K56" i="17" s="1"/>
  <c r="M56" i="17" s="1"/>
  <c r="C56" i="18" s="1"/>
  <c r="K56" i="18" s="1"/>
  <c r="M56" i="18" s="1"/>
  <c r="K54" i="13"/>
  <c r="M27" i="9"/>
  <c r="C34" i="2"/>
  <c r="C33" i="2"/>
  <c r="K23" i="2"/>
  <c r="K35" i="2"/>
  <c r="H40" i="2" s="1"/>
  <c r="E35" i="2"/>
  <c r="M5" i="2"/>
  <c r="M23" i="2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23" i="1"/>
  <c r="C28" i="1" s="1"/>
  <c r="J23" i="1"/>
  <c r="C29" i="1" s="1"/>
  <c r="C27" i="10" l="1"/>
  <c r="O26" i="9"/>
  <c r="O27" i="9" s="1"/>
  <c r="K5" i="12"/>
  <c r="M54" i="13"/>
  <c r="C40" i="2"/>
  <c r="K23" i="1"/>
  <c r="L40" i="2"/>
  <c r="E38" i="1"/>
  <c r="K38" i="1" s="1"/>
  <c r="E37" i="1"/>
  <c r="K37" i="1" s="1"/>
  <c r="L13" i="1"/>
  <c r="L5" i="1"/>
  <c r="M5" i="12" l="1"/>
  <c r="K27" i="10"/>
  <c r="C54" i="14"/>
  <c r="F40" i="2"/>
  <c r="D43" i="2"/>
  <c r="D23" i="1"/>
  <c r="C33" i="1" s="1"/>
  <c r="M27" i="10" l="1"/>
  <c r="C5" i="13"/>
  <c r="K54" i="14"/>
  <c r="M5" i="1"/>
  <c r="K4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C23" i="1"/>
  <c r="E23" i="1"/>
  <c r="C30" i="1" s="1"/>
  <c r="F23" i="1"/>
  <c r="C31" i="1" s="1"/>
  <c r="G23" i="1"/>
  <c r="C32" i="1" s="1"/>
  <c r="H23" i="1"/>
  <c r="C27" i="1" s="1"/>
  <c r="L23" i="1"/>
  <c r="H27" i="1" s="1"/>
  <c r="E40" i="1"/>
  <c r="K5" i="13" l="1"/>
  <c r="C27" i="11"/>
  <c r="M54" i="14"/>
  <c r="K35" i="1"/>
  <c r="H40" i="1" s="1"/>
  <c r="L40" i="1" s="1"/>
  <c r="M23" i="1"/>
  <c r="E35" i="1"/>
  <c r="C40" i="1" s="1"/>
  <c r="C54" i="15" l="1"/>
  <c r="K54" i="15" s="1"/>
  <c r="M54" i="15" s="1"/>
  <c r="C54" i="16" s="1"/>
  <c r="K54" i="16" s="1"/>
  <c r="M54" i="16" s="1"/>
  <c r="C54" i="17" s="1"/>
  <c r="K54" i="17" s="1"/>
  <c r="M54" i="17" s="1"/>
  <c r="C54" i="18" s="1"/>
  <c r="K27" i="11"/>
  <c r="M5" i="13"/>
  <c r="F40" i="1"/>
  <c r="M39" i="5"/>
  <c r="C39" i="6" s="1"/>
  <c r="L57" i="5"/>
  <c r="K74" i="5" s="1"/>
  <c r="M57" i="5"/>
  <c r="H61" i="5"/>
  <c r="H76" i="5" s="1"/>
  <c r="K54" i="18" l="1"/>
  <c r="C5" i="14"/>
  <c r="M27" i="11"/>
  <c r="K76" i="5"/>
  <c r="K77" i="5" s="1"/>
  <c r="K39" i="6"/>
  <c r="C57" i="6"/>
  <c r="L76" i="5"/>
  <c r="P53" i="5"/>
  <c r="E74" i="5"/>
  <c r="E76" i="5" s="1"/>
  <c r="M54" i="18" l="1"/>
  <c r="C27" i="12"/>
  <c r="K5" i="14"/>
  <c r="H63" i="6"/>
  <c r="M39" i="6"/>
  <c r="K57" i="6"/>
  <c r="F76" i="5"/>
  <c r="M5" i="14" l="1"/>
  <c r="K27" i="12"/>
  <c r="M57" i="6"/>
  <c r="C39" i="7"/>
  <c r="H76" i="6"/>
  <c r="L76" i="6" s="1"/>
  <c r="E77" i="5"/>
  <c r="C69" i="6"/>
  <c r="M27" i="12" l="1"/>
  <c r="C5" i="15"/>
  <c r="H63" i="7"/>
  <c r="H76" i="7" s="1"/>
  <c r="L76" i="7" s="1"/>
  <c r="H63" i="8" s="1"/>
  <c r="C76" i="6"/>
  <c r="F76" i="6" s="1"/>
  <c r="E77" i="6" s="1"/>
  <c r="K39" i="7"/>
  <c r="C57" i="7"/>
  <c r="K5" i="15" l="1"/>
  <c r="C27" i="13"/>
  <c r="H76" i="8"/>
  <c r="L76" i="8" s="1"/>
  <c r="C69" i="7"/>
  <c r="C76" i="7" s="1"/>
  <c r="F76" i="7" s="1"/>
  <c r="M39" i="7"/>
  <c r="K57" i="7"/>
  <c r="M57" i="7" l="1"/>
  <c r="C39" i="8"/>
  <c r="K27" i="13"/>
  <c r="M5" i="15"/>
  <c r="H63" i="9"/>
  <c r="E77" i="7"/>
  <c r="C69" i="8"/>
  <c r="C76" i="8" s="1"/>
  <c r="F76" i="8" s="1"/>
  <c r="K39" i="8" l="1"/>
  <c r="C57" i="8"/>
  <c r="C5" i="16"/>
  <c r="K5" i="16" s="1"/>
  <c r="M27" i="13"/>
  <c r="H76" i="9"/>
  <c r="L76" i="9" s="1"/>
  <c r="H63" i="10" s="1"/>
  <c r="H76" i="10" s="1"/>
  <c r="L76" i="10" s="1"/>
  <c r="H63" i="11" s="1"/>
  <c r="H76" i="11" s="1"/>
  <c r="L76" i="11" s="1"/>
  <c r="H63" i="12" s="1"/>
  <c r="H76" i="12" s="1"/>
  <c r="L76" i="12" s="1"/>
  <c r="E77" i="8"/>
  <c r="C69" i="9"/>
  <c r="C27" i="14" l="1"/>
  <c r="M5" i="16"/>
  <c r="C5" i="17" s="1"/>
  <c r="K5" i="17" s="1"/>
  <c r="M39" i="8"/>
  <c r="K57" i="8"/>
  <c r="H63" i="13"/>
  <c r="H76" i="13" s="1"/>
  <c r="L76" i="13" s="1"/>
  <c r="C76" i="9"/>
  <c r="F76" i="9" s="1"/>
  <c r="M5" i="17" l="1"/>
  <c r="C5" i="18" s="1"/>
  <c r="K5" i="18" s="1"/>
  <c r="M5" i="18" s="1"/>
  <c r="C39" i="9"/>
  <c r="M57" i="8"/>
  <c r="K27" i="14"/>
  <c r="H63" i="14"/>
  <c r="H76" i="14" s="1"/>
  <c r="L76" i="14" s="1"/>
  <c r="H63" i="15" s="1"/>
  <c r="H76" i="15" s="1"/>
  <c r="L76" i="15" s="1"/>
  <c r="H63" i="16" s="1"/>
  <c r="H76" i="16" s="1"/>
  <c r="L76" i="16" s="1"/>
  <c r="H63" i="17" s="1"/>
  <c r="H76" i="17" s="1"/>
  <c r="L76" i="17" s="1"/>
  <c r="H63" i="18" s="1"/>
  <c r="H76" i="18" s="1"/>
  <c r="L76" i="18" s="1"/>
  <c r="E77" i="9"/>
  <c r="C69" i="10"/>
  <c r="C76" i="10" s="1"/>
  <c r="F76" i="10" s="1"/>
  <c r="E77" i="10" s="1"/>
  <c r="M27" i="14" l="1"/>
  <c r="K39" i="9"/>
  <c r="C57" i="9"/>
  <c r="C69" i="11"/>
  <c r="C76" i="11" s="1"/>
  <c r="F76" i="11" s="1"/>
  <c r="M39" i="9" l="1"/>
  <c r="K57" i="9"/>
  <c r="C27" i="15"/>
  <c r="E77" i="11"/>
  <c r="C69" i="12"/>
  <c r="K27" i="15" l="1"/>
  <c r="C39" i="10"/>
  <c r="M57" i="9"/>
  <c r="C76" i="12"/>
  <c r="F76" i="12" s="1"/>
  <c r="K39" i="10" l="1"/>
  <c r="C57" i="10"/>
  <c r="M27" i="15"/>
  <c r="E77" i="12"/>
  <c r="C69" i="13"/>
  <c r="C76" i="13" s="1"/>
  <c r="F76" i="13" s="1"/>
  <c r="C27" i="16" l="1"/>
  <c r="K27" i="16" s="1"/>
  <c r="M39" i="10"/>
  <c r="K57" i="10"/>
  <c r="E77" i="13"/>
  <c r="C69" i="14"/>
  <c r="C76" i="14" s="1"/>
  <c r="F76" i="14" s="1"/>
  <c r="C39" i="11" l="1"/>
  <c r="M57" i="10"/>
  <c r="M27" i="16"/>
  <c r="C27" i="17" s="1"/>
  <c r="K27" i="17" s="1"/>
  <c r="E77" i="14"/>
  <c r="C69" i="15"/>
  <c r="C76" i="15" s="1"/>
  <c r="F76" i="15" s="1"/>
  <c r="C69" i="16" s="1"/>
  <c r="M27" i="17" l="1"/>
  <c r="C27" i="18" s="1"/>
  <c r="K39" i="11"/>
  <c r="C57" i="11"/>
  <c r="E77" i="15"/>
  <c r="C76" i="16"/>
  <c r="F76" i="16" s="1"/>
  <c r="C69" i="17" s="1"/>
  <c r="C76" i="17" s="1"/>
  <c r="F76" i="17" s="1"/>
  <c r="K27" i="18" l="1"/>
  <c r="E77" i="17"/>
  <c r="C69" i="18"/>
  <c r="C76" i="18" s="1"/>
  <c r="F76" i="18" s="1"/>
  <c r="E77" i="18" s="1"/>
  <c r="E77" i="16"/>
  <c r="M39" i="11"/>
  <c r="K57" i="11"/>
  <c r="M27" i="18" l="1"/>
  <c r="C39" i="12"/>
  <c r="M57" i="11"/>
  <c r="K39" i="12" l="1"/>
  <c r="C57" i="12"/>
  <c r="M39" i="12" l="1"/>
  <c r="K57" i="12"/>
  <c r="C39" i="13" l="1"/>
  <c r="M57" i="12"/>
  <c r="K39" i="13" l="1"/>
  <c r="C57" i="13"/>
  <c r="M39" i="13" l="1"/>
  <c r="K57" i="13"/>
  <c r="C39" i="14" l="1"/>
  <c r="M57" i="13"/>
  <c r="K39" i="14" l="1"/>
  <c r="C57" i="14"/>
  <c r="M39" i="14" l="1"/>
  <c r="K57" i="14"/>
  <c r="C39" i="15" l="1"/>
  <c r="M57" i="14"/>
  <c r="K39" i="15" l="1"/>
  <c r="C57" i="15"/>
  <c r="M39" i="15" l="1"/>
  <c r="K57" i="15"/>
  <c r="C39" i="16" l="1"/>
  <c r="K39" i="16" s="1"/>
  <c r="M57" i="15"/>
  <c r="C57" i="16" l="1"/>
  <c r="C57" i="17"/>
  <c r="M39" i="16"/>
  <c r="K57" i="16"/>
  <c r="M57" i="16" l="1"/>
  <c r="C39" i="17"/>
  <c r="K39" i="17" s="1"/>
  <c r="M39" i="17" l="1"/>
  <c r="K57" i="17"/>
  <c r="M57" i="17" l="1"/>
  <c r="C39" i="18"/>
  <c r="K39" i="18" l="1"/>
  <c r="C57" i="18"/>
  <c r="M39" i="18" l="1"/>
  <c r="M57" i="18" s="1"/>
  <c r="K57" i="18"/>
</calcChain>
</file>

<file path=xl/sharedStrings.xml><?xml version="1.0" encoding="utf-8"?>
<sst xmlns="http://schemas.openxmlformats.org/spreadsheetml/2006/main" count="2763" uniqueCount="182">
  <si>
    <t xml:space="preserve">RENT STATEMENT </t>
  </si>
  <si>
    <t xml:space="preserve">NO. </t>
  </si>
  <si>
    <t>NAME</t>
  </si>
  <si>
    <t>BF</t>
  </si>
  <si>
    <t>DEPOSIT</t>
  </si>
  <si>
    <t>RENT</t>
  </si>
  <si>
    <t>TOTAL DUE</t>
  </si>
  <si>
    <t xml:space="preserve">PAID </t>
  </si>
  <si>
    <t>BAL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</si>
  <si>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</si>
  <si>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</si>
  <si>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</si>
  <si>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</si>
  <si>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</si>
  <si>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</si>
  <si>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</si>
  <si>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</si>
  <si>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</si>
  <si>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</si>
  <si>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</si>
  <si>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 xml:space="preserve">TOTAL </t>
  </si>
  <si>
    <t>PREPARED BY</t>
  </si>
  <si>
    <t>APPROVED BY</t>
  </si>
  <si>
    <t>RECEIVED BY</t>
  </si>
  <si>
    <t>FLORENCE</t>
  </si>
  <si>
    <t>GRACE</t>
  </si>
  <si>
    <t>NGONG BUTCHERS PLOT NO.23124/30</t>
  </si>
  <si>
    <t>SHOP 6</t>
  </si>
  <si>
    <t>SHOP 10</t>
  </si>
  <si>
    <t>SHOP 11</t>
  </si>
  <si>
    <t>SHOP 16</t>
  </si>
  <si>
    <t>SHOP 17</t>
  </si>
  <si>
    <t>SHOP 18</t>
  </si>
  <si>
    <t>SHOP 19</t>
  </si>
  <si>
    <t>SHOP 20</t>
  </si>
  <si>
    <t>SHOP35</t>
  </si>
  <si>
    <t>SHOP37</t>
  </si>
  <si>
    <t>SHOP 41</t>
  </si>
  <si>
    <t>SHOP 42</t>
  </si>
  <si>
    <t>SHOP 43</t>
  </si>
  <si>
    <t>SHOP 44</t>
  </si>
  <si>
    <t>SHOP 45</t>
  </si>
  <si>
    <t>SHOP 46</t>
  </si>
  <si>
    <t>SHOP 47</t>
  </si>
  <si>
    <t>SHOP 48</t>
  </si>
  <si>
    <t>WAWERU/JUDITH</t>
  </si>
  <si>
    <t>WATER DEP</t>
  </si>
  <si>
    <t>ELECTRICITY DEP</t>
  </si>
  <si>
    <t>JULY</t>
  </si>
  <si>
    <t>NGONG BUTCHERS</t>
  </si>
  <si>
    <t>FOR THE MONTH OF JULY 2020</t>
  </si>
  <si>
    <t>PAID ON 23/6</t>
  </si>
  <si>
    <t>ADVOCATE FEE</t>
  </si>
  <si>
    <t>LEMAYIAN MALOIY</t>
  </si>
  <si>
    <t>LEIMAYAN DIRECT TO LL</t>
  </si>
  <si>
    <t>ELEC DEP</t>
  </si>
  <si>
    <t>VAT</t>
  </si>
  <si>
    <t>SERVICE CHARGE</t>
  </si>
  <si>
    <t>FOR THE MONTH OF AUGUST 2020</t>
  </si>
  <si>
    <t>AUGUST</t>
  </si>
  <si>
    <t>FROM NGONG BUTCHERS</t>
  </si>
  <si>
    <t>SHOP 1</t>
  </si>
  <si>
    <t>SHOP 3</t>
  </si>
  <si>
    <t>SHOP 4</t>
  </si>
  <si>
    <t>SHOP 5</t>
  </si>
  <si>
    <t>SHOP 7</t>
  </si>
  <si>
    <t>SHOP 8</t>
  </si>
  <si>
    <t>SHOP 9</t>
  </si>
  <si>
    <t>SHOP 12</t>
  </si>
  <si>
    <t>SHOP 13</t>
  </si>
  <si>
    <t>SHOP 14</t>
  </si>
  <si>
    <t>SHOP 15</t>
  </si>
  <si>
    <t>SHOP 21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</si>
  <si>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</si>
  <si>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</si>
  <si>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</si>
  <si>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</si>
  <si>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</si>
  <si>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</si>
  <si>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</si>
  <si>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</si>
  <si>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</si>
  <si>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</si>
  <si>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</si>
  <si>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</si>
  <si>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</si>
  <si>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>SHOP 35</t>
  </si>
  <si>
    <t>SHOP 36</t>
  </si>
  <si>
    <t>SHOP 37</t>
  </si>
  <si>
    <t>SHOP 38</t>
  </si>
  <si>
    <t>SHOP 39</t>
  </si>
  <si>
    <t>SHOP 40</t>
  </si>
  <si>
    <t>SHOP 49</t>
  </si>
  <si>
    <t>SHOP 50</t>
  </si>
  <si>
    <t>FOR THE MONTH OF SEPTEMBER 2020</t>
  </si>
  <si>
    <t>SHOP 2</t>
  </si>
  <si>
    <t>BETH MAKENA MWITI</t>
  </si>
  <si>
    <t>MARYANNE WANJIRU</t>
  </si>
  <si>
    <t>VACCANT</t>
  </si>
  <si>
    <t>JOSPHINE MUTIO</t>
  </si>
  <si>
    <t>OLIVIA MUTHONI</t>
  </si>
  <si>
    <t>AHMED OMAR ABDI</t>
  </si>
  <si>
    <t>DUNCAN MULEI</t>
  </si>
  <si>
    <t>MARY WAMBUI</t>
  </si>
  <si>
    <t>NANCY WANJIKU</t>
  </si>
  <si>
    <t>ANTHONY WANDUNGO</t>
  </si>
  <si>
    <t>JACKSON MWANGI</t>
  </si>
  <si>
    <t>HELLEN MARANGU</t>
  </si>
  <si>
    <t>S-4</t>
  </si>
  <si>
    <t>S-8</t>
  </si>
  <si>
    <t>RANGECHEM</t>
  </si>
  <si>
    <t>JAVAN KINUTHIA</t>
  </si>
  <si>
    <t>DUNCAN MULEI-WALL</t>
  </si>
  <si>
    <t>ESTHER MUMBI</t>
  </si>
  <si>
    <t>BONIFACE GITHUKA/GLADYS</t>
  </si>
  <si>
    <t>DAVID ISUVI KIGANANE</t>
  </si>
  <si>
    <t>STEPHEN MAKAU</t>
  </si>
  <si>
    <t>IRENE KEMUMA/PURITY GATHAKA</t>
  </si>
  <si>
    <t>EVERLNR OLUOCH</t>
  </si>
  <si>
    <t>VAT 14%</t>
  </si>
  <si>
    <t>LL</t>
  </si>
  <si>
    <t>MAGDALENE MUTHOKA</t>
  </si>
  <si>
    <t>FREDRICK OUKO ODHIAMBO</t>
  </si>
  <si>
    <t>PAMELLA</t>
  </si>
  <si>
    <t>TO BE PAYING 5000 EVERY MONTH</t>
  </si>
  <si>
    <t>TO CONFIRM WITH ACUMEN</t>
  </si>
  <si>
    <t>SHE SAID SHE CLEARED WITH ACUMEN</t>
  </si>
  <si>
    <t>TO CLEAR ON OCTOBER</t>
  </si>
  <si>
    <t>NO BAL .ITS AN OVERPAYMENT</t>
  </si>
  <si>
    <t>CONFIRMED SHE HAS A BAL OF3300</t>
  </si>
  <si>
    <t>ARREARS PAID</t>
  </si>
  <si>
    <t>HAS NO ARREARS</t>
  </si>
  <si>
    <t>NO  ARREARS</t>
  </si>
  <si>
    <t>BROUGHT A RCT SHOWING A BAL OF 3519</t>
  </si>
  <si>
    <t>SEPTEMBER</t>
  </si>
  <si>
    <t>ON DEP</t>
  </si>
  <si>
    <t>DIRECT TO LL</t>
  </si>
  <si>
    <t>FOR THE MONTH OF NOVEMBER 2020</t>
  </si>
  <si>
    <t>NOVEMBER</t>
  </si>
  <si>
    <t>OCTOBER</t>
  </si>
  <si>
    <t>FOR THE MONTH OF OCTOBER 2020</t>
  </si>
  <si>
    <t>LOCKED</t>
  </si>
  <si>
    <t>REFNO:10044031572</t>
  </si>
  <si>
    <t>REF NO:10044031572</t>
  </si>
  <si>
    <t>LUCY WAMBUI</t>
  </si>
  <si>
    <t>BROUGHT A RCPT FOR THE MONTH OFSEP</t>
  </si>
  <si>
    <t>B/F</t>
  </si>
  <si>
    <t>FOR THE MONTH OF DECEMBER 2020</t>
  </si>
  <si>
    <t>DECEMBER</t>
  </si>
  <si>
    <t>FOR THE MONTH OF JANUARY  2021</t>
  </si>
  <si>
    <t>JANUARY</t>
  </si>
  <si>
    <t>VAT 16%</t>
  </si>
  <si>
    <t>evicted</t>
  </si>
  <si>
    <t>SAMUEL KISELI</t>
  </si>
  <si>
    <t>FEBRUARY</t>
  </si>
  <si>
    <t>FOR THE MONTH OF FEBRUARY  2021</t>
  </si>
  <si>
    <t>MARCH</t>
  </si>
  <si>
    <t>FOR THE MONTH OF MARCH  2021</t>
  </si>
  <si>
    <t>locked</t>
  </si>
  <si>
    <t>BETHWEL MUHINGO</t>
  </si>
  <si>
    <t>FOR THE MONTH OF APRIL  2021</t>
  </si>
  <si>
    <t>APRIL</t>
  </si>
  <si>
    <t>60229-</t>
  </si>
  <si>
    <t>EVICTED</t>
  </si>
  <si>
    <t>MAY</t>
  </si>
  <si>
    <t>FOR THE MONTH OF MAY  2021</t>
  </si>
  <si>
    <t>FOR THE MONTH OF JUNE  2021</t>
  </si>
  <si>
    <t>MERCY WAIRIMU</t>
  </si>
  <si>
    <t>JUNE</t>
  </si>
  <si>
    <t>VACCATED</t>
  </si>
  <si>
    <t>JOSPHINE SHOP 4 EVICTED</t>
  </si>
  <si>
    <t>VACCATED ON DEP</t>
  </si>
  <si>
    <t>NANCY SHOP 10 VACCATED</t>
  </si>
  <si>
    <t>WELDED</t>
  </si>
  <si>
    <t>FOR THE MONTH OF AUGUST  2021</t>
  </si>
  <si>
    <t>FOR THE MONTH OF JULY  2021</t>
  </si>
  <si>
    <t>FOR THE MONTH OF SEPTEMBER  2021</t>
  </si>
  <si>
    <t>SEPT</t>
  </si>
  <si>
    <t>FOR THE MONTH OF OCTOBER  2021</t>
  </si>
  <si>
    <t>FOR THE MONTH OF NOVEMBER  2021</t>
  </si>
  <si>
    <t>NOV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</si>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</sst>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2" xfId="0" applyFill="1" applyBorder="1"/>
    <xf numFmtId="0" fontId="2" fillId="0" borderId="1" xfId="0" applyFont="1" applyBorder="1"/>
    <xf numFmtId="0" fontId="5" fillId="0" borderId="2" xfId="0" applyFont="1" applyFill="1" applyBorder="1"/>
    <xf numFmtId="49" fontId="6" fillId="0" borderId="0" xfId="1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 applyBorder="1"/>
    <xf numFmtId="4" fontId="3" fillId="0" borderId="0" xfId="0" applyNumberFormat="1" applyFont="1" applyBorder="1"/>
    <xf numFmtId="164" fontId="7" fillId="0" borderId="0" xfId="0" applyNumberFormat="1" applyFont="1" applyBorder="1"/>
    <xf numFmtId="0" fontId="3" fillId="0" borderId="3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9" fontId="0" fillId="0" borderId="1" xfId="0" applyNumberFormat="1" applyFont="1" applyBorder="1"/>
    <xf numFmtId="0" fontId="8" fillId="0" borderId="1" xfId="0" applyFont="1" applyBorder="1"/>
    <xf numFmtId="3" fontId="3" fillId="0" borderId="1" xfId="0" applyNumberFormat="1" applyFont="1" applyBorder="1"/>
    <xf numFmtId="14" fontId="0" fillId="0" borderId="1" xfId="0" applyNumberFormat="1" applyBorder="1"/>
    <xf numFmtId="9" fontId="0" fillId="0" borderId="1" xfId="0" applyNumberFormat="1" applyBorder="1"/>
    <xf numFmtId="16" fontId="0" fillId="0" borderId="1" xfId="0" applyNumberFormat="1" applyBorder="1"/>
    <xf numFmtId="14" fontId="0" fillId="0" borderId="1" xfId="0" applyNumberFormat="1" applyFont="1" applyBorder="1"/>
    <xf numFmtId="14" fontId="3" fillId="0" borderId="1" xfId="0" applyNumberFormat="1" applyFont="1" applyBorder="1"/>
    <xf numFmtId="3" fontId="3" fillId="0" borderId="1" xfId="0" applyNumberFormat="1" applyFont="1" applyFill="1" applyBorder="1"/>
    <xf numFmtId="9" fontId="0" fillId="0" borderId="0" xfId="0" applyNumberFormat="1" applyBorder="1"/>
    <xf numFmtId="3" fontId="0" fillId="0" borderId="0" xfId="0" applyNumberFormat="1"/>
    <xf numFmtId="0" fontId="9" fillId="0" borderId="0" xfId="0" applyFont="1"/>
    <xf numFmtId="0" fontId="10" fillId="0" borderId="0" xfId="0" applyFont="1"/>
    <xf numFmtId="17" fontId="10" fillId="0" borderId="0" xfId="0" applyNumberFormat="1" applyFont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11" fillId="0" borderId="2" xfId="0" applyFont="1" applyFill="1" applyBorder="1"/>
    <xf numFmtId="49" fontId="13" fillId="0" borderId="0" xfId="1" applyNumberFormat="1" applyFont="1" applyBorder="1" applyAlignment="1">
      <alignment horizontal="right"/>
    </xf>
    <xf numFmtId="0" fontId="14" fillId="0" borderId="0" xfId="0" applyFont="1"/>
    <xf numFmtId="0" fontId="10" fillId="0" borderId="0" xfId="0" applyFont="1" applyBorder="1"/>
    <xf numFmtId="4" fontId="10" fillId="0" borderId="0" xfId="0" applyNumberFormat="1" applyFont="1" applyBorder="1"/>
    <xf numFmtId="164" fontId="15" fillId="0" borderId="0" xfId="0" applyNumberFormat="1" applyFont="1" applyBorder="1"/>
    <xf numFmtId="0" fontId="10" fillId="0" borderId="3" xfId="0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9" fillId="0" borderId="1" xfId="0" applyFont="1" applyFill="1" applyBorder="1"/>
    <xf numFmtId="9" fontId="9" fillId="0" borderId="1" xfId="0" applyNumberFormat="1" applyFont="1" applyBorder="1"/>
    <xf numFmtId="3" fontId="10" fillId="0" borderId="1" xfId="0" applyNumberFormat="1" applyFont="1" applyBorder="1"/>
    <xf numFmtId="14" fontId="9" fillId="0" borderId="1" xfId="0" applyNumberFormat="1" applyFont="1" applyBorder="1"/>
    <xf numFmtId="16" fontId="9" fillId="0" borderId="1" xfId="0" applyNumberFormat="1" applyFont="1" applyBorder="1"/>
    <xf numFmtId="14" fontId="10" fillId="0" borderId="1" xfId="0" applyNumberFormat="1" applyFont="1" applyBorder="1"/>
    <xf numFmtId="3" fontId="10" fillId="0" borderId="1" xfId="0" applyNumberFormat="1" applyFont="1" applyFill="1" applyBorder="1"/>
    <xf numFmtId="0" fontId="16" fillId="0" borderId="0" xfId="0" applyFont="1"/>
    <xf numFmtId="3" fontId="16" fillId="0" borderId="0" xfId="0" applyNumberFormat="1" applyFont="1"/>
    <xf numFmtId="0" fontId="14" fillId="0" borderId="1" xfId="0" applyFont="1" applyBorder="1"/>
    <xf numFmtId="0" fontId="17" fillId="0" borderId="1" xfId="0" applyFont="1" applyBorder="1"/>
    <xf numFmtId="49" fontId="18" fillId="0" borderId="0" xfId="1" applyNumberFormat="1" applyFont="1" applyBorder="1" applyAlignment="1">
      <alignment horizontal="right"/>
    </xf>
    <xf numFmtId="0" fontId="9" fillId="0" borderId="0" xfId="0" applyFont="1" applyBorder="1"/>
    <xf numFmtId="4" fontId="9" fillId="0" borderId="0" xfId="0" applyNumberFormat="1" applyFont="1" applyBorder="1"/>
    <xf numFmtId="164" fontId="19" fillId="0" borderId="0" xfId="0" applyNumberFormat="1" applyFont="1" applyBorder="1"/>
    <xf numFmtId="0" fontId="14" fillId="0" borderId="2" xfId="0" applyFont="1" applyFill="1" applyBorder="1"/>
    <xf numFmtId="17" fontId="9" fillId="0" borderId="0" xfId="0" applyNumberFormat="1" applyFont="1"/>
    <xf numFmtId="0" fontId="9" fillId="0" borderId="3" xfId="0" applyFont="1" applyBorder="1"/>
    <xf numFmtId="3" fontId="9" fillId="0" borderId="1" xfId="0" applyNumberFormat="1" applyFont="1" applyFill="1" applyBorder="1"/>
    <xf numFmtId="4" fontId="16" fillId="0" borderId="0" xfId="0" applyNumberFormat="1" applyFont="1"/>
    <xf numFmtId="0" fontId="17" fillId="0" borderId="0" xfId="0" applyFont="1"/>
    <xf numFmtId="0" fontId="4" fillId="0" borderId="0" xfId="0" applyFont="1"/>
    <xf numFmtId="0" fontId="12" fillId="0" borderId="0" xfId="0" applyFont="1"/>
    <xf numFmtId="17" fontId="12" fillId="0" borderId="0" xfId="0" applyNumberFormat="1" applyFont="1"/>
    <xf numFmtId="0" fontId="12" fillId="0" borderId="2" xfId="0" applyFont="1" applyFill="1" applyBorder="1"/>
    <xf numFmtId="49" fontId="15" fillId="0" borderId="0" xfId="1" applyNumberFormat="1" applyFont="1" applyBorder="1" applyAlignment="1">
      <alignment horizontal="right"/>
    </xf>
    <xf numFmtId="0" fontId="12" fillId="0" borderId="0" xfId="0" applyFont="1" applyBorder="1"/>
    <xf numFmtId="4" fontId="12" fillId="0" borderId="0" xfId="0" applyNumberFormat="1" applyFont="1" applyBorder="1"/>
    <xf numFmtId="0" fontId="12" fillId="0" borderId="3" xfId="0" applyFont="1" applyBorder="1"/>
    <xf numFmtId="3" fontId="17" fillId="0" borderId="1" xfId="0" applyNumberFormat="1" applyFont="1" applyBorder="1"/>
    <xf numFmtId="0" fontId="17" fillId="0" borderId="1" xfId="0" applyFont="1" applyFill="1" applyBorder="1"/>
    <xf numFmtId="9" fontId="17" fillId="0" borderId="1" xfId="0" applyNumberFormat="1" applyFont="1" applyBorder="1"/>
    <xf numFmtId="3" fontId="17" fillId="0" borderId="0" xfId="0" applyNumberFormat="1" applyFont="1"/>
    <xf numFmtId="3" fontId="12" fillId="0" borderId="1" xfId="0" applyNumberFormat="1" applyFont="1" applyBorder="1"/>
    <xf numFmtId="14" fontId="17" fillId="0" borderId="1" xfId="0" applyNumberFormat="1" applyFont="1" applyBorder="1"/>
    <xf numFmtId="16" fontId="17" fillId="0" borderId="1" xfId="0" applyNumberFormat="1" applyFont="1" applyBorder="1"/>
    <xf numFmtId="14" fontId="12" fillId="0" borderId="1" xfId="0" applyNumberFormat="1" applyFont="1" applyBorder="1"/>
    <xf numFmtId="3" fontId="12" fillId="0" borderId="1" xfId="0" applyNumberFormat="1" applyFont="1" applyFill="1" applyBorder="1"/>
    <xf numFmtId="0" fontId="20" fillId="0" borderId="0" xfId="0" applyFont="1"/>
    <xf numFmtId="3" fontId="20" fillId="0" borderId="0" xfId="0" applyNumberFormat="1" applyFont="1"/>
    <xf numFmtId="0" fontId="21" fillId="0" borderId="1" xfId="0" applyFont="1" applyBorder="1"/>
    <xf numFmtId="0" fontId="10" fillId="0" borderId="4" xfId="0" applyFont="1" applyFill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O8" sqref="O8"/>
    </sheetView>
  </sheetViews>
  <sheetFormatPr defaultRowHeight="15" x14ac:dyDescent="0.25"/>
  <cols>
    <col min="1" max="1" width="7.7109375" customWidth="1"/>
    <col min="2" max="2" width="16.28515625" customWidth="1"/>
    <col min="3" max="3" width="6.5703125" bestFit="1" customWidth="1"/>
    <col min="4" max="4" width="9.42578125" customWidth="1"/>
    <col min="5" max="5" width="7.7109375" customWidth="1"/>
    <col min="6" max="6" width="10.5703125" customWidth="1"/>
    <col min="7" max="7" width="23.42578125" bestFit="1" customWidth="1"/>
    <col min="8" max="8" width="6.5703125" bestFit="1" customWidth="1"/>
    <col min="9" max="9" width="7.85546875" customWidth="1"/>
    <col min="10" max="10" width="6.5703125" customWidth="1"/>
    <col min="11" max="11" width="10.7109375" bestFit="1" customWidth="1"/>
  </cols>
  <sheetData>
    <row r="1" spans="1:13" x14ac:dyDescent="0.25">
      <c r="F1" s="1" t="s">
        <v>26</v>
      </c>
      <c r="G1" s="1"/>
      <c r="H1" s="1"/>
      <c r="I1" s="1"/>
      <c r="J1" s="1"/>
      <c r="K1" s="1"/>
      <c r="L1" s="1"/>
    </row>
    <row r="2" spans="1:13" x14ac:dyDescent="0.25">
      <c r="F2" s="1" t="s">
        <v>0</v>
      </c>
      <c r="G2" s="1"/>
      <c r="H2" s="1"/>
      <c r="I2" s="1"/>
      <c r="J2" s="1"/>
      <c r="K2" s="1"/>
      <c r="L2" s="1"/>
    </row>
    <row r="3" spans="1:13" x14ac:dyDescent="0.25">
      <c r="F3" s="1" t="s">
        <v>50</v>
      </c>
      <c r="G3" s="1"/>
      <c r="H3" s="1"/>
      <c r="I3" s="1"/>
      <c r="J3" s="1"/>
      <c r="K3" s="2"/>
      <c r="L3" s="1"/>
    </row>
    <row r="4" spans="1:13" ht="15" customHeight="1" x14ac:dyDescent="0.25">
      <c r="A4" s="3" t="s">
        <v>1</v>
      </c>
      <c r="B4" s="3" t="s">
        <v>2</v>
      </c>
      <c r="C4" s="3" t="s">
        <v>3</v>
      </c>
      <c r="D4" s="3" t="s">
        <v>52</v>
      </c>
      <c r="E4" s="3" t="s">
        <v>4</v>
      </c>
      <c r="F4" s="3" t="s">
        <v>46</v>
      </c>
      <c r="G4" s="3" t="s">
        <v>55</v>
      </c>
      <c r="H4" s="3" t="s">
        <v>5</v>
      </c>
      <c r="I4" s="3" t="s">
        <v>57</v>
      </c>
      <c r="J4" s="3" t="s">
        <v>56</v>
      </c>
      <c r="K4" s="3" t="s">
        <v>6</v>
      </c>
      <c r="L4" s="3" t="s">
        <v>7</v>
      </c>
      <c r="M4" s="3" t="s">
        <v>8</v>
      </c>
    </row>
    <row r="5" spans="1:13" x14ac:dyDescent="0.25">
      <c r="A5" s="4" t="s">
        <v>27</v>
      </c>
      <c r="B5" s="4" t="s">
        <v>45</v>
      </c>
      <c r="C5" s="4"/>
      <c r="D5" s="4">
        <v>3000</v>
      </c>
      <c r="E5" s="4">
        <v>24000</v>
      </c>
      <c r="F5" s="4">
        <v>3000</v>
      </c>
      <c r="G5" s="4">
        <v>5000</v>
      </c>
      <c r="H5" s="4">
        <v>12000</v>
      </c>
      <c r="I5" s="4">
        <v>600</v>
      </c>
      <c r="J5" s="4">
        <v>1920</v>
      </c>
      <c r="K5" s="4">
        <f>C5+D5+E5+F5+G5+H5+I5+J5</f>
        <v>49520</v>
      </c>
      <c r="L5" s="4">
        <f>46560+2960</f>
        <v>49520</v>
      </c>
      <c r="M5" s="4">
        <f>K5-L5</f>
        <v>0</v>
      </c>
    </row>
    <row r="6" spans="1:13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C6+D6+E6+F6+G6+H6+I6+J6</f>
        <v>0</v>
      </c>
      <c r="L6" s="4"/>
      <c r="M6" s="4"/>
    </row>
    <row r="7" spans="1:13" x14ac:dyDescent="0.25">
      <c r="A7" s="4" t="s">
        <v>29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>
        <f t="shared" ref="M7:M22" si="1">K7-L7</f>
        <v>0</v>
      </c>
    </row>
    <row r="8" spans="1:13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>
        <f>K8-L8</f>
        <v>0</v>
      </c>
    </row>
    <row r="9" spans="1:13" x14ac:dyDescent="0.2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>
        <f>K9-L9</f>
        <v>0</v>
      </c>
    </row>
    <row r="10" spans="1:13" x14ac:dyDescent="0.25">
      <c r="A10" s="4" t="s">
        <v>32</v>
      </c>
      <c r="B10" s="5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>
        <f t="shared" si="1"/>
        <v>0</v>
      </c>
    </row>
    <row r="11" spans="1:13" x14ac:dyDescent="0.25">
      <c r="A11" s="4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>
        <f>K11-L11</f>
        <v>0</v>
      </c>
    </row>
    <row r="12" spans="1:13" x14ac:dyDescent="0.25">
      <c r="A12" s="4" t="s">
        <v>34</v>
      </c>
      <c r="B12" s="5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>
        <f t="shared" si="1"/>
        <v>0</v>
      </c>
    </row>
    <row r="13" spans="1:13" x14ac:dyDescent="0.25">
      <c r="A13" s="4" t="s">
        <v>35</v>
      </c>
      <c r="B13" s="6" t="s">
        <v>53</v>
      </c>
      <c r="C13" s="4"/>
      <c r="D13" s="4">
        <v>3000</v>
      </c>
      <c r="E13" s="4">
        <v>24000</v>
      </c>
      <c r="F13" s="4">
        <v>3000</v>
      </c>
      <c r="G13" s="4">
        <v>5000</v>
      </c>
      <c r="H13" s="4">
        <v>12000</v>
      </c>
      <c r="I13" s="4">
        <v>600</v>
      </c>
      <c r="J13" s="4">
        <v>1920</v>
      </c>
      <c r="K13" s="4">
        <f t="shared" si="0"/>
        <v>49520</v>
      </c>
      <c r="L13" s="4">
        <f>30000+19520</f>
        <v>49520</v>
      </c>
      <c r="M13" s="4">
        <f t="shared" si="1"/>
        <v>0</v>
      </c>
    </row>
    <row r="14" spans="1:13" x14ac:dyDescent="0.25">
      <c r="A14" s="4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>
        <f t="shared" si="1"/>
        <v>0</v>
      </c>
    </row>
    <row r="15" spans="1:13" x14ac:dyDescent="0.25">
      <c r="A15" s="4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>
        <f t="shared" si="1"/>
        <v>0</v>
      </c>
    </row>
    <row r="16" spans="1:13" x14ac:dyDescent="0.25">
      <c r="A16" s="4" t="s">
        <v>38</v>
      </c>
      <c r="B16" s="5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>
        <f t="shared" si="1"/>
        <v>0</v>
      </c>
    </row>
    <row r="17" spans="1:19" x14ac:dyDescent="0.25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>
        <f>K17-L17</f>
        <v>0</v>
      </c>
    </row>
    <row r="18" spans="1:19" x14ac:dyDescent="0.25">
      <c r="A18" s="4" t="s">
        <v>40</v>
      </c>
      <c r="B18" s="7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>
        <f t="shared" si="1"/>
        <v>0</v>
      </c>
    </row>
    <row r="19" spans="1:19" x14ac:dyDescent="0.25">
      <c r="A19" s="4" t="s">
        <v>41</v>
      </c>
      <c r="B19" s="8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>
        <f t="shared" si="1"/>
        <v>0</v>
      </c>
    </row>
    <row r="20" spans="1:19" x14ac:dyDescent="0.25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>
        <f t="shared" si="1"/>
        <v>0</v>
      </c>
    </row>
    <row r="21" spans="1:19" x14ac:dyDescent="0.25">
      <c r="A21" s="4" t="s">
        <v>43</v>
      </c>
      <c r="B21" s="7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>
        <f t="shared" si="1"/>
        <v>0</v>
      </c>
    </row>
    <row r="22" spans="1:19" x14ac:dyDescent="0.25">
      <c r="A22" s="4" t="s">
        <v>44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>
        <f t="shared" si="1"/>
        <v>0</v>
      </c>
    </row>
    <row r="23" spans="1:19" x14ac:dyDescent="0.25">
      <c r="A23" s="3"/>
      <c r="B23" s="3" t="s">
        <v>9</v>
      </c>
      <c r="C23" s="4">
        <f t="shared" ref="C23:L23" si="2">SUM(C5:C22)</f>
        <v>0</v>
      </c>
      <c r="D23" s="4">
        <f t="shared" si="2"/>
        <v>6000</v>
      </c>
      <c r="E23" s="4">
        <f t="shared" si="2"/>
        <v>48000</v>
      </c>
      <c r="F23" s="3">
        <f t="shared" si="2"/>
        <v>6000</v>
      </c>
      <c r="G23" s="3">
        <f t="shared" si="2"/>
        <v>10000</v>
      </c>
      <c r="H23" s="3">
        <f t="shared" si="2"/>
        <v>24000</v>
      </c>
      <c r="I23" s="3">
        <f>SUM(I5:I22)</f>
        <v>1200</v>
      </c>
      <c r="J23" s="3">
        <f>SUM(J5:J22)</f>
        <v>3840</v>
      </c>
      <c r="K23" s="4">
        <f>SUM(K5:K22)</f>
        <v>99040</v>
      </c>
      <c r="L23" s="3">
        <f t="shared" si="2"/>
        <v>99040</v>
      </c>
      <c r="M23" s="4">
        <f>SUM(M5:M22)</f>
        <v>0</v>
      </c>
      <c r="S23" s="4"/>
    </row>
    <row r="24" spans="1:19" x14ac:dyDescent="0.25">
      <c r="C24" s="9"/>
      <c r="D24" s="9"/>
      <c r="E24" s="9"/>
      <c r="F24" s="10" t="s">
        <v>10</v>
      </c>
      <c r="G24" s="10"/>
      <c r="H24" s="11"/>
      <c r="I24" s="11"/>
      <c r="J24" s="11"/>
      <c r="K24" s="12"/>
      <c r="L24" s="13"/>
      <c r="M24" s="12"/>
    </row>
    <row r="25" spans="1:19" x14ac:dyDescent="0.25">
      <c r="B25" s="1" t="s">
        <v>11</v>
      </c>
      <c r="C25" s="1"/>
      <c r="D25" s="1"/>
      <c r="E25" s="1"/>
      <c r="F25" s="1"/>
      <c r="G25" s="1"/>
      <c r="H25" s="14"/>
      <c r="I25" s="11"/>
      <c r="J25" s="11"/>
      <c r="K25" s="1" t="s">
        <v>12</v>
      </c>
      <c r="L25" s="15"/>
      <c r="M25" s="15"/>
    </row>
    <row r="26" spans="1:19" x14ac:dyDescent="0.25">
      <c r="B26" s="3" t="s">
        <v>13</v>
      </c>
      <c r="C26" s="3" t="s">
        <v>14</v>
      </c>
      <c r="D26" s="3"/>
      <c r="E26" s="3" t="s">
        <v>15</v>
      </c>
      <c r="F26" s="3" t="s">
        <v>16</v>
      </c>
      <c r="G26" s="3" t="s">
        <v>13</v>
      </c>
      <c r="H26" s="3" t="s">
        <v>14</v>
      </c>
      <c r="I26" s="3"/>
      <c r="J26" s="3"/>
      <c r="K26" s="3" t="s">
        <v>15</v>
      </c>
      <c r="L26" s="3" t="s">
        <v>8</v>
      </c>
    </row>
    <row r="27" spans="1:19" x14ac:dyDescent="0.25">
      <c r="B27" s="16" t="s">
        <v>48</v>
      </c>
      <c r="C27" s="17">
        <f>H23</f>
        <v>24000</v>
      </c>
      <c r="D27" s="17"/>
      <c r="E27" s="16"/>
      <c r="F27" s="16"/>
      <c r="G27" s="16" t="s">
        <v>48</v>
      </c>
      <c r="H27" s="17">
        <f>L23</f>
        <v>99040</v>
      </c>
      <c r="I27" s="17"/>
      <c r="J27" s="17"/>
      <c r="K27" s="16"/>
      <c r="L27" s="16"/>
    </row>
    <row r="28" spans="1:19" x14ac:dyDescent="0.25">
      <c r="B28" s="16" t="s">
        <v>57</v>
      </c>
      <c r="C28" s="17">
        <f>I23</f>
        <v>1200</v>
      </c>
      <c r="D28" s="17"/>
      <c r="E28" s="16"/>
      <c r="F28" s="16"/>
      <c r="G28" s="16"/>
      <c r="H28" s="17"/>
      <c r="I28" s="17"/>
      <c r="J28" s="17"/>
      <c r="K28" s="16"/>
      <c r="L28" s="16"/>
    </row>
    <row r="29" spans="1:19" x14ac:dyDescent="0.25">
      <c r="B29" s="16" t="s">
        <v>56</v>
      </c>
      <c r="C29" s="17">
        <f>J23</f>
        <v>3840</v>
      </c>
      <c r="D29" s="17"/>
      <c r="E29" s="16"/>
      <c r="F29" s="16"/>
      <c r="G29" s="16"/>
      <c r="H29" s="17"/>
      <c r="I29" s="17"/>
      <c r="J29" s="17"/>
      <c r="K29" s="16"/>
      <c r="L29" s="16"/>
      <c r="N29">
        <f>14520+14520</f>
        <v>29040</v>
      </c>
    </row>
    <row r="30" spans="1:19" x14ac:dyDescent="0.25">
      <c r="B30" s="18" t="s">
        <v>4</v>
      </c>
      <c r="C30" s="4">
        <f>E23</f>
        <v>48000</v>
      </c>
      <c r="D30" s="4"/>
      <c r="E30" s="4"/>
      <c r="F30" s="4"/>
      <c r="G30" s="18"/>
      <c r="H30" s="4"/>
      <c r="I30" s="4"/>
      <c r="J30" s="4"/>
      <c r="K30" s="16"/>
      <c r="L30" s="16"/>
      <c r="N30">
        <f>30000-N29</f>
        <v>960</v>
      </c>
    </row>
    <row r="31" spans="1:19" x14ac:dyDescent="0.25">
      <c r="B31" s="18" t="s">
        <v>46</v>
      </c>
      <c r="C31" s="4">
        <f>F23</f>
        <v>6000</v>
      </c>
      <c r="D31" s="4"/>
      <c r="E31" s="4"/>
      <c r="F31" s="4"/>
      <c r="G31" s="18"/>
      <c r="H31" s="4"/>
      <c r="I31" s="4"/>
      <c r="J31" s="4"/>
      <c r="K31" s="16"/>
      <c r="L31" s="16"/>
    </row>
    <row r="32" spans="1:19" x14ac:dyDescent="0.25">
      <c r="B32" s="18" t="s">
        <v>47</v>
      </c>
      <c r="C32" s="4">
        <f>G23</f>
        <v>10000</v>
      </c>
      <c r="D32" s="4"/>
      <c r="E32" s="4"/>
      <c r="F32" s="4"/>
      <c r="G32" s="18"/>
      <c r="H32" s="4"/>
      <c r="I32" s="4"/>
      <c r="J32" s="4"/>
      <c r="K32" s="16"/>
      <c r="L32" s="16"/>
    </row>
    <row r="33" spans="2:18" x14ac:dyDescent="0.25">
      <c r="B33" s="18" t="s">
        <v>52</v>
      </c>
      <c r="C33" s="4">
        <f>D23</f>
        <v>6000</v>
      </c>
      <c r="D33" s="4"/>
      <c r="E33" s="4"/>
      <c r="F33" s="4"/>
      <c r="G33" s="18"/>
      <c r="H33" s="4"/>
      <c r="I33" s="4"/>
      <c r="J33" s="4"/>
      <c r="K33" s="16"/>
      <c r="L33" s="16"/>
    </row>
    <row r="34" spans="2:18" x14ac:dyDescent="0.25">
      <c r="B34" s="18" t="s">
        <v>60</v>
      </c>
      <c r="C34" s="4">
        <v>1200</v>
      </c>
      <c r="D34" s="4"/>
      <c r="E34" s="4"/>
      <c r="F34" s="4"/>
      <c r="G34" s="18" t="s">
        <v>60</v>
      </c>
      <c r="H34" s="4">
        <v>1200</v>
      </c>
      <c r="I34" s="4"/>
      <c r="J34" s="4"/>
      <c r="K34" s="16"/>
      <c r="L34" s="16"/>
      <c r="R34" s="23"/>
    </row>
    <row r="35" spans="2:18" x14ac:dyDescent="0.25">
      <c r="B35" s="16" t="s">
        <v>17</v>
      </c>
      <c r="C35" s="19">
        <v>0.05</v>
      </c>
      <c r="D35" s="19"/>
      <c r="E35" s="17">
        <f>C35*C27</f>
        <v>1200</v>
      </c>
      <c r="F35" s="16"/>
      <c r="G35" s="16" t="s">
        <v>17</v>
      </c>
      <c r="H35" s="19">
        <v>0.05</v>
      </c>
      <c r="I35" s="19"/>
      <c r="J35" s="19"/>
      <c r="K35" s="17">
        <f>H35*C27</f>
        <v>1200</v>
      </c>
      <c r="L35" s="17"/>
    </row>
    <row r="36" spans="2:18" x14ac:dyDescent="0.25">
      <c r="B36" s="20" t="s">
        <v>18</v>
      </c>
      <c r="C36" s="3" t="s">
        <v>19</v>
      </c>
      <c r="D36" s="3"/>
      <c r="E36" s="3"/>
      <c r="F36" s="3"/>
      <c r="G36" s="20" t="s">
        <v>18</v>
      </c>
      <c r="H36" s="21"/>
      <c r="I36" s="21"/>
      <c r="J36" s="21"/>
      <c r="K36" s="3"/>
      <c r="L36" s="3"/>
    </row>
    <row r="37" spans="2:18" x14ac:dyDescent="0.25">
      <c r="B37" s="22" t="s">
        <v>51</v>
      </c>
      <c r="C37" s="23"/>
      <c r="D37" s="23"/>
      <c r="E37" s="4">
        <f>46560+2960</f>
        <v>49520</v>
      </c>
      <c r="F37" s="4"/>
      <c r="G37" s="22" t="s">
        <v>51</v>
      </c>
      <c r="H37" s="23"/>
      <c r="I37" s="28"/>
      <c r="J37" s="28"/>
      <c r="K37">
        <f>E37</f>
        <v>49520</v>
      </c>
      <c r="L37" s="4"/>
    </row>
    <row r="38" spans="2:18" x14ac:dyDescent="0.25">
      <c r="B38" s="24" t="s">
        <v>54</v>
      </c>
      <c r="C38" s="4"/>
      <c r="D38" s="4"/>
      <c r="E38" s="4">
        <f>30000+19520</f>
        <v>49520</v>
      </c>
      <c r="F38" s="25"/>
      <c r="G38" s="24" t="s">
        <v>54</v>
      </c>
      <c r="H38" s="4"/>
      <c r="I38" s="4"/>
      <c r="J38" s="4"/>
      <c r="K38" s="4">
        <f>E38</f>
        <v>49520</v>
      </c>
      <c r="L38" s="4"/>
    </row>
    <row r="39" spans="2:18" x14ac:dyDescent="0.25">
      <c r="B39" s="4"/>
      <c r="C39" s="23"/>
      <c r="D39" s="23"/>
      <c r="E39" s="4"/>
      <c r="F39" s="4"/>
      <c r="G39" s="4"/>
      <c r="H39" s="23"/>
      <c r="I39" s="23"/>
      <c r="J39" s="23"/>
      <c r="K39" s="4"/>
      <c r="L39" s="4"/>
    </row>
    <row r="40" spans="2:18" x14ac:dyDescent="0.25">
      <c r="B40" s="26" t="s">
        <v>20</v>
      </c>
      <c r="C40" s="21">
        <f>C27+C28+C29+C30+C31+C32+C33+C34-E35</f>
        <v>99040</v>
      </c>
      <c r="D40" s="21"/>
      <c r="E40" s="27">
        <f>SUM(E37:E39)</f>
        <v>99040</v>
      </c>
      <c r="F40" s="21">
        <f>C40-E40</f>
        <v>0</v>
      </c>
      <c r="G40" s="26" t="s">
        <v>20</v>
      </c>
      <c r="H40" s="21">
        <f>H27+H29+H34-K35</f>
        <v>99040</v>
      </c>
      <c r="I40" s="21"/>
      <c r="J40" s="21"/>
      <c r="K40" s="21">
        <f>SUM(K37:K39)</f>
        <v>99040</v>
      </c>
      <c r="L40" s="21">
        <f>H40-K40</f>
        <v>0</v>
      </c>
    </row>
    <row r="41" spans="2:18" x14ac:dyDescent="0.25">
      <c r="B41" t="s">
        <v>21</v>
      </c>
      <c r="F41" t="s">
        <v>22</v>
      </c>
      <c r="L41" t="s">
        <v>23</v>
      </c>
    </row>
    <row r="42" spans="2:18" x14ac:dyDescent="0.25">
      <c r="B42" t="s">
        <v>24</v>
      </c>
      <c r="F42" t="s">
        <v>25</v>
      </c>
      <c r="L42" t="s">
        <v>49</v>
      </c>
    </row>
  </sheetData>
  <pageMargins left="0" right="0" top="0" bottom="0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D26" workbookViewId="0">
      <selection activeCell="K45" sqref="K45"/>
    </sheetView>
  </sheetViews>
  <sheetFormatPr defaultRowHeight="15" x14ac:dyDescent="0.25"/>
  <cols>
    <col min="2" max="2" width="28.28515625" customWidth="1"/>
    <col min="4" max="4" width="15.5703125" customWidth="1"/>
    <col min="6" max="6" width="12" customWidth="1"/>
    <col min="7" max="7" width="11.28515625" customWidth="1"/>
    <col min="9" max="9" width="16.42578125" customWidth="1"/>
    <col min="11" max="11" width="12" customWidth="1"/>
    <col min="12" max="12" width="12.7109375" bestFit="1" customWidth="1"/>
    <col min="14" max="14" width="14.285156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160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'MARCH 21'!M5:M56</f>
        <v>12613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27133</v>
      </c>
      <c r="L5" s="33">
        <v>15520</v>
      </c>
      <c r="M5" s="33">
        <f>K5-L5</f>
        <v>11613</v>
      </c>
      <c r="N5" s="33">
        <v>1000</v>
      </c>
      <c r="O5" s="30"/>
    </row>
    <row r="6" spans="1:15" ht="15.75" x14ac:dyDescent="0.25">
      <c r="A6" s="33" t="s">
        <v>95</v>
      </c>
      <c r="B6" s="33" t="s">
        <v>97</v>
      </c>
      <c r="C6" s="34">
        <f>'MARCH 21'!M6:M57</f>
        <v>47036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61556</v>
      </c>
      <c r="L6" s="33">
        <f>14000</f>
        <v>14000</v>
      </c>
      <c r="M6" s="33">
        <f t="shared" ref="M6:M56" si="2">K6-L6</f>
        <v>47556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'MARCH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'MARCH 21'!M8:M59</f>
        <v>0</v>
      </c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0</v>
      </c>
      <c r="L8" s="33"/>
      <c r="M8" s="33">
        <f t="shared" si="2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'MARCH 21'!M9:M60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'MARCH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'MARCH 21'!M11:M62</f>
        <v>-600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13920</v>
      </c>
      <c r="L11" s="33">
        <v>14000</v>
      </c>
      <c r="M11" s="33">
        <f t="shared" si="2"/>
        <v>-80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'MARCH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'MARCH 21'!M13:M64</f>
        <v>4680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14560</v>
      </c>
      <c r="L13" s="33">
        <f>12000</f>
        <v>12000</v>
      </c>
      <c r="M13" s="33">
        <f>K13-L13</f>
        <v>2560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/>
      <c r="D14" s="33"/>
      <c r="E14" s="33"/>
      <c r="F14" s="33"/>
      <c r="G14" s="33"/>
      <c r="H14" s="33"/>
      <c r="I14" s="33"/>
      <c r="J14" s="33">
        <f t="shared" si="0"/>
        <v>0</v>
      </c>
      <c r="K14" s="33"/>
      <c r="L14" s="33"/>
      <c r="M14" s="33">
        <f t="shared" si="2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'MARCH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'MARCH 21'!M16:M67</f>
        <v>1591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11471</v>
      </c>
      <c r="L16" s="33">
        <f>10000</f>
        <v>10000</v>
      </c>
      <c r="M16" s="33">
        <f t="shared" si="2"/>
        <v>1471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'MARCH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4000</f>
        <v>4000</v>
      </c>
      <c r="M17" s="33">
        <f t="shared" si="2"/>
        <v>9940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'MARCH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'MARCH 21'!M19:M70</f>
        <v>480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10360</v>
      </c>
      <c r="L19" s="33">
        <f>10360</f>
        <v>10360</v>
      </c>
      <c r="M19" s="33">
        <f t="shared" si="2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'MARCH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'MARCH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'MARCH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'MARCH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'MARCH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'MARCH 21'!M25:M76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10360</v>
      </c>
      <c r="L25" s="33">
        <f>9880</f>
        <v>9880</v>
      </c>
      <c r="M25" s="33">
        <f t="shared" si="2"/>
        <v>480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'MARCH 21'!M26:M77</f>
        <v>21940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31820</v>
      </c>
      <c r="L26" s="33">
        <f>13000+10000</f>
        <v>23000</v>
      </c>
      <c r="M26" s="33">
        <f t="shared" si="2"/>
        <v>8820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'MARCH 21'!M27:M78</f>
        <v>5612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122337</v>
      </c>
      <c r="L27" s="33">
        <v>122337</v>
      </c>
      <c r="M27" s="33">
        <f t="shared" si="2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'MARCH 21'!M28:M79</f>
        <v>5188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88563</v>
      </c>
      <c r="L28" s="33">
        <v>88563</v>
      </c>
      <c r="M28" s="33">
        <f t="shared" si="2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'MARCH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'MARCH 21'!M30:M81</f>
        <v>4539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14419</v>
      </c>
      <c r="L30" s="33">
        <f>10000</f>
        <v>10000</v>
      </c>
      <c r="M30" s="33">
        <f t="shared" si="2"/>
        <v>4419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'MARCH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'MARCH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'MARCH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'MARCH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0"/>
        <v>1920</v>
      </c>
      <c r="K34" s="35">
        <f t="shared" si="1"/>
        <v>14520</v>
      </c>
      <c r="L34" s="34">
        <f>14520</f>
        <v>14520</v>
      </c>
      <c r="M34" s="33">
        <f t="shared" si="2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'MARCH 21'!M35:M86</f>
        <v>-720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13800</v>
      </c>
      <c r="L35" s="33">
        <f>14500</f>
        <v>14500</v>
      </c>
      <c r="M35" s="33">
        <f t="shared" si="2"/>
        <v>-700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'MARCH 21'!M36:M87</f>
        <v>7440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21960</v>
      </c>
      <c r="L36" s="33">
        <f>15100</f>
        <v>15100</v>
      </c>
      <c r="M36" s="33">
        <f t="shared" si="2"/>
        <v>6860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'MARCH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14520</v>
      </c>
      <c r="L37" s="33">
        <v>14520</v>
      </c>
      <c r="M37" s="33">
        <f t="shared" si="2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'MARCH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14520</v>
      </c>
      <c r="L38" s="33">
        <v>14520</v>
      </c>
      <c r="M38" s="33">
        <f t="shared" si="2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'MARCH 21'!M39:M90</f>
        <v>-60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14460</v>
      </c>
      <c r="L39" s="33">
        <v>14500</v>
      </c>
      <c r="M39" s="33">
        <f t="shared" si="2"/>
        <v>-40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'MARCH 21'!M40:M91</f>
        <v>1040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15560</v>
      </c>
      <c r="L40" s="33">
        <f>15040</f>
        <v>15040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'MARCH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'MARCH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'MARCH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0"/>
        <v>1920</v>
      </c>
      <c r="K43" s="33">
        <f t="shared" si="1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'MARCH 21'!M44:M95</f>
        <v>48840</v>
      </c>
      <c r="D44" s="36"/>
      <c r="E44" s="36"/>
      <c r="F44" s="36"/>
      <c r="G44" s="36"/>
      <c r="H44" s="33"/>
      <c r="I44" s="33"/>
      <c r="J44" s="33">
        <f>16%*H44</f>
        <v>0</v>
      </c>
      <c r="K44" s="33">
        <f>C44+D44+E44+F44+G44+H44+I44+J44+14520</f>
        <v>63360</v>
      </c>
      <c r="L44" s="36"/>
      <c r="M44" s="33">
        <f t="shared" si="2"/>
        <v>63360</v>
      </c>
      <c r="N44" s="33"/>
      <c r="O44" s="30" t="s">
        <v>163</v>
      </c>
    </row>
    <row r="45" spans="1:15" ht="15.75" x14ac:dyDescent="0.25">
      <c r="A45" s="33" t="s">
        <v>90</v>
      </c>
      <c r="B45" s="34" t="s">
        <v>98</v>
      </c>
      <c r="C45" s="34">
        <f>'MARCH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'MARCH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'MARCH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'MARCH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'MARCH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'MARCH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'MARCH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'MARCH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'MARCH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'MARCH 21'!M54:M105</f>
        <v>4560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19080</v>
      </c>
      <c r="L54" s="36">
        <f>5000+5000</f>
        <v>10000</v>
      </c>
      <c r="M54" s="33">
        <f t="shared" si="2"/>
        <v>9080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'MARCH 21'!M55:M106</f>
        <v>11020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25540</v>
      </c>
      <c r="L55" s="35"/>
      <c r="M55" s="33">
        <f t="shared" si="2"/>
        <v>25540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'MARCH 21'!M56:M107</f>
        <v>14720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26920</v>
      </c>
      <c r="L56" s="35">
        <f>4000+6000</f>
        <v>10000</v>
      </c>
      <c r="M56" s="33">
        <f t="shared" si="2"/>
        <v>16920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193979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>SUM(H5:H56)</f>
        <v>458500</v>
      </c>
      <c r="I57" s="33">
        <f t="shared" si="3"/>
        <v>16200</v>
      </c>
      <c r="J57" s="33">
        <f t="shared" si="3"/>
        <v>73360</v>
      </c>
      <c r="K57" s="33">
        <f t="shared" si="3"/>
        <v>756559</v>
      </c>
      <c r="L57" s="33">
        <f>SUM(L5:L56)</f>
        <v>548720</v>
      </c>
      <c r="M57" s="33">
        <f>SUM(M5:M56)</f>
        <v>207839</v>
      </c>
      <c r="N57" s="33">
        <f>SUM(N5:N56)</f>
        <v>1000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>
        <f>L5+L6+L10+L11+L12+7320+L16+L17+L18+9880+L25+L27+L28+L29+L30+L32+L33+L34+L35+1452+L37+L38+L39+14520+L43+L54</f>
        <v>496392</v>
      </c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161</v>
      </c>
      <c r="C61" s="44">
        <f>H57</f>
        <v>458500</v>
      </c>
      <c r="D61" s="44"/>
      <c r="E61" s="36"/>
      <c r="F61" s="36"/>
      <c r="G61" s="36" t="s">
        <v>161</v>
      </c>
      <c r="H61" s="44">
        <f>L57</f>
        <v>548720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73360</v>
      </c>
      <c r="D63" s="44"/>
      <c r="E63" s="36"/>
      <c r="F63" s="36"/>
      <c r="G63" s="36" t="s">
        <v>146</v>
      </c>
      <c r="H63" s="44">
        <f>'MARCH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1000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'MARCH 21'!F76</f>
        <v>126180</v>
      </c>
      <c r="D69" s="36"/>
      <c r="E69" s="36"/>
      <c r="F69" s="36"/>
      <c r="G69" s="46" t="s">
        <v>60</v>
      </c>
      <c r="H69" s="36"/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22925</v>
      </c>
      <c r="F71" s="36"/>
      <c r="G71" s="36" t="s">
        <v>17</v>
      </c>
      <c r="H71" s="47">
        <v>0.05</v>
      </c>
      <c r="I71" s="47"/>
      <c r="J71" s="47"/>
      <c r="K71" s="44">
        <f>H71*C61</f>
        <v>22925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548720</v>
      </c>
      <c r="F74" s="49"/>
      <c r="G74" s="50" t="s">
        <v>136</v>
      </c>
      <c r="H74" s="36"/>
      <c r="I74" s="36"/>
      <c r="J74" s="36"/>
      <c r="K74" s="36">
        <f>L57</f>
        <v>548720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675240</v>
      </c>
      <c r="D76" s="48"/>
      <c r="E76" s="52">
        <f>SUM(E71:E75)</f>
        <v>571645</v>
      </c>
      <c r="F76" s="48">
        <f>C76-E76</f>
        <v>103595</v>
      </c>
      <c r="G76" s="51" t="s">
        <v>20</v>
      </c>
      <c r="H76" s="48">
        <f>H61+H63+H69</f>
        <v>548720</v>
      </c>
      <c r="I76" s="48"/>
      <c r="J76" s="48"/>
      <c r="K76" s="48">
        <f>SUM(K71:K75)</f>
        <v>571645</v>
      </c>
      <c r="L76" s="48">
        <f>H76-K76</f>
        <v>-22925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126520</v>
      </c>
      <c r="F77" s="30" t="s">
        <v>22</v>
      </c>
      <c r="G77" s="30"/>
      <c r="H77" s="30"/>
      <c r="I77" s="30"/>
      <c r="J77" s="30"/>
      <c r="K77" s="45">
        <f>K76-K71</f>
        <v>548720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34" workbookViewId="0">
      <selection activeCell="L7" sqref="L7"/>
    </sheetView>
  </sheetViews>
  <sheetFormatPr defaultRowHeight="15" x14ac:dyDescent="0.25"/>
  <cols>
    <col min="2" max="2" width="27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'APRIL 21'!M5:M59</f>
        <v>11613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26133</v>
      </c>
      <c r="L5" s="33">
        <v>14000</v>
      </c>
      <c r="M5" s="33">
        <f t="shared" ref="M5:M24" si="0">K5-L5</f>
        <v>12133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'APRIL 21'!M6:M60</f>
        <v>47556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62076</v>
      </c>
      <c r="L6" s="33">
        <f>11050</f>
        <v>11050</v>
      </c>
      <c r="M6" s="33">
        <f t="shared" si="0"/>
        <v>51026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'APRIL 21'!M7:M61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'APRIL 21'!M8:M62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'APRIL 21'!M9:M63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'APRIL 21'!M10:M64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14040</v>
      </c>
      <c r="L10" s="33">
        <f>14520</f>
        <v>14520</v>
      </c>
      <c r="M10" s="33">
        <f t="shared" si="0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'APRIL 21'!M11:M65</f>
        <v>-80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14440</v>
      </c>
      <c r="L11" s="33">
        <f>14500</f>
        <v>14500</v>
      </c>
      <c r="M11" s="33">
        <f t="shared" si="0"/>
        <v>-60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'APRIL 21'!M12:M66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'APRIL 21'!M13:M67</f>
        <v>2560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12440</v>
      </c>
      <c r="L13" s="33">
        <f>10000</f>
        <v>10000</v>
      </c>
      <c r="M13" s="33">
        <f t="shared" si="0"/>
        <v>2440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'APRIL 21'!M14:M68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'APRIL 21'!M15:M69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'APRIL 21'!M16:M70</f>
        <v>1471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11351</v>
      </c>
      <c r="L16" s="33">
        <f>10000</f>
        <v>10000</v>
      </c>
      <c r="M16" s="33">
        <f t="shared" si="0"/>
        <v>1351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'APRIL 21'!M17:M71</f>
        <v>9940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19820</v>
      </c>
      <c r="L17" s="33">
        <f>9880</f>
        <v>9880</v>
      </c>
      <c r="M17" s="33">
        <f t="shared" si="0"/>
        <v>9940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'APRIL 21'!M18:M72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'APRIL 21'!M19:M73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'APRIL 21'!M20:M74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'APRIL 21'!M21:M75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'APRIL 21'!M22:M76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'APRIL 21'!M23:M77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'APRIL 21'!M24:M78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'APRIL 21'!M25:M79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10360</v>
      </c>
      <c r="L25" s="33">
        <v>9880</v>
      </c>
      <c r="M25" s="33">
        <f t="shared" ref="M25:M56" si="3">K25-L25</f>
        <v>480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'APRIL 21'!M26:M80</f>
        <v>8820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18700</v>
      </c>
      <c r="L26" s="33">
        <f>10000</f>
        <v>10000</v>
      </c>
      <c r="M26" s="33">
        <f t="shared" si="3"/>
        <v>8700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'APRIL 21'!M27:M81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3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'APRIL 21'!M28:M82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3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'APRIL 21'!M29:M83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3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'APRIL 21'!M30:M84</f>
        <v>4419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1"/>
        <v>1280</v>
      </c>
      <c r="K30" s="33">
        <f t="shared" si="2"/>
        <v>14299</v>
      </c>
      <c r="L30" s="33">
        <f>10000</f>
        <v>10000</v>
      </c>
      <c r="M30" s="33">
        <f t="shared" si="3"/>
        <v>4299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'APRIL 21'!M31:M85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3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'APRIL 21'!M32:M86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3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'APRIL 21'!M33:M87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3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'APRIL 21'!M34:M88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3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'APRIL 21'!M35:M89</f>
        <v>-700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13820</v>
      </c>
      <c r="L35" s="33">
        <f>14500</f>
        <v>14500</v>
      </c>
      <c r="M35" s="33">
        <f t="shared" si="3"/>
        <v>-680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'APRIL 21'!M36:M90</f>
        <v>6860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21380</v>
      </c>
      <c r="L36" s="33">
        <f>14000</f>
        <v>14000</v>
      </c>
      <c r="M36" s="33">
        <f t="shared" si="3"/>
        <v>7380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'APRIL 21'!M37:M91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3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'APRIL 21'!M38:M92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/>
      <c r="M38" s="33">
        <f t="shared" si="3"/>
        <v>14520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'APRIL 21'!M39:M93</f>
        <v>-40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14480</v>
      </c>
      <c r="L39" s="33">
        <v>14600</v>
      </c>
      <c r="M39" s="33">
        <f t="shared" si="3"/>
        <v>-120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'APRIL 21'!M40:M94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15040</v>
      </c>
      <c r="L40" s="33">
        <f>14520</f>
        <v>14520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'APRIL 21'!M41:M95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3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'APRIL 21'!M42:M96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3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'APRIL 21'!M43:M97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86"/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3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'APRIL 21'!M45:M99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3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'APRIL 21'!M46:M100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3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'APRIL 21'!M47:M101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3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'APRIL 21'!M48:M102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3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'APRIL 21'!M49:M103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3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'APRIL 21'!M50:M104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3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'APRIL 21'!M51:M105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3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'APRIL 21'!M52:M106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3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'APRIL 21'!M53:M107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3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'APRIL 21'!M54:M108</f>
        <v>9080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23600</v>
      </c>
      <c r="L54" s="36">
        <f>14000</f>
        <v>14000</v>
      </c>
      <c r="M54" s="33">
        <f t="shared" si="3"/>
        <v>9600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'APRIL 21'!M55:M109</f>
        <v>25540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1"/>
        <v>1920</v>
      </c>
      <c r="K55" s="33">
        <f t="shared" si="2"/>
        <v>40060</v>
      </c>
      <c r="L55" s="35"/>
      <c r="M55" s="33">
        <f t="shared" si="3"/>
        <v>40060</v>
      </c>
      <c r="N55" s="33"/>
      <c r="O55" s="31" t="s">
        <v>141</v>
      </c>
    </row>
    <row r="56" spans="1:15" ht="15.75" x14ac:dyDescent="0.25">
      <c r="A56" s="33" t="s">
        <v>93</v>
      </c>
      <c r="B56" s="35" t="s">
        <v>118</v>
      </c>
      <c r="C56" s="34">
        <f>'APRIL 21'!M56:M110</f>
        <v>16920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29120</v>
      </c>
      <c r="L56" s="35">
        <f>13000</f>
        <v>13000</v>
      </c>
      <c r="M56" s="33">
        <f t="shared" si="3"/>
        <v>16120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144479</v>
      </c>
      <c r="D57" s="33">
        <f t="shared" ref="D57:K57" si="4">SUM(D5:D56)</f>
        <v>0</v>
      </c>
      <c r="E57" s="33">
        <f t="shared" si="4"/>
        <v>0</v>
      </c>
      <c r="F57" s="33">
        <f t="shared" si="4"/>
        <v>0</v>
      </c>
      <c r="G57" s="33">
        <f t="shared" si="4"/>
        <v>0</v>
      </c>
      <c r="H57" s="33">
        <f t="shared" si="4"/>
        <v>458500</v>
      </c>
      <c r="I57" s="33">
        <f t="shared" si="4"/>
        <v>16200</v>
      </c>
      <c r="J57" s="33">
        <f t="shared" si="4"/>
        <v>73360</v>
      </c>
      <c r="K57" s="33">
        <f t="shared" si="4"/>
        <v>692539</v>
      </c>
      <c r="L57" s="33">
        <f>SUM(L5:L56)</f>
        <v>515310</v>
      </c>
      <c r="M57" s="33">
        <f>SUM(M5:M56)</f>
        <v>177229</v>
      </c>
      <c r="N57" s="33">
        <f>SUM(N5:N56)</f>
        <v>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164</v>
      </c>
      <c r="C61" s="44">
        <f>H57</f>
        <v>458500</v>
      </c>
      <c r="D61" s="44"/>
      <c r="E61" s="36"/>
      <c r="F61" s="36"/>
      <c r="G61" s="36" t="s">
        <v>164</v>
      </c>
      <c r="H61" s="44">
        <f>L57</f>
        <v>515310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73360</v>
      </c>
      <c r="D63" s="44"/>
      <c r="E63" s="36"/>
      <c r="F63" s="36"/>
      <c r="G63" s="36" t="s">
        <v>146</v>
      </c>
      <c r="H63" s="44">
        <f>'APRIL 21'!L76</f>
        <v>-22925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'APRIL 21'!F76</f>
        <v>103595</v>
      </c>
      <c r="D69" s="36"/>
      <c r="E69" s="36"/>
      <c r="F69" s="36"/>
      <c r="G69" s="46" t="s">
        <v>60</v>
      </c>
      <c r="H69" s="36">
        <v>45850</v>
      </c>
      <c r="I69" s="36"/>
      <c r="J69" s="36"/>
      <c r="K69" s="36"/>
      <c r="L69" s="36"/>
      <c r="M69" s="30"/>
      <c r="N69" s="30">
        <f>M56-5870</f>
        <v>10250</v>
      </c>
      <c r="O69" s="30"/>
    </row>
    <row r="70" spans="1:15" ht="15.75" x14ac:dyDescent="0.25">
      <c r="A70" s="30"/>
      <c r="B70" s="46" t="s">
        <v>60</v>
      </c>
      <c r="C70" s="36">
        <v>45850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22925</v>
      </c>
      <c r="F71" s="36"/>
      <c r="G71" s="36" t="s">
        <v>17</v>
      </c>
      <c r="H71" s="47">
        <v>0.05</v>
      </c>
      <c r="I71" s="47"/>
      <c r="J71" s="47"/>
      <c r="K71" s="44">
        <f>H71*C61</f>
        <v>22925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515310</v>
      </c>
      <c r="F74" s="49"/>
      <c r="G74" s="50" t="s">
        <v>136</v>
      </c>
      <c r="H74" s="36"/>
      <c r="I74" s="36"/>
      <c r="J74" s="36"/>
      <c r="K74" s="36">
        <f>L57</f>
        <v>515310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697505</v>
      </c>
      <c r="D76" s="48"/>
      <c r="E76" s="52">
        <f>SUM(E71:E75)</f>
        <v>538235</v>
      </c>
      <c r="F76" s="48">
        <f>C76-E76</f>
        <v>159270</v>
      </c>
      <c r="G76" s="51" t="s">
        <v>20</v>
      </c>
      <c r="H76" s="48">
        <f>H61+H63+H69</f>
        <v>538235</v>
      </c>
      <c r="I76" s="48"/>
      <c r="J76" s="48"/>
      <c r="K76" s="48">
        <f>SUM(K71:K75)</f>
        <v>538235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182195</v>
      </c>
      <c r="F77" s="30" t="s">
        <v>22</v>
      </c>
      <c r="G77" s="30"/>
      <c r="H77" s="30"/>
      <c r="I77" s="30"/>
      <c r="J77" s="30"/>
      <c r="K77" s="45">
        <f>K76-K71</f>
        <v>515310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80" spans="1:15" x14ac:dyDescent="0.25">
      <c r="I80">
        <f>22925+22925</f>
        <v>45850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28" workbookViewId="0">
      <selection activeCell="L7" sqref="L7"/>
    </sheetView>
  </sheetViews>
  <sheetFormatPr defaultRowHeight="15" x14ac:dyDescent="0.25"/>
  <cols>
    <col min="2" max="2" width="26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166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'MAY 21'!M5:M59</f>
        <v>12133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26653</v>
      </c>
      <c r="L5" s="33">
        <f>15020</f>
        <v>15020</v>
      </c>
      <c r="M5" s="33">
        <f t="shared" ref="M5:M56" si="0">K5-L5</f>
        <v>11633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'MAY 21'!M6:M60</f>
        <v>51026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65546</v>
      </c>
      <c r="L6" s="33">
        <f>3500+4300+2500</f>
        <v>10300</v>
      </c>
      <c r="M6" s="33">
        <f t="shared" si="0"/>
        <v>55246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'MAY 21'!M7:M61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'MAY 21'!M8:M62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'MAY 21'!M9:M63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/>
      <c r="D10" s="33">
        <v>3000</v>
      </c>
      <c r="E10" s="33">
        <v>24000</v>
      </c>
      <c r="F10" s="33">
        <v>3000</v>
      </c>
      <c r="G10" s="33">
        <v>5000</v>
      </c>
      <c r="H10" s="33">
        <v>12000</v>
      </c>
      <c r="I10" s="33">
        <v>600</v>
      </c>
      <c r="J10" s="33">
        <f t="shared" si="1"/>
        <v>1920</v>
      </c>
      <c r="K10" s="33">
        <f t="shared" si="2"/>
        <v>49520</v>
      </c>
      <c r="L10" s="33">
        <v>49520</v>
      </c>
      <c r="M10" s="33">
        <f t="shared" si="0"/>
        <v>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'MAY 21'!M11:M65</f>
        <v>-60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14460</v>
      </c>
      <c r="L11" s="33">
        <v>14500</v>
      </c>
      <c r="M11" s="33">
        <f t="shared" si="0"/>
        <v>-40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'MAY 21'!M12:M66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'MAY 21'!M13:M67</f>
        <v>2440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12320</v>
      </c>
      <c r="L13" s="33">
        <v>10000</v>
      </c>
      <c r="M13" s="33">
        <f t="shared" si="0"/>
        <v>2320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'MAY 21'!M14:M68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'MAY 21'!M15:M69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'MAY 21'!M16:M70</f>
        <v>1351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11231</v>
      </c>
      <c r="L16" s="33">
        <f>10000</f>
        <v>10000</v>
      </c>
      <c r="M16" s="33">
        <f t="shared" si="0"/>
        <v>1231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'MAY 21'!M17:M71</f>
        <v>9940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19820</v>
      </c>
      <c r="L17" s="33">
        <f>9500</f>
        <v>9500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'MAY 21'!M18:M72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'MAY 21'!M19:M73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'MAY 21'!M20:M74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'MAY 21'!M21:M75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'MAY 21'!M22:M76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'MAY 21'!M23:M77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'MAY 21'!M24:M78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'MAY 21'!M25:M79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10360</v>
      </c>
      <c r="L25" s="33">
        <v>10360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'MAY 21'!M26:M80</f>
        <v>8700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18580</v>
      </c>
      <c r="L26" s="33">
        <f>10000</f>
        <v>10000</v>
      </c>
      <c r="M26" s="33">
        <f t="shared" si="0"/>
        <v>8580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'MAY 21'!M27:M81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'MAY 21'!M28:M82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'MAY 21'!M29:M83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'MAY 21'!M30:M84</f>
        <v>4299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16499</v>
      </c>
      <c r="L30" s="33">
        <f>12000</f>
        <v>12000</v>
      </c>
      <c r="M30" s="33">
        <f t="shared" si="0"/>
        <v>4499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'MAY 21'!M31:M85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'MAY 21'!M32:M86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'MAY 21'!M33:M87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'MAY 21'!M34:M88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'MAY 21'!M35:M89</f>
        <v>-680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13840</v>
      </c>
      <c r="L35" s="33">
        <v>14500</v>
      </c>
      <c r="M35" s="33">
        <f t="shared" si="0"/>
        <v>-660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'MAY 21'!M36:M90</f>
        <v>7380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21900</v>
      </c>
      <c r="L36" s="33">
        <f>15000</f>
        <v>15000</v>
      </c>
      <c r="M36" s="33">
        <f t="shared" si="0"/>
        <v>6900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'MAY 21'!M37:M91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/>
      <c r="M37" s="33">
        <f t="shared" si="0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'MAY 21'!M38:M92</f>
        <v>14520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29040</v>
      </c>
      <c r="L38" s="33">
        <v>29040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'MAY 21'!M39:M93</f>
        <v>-120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14400</v>
      </c>
      <c r="L39" s="33">
        <f>14000</f>
        <v>14000</v>
      </c>
      <c r="M39" s="33">
        <f t="shared" si="0"/>
        <v>400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'MAY 21'!M40:M94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15040</v>
      </c>
      <c r="L40" s="33">
        <v>15000</v>
      </c>
      <c r="M40" s="33">
        <f>K40-L40</f>
        <v>40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'MAY 21'!M41:M95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'MAY 21'!M42:M96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'MAY 21'!M43:M97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'MAY 21'!M44:M98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'MAY 21'!M45:M99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'MAY 21'!M46:M100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'MAY 21'!M47:M101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'MAY 21'!M48:M102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'MAY 21'!M49:M103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'MAY 21'!M50:M104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'MAY 21'!M51:M105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'MAY 21'!M52:M106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'MAY 21'!M53:M107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'MAY 21'!M54:M108</f>
        <v>9600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24120</v>
      </c>
      <c r="L54" s="36">
        <f>3000+3000+3000+3000</f>
        <v>12000</v>
      </c>
      <c r="M54" s="33">
        <f t="shared" si="0"/>
        <v>12120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'MAY 21'!M55:M109</f>
        <v>40060</v>
      </c>
      <c r="D55" s="33"/>
      <c r="E55" s="33"/>
      <c r="F55" s="36"/>
      <c r="G55" s="36"/>
      <c r="H55" s="33"/>
      <c r="I55" s="33"/>
      <c r="J55" s="33"/>
      <c r="K55" s="33">
        <f t="shared" si="2"/>
        <v>40060</v>
      </c>
      <c r="L55" s="35">
        <v>35000</v>
      </c>
      <c r="M55" s="33">
        <f t="shared" si="0"/>
        <v>5060</v>
      </c>
      <c r="N55" s="33"/>
      <c r="O55" s="31" t="s">
        <v>169</v>
      </c>
    </row>
    <row r="56" spans="1:15" ht="15.75" x14ac:dyDescent="0.25">
      <c r="A56" s="33" t="s">
        <v>93</v>
      </c>
      <c r="B56" s="35" t="s">
        <v>118</v>
      </c>
      <c r="C56" s="34">
        <f>'MAY 21'!M56:M110</f>
        <v>16120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28320</v>
      </c>
      <c r="L56" s="35">
        <f>11000</f>
        <v>11000</v>
      </c>
      <c r="M56" s="33">
        <f t="shared" si="0"/>
        <v>17320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177709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448500</v>
      </c>
      <c r="I57" s="33">
        <f t="shared" si="3"/>
        <v>15600</v>
      </c>
      <c r="J57" s="33">
        <f t="shared" si="3"/>
        <v>71760</v>
      </c>
      <c r="K57" s="33">
        <f t="shared" si="3"/>
        <v>748569</v>
      </c>
      <c r="L57" s="33">
        <f>SUM(L5:L56)</f>
        <v>599080</v>
      </c>
      <c r="M57" s="33">
        <f>SUM(M5:M56)</f>
        <v>149489</v>
      </c>
      <c r="N57" s="33">
        <f>SUM(N5:N56)</f>
        <v>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570860</v>
      </c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168</v>
      </c>
      <c r="C61" s="44">
        <f>H57</f>
        <v>448500</v>
      </c>
      <c r="D61" s="44"/>
      <c r="E61" s="36"/>
      <c r="F61" s="36"/>
      <c r="G61" s="36" t="s">
        <v>168</v>
      </c>
      <c r="H61" s="44">
        <f>L57</f>
        <v>599080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15600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71760</v>
      </c>
      <c r="D63" s="44"/>
      <c r="E63" s="36"/>
      <c r="F63" s="36"/>
      <c r="G63" s="36" t="s">
        <v>146</v>
      </c>
      <c r="H63" s="44">
        <f>'MAY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'MAY 21'!F76</f>
        <v>159270</v>
      </c>
      <c r="D69" s="36"/>
      <c r="E69" s="36"/>
      <c r="F69" s="36"/>
      <c r="G69" s="46" t="s">
        <v>60</v>
      </c>
      <c r="H69" s="36">
        <v>22425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44">
        <v>22425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22425</v>
      </c>
      <c r="F71" s="36"/>
      <c r="G71" s="36" t="s">
        <v>17</v>
      </c>
      <c r="H71" s="47">
        <v>0.05</v>
      </c>
      <c r="I71" s="47"/>
      <c r="J71" s="47"/>
      <c r="K71" s="44">
        <f>H71*C61</f>
        <v>22425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599080</v>
      </c>
      <c r="F74" s="49"/>
      <c r="G74" s="50" t="s">
        <v>136</v>
      </c>
      <c r="H74" s="36"/>
      <c r="I74" s="36"/>
      <c r="J74" s="36"/>
      <c r="K74" s="36">
        <f>L57</f>
        <v>599080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752555</v>
      </c>
      <c r="D76" s="48"/>
      <c r="E76" s="52">
        <f>SUM(E71:E75)</f>
        <v>621505</v>
      </c>
      <c r="F76" s="48">
        <f>C76-E76</f>
        <v>131050</v>
      </c>
      <c r="G76" s="51" t="s">
        <v>20</v>
      </c>
      <c r="H76" s="48">
        <f>H61+H63+H69</f>
        <v>621505</v>
      </c>
      <c r="I76" s="48"/>
      <c r="J76" s="48"/>
      <c r="K76" s="48">
        <f>SUM(K71:K75)</f>
        <v>621505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153475</v>
      </c>
      <c r="F77" s="30" t="s">
        <v>22</v>
      </c>
      <c r="G77" s="30"/>
      <c r="H77" s="30"/>
      <c r="I77" s="30"/>
      <c r="J77" s="30"/>
      <c r="K77" s="45">
        <f>K76-K71</f>
        <v>599080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81" spans="8:8" x14ac:dyDescent="0.25">
      <c r="H81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25" workbookViewId="0">
      <selection activeCell="L65" sqref="L65"/>
    </sheetView>
  </sheetViews>
  <sheetFormatPr defaultRowHeight="15" x14ac:dyDescent="0.25"/>
  <cols>
    <col min="2" max="2" width="24.7109375" customWidth="1"/>
    <col min="4" max="4" width="15.5703125" bestFit="1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'JUNE 21'!M5:M56</f>
        <v>11633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26153</v>
      </c>
      <c r="L5" s="33">
        <f>15000</f>
        <v>15000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'JUNE 21'!M6:M57</f>
        <v>55246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69766</v>
      </c>
      <c r="L6" s="33">
        <f>4000</f>
        <v>4000</v>
      </c>
      <c r="M6" s="33">
        <f t="shared" si="0"/>
        <v>65766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'JUNE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'JUNE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'JUNE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'JUNE 21'!M10:M61</f>
        <v>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14520</v>
      </c>
      <c r="L10" s="33">
        <f>14500</f>
        <v>14500</v>
      </c>
      <c r="M10" s="33">
        <f t="shared" si="0"/>
        <v>20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'JUNE 21'!M11:M62</f>
        <v>-40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14480</v>
      </c>
      <c r="L11" s="33">
        <v>14500</v>
      </c>
      <c r="M11" s="33">
        <f t="shared" si="0"/>
        <v>-20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'JUNE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'JUNE 21'!M13:M64</f>
        <v>2320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12200</v>
      </c>
      <c r="L13" s="33">
        <f>10000</f>
        <v>10000</v>
      </c>
      <c r="M13" s="33">
        <f t="shared" si="0"/>
        <v>2200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'JUNE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'JUNE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'JUNE 21'!M16:M67</f>
        <v>1231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11111</v>
      </c>
      <c r="L16" s="33">
        <f>10000</f>
        <v>10000</v>
      </c>
      <c r="M16" s="33">
        <f t="shared" si="0"/>
        <v>1111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'JUNE 21'!M17:M68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</f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'JUNE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'JUNE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'JUNE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'JUNE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'JUNE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'JUNE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'JUNE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'JUNE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'JUNE 21'!M26:M77</f>
        <v>8580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18460</v>
      </c>
      <c r="L26" s="33">
        <f>11000</f>
        <v>11000</v>
      </c>
      <c r="M26" s="33">
        <f t="shared" si="0"/>
        <v>7460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'JUNE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'JUNE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'JUNE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f>14520</f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'JUNE 21'!M30:M81</f>
        <v>4499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16699</v>
      </c>
      <c r="L30" s="33">
        <f>12350</f>
        <v>12350</v>
      </c>
      <c r="M30" s="33">
        <f t="shared" si="0"/>
        <v>4349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'JUNE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'JUNE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'JUNE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'JUNE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'JUNE 21'!M35:M86</f>
        <v>-660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13860</v>
      </c>
      <c r="L35" s="33">
        <f>14500</f>
        <v>14500</v>
      </c>
      <c r="M35" s="33">
        <f t="shared" si="0"/>
        <v>-640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'JUNE 21'!M36:M87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21420</v>
      </c>
      <c r="L36" s="33">
        <f>14000</f>
        <v>14000</v>
      </c>
      <c r="M36" s="33">
        <f t="shared" si="0"/>
        <v>7420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'JUNE 21'!M37:M88</f>
        <v>14520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29040</v>
      </c>
      <c r="L37" s="33">
        <v>29040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'JUNE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'JUNE 21'!M39:M90</f>
        <v>400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14920</v>
      </c>
      <c r="L39" s="33">
        <f>11000+3200+2548</f>
        <v>16748</v>
      </c>
      <c r="M39" s="33">
        <f t="shared" si="0"/>
        <v>-1828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'JUNE 21'!M40:M91</f>
        <v>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14560</v>
      </c>
      <c r="L40" s="33">
        <v>14560</v>
      </c>
      <c r="M40" s="33">
        <f>K40-L40</f>
        <v>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'JUNE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'JUNE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'JUNE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f>14520</f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'JUNE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'JUNE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'JUNE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'JUNE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'JUNE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'JUNE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'JUNE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'JUNE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'JUNE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'JUNE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'JUNE 21'!M54:M105</f>
        <v>12120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26640</v>
      </c>
      <c r="L54" s="36">
        <f>5000+3000</f>
        <v>8000</v>
      </c>
      <c r="M54" s="33">
        <f t="shared" si="0"/>
        <v>18640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/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'JUNE 21'!M56:M107</f>
        <v>17320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29520</v>
      </c>
      <c r="L56" s="35">
        <f>5000</f>
        <v>5000</v>
      </c>
      <c r="M56" s="33">
        <f t="shared" si="0"/>
        <v>24520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144429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448500</v>
      </c>
      <c r="I57" s="33">
        <f t="shared" si="3"/>
        <v>15600</v>
      </c>
      <c r="J57" s="33">
        <f t="shared" si="3"/>
        <v>71760</v>
      </c>
      <c r="K57" s="33">
        <f t="shared" si="3"/>
        <v>680289</v>
      </c>
      <c r="L57" s="33">
        <f>SUM(L5:L56)</f>
        <v>529818</v>
      </c>
      <c r="M57" s="33">
        <f>SUM(M5:M56)</f>
        <v>150471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535860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48</v>
      </c>
      <c r="C61" s="44">
        <f>H57</f>
        <v>448500</v>
      </c>
      <c r="D61" s="44"/>
      <c r="E61" s="36"/>
      <c r="F61" s="36"/>
      <c r="G61" s="36" t="s">
        <v>48</v>
      </c>
      <c r="H61" s="44">
        <f>L57</f>
        <v>529818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15600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71760</v>
      </c>
      <c r="D63" s="44"/>
      <c r="E63" s="36"/>
      <c r="F63" s="36"/>
      <c r="G63" s="36" t="s">
        <v>146</v>
      </c>
      <c r="H63" s="44">
        <f>'JUNE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'JUNE 21'!F76</f>
        <v>131050</v>
      </c>
      <c r="D69" s="36"/>
      <c r="E69" s="36"/>
      <c r="F69" s="36"/>
      <c r="G69" s="46" t="s">
        <v>60</v>
      </c>
      <c r="H69" s="36">
        <v>22425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v>22425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22425</v>
      </c>
      <c r="F71" s="36"/>
      <c r="G71" s="36" t="s">
        <v>17</v>
      </c>
      <c r="H71" s="47">
        <v>0.05</v>
      </c>
      <c r="I71" s="47"/>
      <c r="J71" s="47"/>
      <c r="K71" s="44">
        <f>H71*C61</f>
        <v>22425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529818</v>
      </c>
      <c r="F74" s="49"/>
      <c r="G74" s="50" t="s">
        <v>136</v>
      </c>
      <c r="H74" s="36"/>
      <c r="I74" s="36"/>
      <c r="J74" s="36"/>
      <c r="K74" s="36">
        <f>L57</f>
        <v>529818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689335</v>
      </c>
      <c r="D76" s="48"/>
      <c r="E76" s="52">
        <f>SUM(E71:E75)</f>
        <v>552243</v>
      </c>
      <c r="F76" s="48">
        <f>C76-E76</f>
        <v>137092</v>
      </c>
      <c r="G76" s="51" t="s">
        <v>20</v>
      </c>
      <c r="H76" s="48">
        <f>H61+H63+H69</f>
        <v>552243</v>
      </c>
      <c r="I76" s="48"/>
      <c r="J76" s="48"/>
      <c r="K76" s="48">
        <f>SUM(K71:K75)</f>
        <v>552243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159517</v>
      </c>
      <c r="F77" s="30" t="s">
        <v>22</v>
      </c>
      <c r="G77" s="30"/>
      <c r="H77" s="30"/>
      <c r="I77" s="30"/>
      <c r="J77" s="30"/>
      <c r="K77" s="45">
        <f>K76-K71</f>
        <v>529818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6" workbookViewId="0">
      <selection activeCell="J82" sqref="J82"/>
    </sheetView>
  </sheetViews>
  <sheetFormatPr defaultRowHeight="15" x14ac:dyDescent="0.25"/>
  <cols>
    <col min="2" max="2" width="26.14062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174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'JULY 21'!M5:M56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f>15040</f>
        <v>15040</v>
      </c>
      <c r="M5" s="33">
        <f t="shared" ref="M5:M56" si="0">K5-L5</f>
        <v>10633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'JULY 21'!M6:M57</f>
        <v>65766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65766</v>
      </c>
      <c r="L6" s="33">
        <f>35000+30766</f>
        <v>65766</v>
      </c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'JULY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'JULY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'JULY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'JULY 21'!M10:M61</f>
        <v>20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14540</v>
      </c>
      <c r="L10" s="33">
        <f>14500</f>
        <v>14500</v>
      </c>
      <c r="M10" s="33">
        <f t="shared" si="0"/>
        <v>40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'JULY 21'!M11:M62</f>
        <v>-20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14500</v>
      </c>
      <c r="L11" s="33">
        <f>14500</f>
        <v>14500</v>
      </c>
      <c r="M11" s="33">
        <f t="shared" si="0"/>
        <v>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'JULY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f>9880</f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'JULY 21'!M13:M64</f>
        <v>2200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12080</v>
      </c>
      <c r="L13" s="33">
        <f>10000</f>
        <v>10000</v>
      </c>
      <c r="M13" s="33">
        <f t="shared" si="0"/>
        <v>2080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'JULY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'JULY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'JULY 21'!M16:M67</f>
        <v>1111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10991</v>
      </c>
      <c r="L16" s="33">
        <f>10000</f>
        <v>10000</v>
      </c>
      <c r="M16" s="33">
        <f t="shared" si="0"/>
        <v>991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'JULY 21'!M17:M68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</f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'JULY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f>9880</f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'JULY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f>9880</f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'JULY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'JULY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'JULY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'JULY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'JULY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'JULY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f>9880</f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'JULY 21'!M26:M77</f>
        <v>7460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17340</v>
      </c>
      <c r="L26" s="33">
        <f>17340</f>
        <v>17340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'JULY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f>116725</f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'JULY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f>83375</f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'JULY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f>14520</f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'JULY 21'!M30:M81</f>
        <v>4349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16549</v>
      </c>
      <c r="L30" s="33">
        <f>8000+4500</f>
        <v>12500</v>
      </c>
      <c r="M30" s="33">
        <f t="shared" si="0"/>
        <v>4049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'JULY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'JULY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f>14520</f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'JULY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f>14520</f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'JULY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'JULY 21'!M35:M86</f>
        <v>-640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13880</v>
      </c>
      <c r="L35" s="33">
        <f>14500</f>
        <v>14500</v>
      </c>
      <c r="M35" s="33">
        <f t="shared" si="0"/>
        <v>-620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'JULY 21'!M36:M87</f>
        <v>7420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21940</v>
      </c>
      <c r="L36" s="33">
        <f>15000</f>
        <v>15000</v>
      </c>
      <c r="M36" s="33">
        <f t="shared" si="0"/>
        <v>6940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'JULY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'JULY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'JULY 21'!M39:M90</f>
        <v>-1828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12692</v>
      </c>
      <c r="L39" s="33">
        <f>3000+9500</f>
        <v>12500</v>
      </c>
      <c r="M39" s="33">
        <f t="shared" si="0"/>
        <v>192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'JULY 21'!M40:M91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14520</v>
      </c>
      <c r="L40" s="33">
        <f>14500</f>
        <v>14500</v>
      </c>
      <c r="M40" s="33">
        <f>K40-L40</f>
        <v>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'JULY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'JULY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'JULY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'JULY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'JULY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'JULY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'JULY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'JULY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'JULY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'JULY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'JULY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'JULY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'JULY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'JULY 21'!M54:M105</f>
        <v>18640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33160</v>
      </c>
      <c r="L54" s="36">
        <f>4000</f>
        <v>4000</v>
      </c>
      <c r="M54" s="33">
        <f t="shared" si="0"/>
        <v>29160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'JULY 21'!M55:M106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'JULY 21'!M56:M107</f>
        <v>24520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36720</v>
      </c>
      <c r="L56" s="35"/>
      <c r="M56" s="33">
        <f t="shared" si="0"/>
        <v>36720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150471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671811</v>
      </c>
      <c r="L57" s="33">
        <f>SUM(L5:L56)</f>
        <v>571286</v>
      </c>
      <c r="M57" s="33">
        <f>SUM(M5:M56)</f>
        <v>100525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59</v>
      </c>
      <c r="C61" s="44">
        <f>H57</f>
        <v>436500</v>
      </c>
      <c r="D61" s="44"/>
      <c r="E61" s="36"/>
      <c r="F61" s="36"/>
      <c r="G61" s="36" t="s">
        <v>59</v>
      </c>
      <c r="H61" s="44">
        <f>L57</f>
        <v>571286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'JULY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'JULY 21'!F76</f>
        <v>137092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f>21825</f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571286</v>
      </c>
      <c r="F74" s="49"/>
      <c r="G74" s="50" t="s">
        <v>136</v>
      </c>
      <c r="H74" s="36"/>
      <c r="I74" s="36"/>
      <c r="J74" s="36"/>
      <c r="K74" s="36">
        <f>L57</f>
        <v>571286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680257</v>
      </c>
      <c r="D76" s="48"/>
      <c r="E76" s="52">
        <f>SUM(E71:E75)</f>
        <v>593111</v>
      </c>
      <c r="F76" s="48">
        <f>C76-E76</f>
        <v>87146</v>
      </c>
      <c r="G76" s="51" t="s">
        <v>20</v>
      </c>
      <c r="H76" s="48">
        <f>H61+H63+H69</f>
        <v>593111</v>
      </c>
      <c r="I76" s="48"/>
      <c r="J76" s="48"/>
      <c r="K76" s="48">
        <f>SUM(K71:K75)</f>
        <v>593111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108971</v>
      </c>
      <c r="F77" s="30" t="s">
        <v>22</v>
      </c>
      <c r="G77" s="30"/>
      <c r="H77" s="30"/>
      <c r="I77" s="30"/>
      <c r="J77" s="30"/>
      <c r="K77" s="45">
        <f>K76-K71</f>
        <v>571286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O48" sqref="O48"/>
    </sheetView>
  </sheetViews>
  <sheetFormatPr defaultRowHeight="15" x14ac:dyDescent="0.25"/>
  <cols>
    <col min="2" max="2" width="26.14062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176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'AUGUST 21'!M5:M64</f>
        <v>10633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25153</v>
      </c>
      <c r="L5" s="33">
        <f>14000</f>
        <v>14000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'AUGUST 21'!M6:M65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'AUGUST 21'!M7:M66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'AUGUST 21'!M8:M67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'AUGUST 21'!M9:M68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'AUGUST 21'!M10:M69</f>
        <v>40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14560</v>
      </c>
      <c r="L10" s="33">
        <f>14500</f>
        <v>14500</v>
      </c>
      <c r="M10" s="33">
        <f t="shared" si="0"/>
        <v>60</v>
      </c>
      <c r="O10" s="30"/>
    </row>
    <row r="11" spans="1:15" ht="15.75" x14ac:dyDescent="0.25">
      <c r="A11" s="33" t="s">
        <v>65</v>
      </c>
      <c r="B11" s="33" t="s">
        <v>101</v>
      </c>
      <c r="C11" s="34">
        <f>'AUGUST 21'!M11:M70</f>
        <v>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14520</v>
      </c>
      <c r="L11" s="33">
        <f>15000</f>
        <v>15000</v>
      </c>
      <c r="M11" s="33">
        <f t="shared" si="0"/>
        <v>-480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'AUGUST 21'!M12:M71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'AUGUST 21'!M13:M72</f>
        <v>2080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11960</v>
      </c>
      <c r="L13" s="33">
        <f>10000</f>
        <v>10000</v>
      </c>
      <c r="M13" s="33">
        <f t="shared" si="0"/>
        <v>1960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'AUGUST 21'!M14:M73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'AUGUST 21'!M15:M74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'AUGUST 21'!M16:M75</f>
        <v>991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10871</v>
      </c>
      <c r="L16" s="33">
        <f>10000</f>
        <v>10000</v>
      </c>
      <c r="M16" s="33">
        <f t="shared" si="0"/>
        <v>871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'AUGUST 21'!M17:M76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'AUGUST 21'!M18:M77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'AUGUST 21'!M19:M78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f>9880</f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'AUGUST 21'!M20:M79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'AUGUST 21'!M21:M80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'AUGUST 21'!M22:M81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'AUGUST 21'!M23:M82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'AUGUST 21'!M24:M83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'AUGUST 21'!M25:M84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f>9880</f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'AUGUST 21'!M26:M85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f>9880</f>
        <v>9880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'AUGUST 21'!M27:M86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'AUGUST 21'!M28:M87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93725</v>
      </c>
      <c r="M28" s="33">
        <f t="shared" si="0"/>
        <v>-10350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'AUGUST 21'!M29:M88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'AUGUST 21'!M30:M89</f>
        <v>4049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16249</v>
      </c>
      <c r="L30" s="33">
        <f>9100+3500</f>
        <v>12600</v>
      </c>
      <c r="M30" s="33">
        <f t="shared" si="0"/>
        <v>3649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'AUGUST 21'!M31:M90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'AUGUST 21'!M32:M91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'AUGUST 21'!M33:M92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'AUGUST 21'!M34:M93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'AUGUST 21'!M35:M94</f>
        <v>-620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13900</v>
      </c>
      <c r="L35" s="33">
        <f>14500</f>
        <v>14500</v>
      </c>
      <c r="M35" s="33">
        <f t="shared" si="0"/>
        <v>-600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'AUGUST 21'!M36:M95</f>
        <v>6940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21460</v>
      </c>
      <c r="L36" s="33">
        <f>13000</f>
        <v>13000</v>
      </c>
      <c r="M36" s="33">
        <f t="shared" si="0"/>
        <v>8460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'AUGUST 21'!M37:M96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f>14520</f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'AUGUST 21'!M38:M97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f>14520</f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'AUGUST 21'!M39:M98</f>
        <v>192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14712</v>
      </c>
      <c r="L39" s="33">
        <f>14520</f>
        <v>14520</v>
      </c>
      <c r="M39" s="33">
        <f t="shared" si="0"/>
        <v>192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'AUGUST 21'!M40:M99</f>
        <v>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14540</v>
      </c>
      <c r="L40" s="33">
        <f>14000</f>
        <v>14000</v>
      </c>
      <c r="M40" s="33">
        <f>K40-L40</f>
        <v>540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'AUGUST 21'!M41:M100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'AUGUST 21'!M42:M101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'AUGUST 21'!M43:M102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f>14520</f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'AUGUST 21'!M44:M103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'AUGUST 21'!M45:M104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'AUGUST 21'!M46:M105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'AUGUST 21'!M47:M106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'AUGUST 21'!M48:M107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6" ht="15.75" x14ac:dyDescent="0.25">
      <c r="A49" s="33" t="s">
        <v>39</v>
      </c>
      <c r="B49" s="34" t="s">
        <v>98</v>
      </c>
      <c r="C49" s="34">
        <f>'AUGUST 21'!M49:M108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6" ht="15.75" x14ac:dyDescent="0.25">
      <c r="A50" s="33" t="s">
        <v>40</v>
      </c>
      <c r="B50" s="34" t="s">
        <v>98</v>
      </c>
      <c r="C50" s="34">
        <f>'AUGUST 21'!M50:M109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6" ht="15.75" x14ac:dyDescent="0.25">
      <c r="A51" s="33" t="s">
        <v>41</v>
      </c>
      <c r="B51" s="34" t="s">
        <v>98</v>
      </c>
      <c r="C51" s="34">
        <f>'AUGUST 21'!M51:M110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6" ht="15.75" x14ac:dyDescent="0.25">
      <c r="A52" s="33" t="s">
        <v>42</v>
      </c>
      <c r="B52" s="37" t="s">
        <v>98</v>
      </c>
      <c r="C52" s="34">
        <f>'AUGUST 21'!M52:M111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6" ht="15.75" x14ac:dyDescent="0.25">
      <c r="A53" s="33" t="s">
        <v>43</v>
      </c>
      <c r="B53" s="34" t="s">
        <v>98</v>
      </c>
      <c r="C53" s="34">
        <f>'AUGUST 21'!M53:M112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6" ht="15.75" x14ac:dyDescent="0.25">
      <c r="A54" s="33" t="s">
        <v>44</v>
      </c>
      <c r="B54" s="35" t="s">
        <v>159</v>
      </c>
      <c r="C54" s="34">
        <f>'AUGUST 21'!M54:M113</f>
        <v>29160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43680</v>
      </c>
      <c r="L54" s="36">
        <f>20000+12000+10000+1680</f>
        <v>43680</v>
      </c>
      <c r="M54" s="33">
        <f t="shared" si="0"/>
        <v>0</v>
      </c>
      <c r="N54" s="33"/>
      <c r="O54" s="30"/>
    </row>
    <row r="55" spans="1:16" ht="15.75" x14ac:dyDescent="0.25">
      <c r="A55" s="33" t="s">
        <v>92</v>
      </c>
      <c r="B55" s="34" t="s">
        <v>98</v>
      </c>
      <c r="C55" s="34">
        <f>'AUGUST 21'!M55:M114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6" ht="15.75" x14ac:dyDescent="0.25">
      <c r="A56" s="33" t="s">
        <v>93</v>
      </c>
      <c r="B56" s="35" t="s">
        <v>118</v>
      </c>
      <c r="C56" s="34">
        <f>'AUGUST 21'!M56:M115</f>
        <v>36720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48920</v>
      </c>
      <c r="L56" s="35"/>
      <c r="M56" s="33">
        <f t="shared" si="0"/>
        <v>48920</v>
      </c>
      <c r="N56" s="33"/>
      <c r="O56" s="30" t="s">
        <v>173</v>
      </c>
    </row>
    <row r="57" spans="1:16" ht="15.75" x14ac:dyDescent="0.25">
      <c r="B57" s="33" t="s">
        <v>9</v>
      </c>
      <c r="C57" s="34">
        <f>SUM(C5:C56)</f>
        <v>100525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621865</v>
      </c>
      <c r="L57" s="33">
        <f>SUM(L5:L56)</f>
        <v>547170</v>
      </c>
      <c r="M57" s="33">
        <f>SUM(M5:M56)</f>
        <v>74695</v>
      </c>
      <c r="N57" s="33">
        <f>SUM(N5:N56)</f>
        <v>0</v>
      </c>
      <c r="O57" s="30"/>
      <c r="P57" s="87"/>
    </row>
    <row r="58" spans="1:16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6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6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6" ht="15.75" x14ac:dyDescent="0.25">
      <c r="B61" s="36" t="s">
        <v>177</v>
      </c>
      <c r="C61" s="44">
        <f>H57</f>
        <v>436500</v>
      </c>
      <c r="D61" s="44"/>
      <c r="E61" s="36"/>
      <c r="F61" s="36"/>
      <c r="G61" s="36" t="s">
        <v>177</v>
      </c>
      <c r="H61" s="44">
        <f>L57</f>
        <v>547170</v>
      </c>
      <c r="I61" s="44"/>
      <c r="J61" s="44"/>
      <c r="K61" s="36"/>
      <c r="L61" s="36"/>
      <c r="M61" s="30"/>
      <c r="N61" s="30"/>
      <c r="O61" s="30"/>
    </row>
    <row r="62" spans="1:16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6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'AUGUST 21'!L76</f>
        <v>0</v>
      </c>
      <c r="I63" s="44"/>
      <c r="J63" s="44"/>
      <c r="K63" s="36"/>
      <c r="L63" s="36"/>
      <c r="M63" s="30"/>
      <c r="N63" s="30"/>
      <c r="O63" s="30"/>
    </row>
    <row r="64" spans="1:16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'AUGUST 21'!F76</f>
        <v>87146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547170</v>
      </c>
      <c r="F74" s="49"/>
      <c r="G74" s="50" t="s">
        <v>136</v>
      </c>
      <c r="H74" s="36"/>
      <c r="I74" s="36"/>
      <c r="J74" s="36"/>
      <c r="K74" s="36">
        <f>L57</f>
        <v>547170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630311</v>
      </c>
      <c r="D76" s="48"/>
      <c r="E76" s="52">
        <f>SUM(E71:E75)</f>
        <v>568995</v>
      </c>
      <c r="F76" s="48">
        <f>C76-E76</f>
        <v>61316</v>
      </c>
      <c r="G76" s="51" t="s">
        <v>20</v>
      </c>
      <c r="H76" s="48">
        <f>H61+H63+H69</f>
        <v>568995</v>
      </c>
      <c r="I76" s="48"/>
      <c r="J76" s="48"/>
      <c r="K76" s="48">
        <f>SUM(K71:K75)</f>
        <v>568995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83141</v>
      </c>
      <c r="F77" s="30" t="s">
        <v>22</v>
      </c>
      <c r="G77" s="30"/>
      <c r="H77" s="30"/>
      <c r="I77" s="30"/>
      <c r="J77" s="30"/>
      <c r="K77" s="45">
        <f>K76-K71</f>
        <v>547170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3" workbookViewId="0">
      <selection activeCell="K80" sqref="K80"/>
    </sheetView>
  </sheetViews>
  <sheetFormatPr defaultRowHeight="15" x14ac:dyDescent="0.25"/>
  <cols>
    <col min="2" max="2" width="29.140625" bestFit="1" customWidth="1"/>
    <col min="7" max="7" width="16.8554687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5" ht="15.75" x14ac:dyDescent="0.25">
      <c r="B3" s="30"/>
      <c r="C3" s="30"/>
      <c r="D3" s="30"/>
      <c r="E3" s="30"/>
      <c r="F3" s="31" t="s">
        <v>178</v>
      </c>
      <c r="G3" s="31"/>
      <c r="H3" s="31"/>
      <c r="I3" s="31"/>
      <c r="J3" s="31"/>
      <c r="K3" s="32"/>
      <c r="L3" s="31"/>
      <c r="M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'SEPTEMBER 21'!M5:M57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v>14520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'SEPTEMBER 21'!M6:M58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'SEPTEMBER 21'!M7:M59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'SEPTEMBER 21'!M8:M60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'SEPTEMBER 21'!M9:M61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'SEPTEMBER 21'!M10:M62</f>
        <v>60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14580</v>
      </c>
      <c r="L10" s="33">
        <f>14520</f>
        <v>14520</v>
      </c>
      <c r="M10" s="33">
        <f t="shared" si="0"/>
        <v>60</v>
      </c>
      <c r="O10" s="30"/>
    </row>
    <row r="11" spans="1:15" ht="15.75" x14ac:dyDescent="0.25">
      <c r="A11" s="33" t="s">
        <v>65</v>
      </c>
      <c r="B11" s="33" t="s">
        <v>101</v>
      </c>
      <c r="C11" s="34">
        <f>'SEPTEMBER 21'!M11:M63</f>
        <v>-480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14040</v>
      </c>
      <c r="L11" s="33">
        <v>14000</v>
      </c>
      <c r="M11" s="33">
        <f t="shared" si="0"/>
        <v>40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'SEPTEMBER 21'!M12:M64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'SEPTEMBER 21'!M13:M65</f>
        <v>1960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11840</v>
      </c>
      <c r="L13" s="33">
        <f>10000</f>
        <v>10000</v>
      </c>
      <c r="M13" s="33">
        <f t="shared" si="0"/>
        <v>1840</v>
      </c>
      <c r="N13" s="33"/>
      <c r="O13" s="30"/>
    </row>
    <row r="14" spans="1:15" ht="15.75" x14ac:dyDescent="0.25">
      <c r="A14" s="33" t="s">
        <v>28</v>
      </c>
      <c r="B14" s="33" t="s">
        <v>98</v>
      </c>
      <c r="C14" s="34">
        <f>'SEPTEMBER 21'!M14:M66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'SEPTEMBER 21'!M15:M67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'SEPTEMBER 21'!M16:M68</f>
        <v>871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10751</v>
      </c>
      <c r="L16" s="33">
        <f>10000</f>
        <v>10000</v>
      </c>
      <c r="M16" s="33">
        <f t="shared" si="0"/>
        <v>751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'SEPTEMBER 21'!M17:M69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9880+10000</f>
        <v>19880</v>
      </c>
      <c r="M17" s="33">
        <f t="shared" si="0"/>
        <v>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'SEPTEMBER 21'!M18:M70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'SEPTEMBER 21'!M19:M71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'SEPTEMBER 21'!M20:M72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'SEPTEMBER 21'!M21:M73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'SEPTEMBER 21'!M22:M74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'SEPTEMBER 21'!M23:M75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'SEPTEMBER 21'!M24:M76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'SEPTEMBER 21'!M25:M77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'SEPTEMBER 21'!M26:M78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v>9880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'SEPTEMBER 21'!M27:M79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f>116725</f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'SEPTEMBER 21'!M28:M80</f>
        <v>-10350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73025</v>
      </c>
      <c r="L28" s="33">
        <v>93725</v>
      </c>
      <c r="M28" s="33">
        <f t="shared" si="0"/>
        <v>-20700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'SEPTEMBER 21'!M29:M81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'SEPTEMBER 21'!M30:M82</f>
        <v>3649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15849</v>
      </c>
      <c r="L30" s="33">
        <f>8000+4000</f>
        <v>12000</v>
      </c>
      <c r="M30" s="33">
        <f t="shared" si="0"/>
        <v>3849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'SEPTEMBER 21'!M31:M83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'SEPTEMBER 21'!M32:M84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'SEPTEMBER 21'!M33:M85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'SEPTEMBER 21'!M34:M86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'SEPTEMBER 21'!M35:M87</f>
        <v>-600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13920</v>
      </c>
      <c r="L35" s="33">
        <v>14500</v>
      </c>
      <c r="M35" s="33">
        <f t="shared" si="0"/>
        <v>-580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'SEPTEMBER 21'!M36:M88</f>
        <v>8460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22980</v>
      </c>
      <c r="L36" s="33">
        <v>16000</v>
      </c>
      <c r="M36" s="33">
        <f t="shared" si="0"/>
        <v>6980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'SEPTEMBER 21'!M37:M89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'SEPTEMBER 21'!M38:M90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12480</v>
      </c>
      <c r="M38" s="33">
        <f t="shared" si="0"/>
        <v>2040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'SEPTEMBER 21'!M39:M91</f>
        <v>192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14712</v>
      </c>
      <c r="L39" s="33">
        <v>14500</v>
      </c>
      <c r="M39" s="33">
        <f t="shared" si="0"/>
        <v>212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'SEPTEMBER 21'!M40:M92</f>
        <v>540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15060</v>
      </c>
      <c r="L40" s="33">
        <v>14500</v>
      </c>
      <c r="M40" s="33">
        <f>K40-L40</f>
        <v>560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'SEPTEMBER 21'!M41:M93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'SEPTEMBER 21'!M42:M94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'SEPTEMBER 21'!M43:M95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'SEPTEMBER 21'!M44:M96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'SEPTEMBER 21'!M45:M97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'SEPTEMBER 21'!M46:M98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'SEPTEMBER 21'!M47:M99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'SEPTEMBER 21'!M48:M100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'SEPTEMBER 21'!M49:M101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'SEPTEMBER 21'!M50:M102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'SEPTEMBER 21'!M51:M103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'SEPTEMBER 21'!M52:M104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'SEPTEMBER 21'!M53:M105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'SEPTEMBER 21'!M54:M106</f>
        <v>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14520</v>
      </c>
      <c r="L54" s="36">
        <v>6000</v>
      </c>
      <c r="M54" s="33">
        <f t="shared" si="0"/>
        <v>8520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'SEPTEMBER 21'!M55:M107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'SEPTEMBER 21'!M56:M108</f>
        <v>48920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61120</v>
      </c>
      <c r="L56" s="35"/>
      <c r="M56" s="33">
        <f t="shared" si="0"/>
        <v>61120</v>
      </c>
      <c r="N56" s="33"/>
      <c r="O56" s="30" t="s">
        <v>173</v>
      </c>
    </row>
    <row r="57" spans="1:15" ht="15.75" x14ac:dyDescent="0.25">
      <c r="B57" s="33" t="s">
        <v>9</v>
      </c>
      <c r="C57" s="34">
        <f>'SEPTEMBER 21'!M57:M109</f>
        <v>74695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596035</v>
      </c>
      <c r="L57" s="33">
        <f>SUM(L5:L56)</f>
        <v>519870</v>
      </c>
      <c r="M57" s="33">
        <f>SUM(M5:M56)</f>
        <v>76165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139</v>
      </c>
      <c r="C61" s="44">
        <f>H57</f>
        <v>436500</v>
      </c>
      <c r="D61" s="44"/>
      <c r="E61" s="36"/>
      <c r="F61" s="36"/>
      <c r="G61" s="36" t="s">
        <v>139</v>
      </c>
      <c r="H61" s="44">
        <f>L57</f>
        <v>519870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'SEPTEMBER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'SEPTEMBER 21'!F76</f>
        <v>61316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519870</v>
      </c>
      <c r="F74" s="49"/>
      <c r="G74" s="50" t="s">
        <v>136</v>
      </c>
      <c r="H74" s="36"/>
      <c r="I74" s="36"/>
      <c r="J74" s="36"/>
      <c r="K74" s="36">
        <f>L57</f>
        <v>519870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604481</v>
      </c>
      <c r="D76" s="48"/>
      <c r="E76" s="52">
        <f>SUM(E71:E75)</f>
        <v>541695</v>
      </c>
      <c r="F76" s="48">
        <f>C76-E76</f>
        <v>62786</v>
      </c>
      <c r="G76" s="51" t="s">
        <v>20</v>
      </c>
      <c r="H76" s="48">
        <f>H61+H63+H69</f>
        <v>541695</v>
      </c>
      <c r="I76" s="48"/>
      <c r="J76" s="48"/>
      <c r="K76" s="48">
        <f>SUM(K71:K75)</f>
        <v>541695</v>
      </c>
      <c r="L76" s="48">
        <f>H76-K76</f>
        <v>0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84611</v>
      </c>
      <c r="F77" s="30" t="s">
        <v>22</v>
      </c>
      <c r="G77" s="30"/>
      <c r="H77" s="30"/>
      <c r="I77" s="30"/>
      <c r="J77" s="30"/>
      <c r="K77" s="45">
        <f>K76-K71</f>
        <v>519870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  <row r="80" spans="2:13" x14ac:dyDescent="0.25">
      <c r="J80">
        <f>H27+H28</f>
        <v>172500</v>
      </c>
      <c r="K80">
        <f>210450*116/100</f>
        <v>244122</v>
      </c>
    </row>
    <row r="81" spans="10:10" x14ac:dyDescent="0.25">
      <c r="J81">
        <f>H71*J80</f>
        <v>8625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5" workbookViewId="0">
      <selection activeCell="L36" sqref="L36"/>
    </sheetView>
  </sheetViews>
  <sheetFormatPr defaultRowHeight="15" x14ac:dyDescent="0.25"/>
  <cols>
    <col min="1" max="1" width="12.5703125" customWidth="1"/>
    <col min="2" max="2" width="31" customWidth="1"/>
    <col min="9" max="9" width="13.28515625" customWidth="1"/>
    <col min="11" max="11" width="1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5" ht="15.75" x14ac:dyDescent="0.25">
      <c r="B3" s="30"/>
      <c r="C3" s="30"/>
      <c r="D3" s="30"/>
      <c r="E3" s="30"/>
      <c r="F3" s="31" t="s">
        <v>179</v>
      </c>
      <c r="G3" s="31"/>
      <c r="H3" s="31"/>
      <c r="I3" s="31"/>
      <c r="J3" s="31"/>
      <c r="K3" s="32"/>
      <c r="L3" s="31"/>
      <c r="M3" s="30"/>
    </row>
    <row r="4" spans="1:15" s="91" customFormat="1" ht="31.5" x14ac:dyDescent="0.25">
      <c r="A4" s="88"/>
      <c r="B4" s="89" t="s">
        <v>2</v>
      </c>
      <c r="C4" s="89" t="s">
        <v>3</v>
      </c>
      <c r="D4" s="89" t="s">
        <v>52</v>
      </c>
      <c r="E4" s="89" t="s">
        <v>4</v>
      </c>
      <c r="F4" s="89" t="s">
        <v>46</v>
      </c>
      <c r="G4" s="89" t="s">
        <v>55</v>
      </c>
      <c r="H4" s="89" t="s">
        <v>5</v>
      </c>
      <c r="I4" s="92" t="s">
        <v>57</v>
      </c>
      <c r="J4" s="89" t="s">
        <v>151</v>
      </c>
      <c r="K4" s="89" t="s">
        <v>6</v>
      </c>
      <c r="L4" s="89" t="s">
        <v>7</v>
      </c>
      <c r="M4" s="89" t="s">
        <v>8</v>
      </c>
      <c r="N4" s="89" t="s">
        <v>130</v>
      </c>
      <c r="O4" s="90"/>
    </row>
    <row r="5" spans="1:15" ht="15.75" x14ac:dyDescent="0.25">
      <c r="A5" s="33" t="s">
        <v>61</v>
      </c>
      <c r="B5" s="33" t="s">
        <v>96</v>
      </c>
      <c r="C5" s="34">
        <f>'OCTOBER 21'!M5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v>14520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'OCTOBER 21'!M6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'OCTOBER 21'!M7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'OCTOBER 21'!M8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'OCTOBER 21'!M9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'OCTOBER 21'!M10</f>
        <v>60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14580</v>
      </c>
      <c r="L10" s="33">
        <v>14500</v>
      </c>
      <c r="M10" s="33">
        <f t="shared" si="0"/>
        <v>80</v>
      </c>
      <c r="O10" s="30"/>
    </row>
    <row r="11" spans="1:15" ht="15.75" x14ac:dyDescent="0.25">
      <c r="A11" s="33" t="s">
        <v>65</v>
      </c>
      <c r="B11" s="33" t="s">
        <v>101</v>
      </c>
      <c r="C11" s="34">
        <f>'OCTOBER 21'!M11</f>
        <v>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14560</v>
      </c>
      <c r="L11" s="33">
        <v>14500</v>
      </c>
      <c r="M11" s="33">
        <f t="shared" si="0"/>
        <v>60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'OCTOBER 21'!M12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'OCTOBER 21'!M13</f>
        <v>1840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11720</v>
      </c>
      <c r="L13" s="33">
        <v>10000</v>
      </c>
      <c r="M13" s="33">
        <f t="shared" si="0"/>
        <v>1720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'OCTOBER 21'!M14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'OCTOBER 21'!M15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'OCTOBER 21'!M16</f>
        <v>751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10631</v>
      </c>
      <c r="L16" s="33">
        <v>9880</v>
      </c>
      <c r="M16" s="33">
        <f t="shared" si="0"/>
        <v>751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'OCTOBER 21'!M17</f>
        <v>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10200</v>
      </c>
      <c r="L17" s="33">
        <v>10200</v>
      </c>
      <c r="M17" s="33">
        <f t="shared" si="0"/>
        <v>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'OCTOBER 21'!M18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'OCTOBER 21'!M19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'OCTOBER 21'!M20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'OCTOBER 21'!M21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'OCTOBER 21'!M22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'OCTOBER 21'!M23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'OCTOBER 21'!M24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'OCTOBER 21'!M25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>16%*H25</f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'OCTOBER 21'!M26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v>10000</v>
      </c>
      <c r="M26" s="33">
        <f t="shared" si="0"/>
        <v>-120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'OCTOBER 21'!M27</f>
        <v>0</v>
      </c>
      <c r="D27" s="33"/>
      <c r="E27" s="33"/>
      <c r="F27" s="33"/>
      <c r="G27" s="33"/>
      <c r="H27" s="33">
        <v>176778</v>
      </c>
      <c r="I27" s="33"/>
      <c r="J27" s="33">
        <v>33672</v>
      </c>
      <c r="K27" s="33">
        <f>C27+D27+E27+F27+G27+H27+I27+J27</f>
        <v>210450</v>
      </c>
      <c r="L27" s="33">
        <v>210450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/>
      <c r="D28" s="33"/>
      <c r="E28" s="33"/>
      <c r="F28" s="33"/>
      <c r="G28" s="33"/>
      <c r="H28" s="33"/>
      <c r="I28" s="33"/>
      <c r="J28" s="33">
        <f>16%*H28</f>
        <v>0</v>
      </c>
      <c r="K28" s="33"/>
      <c r="L28" s="33"/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'OCTOBER 21'!M29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'OCTOBER 21'!M30</f>
        <v>3849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16049</v>
      </c>
      <c r="L30" s="33">
        <f>8000+5500</f>
        <v>13500</v>
      </c>
      <c r="M30" s="33">
        <f t="shared" si="0"/>
        <v>2549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'OCTOBER 21'!M31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'OCTOBER 21'!M32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'OCTOBER 21'!M33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'OCTOBER 21'!M34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3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'OCTOBER 21'!M35</f>
        <v>-580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13940</v>
      </c>
      <c r="L35" s="33">
        <v>14500</v>
      </c>
      <c r="M35" s="33">
        <f t="shared" si="0"/>
        <v>-560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'OCTOBER 21'!M36</f>
        <v>6980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21500</v>
      </c>
      <c r="L36" s="33">
        <v>14000</v>
      </c>
      <c r="M36" s="33">
        <f t="shared" si="0"/>
        <v>7500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'OCTOBER 21'!M37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'OCTOBER 21'!M38</f>
        <v>2040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16560</v>
      </c>
      <c r="L38" s="33">
        <v>14600</v>
      </c>
      <c r="M38" s="33">
        <f t="shared" si="0"/>
        <v>1960</v>
      </c>
      <c r="N38" s="33"/>
      <c r="O38" s="30">
        <f>210450*0.16</f>
        <v>33672</v>
      </c>
    </row>
    <row r="39" spans="1:15" ht="15.75" x14ac:dyDescent="0.25">
      <c r="A39" s="33" t="s">
        <v>84</v>
      </c>
      <c r="B39" s="33" t="s">
        <v>121</v>
      </c>
      <c r="C39" s="34">
        <f>'OCTOBER 21'!M39</f>
        <v>212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14732</v>
      </c>
      <c r="L39" s="33">
        <v>14520</v>
      </c>
      <c r="M39" s="33">
        <f t="shared" si="0"/>
        <v>212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'OCTOBER 21'!M40</f>
        <v>560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15080</v>
      </c>
      <c r="L40" s="33">
        <v>14520</v>
      </c>
      <c r="M40" s="33">
        <f>K40-L40</f>
        <v>560</v>
      </c>
      <c r="N40" s="33"/>
      <c r="O40" s="30">
        <f>210450-O38</f>
        <v>176778</v>
      </c>
    </row>
    <row r="41" spans="1:15" ht="15.75" x14ac:dyDescent="0.25">
      <c r="A41" s="33" t="s">
        <v>86</v>
      </c>
      <c r="B41" s="34" t="s">
        <v>98</v>
      </c>
      <c r="C41" s="34">
        <f>'OCTOBER 21'!M41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3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'OCTOBER 21'!M42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3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'OCTOBER 21'!M43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3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'OCTOBER 21'!M44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3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'OCTOBER 21'!M45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3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'OCTOBER 21'!M46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3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'OCTOBER 21'!M47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3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'OCTOBER 21'!M48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3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'OCTOBER 21'!M49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3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'OCTOBER 21'!M50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3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'OCTOBER 21'!M51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3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'OCTOBER 21'!M52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3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'OCTOBER 21'!M53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3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'OCTOBER 21'!M54</f>
        <v>8520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23040</v>
      </c>
      <c r="L54" s="33">
        <f>8500+10000</f>
        <v>18500</v>
      </c>
      <c r="M54" s="33">
        <f t="shared" si="0"/>
        <v>4540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'OCTOBER 21'!M55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3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'OCTOBER 21'!M56</f>
        <v>61120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73320</v>
      </c>
      <c r="L56" s="33"/>
      <c r="M56" s="33">
        <f t="shared" si="0"/>
        <v>73320</v>
      </c>
      <c r="N56" s="33"/>
      <c r="O56" s="30" t="s">
        <v>173</v>
      </c>
    </row>
    <row r="57" spans="1:15" ht="15.75" x14ac:dyDescent="0.25">
      <c r="B57" s="33" t="s">
        <v>9</v>
      </c>
      <c r="C57" s="34">
        <f>'SEPTEMBER 21'!M57:M109</f>
        <v>74695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440778</v>
      </c>
      <c r="I57" s="33">
        <f t="shared" si="3"/>
        <v>15000</v>
      </c>
      <c r="J57" s="33">
        <f t="shared" si="3"/>
        <v>75912</v>
      </c>
      <c r="K57" s="33">
        <f t="shared" si="3"/>
        <v>628555</v>
      </c>
      <c r="L57" s="33">
        <f>SUM(L5:L56)</f>
        <v>524830</v>
      </c>
      <c r="M57" s="33">
        <f>SUM(M5:M56)</f>
        <v>103725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531690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180</v>
      </c>
      <c r="C61" s="44">
        <f>H57</f>
        <v>440778</v>
      </c>
      <c r="D61" s="44"/>
      <c r="E61" s="36"/>
      <c r="F61" s="36"/>
      <c r="G61" s="36" t="s">
        <v>180</v>
      </c>
      <c r="H61" s="44">
        <f>L57</f>
        <v>524830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75912</v>
      </c>
      <c r="D63" s="44"/>
      <c r="E63" s="36"/>
      <c r="F63" s="36"/>
      <c r="G63" s="36" t="s">
        <v>146</v>
      </c>
      <c r="H63" s="44">
        <f>'OCTOBER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'OCTOBER 21'!F76</f>
        <v>62786</v>
      </c>
      <c r="D69" s="36"/>
      <c r="E69" s="36"/>
      <c r="F69" s="36"/>
      <c r="G69" s="46" t="s">
        <v>60</v>
      </c>
      <c r="H69" s="44"/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22038.9</v>
      </c>
      <c r="F71" s="36"/>
      <c r="G71" s="36" t="s">
        <v>17</v>
      </c>
      <c r="H71" s="47">
        <v>0.05</v>
      </c>
      <c r="I71" s="47"/>
      <c r="J71" s="47"/>
      <c r="K71" s="44">
        <f>H71*C61</f>
        <v>22038.9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524830</v>
      </c>
      <c r="F74" s="49"/>
      <c r="G74" s="50" t="s">
        <v>136</v>
      </c>
      <c r="H74" s="36"/>
      <c r="I74" s="36"/>
      <c r="J74" s="36"/>
      <c r="K74" s="36">
        <f>L57</f>
        <v>524830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594476</v>
      </c>
      <c r="D76" s="48"/>
      <c r="E76" s="52">
        <f>SUM(E71:E75)</f>
        <v>546868.9</v>
      </c>
      <c r="F76" s="48">
        <f>C76-E76</f>
        <v>47607.099999999977</v>
      </c>
      <c r="G76" s="51" t="s">
        <v>20</v>
      </c>
      <c r="H76" s="48">
        <f>H61+H63+H69</f>
        <v>524830</v>
      </c>
      <c r="I76" s="48"/>
      <c r="J76" s="48"/>
      <c r="K76" s="48">
        <f>SUM(K71:K75)</f>
        <v>546868.9</v>
      </c>
      <c r="L76" s="48">
        <f>H76-K76</f>
        <v>-22038.900000000023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69645.999999999971</v>
      </c>
      <c r="F77" s="30" t="s">
        <v>22</v>
      </c>
      <c r="G77" s="30"/>
      <c r="H77" s="30"/>
      <c r="I77" s="30"/>
      <c r="J77" s="30"/>
      <c r="K77" s="45">
        <f>K76-K71</f>
        <v>524830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22" workbookViewId="0">
      <selection activeCell="L37" sqref="L37"/>
    </sheetView>
  </sheetViews>
  <sheetFormatPr defaultRowHeight="15" x14ac:dyDescent="0.25"/>
  <cols>
    <col min="2" max="2" width="20.42578125" customWidth="1"/>
    <col min="7" max="7" width="12.7109375" customWidth="1"/>
  </cols>
  <sheetData>
    <row r="1" spans="1:16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6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6" ht="15.75" x14ac:dyDescent="0.25">
      <c r="B3" s="30"/>
      <c r="C3" s="30"/>
      <c r="D3" s="30"/>
      <c r="E3" s="30"/>
      <c r="F3" s="31" t="s">
        <v>181</v>
      </c>
      <c r="G3" s="31"/>
      <c r="H3" s="31"/>
      <c r="I3" s="31"/>
      <c r="J3" s="31"/>
      <c r="K3" s="32"/>
      <c r="L3" s="31"/>
      <c r="M3" s="30"/>
    </row>
    <row r="4" spans="1:16" ht="31.5" x14ac:dyDescent="0.25">
      <c r="A4" s="88"/>
      <c r="B4" s="89" t="s">
        <v>2</v>
      </c>
      <c r="C4" s="89" t="s">
        <v>3</v>
      </c>
      <c r="D4" s="89" t="s">
        <v>52</v>
      </c>
      <c r="E4" s="89" t="s">
        <v>4</v>
      </c>
      <c r="F4" s="89" t="s">
        <v>46</v>
      </c>
      <c r="G4" s="89" t="s">
        <v>55</v>
      </c>
      <c r="H4" s="89" t="s">
        <v>5</v>
      </c>
      <c r="I4" s="92" t="s">
        <v>57</v>
      </c>
      <c r="J4" s="89" t="s">
        <v>151</v>
      </c>
      <c r="K4" s="89" t="s">
        <v>6</v>
      </c>
      <c r="L4" s="89" t="s">
        <v>7</v>
      </c>
      <c r="M4" s="89" t="s">
        <v>8</v>
      </c>
      <c r="N4" s="89" t="s">
        <v>130</v>
      </c>
      <c r="O4" s="90"/>
      <c r="P4" s="91"/>
    </row>
    <row r="5" spans="1:16" ht="15.75" x14ac:dyDescent="0.25">
      <c r="A5" s="33" t="s">
        <v>61</v>
      </c>
      <c r="B5" s="33" t="s">
        <v>96</v>
      </c>
      <c r="C5" s="34">
        <f>'NOVEMBER 21'!M5:M56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/>
      <c r="M5" s="33">
        <f t="shared" ref="M5:M56" si="0">K5-L5</f>
        <v>25673</v>
      </c>
      <c r="N5" s="33"/>
      <c r="O5" s="30"/>
    </row>
    <row r="6" spans="1:16" ht="15.75" x14ac:dyDescent="0.25">
      <c r="A6" s="33" t="s">
        <v>95</v>
      </c>
      <c r="B6" s="33" t="s">
        <v>97</v>
      </c>
      <c r="C6" s="34">
        <f>'NOVEMBER 21'!M6:M57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6" ht="15.75" x14ac:dyDescent="0.25">
      <c r="A7" s="33" t="s">
        <v>62</v>
      </c>
      <c r="B7" s="34" t="s">
        <v>98</v>
      </c>
      <c r="C7" s="34">
        <f>'NOVEMBER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6" ht="15.75" x14ac:dyDescent="0.25">
      <c r="A8" s="33" t="s">
        <v>63</v>
      </c>
      <c r="B8" s="33" t="s">
        <v>98</v>
      </c>
      <c r="C8" s="34">
        <f>'NOVEMBER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6" ht="15.75" x14ac:dyDescent="0.25">
      <c r="A9" s="33" t="s">
        <v>64</v>
      </c>
      <c r="B9" s="34" t="s">
        <v>98</v>
      </c>
      <c r="C9" s="34">
        <f>'NOVEMBER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6" ht="15.75" x14ac:dyDescent="0.25">
      <c r="A10" s="33" t="s">
        <v>27</v>
      </c>
      <c r="B10" s="33" t="s">
        <v>167</v>
      </c>
      <c r="C10" s="34">
        <f>'NOVEMBER 21'!M10:M61</f>
        <v>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14600</v>
      </c>
      <c r="L10" s="33">
        <v>14600</v>
      </c>
      <c r="M10" s="33">
        <f t="shared" si="0"/>
        <v>0</v>
      </c>
      <c r="O10" s="30"/>
    </row>
    <row r="11" spans="1:16" ht="15.75" x14ac:dyDescent="0.25">
      <c r="A11" s="33" t="s">
        <v>65</v>
      </c>
      <c r="B11" s="33" t="s">
        <v>101</v>
      </c>
      <c r="C11" s="34">
        <f>'NOVEMBER 21'!M11:M62</f>
        <v>60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14580</v>
      </c>
      <c r="L11" s="33">
        <v>14580</v>
      </c>
      <c r="M11" s="33">
        <f t="shared" si="0"/>
        <v>0</v>
      </c>
      <c r="N11" s="33"/>
      <c r="O11" s="30"/>
    </row>
    <row r="12" spans="1:16" ht="15.75" x14ac:dyDescent="0.25">
      <c r="A12" s="33" t="s">
        <v>66</v>
      </c>
      <c r="B12" s="33" t="s">
        <v>102</v>
      </c>
      <c r="C12" s="34">
        <f>'NOVEMBER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/>
      <c r="M12" s="33">
        <f t="shared" si="0"/>
        <v>9880</v>
      </c>
      <c r="O12" s="30"/>
    </row>
    <row r="13" spans="1:16" ht="15.75" x14ac:dyDescent="0.25">
      <c r="A13" s="33" t="s">
        <v>67</v>
      </c>
      <c r="B13" s="33" t="s">
        <v>103</v>
      </c>
      <c r="C13" s="34">
        <f>'NOVEMBER 21'!M13:M64</f>
        <v>1720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11600</v>
      </c>
      <c r="L13" s="33">
        <v>10000</v>
      </c>
      <c r="M13" s="33">
        <f t="shared" si="0"/>
        <v>1600</v>
      </c>
      <c r="N13" s="33"/>
      <c r="O13" s="30"/>
    </row>
    <row r="14" spans="1:16" ht="15.75" x14ac:dyDescent="0.25">
      <c r="A14" s="33" t="s">
        <v>28</v>
      </c>
      <c r="B14" s="33" t="s">
        <v>104</v>
      </c>
      <c r="C14" s="34">
        <f>'NOVEMBER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6" ht="15.75" x14ac:dyDescent="0.25">
      <c r="A15" s="33" t="s">
        <v>29</v>
      </c>
      <c r="B15" s="34" t="s">
        <v>98</v>
      </c>
      <c r="C15" s="34">
        <f>'NOVEMBER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6" ht="15.75" x14ac:dyDescent="0.25">
      <c r="A16" s="33" t="s">
        <v>68</v>
      </c>
      <c r="B16" s="33" t="s">
        <v>105</v>
      </c>
      <c r="C16" s="34">
        <f>'NOVEMBER 21'!M16:M67</f>
        <v>751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10631</v>
      </c>
      <c r="L16" s="33">
        <v>10000</v>
      </c>
      <c r="M16" s="33">
        <f t="shared" si="0"/>
        <v>631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'NOVEMBER 21'!M17:M68</f>
        <v>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9880</v>
      </c>
      <c r="L17" s="33"/>
      <c r="M17" s="33">
        <f t="shared" si="0"/>
        <v>9880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'NOVEMBER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/>
      <c r="M18" s="33">
        <f t="shared" si="0"/>
        <v>9880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'NOVEMBER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'NOVEMBER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'NOVEMBER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'NOVEMBER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'NOVEMBER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'NOVEMBER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'NOVEMBER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'NOVEMBER 21'!M26:M77</f>
        <v>-120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9760</v>
      </c>
      <c r="L26" s="33">
        <v>9000</v>
      </c>
      <c r="M26" s="33">
        <f t="shared" si="0"/>
        <v>760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'NOVEMBER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/>
      <c r="M27" s="33">
        <f t="shared" si="0"/>
        <v>116725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'NOVEMBER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/>
      <c r="M28" s="33">
        <f t="shared" si="0"/>
        <v>83375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'NOVEMBER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/>
      <c r="M29" s="33">
        <f t="shared" si="0"/>
        <v>14520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'NOVEMBER 21'!M30:M81</f>
        <v>2549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14749</v>
      </c>
      <c r="L30" s="33">
        <v>7000</v>
      </c>
      <c r="M30" s="33">
        <f t="shared" si="0"/>
        <v>7749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'NOVEMBER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'NOVEMBER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/>
      <c r="M32" s="33">
        <f t="shared" si="0"/>
        <v>14520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'NOVEMBER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/>
      <c r="M33" s="33">
        <f t="shared" si="0"/>
        <v>14520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'NOVEMBER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3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'NOVEMBER 21'!M35:M86</f>
        <v>-560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13960</v>
      </c>
      <c r="L35" s="33"/>
      <c r="M35" s="33">
        <f t="shared" si="0"/>
        <v>13960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'NOVEMBER 21'!M36:M87</f>
        <v>7500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22020</v>
      </c>
      <c r="L36" s="33">
        <v>14000</v>
      </c>
      <c r="M36" s="33">
        <f t="shared" si="0"/>
        <v>8020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'NOVEMBER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/>
      <c r="M37" s="33">
        <f t="shared" si="0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'NOVEMBER 21'!M38:M89</f>
        <v>1960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16480</v>
      </c>
      <c r="L38" s="33"/>
      <c r="M38" s="33">
        <f t="shared" si="0"/>
        <v>16480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'NOVEMBER 21'!M39:M90</f>
        <v>212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14732</v>
      </c>
      <c r="L39" s="33">
        <v>14550</v>
      </c>
      <c r="M39" s="33">
        <f t="shared" si="0"/>
        <v>182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'NOVEMBER 21'!M40:M91</f>
        <v>560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15080</v>
      </c>
      <c r="L40" s="33"/>
      <c r="M40" s="33">
        <f>K40-L40</f>
        <v>15080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'NOVEMBER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3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'NOVEMBER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3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'NOVEMBER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3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'NOVEMBER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3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'NOVEMBER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3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'NOVEMBER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3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'NOVEMBER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3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'NOVEMBER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3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'NOVEMBER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3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'NOVEMBER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3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'NOVEMBER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3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'NOVEMBER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3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'NOVEMBER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3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'NOVEMBER 21'!M54:M105</f>
        <v>4540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19060</v>
      </c>
      <c r="L54" s="33"/>
      <c r="M54" s="33">
        <f t="shared" si="0"/>
        <v>19060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'NOVEMBER 21'!M55:M106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3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'NOVEMBER 21'!M56:M107</f>
        <v>73320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85520</v>
      </c>
      <c r="L56" s="33"/>
      <c r="M56" s="33">
        <f t="shared" si="0"/>
        <v>85520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103725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625065</v>
      </c>
      <c r="L57" s="33">
        <f>SUM(L5:L56)</f>
        <v>142530</v>
      </c>
      <c r="M57" s="33">
        <f>SUM(M5:M56)</f>
        <v>482535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148</v>
      </c>
      <c r="C61" s="44">
        <f>H57</f>
        <v>436500</v>
      </c>
      <c r="D61" s="44"/>
      <c r="E61" s="36"/>
      <c r="F61" s="36"/>
      <c r="G61" s="36" t="s">
        <v>148</v>
      </c>
      <c r="H61" s="44">
        <f>L57</f>
        <v>142530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'NOVEMBER 21'!L76</f>
        <v>-22038.900000000023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'NOVEMBER 21'!F76</f>
        <v>47607.099999999977</v>
      </c>
      <c r="D69" s="36"/>
      <c r="E69" s="36"/>
      <c r="F69" s="36"/>
      <c r="G69" s="46" t="s">
        <v>60</v>
      </c>
      <c r="H69" s="44"/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142530</v>
      </c>
      <c r="F74" s="49"/>
      <c r="G74" s="50" t="s">
        <v>136</v>
      </c>
      <c r="H74" s="36"/>
      <c r="I74" s="36"/>
      <c r="J74" s="36"/>
      <c r="K74" s="36">
        <f>L57</f>
        <v>142530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568947.1</v>
      </c>
      <c r="D76" s="48"/>
      <c r="E76" s="52">
        <f>SUM(E71:E75)</f>
        <v>164355</v>
      </c>
      <c r="F76" s="48">
        <f>C76-E76</f>
        <v>404592.1</v>
      </c>
      <c r="G76" s="51" t="s">
        <v>20</v>
      </c>
      <c r="H76" s="48">
        <f>H61+H63+H69</f>
        <v>120491.09999999998</v>
      </c>
      <c r="I76" s="48"/>
      <c r="J76" s="48"/>
      <c r="K76" s="48">
        <f>SUM(K71:K75)</f>
        <v>164355</v>
      </c>
      <c r="L76" s="48">
        <f>H76-K76</f>
        <v>-43863.900000000023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426417.1</v>
      </c>
      <c r="F77" s="30" t="s">
        <v>22</v>
      </c>
      <c r="G77" s="30"/>
      <c r="H77" s="30"/>
      <c r="I77" s="30"/>
      <c r="J77" s="30"/>
      <c r="K77" s="45">
        <f>K76-K71</f>
        <v>142530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48" sqref="H48"/>
    </sheetView>
  </sheetViews>
  <sheetFormatPr defaultRowHeight="15" x14ac:dyDescent="0.25"/>
  <cols>
    <col min="1" max="1" width="7.7109375" customWidth="1"/>
    <col min="2" max="2" width="16.85546875" customWidth="1"/>
  </cols>
  <sheetData>
    <row r="1" spans="1:14" x14ac:dyDescent="0.25">
      <c r="F1" s="1" t="s">
        <v>26</v>
      </c>
      <c r="G1" s="1"/>
      <c r="H1" s="1"/>
      <c r="I1" s="1"/>
      <c r="J1" s="1"/>
      <c r="K1" s="1"/>
      <c r="L1" s="1"/>
    </row>
    <row r="2" spans="1:14" x14ac:dyDescent="0.25">
      <c r="F2" s="1" t="s">
        <v>0</v>
      </c>
      <c r="G2" s="1"/>
      <c r="H2" s="1"/>
      <c r="I2" s="1"/>
      <c r="J2" s="1"/>
      <c r="K2" s="1"/>
      <c r="L2" s="1"/>
    </row>
    <row r="3" spans="1:14" x14ac:dyDescent="0.25">
      <c r="F3" s="1" t="s">
        <v>58</v>
      </c>
      <c r="G3" s="1"/>
      <c r="H3" s="1"/>
      <c r="I3" s="1"/>
      <c r="J3" s="1"/>
      <c r="K3" s="2"/>
      <c r="L3" s="1"/>
    </row>
    <row r="4" spans="1:14" x14ac:dyDescent="0.25">
      <c r="A4" s="3" t="s">
        <v>1</v>
      </c>
      <c r="B4" s="3" t="s">
        <v>2</v>
      </c>
      <c r="C4" s="3" t="s">
        <v>3</v>
      </c>
      <c r="D4" s="3" t="s">
        <v>52</v>
      </c>
      <c r="E4" s="3" t="s">
        <v>4</v>
      </c>
      <c r="F4" s="3" t="s">
        <v>46</v>
      </c>
      <c r="G4" s="3" t="s">
        <v>55</v>
      </c>
      <c r="H4" s="3" t="s">
        <v>5</v>
      </c>
      <c r="I4" s="3" t="s">
        <v>57</v>
      </c>
      <c r="J4" s="3" t="s">
        <v>56</v>
      </c>
      <c r="K4" s="3" t="s">
        <v>6</v>
      </c>
      <c r="L4" s="3" t="s">
        <v>7</v>
      </c>
      <c r="M4" s="3" t="s">
        <v>8</v>
      </c>
    </row>
    <row r="5" spans="1:14" x14ac:dyDescent="0.25">
      <c r="A5" s="4" t="s">
        <v>27</v>
      </c>
      <c r="B5" s="4" t="s">
        <v>45</v>
      </c>
      <c r="C5" s="4"/>
      <c r="D5" s="4"/>
      <c r="E5" s="4"/>
      <c r="F5" s="4"/>
      <c r="G5" s="4"/>
      <c r="H5" s="4">
        <v>12000</v>
      </c>
      <c r="I5" s="4">
        <v>600</v>
      </c>
      <c r="J5" s="4">
        <v>1920</v>
      </c>
      <c r="K5" s="4">
        <f>C5+D5+E5+F5+G5+H5+I5+J5</f>
        <v>14520</v>
      </c>
      <c r="L5" s="4">
        <f>14520</f>
        <v>14520</v>
      </c>
      <c r="M5" s="4">
        <f>K5-L5</f>
        <v>0</v>
      </c>
      <c r="N5" t="s">
        <v>135</v>
      </c>
    </row>
    <row r="6" spans="1:14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C6+D6+E6+F6+G6+H6+I6+J6</f>
        <v>0</v>
      </c>
      <c r="L6" s="4"/>
      <c r="M6" s="4"/>
    </row>
    <row r="7" spans="1:14" x14ac:dyDescent="0.25">
      <c r="A7" s="4" t="s">
        <v>29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>
        <f t="shared" ref="M7:M22" si="1">K7-L7</f>
        <v>0</v>
      </c>
    </row>
    <row r="8" spans="1:14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>
        <f>K8-L8</f>
        <v>0</v>
      </c>
    </row>
    <row r="9" spans="1:14" x14ac:dyDescent="0.2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>
        <f>K9-L9</f>
        <v>0</v>
      </c>
    </row>
    <row r="10" spans="1:14" x14ac:dyDescent="0.25">
      <c r="A10" s="4" t="s">
        <v>32</v>
      </c>
      <c r="B10" s="5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>
        <f t="shared" si="1"/>
        <v>0</v>
      </c>
    </row>
    <row r="11" spans="1:14" x14ac:dyDescent="0.25">
      <c r="A11" s="4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>
        <f>K11-L11</f>
        <v>0</v>
      </c>
    </row>
    <row r="12" spans="1:14" x14ac:dyDescent="0.25">
      <c r="A12" s="4" t="s">
        <v>34</v>
      </c>
      <c r="B12" s="5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>
        <f t="shared" si="1"/>
        <v>0</v>
      </c>
    </row>
    <row r="13" spans="1:14" x14ac:dyDescent="0.25">
      <c r="A13" s="4" t="s">
        <v>35</v>
      </c>
      <c r="B13" s="6" t="s">
        <v>53</v>
      </c>
      <c r="C13" s="4"/>
      <c r="D13" s="4"/>
      <c r="E13" s="4"/>
      <c r="F13" s="4"/>
      <c r="G13" s="4"/>
      <c r="H13" s="4">
        <v>12000</v>
      </c>
      <c r="I13" s="4">
        <v>600</v>
      </c>
      <c r="J13" s="4">
        <v>1920</v>
      </c>
      <c r="K13" s="4">
        <f t="shared" si="0"/>
        <v>14520</v>
      </c>
      <c r="L13" s="4">
        <v>14520</v>
      </c>
      <c r="M13" s="4">
        <f t="shared" si="1"/>
        <v>0</v>
      </c>
      <c r="N13" t="s">
        <v>135</v>
      </c>
    </row>
    <row r="14" spans="1:14" x14ac:dyDescent="0.25">
      <c r="A14" s="4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>
        <f t="shared" si="1"/>
        <v>0</v>
      </c>
    </row>
    <row r="15" spans="1:14" x14ac:dyDescent="0.25">
      <c r="A15" s="4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>
        <f t="shared" si="1"/>
        <v>0</v>
      </c>
    </row>
    <row r="16" spans="1:14" x14ac:dyDescent="0.25">
      <c r="A16" s="4" t="s">
        <v>38</v>
      </c>
      <c r="B16" s="5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>
        <f t="shared" si="1"/>
        <v>0</v>
      </c>
    </row>
    <row r="17" spans="1:13" x14ac:dyDescent="0.25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>
        <f>K17-L17</f>
        <v>0</v>
      </c>
    </row>
    <row r="18" spans="1:13" x14ac:dyDescent="0.25">
      <c r="A18" s="4" t="s">
        <v>40</v>
      </c>
      <c r="B18" s="7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>
        <f t="shared" si="1"/>
        <v>0</v>
      </c>
    </row>
    <row r="19" spans="1:13" x14ac:dyDescent="0.25">
      <c r="A19" s="4" t="s">
        <v>41</v>
      </c>
      <c r="B19" s="8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>
        <f t="shared" si="1"/>
        <v>0</v>
      </c>
    </row>
    <row r="20" spans="1:13" x14ac:dyDescent="0.25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>
        <f t="shared" si="1"/>
        <v>0</v>
      </c>
    </row>
    <row r="21" spans="1:13" x14ac:dyDescent="0.25">
      <c r="A21" s="4" t="s">
        <v>43</v>
      </c>
      <c r="B21" s="7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>
        <f t="shared" si="1"/>
        <v>0</v>
      </c>
    </row>
    <row r="22" spans="1:13" x14ac:dyDescent="0.25">
      <c r="A22" s="4" t="s">
        <v>44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>
        <f t="shared" si="1"/>
        <v>0</v>
      </c>
    </row>
    <row r="23" spans="1:13" x14ac:dyDescent="0.25">
      <c r="A23" s="3"/>
      <c r="B23" s="3" t="s">
        <v>9</v>
      </c>
      <c r="C23" s="4">
        <f t="shared" ref="C23:M23" si="2">SUM(C5:C22)</f>
        <v>0</v>
      </c>
      <c r="D23" s="4">
        <f t="shared" si="2"/>
        <v>0</v>
      </c>
      <c r="E23" s="4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24000</v>
      </c>
      <c r="I23" s="3">
        <f t="shared" si="2"/>
        <v>1200</v>
      </c>
      <c r="J23" s="3">
        <f t="shared" si="2"/>
        <v>3840</v>
      </c>
      <c r="K23" s="4">
        <f t="shared" si="2"/>
        <v>29040</v>
      </c>
      <c r="L23" s="3">
        <f t="shared" si="2"/>
        <v>29040</v>
      </c>
      <c r="M23" s="4">
        <f t="shared" si="2"/>
        <v>0</v>
      </c>
    </row>
    <row r="24" spans="1:13" x14ac:dyDescent="0.25">
      <c r="C24" s="9"/>
      <c r="D24" s="9"/>
      <c r="E24" s="9"/>
      <c r="F24" s="10" t="s">
        <v>10</v>
      </c>
      <c r="G24" s="10"/>
      <c r="H24" s="11"/>
      <c r="I24" s="11"/>
      <c r="J24" s="11"/>
      <c r="K24" s="12"/>
      <c r="L24" s="13"/>
      <c r="M24" s="12"/>
    </row>
    <row r="25" spans="1:13" x14ac:dyDescent="0.25">
      <c r="B25" s="1" t="s">
        <v>11</v>
      </c>
      <c r="C25" s="1"/>
      <c r="D25" s="1"/>
      <c r="E25" s="1"/>
      <c r="F25" s="1"/>
      <c r="G25" s="1"/>
      <c r="H25" s="14"/>
      <c r="I25" s="11"/>
      <c r="J25" s="11"/>
      <c r="K25" s="1" t="s">
        <v>12</v>
      </c>
      <c r="L25" s="15"/>
      <c r="M25" s="15"/>
    </row>
    <row r="26" spans="1:13" x14ac:dyDescent="0.25">
      <c r="B26" s="3" t="s">
        <v>13</v>
      </c>
      <c r="C26" s="3" t="s">
        <v>14</v>
      </c>
      <c r="D26" s="3"/>
      <c r="E26" s="3" t="s">
        <v>15</v>
      </c>
      <c r="F26" s="3" t="s">
        <v>16</v>
      </c>
      <c r="G26" s="3" t="s">
        <v>13</v>
      </c>
      <c r="H26" s="3" t="s">
        <v>14</v>
      </c>
      <c r="I26" s="3"/>
      <c r="J26" s="3"/>
      <c r="K26" s="3" t="s">
        <v>15</v>
      </c>
      <c r="L26" s="3" t="s">
        <v>8</v>
      </c>
    </row>
    <row r="27" spans="1:13" x14ac:dyDescent="0.25">
      <c r="B27" s="16" t="s">
        <v>59</v>
      </c>
      <c r="C27" s="17">
        <f>H23</f>
        <v>24000</v>
      </c>
      <c r="D27" s="17"/>
      <c r="E27" s="16"/>
      <c r="F27" s="16"/>
      <c r="G27" s="16" t="s">
        <v>59</v>
      </c>
      <c r="H27" s="17">
        <f>L23</f>
        <v>29040</v>
      </c>
      <c r="I27" s="17"/>
      <c r="J27" s="17"/>
      <c r="K27" s="16"/>
      <c r="L27" s="16"/>
    </row>
    <row r="28" spans="1:13" x14ac:dyDescent="0.25">
      <c r="B28" s="16" t="s">
        <v>57</v>
      </c>
      <c r="C28" s="17">
        <f>I23</f>
        <v>1200</v>
      </c>
      <c r="D28" s="17"/>
      <c r="E28" s="16"/>
      <c r="F28" s="16"/>
      <c r="G28" s="16"/>
      <c r="H28" s="17"/>
      <c r="I28" s="17"/>
      <c r="J28" s="17"/>
      <c r="K28" s="16"/>
      <c r="L28" s="16"/>
    </row>
    <row r="29" spans="1:13" x14ac:dyDescent="0.25">
      <c r="B29" s="16" t="s">
        <v>56</v>
      </c>
      <c r="C29" s="17">
        <f>J23</f>
        <v>3840</v>
      </c>
      <c r="D29" s="17"/>
      <c r="E29" s="16"/>
      <c r="F29" s="16"/>
      <c r="G29" s="16"/>
      <c r="H29" s="17"/>
      <c r="I29" s="17"/>
      <c r="J29" s="17"/>
      <c r="K29" s="16"/>
      <c r="L29" s="16"/>
    </row>
    <row r="30" spans="1:13" x14ac:dyDescent="0.25">
      <c r="B30" s="18" t="s">
        <v>4</v>
      </c>
      <c r="C30" s="4">
        <f>E23</f>
        <v>0</v>
      </c>
      <c r="D30" s="4"/>
      <c r="E30" s="4"/>
      <c r="F30" s="4"/>
      <c r="G30" s="18"/>
      <c r="H30" s="4"/>
      <c r="I30" s="4"/>
      <c r="J30" s="4"/>
      <c r="K30" s="16"/>
      <c r="L30" s="16"/>
    </row>
    <row r="31" spans="1:13" x14ac:dyDescent="0.25">
      <c r="B31" s="18" t="s">
        <v>46</v>
      </c>
      <c r="C31" s="4">
        <f>F23</f>
        <v>0</v>
      </c>
      <c r="D31" s="4"/>
      <c r="E31" s="4"/>
      <c r="F31" s="4"/>
      <c r="G31" s="18"/>
      <c r="H31" s="4"/>
      <c r="I31" s="4"/>
      <c r="J31" s="4"/>
      <c r="K31" s="16"/>
      <c r="L31" s="16"/>
    </row>
    <row r="32" spans="1:13" x14ac:dyDescent="0.25">
      <c r="B32" s="18" t="s">
        <v>47</v>
      </c>
      <c r="C32" s="4">
        <f>G23</f>
        <v>0</v>
      </c>
      <c r="D32" s="4"/>
      <c r="E32" s="4"/>
      <c r="F32" s="4"/>
      <c r="G32" s="18"/>
      <c r="H32" s="4"/>
      <c r="I32" s="4"/>
      <c r="J32" s="4"/>
      <c r="K32" s="16"/>
      <c r="L32" s="16"/>
    </row>
    <row r="33" spans="2:12" x14ac:dyDescent="0.25">
      <c r="B33" s="18" t="s">
        <v>52</v>
      </c>
      <c r="C33" s="4">
        <f>D23</f>
        <v>0</v>
      </c>
      <c r="D33" s="4"/>
      <c r="E33" s="4"/>
      <c r="F33" s="4"/>
      <c r="G33" s="18"/>
      <c r="H33" s="4"/>
      <c r="I33" s="4"/>
      <c r="J33" s="4"/>
      <c r="K33" s="16"/>
      <c r="L33" s="16"/>
    </row>
    <row r="34" spans="2:12" x14ac:dyDescent="0.25">
      <c r="B34" s="18" t="s">
        <v>60</v>
      </c>
      <c r="C34" s="4">
        <f>D23</f>
        <v>0</v>
      </c>
      <c r="D34" s="4"/>
      <c r="E34" s="4"/>
      <c r="F34" s="4"/>
      <c r="G34" s="18" t="s">
        <v>60</v>
      </c>
      <c r="H34" s="4"/>
      <c r="I34" s="4"/>
      <c r="J34" s="4"/>
      <c r="K34" s="16"/>
      <c r="L34" s="16"/>
    </row>
    <row r="35" spans="2:12" x14ac:dyDescent="0.25">
      <c r="B35" s="16" t="s">
        <v>17</v>
      </c>
      <c r="C35" s="19">
        <v>0.05</v>
      </c>
      <c r="D35" s="19"/>
      <c r="E35" s="17">
        <f>C35*C27</f>
        <v>1200</v>
      </c>
      <c r="F35" s="16"/>
      <c r="G35" s="16" t="s">
        <v>17</v>
      </c>
      <c r="H35" s="19">
        <v>0.05</v>
      </c>
      <c r="I35" s="19"/>
      <c r="J35" s="19"/>
      <c r="K35" s="17">
        <f>H35*C27</f>
        <v>1200</v>
      </c>
      <c r="L35" s="17"/>
    </row>
    <row r="36" spans="2:12" x14ac:dyDescent="0.25">
      <c r="B36" s="20" t="s">
        <v>18</v>
      </c>
      <c r="C36" s="3" t="s">
        <v>19</v>
      </c>
      <c r="D36" s="3"/>
      <c r="E36" s="3"/>
      <c r="F36" s="3"/>
      <c r="G36" s="20" t="s">
        <v>18</v>
      </c>
      <c r="H36" s="21"/>
      <c r="I36" s="21"/>
      <c r="J36" s="21"/>
      <c r="K36" s="3"/>
      <c r="L36" s="3"/>
    </row>
    <row r="37" spans="2:12" x14ac:dyDescent="0.25">
      <c r="B37" s="22"/>
      <c r="C37" s="23"/>
      <c r="D37" s="23"/>
      <c r="E37" s="4"/>
      <c r="F37" s="4"/>
      <c r="G37" s="22"/>
      <c r="H37" s="23"/>
      <c r="I37" s="23"/>
      <c r="J37" s="4"/>
      <c r="K37" s="4"/>
      <c r="L37" s="4"/>
    </row>
    <row r="38" spans="2:12" x14ac:dyDescent="0.25">
      <c r="B38" s="24"/>
      <c r="C38" s="4"/>
      <c r="D38" s="4"/>
      <c r="E38" s="4"/>
      <c r="F38" s="25"/>
      <c r="G38" s="24"/>
      <c r="H38" s="4"/>
      <c r="I38" s="4"/>
      <c r="J38" s="4"/>
      <c r="K38" s="4"/>
      <c r="L38" s="4"/>
    </row>
    <row r="39" spans="2:12" x14ac:dyDescent="0.25">
      <c r="B39" s="4"/>
      <c r="C39" s="23"/>
      <c r="D39" s="23"/>
      <c r="E39" s="4"/>
      <c r="F39" s="4"/>
      <c r="G39" s="4"/>
      <c r="H39" s="23"/>
      <c r="I39" s="23"/>
      <c r="J39" s="23"/>
      <c r="K39" s="4"/>
      <c r="L39" s="4"/>
    </row>
    <row r="40" spans="2:12" x14ac:dyDescent="0.25">
      <c r="B40" s="26" t="s">
        <v>20</v>
      </c>
      <c r="C40" s="21">
        <f>C27+C28+C29+C30+C31+C32+C33+C34-E35</f>
        <v>27840</v>
      </c>
      <c r="D40" s="21"/>
      <c r="E40" s="27">
        <f>SUM(E37:E39)</f>
        <v>0</v>
      </c>
      <c r="F40" s="21">
        <f>C40-E40</f>
        <v>27840</v>
      </c>
      <c r="G40" s="26" t="s">
        <v>20</v>
      </c>
      <c r="H40" s="21">
        <f>H27+H29-K35</f>
        <v>27840</v>
      </c>
      <c r="I40" s="21"/>
      <c r="J40" s="21"/>
      <c r="K40" s="21">
        <f>SUM(K37:K39)</f>
        <v>0</v>
      </c>
      <c r="L40" s="21">
        <f>H40-K40</f>
        <v>27840</v>
      </c>
    </row>
    <row r="41" spans="2:12" x14ac:dyDescent="0.25">
      <c r="B41" t="s">
        <v>21</v>
      </c>
      <c r="F41" t="s">
        <v>22</v>
      </c>
      <c r="L41" t="s">
        <v>23</v>
      </c>
    </row>
    <row r="42" spans="2:12" x14ac:dyDescent="0.25">
      <c r="B42" t="s">
        <v>24</v>
      </c>
      <c r="F42" t="s">
        <v>25</v>
      </c>
      <c r="K42" s="29"/>
      <c r="L42" t="s">
        <v>49</v>
      </c>
    </row>
    <row r="43" spans="2:12" x14ac:dyDescent="0.25">
      <c r="D43" s="29">
        <f>C40-E40</f>
        <v>27840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zoomScaleNormal="100" workbookViewId="0">
      <selection activeCell="L57" sqref="L57"/>
    </sheetView>
  </sheetViews>
  <sheetFormatPr defaultRowHeight="15" x14ac:dyDescent="0.25"/>
  <cols>
    <col min="1" max="1" width="14.28515625" customWidth="1"/>
    <col min="2" max="2" width="21.5703125" customWidth="1"/>
    <col min="3" max="3" width="8.42578125" customWidth="1"/>
    <col min="4" max="4" width="10.5703125" bestFit="1" customWidth="1"/>
    <col min="5" max="5" width="10.5703125" customWidth="1"/>
    <col min="6" max="6" width="10.5703125" bestFit="1" customWidth="1"/>
    <col min="7" max="7" width="9.28515625" bestFit="1" customWidth="1"/>
    <col min="8" max="8" width="10.5703125" bestFit="1" customWidth="1"/>
    <col min="9" max="10" width="9.28515625" bestFit="1" customWidth="1"/>
    <col min="11" max="11" width="9.85546875" bestFit="1" customWidth="1"/>
    <col min="12" max="12" width="11.42578125" bestFit="1" customWidth="1"/>
    <col min="13" max="13" width="9" customWidth="1"/>
    <col min="14" max="14" width="9.28515625" bestFit="1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94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6" t="s">
        <v>61</v>
      </c>
      <c r="B5" s="36" t="s">
        <v>96</v>
      </c>
      <c r="C5" s="55">
        <v>17333</v>
      </c>
      <c r="D5" s="36"/>
      <c r="E5" s="36"/>
      <c r="F5" s="36"/>
      <c r="G5" s="36"/>
      <c r="H5" s="36">
        <v>12000</v>
      </c>
      <c r="I5" s="36">
        <v>600</v>
      </c>
      <c r="J5" s="36">
        <f>14%*H5</f>
        <v>1680.0000000000002</v>
      </c>
      <c r="K5" s="36">
        <f>C5+D5+E5+F5+G5+H5+I5+J5</f>
        <v>31613</v>
      </c>
      <c r="L5" s="36">
        <v>14520</v>
      </c>
      <c r="M5" s="36">
        <f>K5-L5</f>
        <v>17093</v>
      </c>
      <c r="N5" s="36">
        <v>240</v>
      </c>
      <c r="O5" s="30" t="s">
        <v>124</v>
      </c>
      <c r="P5" s="30"/>
      <c r="Q5" s="30"/>
      <c r="R5" s="30"/>
      <c r="S5" s="30"/>
    </row>
    <row r="6" spans="1:19" ht="15.75" x14ac:dyDescent="0.25">
      <c r="A6" s="36" t="s">
        <v>95</v>
      </c>
      <c r="B6" s="36" t="s">
        <v>97</v>
      </c>
      <c r="C6" s="36">
        <v>60229</v>
      </c>
      <c r="D6" s="36"/>
      <c r="E6" s="36"/>
      <c r="F6" s="36"/>
      <c r="G6" s="36"/>
      <c r="H6" s="36">
        <v>12000</v>
      </c>
      <c r="I6" s="36">
        <v>600</v>
      </c>
      <c r="J6" s="36">
        <f t="shared" ref="J6:J56" si="0">14%*H6</f>
        <v>1680.0000000000002</v>
      </c>
      <c r="K6" s="36">
        <f t="shared" ref="K6:K56" si="1">C6+D6+E6+F6+G6+H6+I6+J6</f>
        <v>74509</v>
      </c>
      <c r="L6" s="36">
        <f>10000+4300</f>
        <v>14300</v>
      </c>
      <c r="M6" s="36">
        <f t="shared" ref="M6:M56" si="2">K6-L6</f>
        <v>60209</v>
      </c>
      <c r="N6" s="36"/>
      <c r="O6" s="30" t="s">
        <v>125</v>
      </c>
      <c r="P6" s="30"/>
      <c r="Q6" s="30"/>
      <c r="R6" s="30"/>
      <c r="S6" s="30"/>
    </row>
    <row r="7" spans="1:19" ht="15.75" x14ac:dyDescent="0.25">
      <c r="A7" s="36" t="s">
        <v>62</v>
      </c>
      <c r="B7" s="55" t="s">
        <v>98</v>
      </c>
      <c r="C7" s="36"/>
      <c r="D7" s="36"/>
      <c r="E7" s="36"/>
      <c r="F7" s="36"/>
      <c r="G7" s="36"/>
      <c r="H7" s="36"/>
      <c r="I7" s="36"/>
      <c r="J7" s="36">
        <f t="shared" si="0"/>
        <v>0</v>
      </c>
      <c r="K7" s="36">
        <f t="shared" si="1"/>
        <v>0</v>
      </c>
      <c r="L7" s="36"/>
      <c r="M7" s="36">
        <f t="shared" si="2"/>
        <v>0</v>
      </c>
      <c r="N7" s="36"/>
      <c r="O7" s="30"/>
      <c r="P7" s="30"/>
      <c r="Q7" s="30"/>
      <c r="R7" s="30"/>
      <c r="S7" s="30"/>
    </row>
    <row r="8" spans="1:19" ht="15.75" x14ac:dyDescent="0.25">
      <c r="A8" s="36" t="s">
        <v>63</v>
      </c>
      <c r="B8" s="36" t="s">
        <v>99</v>
      </c>
      <c r="C8" s="55">
        <v>58080</v>
      </c>
      <c r="D8" s="36"/>
      <c r="E8" s="36"/>
      <c r="F8" s="36"/>
      <c r="G8" s="36"/>
      <c r="H8" s="36">
        <v>12000</v>
      </c>
      <c r="I8" s="36">
        <v>600</v>
      </c>
      <c r="J8" s="36">
        <f t="shared" si="0"/>
        <v>1680.0000000000002</v>
      </c>
      <c r="K8" s="36">
        <f t="shared" si="1"/>
        <v>72360</v>
      </c>
      <c r="L8" s="36">
        <v>14520</v>
      </c>
      <c r="M8" s="36">
        <f t="shared" si="2"/>
        <v>57840</v>
      </c>
      <c r="N8" s="36"/>
      <c r="O8" s="30" t="s">
        <v>126</v>
      </c>
      <c r="P8" s="30"/>
      <c r="Q8" s="30"/>
      <c r="R8" s="30"/>
      <c r="S8" s="30"/>
    </row>
    <row r="9" spans="1:19" ht="15.75" x14ac:dyDescent="0.25">
      <c r="A9" s="36" t="s">
        <v>64</v>
      </c>
      <c r="B9" s="55" t="s">
        <v>98</v>
      </c>
      <c r="C9" s="36"/>
      <c r="D9" s="36"/>
      <c r="E9" s="36"/>
      <c r="F9" s="36"/>
      <c r="G9" s="36"/>
      <c r="H9" s="36"/>
      <c r="I9" s="36"/>
      <c r="J9" s="36">
        <f t="shared" si="0"/>
        <v>0</v>
      </c>
      <c r="K9" s="36">
        <f t="shared" si="1"/>
        <v>0</v>
      </c>
      <c r="L9" s="36"/>
      <c r="M9" s="36">
        <f t="shared" si="2"/>
        <v>0</v>
      </c>
      <c r="N9" s="36"/>
      <c r="O9" s="30"/>
      <c r="P9" s="30"/>
      <c r="Q9" s="30"/>
      <c r="R9" s="30"/>
      <c r="S9" s="30"/>
    </row>
    <row r="10" spans="1:19" ht="15.75" x14ac:dyDescent="0.25">
      <c r="A10" s="36" t="s">
        <v>27</v>
      </c>
      <c r="B10" s="36" t="s">
        <v>100</v>
      </c>
      <c r="C10" s="36"/>
      <c r="D10" s="36"/>
      <c r="E10" s="36"/>
      <c r="F10" s="36"/>
      <c r="G10" s="36"/>
      <c r="H10" s="36">
        <v>12000</v>
      </c>
      <c r="I10" s="36">
        <v>600</v>
      </c>
      <c r="J10" s="36">
        <f t="shared" si="0"/>
        <v>1680.0000000000002</v>
      </c>
      <c r="K10" s="36">
        <f t="shared" si="1"/>
        <v>14280</v>
      </c>
      <c r="L10" s="36">
        <v>14280</v>
      </c>
      <c r="M10" s="36">
        <f t="shared" si="2"/>
        <v>0</v>
      </c>
      <c r="N10" s="36"/>
      <c r="O10" s="30" t="s">
        <v>120</v>
      </c>
      <c r="P10" s="30"/>
      <c r="Q10" s="30"/>
      <c r="R10" s="30"/>
      <c r="S10" s="30"/>
    </row>
    <row r="11" spans="1:19" ht="15.75" x14ac:dyDescent="0.25">
      <c r="A11" s="36" t="s">
        <v>65</v>
      </c>
      <c r="B11" s="36" t="s">
        <v>101</v>
      </c>
      <c r="C11" s="56">
        <v>1220</v>
      </c>
      <c r="D11" s="36"/>
      <c r="E11" s="36"/>
      <c r="F11" s="36"/>
      <c r="G11" s="36"/>
      <c r="H11" s="36">
        <v>12000</v>
      </c>
      <c r="I11" s="36">
        <v>600</v>
      </c>
      <c r="J11" s="36">
        <f t="shared" si="0"/>
        <v>1680.0000000000002</v>
      </c>
      <c r="K11" s="36">
        <f t="shared" si="1"/>
        <v>15500</v>
      </c>
      <c r="L11" s="36">
        <v>15000</v>
      </c>
      <c r="M11" s="36">
        <f t="shared" si="2"/>
        <v>500</v>
      </c>
      <c r="N11" s="36">
        <v>720</v>
      </c>
      <c r="O11" s="30" t="s">
        <v>127</v>
      </c>
      <c r="P11" s="30"/>
      <c r="Q11" s="30"/>
      <c r="R11" s="30"/>
      <c r="S11" s="30"/>
    </row>
    <row r="12" spans="1:19" ht="15.75" x14ac:dyDescent="0.25">
      <c r="A12" s="36" t="s">
        <v>66</v>
      </c>
      <c r="B12" s="36" t="s">
        <v>102</v>
      </c>
      <c r="C12" s="36">
        <v>14881</v>
      </c>
      <c r="D12" s="36"/>
      <c r="E12" s="36"/>
      <c r="F12" s="36"/>
      <c r="G12" s="36"/>
      <c r="H12" s="36">
        <v>8000</v>
      </c>
      <c r="I12" s="36">
        <v>600</v>
      </c>
      <c r="J12" s="36">
        <f t="shared" si="0"/>
        <v>1120</v>
      </c>
      <c r="K12" s="36">
        <f t="shared" si="1"/>
        <v>24601</v>
      </c>
      <c r="L12" s="36">
        <v>9720</v>
      </c>
      <c r="M12" s="36">
        <f t="shared" si="2"/>
        <v>14881</v>
      </c>
      <c r="N12" s="36"/>
      <c r="O12" s="30" t="s">
        <v>132</v>
      </c>
      <c r="P12" s="30"/>
      <c r="Q12" s="30"/>
      <c r="R12" s="30"/>
      <c r="S12" s="30"/>
    </row>
    <row r="13" spans="1:19" ht="15.75" x14ac:dyDescent="0.25">
      <c r="A13" s="36" t="s">
        <v>67</v>
      </c>
      <c r="B13" s="36" t="s">
        <v>103</v>
      </c>
      <c r="C13" s="56">
        <v>3160</v>
      </c>
      <c r="D13" s="36"/>
      <c r="E13" s="36"/>
      <c r="F13" s="36"/>
      <c r="G13" s="36"/>
      <c r="H13" s="36">
        <v>8000</v>
      </c>
      <c r="I13" s="36">
        <v>600</v>
      </c>
      <c r="J13" s="36">
        <f t="shared" si="0"/>
        <v>1120</v>
      </c>
      <c r="K13" s="36">
        <f t="shared" si="1"/>
        <v>12880</v>
      </c>
      <c r="L13" s="36">
        <v>10000</v>
      </c>
      <c r="M13" s="36">
        <f t="shared" si="2"/>
        <v>2880</v>
      </c>
      <c r="N13" s="36"/>
      <c r="O13" s="30" t="s">
        <v>127</v>
      </c>
      <c r="P13" s="30"/>
      <c r="Q13" s="30"/>
      <c r="R13" s="30"/>
      <c r="S13" s="30"/>
    </row>
    <row r="14" spans="1:19" ht="15.75" x14ac:dyDescent="0.25">
      <c r="A14" s="36" t="s">
        <v>28</v>
      </c>
      <c r="B14" s="36" t="s">
        <v>104</v>
      </c>
      <c r="C14" s="36"/>
      <c r="D14" s="36"/>
      <c r="E14" s="36"/>
      <c r="F14" s="36"/>
      <c r="G14" s="36"/>
      <c r="H14" s="36">
        <v>8000</v>
      </c>
      <c r="I14" s="36">
        <v>600</v>
      </c>
      <c r="J14" s="36">
        <f t="shared" si="0"/>
        <v>1120</v>
      </c>
      <c r="K14" s="36">
        <f t="shared" si="1"/>
        <v>9720</v>
      </c>
      <c r="L14" s="36">
        <v>9880</v>
      </c>
      <c r="M14" s="36">
        <f t="shared" si="2"/>
        <v>-160</v>
      </c>
      <c r="N14" s="36"/>
      <c r="O14" s="30" t="s">
        <v>120</v>
      </c>
      <c r="P14" s="30"/>
      <c r="Q14" s="30"/>
      <c r="R14" s="30"/>
      <c r="S14" s="30"/>
    </row>
    <row r="15" spans="1:19" ht="15.75" x14ac:dyDescent="0.25">
      <c r="A15" s="36" t="s">
        <v>29</v>
      </c>
      <c r="B15" s="55" t="s">
        <v>98</v>
      </c>
      <c r="C15" s="36"/>
      <c r="D15" s="36"/>
      <c r="E15" s="36"/>
      <c r="F15" s="36"/>
      <c r="G15" s="36"/>
      <c r="H15" s="36"/>
      <c r="I15" s="36"/>
      <c r="J15" s="36">
        <f t="shared" si="0"/>
        <v>0</v>
      </c>
      <c r="K15" s="36">
        <f t="shared" si="1"/>
        <v>0</v>
      </c>
      <c r="L15" s="36"/>
      <c r="M15" s="36">
        <f t="shared" si="2"/>
        <v>0</v>
      </c>
      <c r="N15" s="36"/>
      <c r="O15" s="30"/>
      <c r="P15" s="30"/>
      <c r="Q15" s="30"/>
      <c r="R15" s="30"/>
      <c r="S15" s="30"/>
    </row>
    <row r="16" spans="1:19" ht="15.75" x14ac:dyDescent="0.25">
      <c r="A16" s="36" t="s">
        <v>68</v>
      </c>
      <c r="B16" s="36" t="s">
        <v>105</v>
      </c>
      <c r="C16" s="56">
        <v>2951</v>
      </c>
      <c r="D16" s="36"/>
      <c r="E16" s="36"/>
      <c r="F16" s="36"/>
      <c r="G16" s="36"/>
      <c r="H16" s="36">
        <v>8000</v>
      </c>
      <c r="I16" s="36">
        <v>600</v>
      </c>
      <c r="J16" s="36">
        <f t="shared" si="0"/>
        <v>1120</v>
      </c>
      <c r="K16" s="36">
        <f t="shared" si="1"/>
        <v>12671</v>
      </c>
      <c r="L16" s="36">
        <v>10000</v>
      </c>
      <c r="M16" s="36">
        <f t="shared" si="2"/>
        <v>2671</v>
      </c>
      <c r="N16" s="36">
        <v>280</v>
      </c>
      <c r="O16" s="30" t="s">
        <v>127</v>
      </c>
      <c r="P16" s="30"/>
      <c r="Q16" s="30"/>
      <c r="R16" s="30"/>
      <c r="S16" s="30"/>
    </row>
    <row r="17" spans="1:19" ht="15.75" x14ac:dyDescent="0.25">
      <c r="A17" s="36" t="s">
        <v>69</v>
      </c>
      <c r="B17" s="36" t="s">
        <v>106</v>
      </c>
      <c r="C17" s="36">
        <v>1840</v>
      </c>
      <c r="D17" s="36"/>
      <c r="E17" s="36"/>
      <c r="F17" s="36"/>
      <c r="G17" s="36"/>
      <c r="H17" s="36">
        <v>8000</v>
      </c>
      <c r="I17" s="36">
        <v>600</v>
      </c>
      <c r="J17" s="36">
        <f t="shared" si="0"/>
        <v>1120</v>
      </c>
      <c r="K17" s="36">
        <f t="shared" si="1"/>
        <v>11560</v>
      </c>
      <c r="L17" s="36">
        <v>9880</v>
      </c>
      <c r="M17" s="36">
        <f t="shared" si="2"/>
        <v>1680</v>
      </c>
      <c r="N17" s="36">
        <f>160</f>
        <v>160</v>
      </c>
      <c r="O17" s="30" t="s">
        <v>127</v>
      </c>
      <c r="P17" s="30"/>
      <c r="Q17" s="30"/>
      <c r="R17" s="30"/>
      <c r="S17" s="30"/>
    </row>
    <row r="18" spans="1:19" ht="15.75" x14ac:dyDescent="0.25">
      <c r="A18" s="36" t="s">
        <v>70</v>
      </c>
      <c r="B18" s="36" t="s">
        <v>102</v>
      </c>
      <c r="C18" s="36">
        <v>12673</v>
      </c>
      <c r="D18" s="36"/>
      <c r="E18" s="36"/>
      <c r="F18" s="36"/>
      <c r="G18" s="36"/>
      <c r="H18" s="36">
        <v>8000</v>
      </c>
      <c r="I18" s="36">
        <v>600</v>
      </c>
      <c r="J18" s="36">
        <f t="shared" si="0"/>
        <v>1120</v>
      </c>
      <c r="K18" s="36">
        <f t="shared" si="1"/>
        <v>22393</v>
      </c>
      <c r="L18" s="36">
        <v>9720</v>
      </c>
      <c r="M18" s="36">
        <f t="shared" si="2"/>
        <v>12673</v>
      </c>
      <c r="N18" s="36"/>
      <c r="O18" s="30" t="s">
        <v>132</v>
      </c>
      <c r="P18" s="30"/>
      <c r="Q18" s="30"/>
      <c r="R18" s="30"/>
      <c r="S18" s="30"/>
    </row>
    <row r="19" spans="1:19" ht="15.75" x14ac:dyDescent="0.25">
      <c r="A19" s="36" t="s">
        <v>71</v>
      </c>
      <c r="B19" s="36" t="s">
        <v>107</v>
      </c>
      <c r="C19" s="36">
        <v>5160</v>
      </c>
      <c r="D19" s="36"/>
      <c r="E19" s="36"/>
      <c r="F19" s="36"/>
      <c r="G19" s="36"/>
      <c r="H19" s="36">
        <v>8000</v>
      </c>
      <c r="I19" s="36">
        <v>600</v>
      </c>
      <c r="J19" s="36">
        <f t="shared" si="0"/>
        <v>1120</v>
      </c>
      <c r="K19" s="36">
        <f t="shared" si="1"/>
        <v>14880</v>
      </c>
      <c r="L19" s="36">
        <f>9400</f>
        <v>9400</v>
      </c>
      <c r="M19" s="36">
        <f t="shared" si="2"/>
        <v>5480</v>
      </c>
      <c r="N19" s="36"/>
      <c r="O19" s="30" t="s">
        <v>128</v>
      </c>
      <c r="P19" s="30"/>
      <c r="Q19" s="30"/>
      <c r="R19" s="30"/>
      <c r="S19" s="30"/>
    </row>
    <row r="20" spans="1:19" ht="15.75" x14ac:dyDescent="0.25">
      <c r="A20" s="36" t="s">
        <v>30</v>
      </c>
      <c r="B20" s="55" t="s">
        <v>98</v>
      </c>
      <c r="C20" s="36"/>
      <c r="D20" s="36"/>
      <c r="E20" s="36"/>
      <c r="F20" s="36"/>
      <c r="G20" s="36"/>
      <c r="H20" s="36"/>
      <c r="I20" s="36"/>
      <c r="J20" s="36">
        <f t="shared" si="0"/>
        <v>0</v>
      </c>
      <c r="K20" s="36">
        <f t="shared" si="1"/>
        <v>0</v>
      </c>
      <c r="L20" s="36"/>
      <c r="M20" s="36">
        <f t="shared" si="2"/>
        <v>0</v>
      </c>
      <c r="N20" s="36"/>
      <c r="O20" s="30"/>
      <c r="P20" s="30"/>
      <c r="Q20" s="30"/>
      <c r="R20" s="30"/>
      <c r="S20" s="30"/>
    </row>
    <row r="21" spans="1:19" ht="15.75" x14ac:dyDescent="0.25">
      <c r="A21" s="36" t="s">
        <v>31</v>
      </c>
      <c r="B21" s="55" t="s">
        <v>98</v>
      </c>
      <c r="C21" s="36"/>
      <c r="D21" s="36"/>
      <c r="E21" s="36"/>
      <c r="F21" s="36"/>
      <c r="G21" s="36"/>
      <c r="H21" s="36"/>
      <c r="I21" s="36"/>
      <c r="J21" s="36">
        <f t="shared" si="0"/>
        <v>0</v>
      </c>
      <c r="K21" s="36">
        <f t="shared" si="1"/>
        <v>0</v>
      </c>
      <c r="L21" s="36"/>
      <c r="M21" s="36">
        <f t="shared" si="2"/>
        <v>0</v>
      </c>
      <c r="N21" s="36"/>
      <c r="O21" s="30"/>
      <c r="P21" s="30"/>
      <c r="Q21" s="30"/>
      <c r="R21" s="30"/>
      <c r="S21" s="30"/>
    </row>
    <row r="22" spans="1:19" ht="15.75" x14ac:dyDescent="0.25">
      <c r="A22" s="36" t="s">
        <v>32</v>
      </c>
      <c r="B22" s="55" t="s">
        <v>98</v>
      </c>
      <c r="C22" s="36"/>
      <c r="D22" s="36"/>
      <c r="E22" s="36"/>
      <c r="F22" s="36"/>
      <c r="G22" s="36"/>
      <c r="H22" s="36"/>
      <c r="I22" s="36"/>
      <c r="J22" s="36">
        <f t="shared" si="0"/>
        <v>0</v>
      </c>
      <c r="K22" s="36">
        <f t="shared" si="1"/>
        <v>0</v>
      </c>
      <c r="L22" s="36"/>
      <c r="M22" s="36">
        <f t="shared" si="2"/>
        <v>0</v>
      </c>
      <c r="N22" s="36"/>
      <c r="O22" s="30"/>
      <c r="P22" s="30"/>
      <c r="Q22" s="30"/>
      <c r="R22" s="30"/>
      <c r="S22" s="30"/>
    </row>
    <row r="23" spans="1:19" ht="15.75" x14ac:dyDescent="0.25">
      <c r="A23" s="36" t="s">
        <v>33</v>
      </c>
      <c r="B23" s="55" t="s">
        <v>98</v>
      </c>
      <c r="C23" s="36"/>
      <c r="D23" s="36"/>
      <c r="E23" s="36"/>
      <c r="F23" s="36"/>
      <c r="G23" s="36"/>
      <c r="H23" s="36"/>
      <c r="I23" s="36"/>
      <c r="J23" s="36">
        <f t="shared" si="0"/>
        <v>0</v>
      </c>
      <c r="K23" s="36">
        <f t="shared" si="1"/>
        <v>0</v>
      </c>
      <c r="L23" s="36"/>
      <c r="M23" s="36">
        <f t="shared" si="2"/>
        <v>0</v>
      </c>
      <c r="N23" s="36"/>
      <c r="O23" s="30">
        <f>9720-L19</f>
        <v>320</v>
      </c>
      <c r="P23" s="30"/>
      <c r="Q23" s="30"/>
      <c r="R23" s="30"/>
      <c r="S23" s="30"/>
    </row>
    <row r="24" spans="1:19" ht="15.75" x14ac:dyDescent="0.25">
      <c r="A24" s="36" t="s">
        <v>34</v>
      </c>
      <c r="B24" s="55" t="s">
        <v>98</v>
      </c>
      <c r="C24" s="36"/>
      <c r="D24" s="36"/>
      <c r="E24" s="36"/>
      <c r="F24" s="36"/>
      <c r="G24" s="36"/>
      <c r="H24" s="36"/>
      <c r="I24" s="36"/>
      <c r="J24" s="36">
        <f t="shared" si="0"/>
        <v>0</v>
      </c>
      <c r="K24" s="36">
        <f t="shared" si="1"/>
        <v>0</v>
      </c>
      <c r="L24" s="36"/>
      <c r="M24" s="36">
        <f t="shared" si="2"/>
        <v>0</v>
      </c>
      <c r="N24" s="36"/>
      <c r="O24" s="30"/>
      <c r="P24" s="30"/>
      <c r="Q24" s="30"/>
      <c r="R24" s="30"/>
      <c r="S24" s="30"/>
    </row>
    <row r="25" spans="1:19" ht="15.75" x14ac:dyDescent="0.25">
      <c r="A25" s="36" t="s">
        <v>72</v>
      </c>
      <c r="B25" s="36" t="s">
        <v>107</v>
      </c>
      <c r="C25" s="36"/>
      <c r="D25" s="36"/>
      <c r="E25" s="36"/>
      <c r="F25" s="36"/>
      <c r="G25" s="36"/>
      <c r="H25" s="36">
        <v>8000</v>
      </c>
      <c r="I25" s="36">
        <v>600</v>
      </c>
      <c r="J25" s="36">
        <f t="shared" si="0"/>
        <v>1120</v>
      </c>
      <c r="K25" s="36">
        <f t="shared" si="1"/>
        <v>9720</v>
      </c>
      <c r="L25" s="36">
        <f>9720</f>
        <v>9720</v>
      </c>
      <c r="M25" s="36">
        <f t="shared" si="2"/>
        <v>0</v>
      </c>
      <c r="N25" s="36"/>
      <c r="O25" s="30"/>
      <c r="P25" s="30"/>
      <c r="Q25" s="30"/>
      <c r="R25" s="30"/>
      <c r="S25" s="30"/>
    </row>
    <row r="26" spans="1:19" ht="15.75" x14ac:dyDescent="0.25">
      <c r="A26" s="36" t="s">
        <v>73</v>
      </c>
      <c r="B26" s="36" t="s">
        <v>123</v>
      </c>
      <c r="C26" s="55">
        <v>3300</v>
      </c>
      <c r="D26" s="36"/>
      <c r="E26" s="36"/>
      <c r="F26" s="36"/>
      <c r="G26" s="36"/>
      <c r="H26" s="36">
        <v>8000</v>
      </c>
      <c r="I26" s="36">
        <v>600</v>
      </c>
      <c r="J26" s="36">
        <f t="shared" si="0"/>
        <v>1120</v>
      </c>
      <c r="K26" s="36">
        <f t="shared" si="1"/>
        <v>13020</v>
      </c>
      <c r="L26" s="36">
        <v>9880</v>
      </c>
      <c r="M26" s="36">
        <f t="shared" si="2"/>
        <v>3140</v>
      </c>
      <c r="N26" s="36">
        <v>160</v>
      </c>
      <c r="O26" s="30" t="s">
        <v>129</v>
      </c>
      <c r="P26" s="30"/>
      <c r="Q26" s="30"/>
      <c r="R26" s="30"/>
      <c r="S26" s="30"/>
    </row>
    <row r="27" spans="1:19" ht="15.75" x14ac:dyDescent="0.25">
      <c r="A27" s="36" t="s">
        <v>108</v>
      </c>
      <c r="B27" s="36" t="s">
        <v>110</v>
      </c>
      <c r="C27" s="36"/>
      <c r="D27" s="36"/>
      <c r="E27" s="36"/>
      <c r="F27" s="36"/>
      <c r="G27" s="36"/>
      <c r="H27" s="36">
        <v>87500</v>
      </c>
      <c r="I27" s="36"/>
      <c r="J27" s="36">
        <f>16%*H27</f>
        <v>14000</v>
      </c>
      <c r="K27" s="36">
        <f t="shared" si="1"/>
        <v>101500</v>
      </c>
      <c r="L27" s="36">
        <v>101500</v>
      </c>
      <c r="M27" s="36">
        <f t="shared" si="2"/>
        <v>0</v>
      </c>
      <c r="N27" s="36"/>
      <c r="O27" s="30"/>
      <c r="P27" s="30"/>
      <c r="Q27" s="30"/>
      <c r="R27" s="30"/>
      <c r="S27" s="30"/>
    </row>
    <row r="28" spans="1:19" ht="15.75" x14ac:dyDescent="0.25">
      <c r="A28" s="36" t="s">
        <v>109</v>
      </c>
      <c r="B28" s="36" t="s">
        <v>110</v>
      </c>
      <c r="C28" s="36"/>
      <c r="D28" s="36"/>
      <c r="E28" s="36"/>
      <c r="F28" s="36"/>
      <c r="G28" s="36"/>
      <c r="H28" s="36">
        <v>62500</v>
      </c>
      <c r="I28" s="36"/>
      <c r="J28" s="36">
        <f>16%*H28</f>
        <v>10000</v>
      </c>
      <c r="K28" s="36">
        <f t="shared" si="1"/>
        <v>72500</v>
      </c>
      <c r="L28" s="36">
        <v>72500</v>
      </c>
      <c r="M28" s="36">
        <f t="shared" si="2"/>
        <v>0</v>
      </c>
      <c r="N28" s="36"/>
      <c r="O28" s="30"/>
      <c r="P28" s="30"/>
      <c r="Q28" s="30"/>
      <c r="R28" s="30"/>
      <c r="S28" s="30"/>
    </row>
    <row r="29" spans="1:19" ht="15.75" x14ac:dyDescent="0.25">
      <c r="A29" s="36" t="s">
        <v>74</v>
      </c>
      <c r="B29" s="36" t="s">
        <v>102</v>
      </c>
      <c r="C29" s="36">
        <v>15720</v>
      </c>
      <c r="D29" s="36"/>
      <c r="E29" s="36"/>
      <c r="F29" s="36"/>
      <c r="G29" s="36"/>
      <c r="H29" s="36">
        <v>12000</v>
      </c>
      <c r="I29" s="36">
        <v>600</v>
      </c>
      <c r="J29" s="36">
        <f t="shared" si="0"/>
        <v>1680.0000000000002</v>
      </c>
      <c r="K29" s="36">
        <f t="shared" si="1"/>
        <v>30000</v>
      </c>
      <c r="L29" s="36">
        <v>14280</v>
      </c>
      <c r="M29" s="36">
        <f t="shared" si="2"/>
        <v>15720</v>
      </c>
      <c r="N29" s="36"/>
      <c r="O29" s="30" t="s">
        <v>132</v>
      </c>
      <c r="P29" s="30"/>
      <c r="Q29" s="30"/>
      <c r="R29" s="30"/>
      <c r="S29" s="30"/>
    </row>
    <row r="30" spans="1:19" ht="15.75" x14ac:dyDescent="0.25">
      <c r="A30" s="36" t="s">
        <v>75</v>
      </c>
      <c r="B30" s="36" t="s">
        <v>111</v>
      </c>
      <c r="C30" s="55">
        <v>3519</v>
      </c>
      <c r="D30" s="36"/>
      <c r="E30" s="36"/>
      <c r="F30" s="36"/>
      <c r="G30" s="36"/>
      <c r="H30" s="36">
        <v>8000</v>
      </c>
      <c r="I30" s="36">
        <v>600</v>
      </c>
      <c r="J30" s="36">
        <f t="shared" si="0"/>
        <v>1120</v>
      </c>
      <c r="K30" s="36">
        <f t="shared" si="1"/>
        <v>13239</v>
      </c>
      <c r="L30" s="36">
        <v>10000</v>
      </c>
      <c r="M30" s="36">
        <f t="shared" si="2"/>
        <v>3239</v>
      </c>
      <c r="N30" s="36">
        <v>280</v>
      </c>
      <c r="O30" s="30" t="s">
        <v>133</v>
      </c>
      <c r="P30" s="30"/>
      <c r="Q30" s="30"/>
      <c r="R30" s="30"/>
      <c r="S30" s="30"/>
    </row>
    <row r="31" spans="1:19" ht="15.75" x14ac:dyDescent="0.25">
      <c r="A31" s="36" t="s">
        <v>76</v>
      </c>
      <c r="B31" s="36" t="s">
        <v>112</v>
      </c>
      <c r="C31" s="36"/>
      <c r="D31" s="36"/>
      <c r="E31" s="36"/>
      <c r="F31" s="36"/>
      <c r="G31" s="36"/>
      <c r="H31" s="36">
        <v>20000</v>
      </c>
      <c r="I31" s="36"/>
      <c r="J31" s="36">
        <f>16%*H31</f>
        <v>3200</v>
      </c>
      <c r="K31" s="36">
        <f t="shared" si="1"/>
        <v>23200</v>
      </c>
      <c r="L31" s="36">
        <f>2720+20480</f>
        <v>23200</v>
      </c>
      <c r="M31" s="36">
        <f t="shared" si="2"/>
        <v>0</v>
      </c>
      <c r="N31" s="36"/>
      <c r="O31" s="30"/>
      <c r="P31" s="30"/>
      <c r="Q31" s="30"/>
      <c r="R31" s="30"/>
      <c r="S31" s="30"/>
    </row>
    <row r="32" spans="1:19" ht="15.75" x14ac:dyDescent="0.25">
      <c r="A32" s="36" t="s">
        <v>77</v>
      </c>
      <c r="B32" s="36" t="s">
        <v>102</v>
      </c>
      <c r="C32" s="36">
        <v>480</v>
      </c>
      <c r="D32" s="36"/>
      <c r="E32" s="36"/>
      <c r="F32" s="36"/>
      <c r="G32" s="36"/>
      <c r="H32" s="36">
        <v>12000</v>
      </c>
      <c r="I32" s="36">
        <v>600</v>
      </c>
      <c r="J32" s="36">
        <f t="shared" si="0"/>
        <v>1680.0000000000002</v>
      </c>
      <c r="K32" s="36">
        <f t="shared" si="1"/>
        <v>14760</v>
      </c>
      <c r="L32" s="36">
        <v>14280</v>
      </c>
      <c r="M32" s="36">
        <f t="shared" si="2"/>
        <v>480</v>
      </c>
      <c r="N32" s="36"/>
      <c r="O32" s="30" t="s">
        <v>132</v>
      </c>
      <c r="P32" s="30"/>
      <c r="Q32" s="30"/>
      <c r="R32" s="30"/>
      <c r="S32" s="30"/>
    </row>
    <row r="33" spans="1:19" ht="15.75" x14ac:dyDescent="0.25">
      <c r="A33" s="36" t="s">
        <v>78</v>
      </c>
      <c r="B33" s="36" t="s">
        <v>102</v>
      </c>
      <c r="C33" s="36">
        <v>12520</v>
      </c>
      <c r="D33" s="36"/>
      <c r="E33" s="36"/>
      <c r="F33" s="36"/>
      <c r="G33" s="36"/>
      <c r="H33" s="36">
        <v>12000</v>
      </c>
      <c r="I33" s="36">
        <v>600</v>
      </c>
      <c r="J33" s="36">
        <f t="shared" si="0"/>
        <v>1680.0000000000002</v>
      </c>
      <c r="K33" s="36">
        <f t="shared" si="1"/>
        <v>26800</v>
      </c>
      <c r="L33" s="36">
        <v>14280</v>
      </c>
      <c r="M33" s="36">
        <f t="shared" si="2"/>
        <v>12520</v>
      </c>
      <c r="N33" s="36"/>
      <c r="O33" s="30" t="s">
        <v>132</v>
      </c>
      <c r="P33" s="30"/>
      <c r="Q33" s="30"/>
      <c r="R33" s="30"/>
      <c r="S33" s="30"/>
    </row>
    <row r="34" spans="1:19" ht="15.75" x14ac:dyDescent="0.25">
      <c r="A34" s="36" t="s">
        <v>79</v>
      </c>
      <c r="B34" s="55" t="s">
        <v>98</v>
      </c>
      <c r="C34" s="36"/>
      <c r="D34" s="36"/>
      <c r="E34" s="36"/>
      <c r="F34" s="36"/>
      <c r="G34" s="36"/>
      <c r="H34" s="36"/>
      <c r="I34" s="36"/>
      <c r="J34" s="36">
        <f t="shared" si="0"/>
        <v>0</v>
      </c>
      <c r="K34" s="36">
        <f t="shared" si="1"/>
        <v>0</v>
      </c>
      <c r="L34" s="36"/>
      <c r="M34" s="36">
        <f t="shared" si="2"/>
        <v>0</v>
      </c>
      <c r="N34" s="36"/>
      <c r="O34" s="30"/>
      <c r="P34" s="30"/>
      <c r="Q34" s="30"/>
      <c r="R34" s="30"/>
      <c r="S34" s="30"/>
    </row>
    <row r="35" spans="1:19" ht="15.75" x14ac:dyDescent="0.25">
      <c r="A35" s="36" t="s">
        <v>80</v>
      </c>
      <c r="B35" s="36" t="s">
        <v>113</v>
      </c>
      <c r="C35" s="36">
        <v>120</v>
      </c>
      <c r="D35" s="36"/>
      <c r="E35" s="36"/>
      <c r="F35" s="36"/>
      <c r="G35" s="36"/>
      <c r="H35" s="36">
        <v>12000</v>
      </c>
      <c r="I35" s="36">
        <v>600</v>
      </c>
      <c r="J35" s="36">
        <f t="shared" si="0"/>
        <v>1680.0000000000002</v>
      </c>
      <c r="K35" s="36">
        <f t="shared" si="1"/>
        <v>14400</v>
      </c>
      <c r="L35" s="36">
        <v>14500</v>
      </c>
      <c r="M35" s="36">
        <f t="shared" si="2"/>
        <v>-100</v>
      </c>
      <c r="N35" s="36">
        <v>120</v>
      </c>
      <c r="O35" s="30"/>
      <c r="P35" s="30"/>
      <c r="Q35" s="30"/>
      <c r="R35" s="30"/>
      <c r="S35" s="30"/>
    </row>
    <row r="36" spans="1:19" ht="15.75" x14ac:dyDescent="0.25">
      <c r="A36" s="36" t="s">
        <v>81</v>
      </c>
      <c r="B36" s="36" t="s">
        <v>114</v>
      </c>
      <c r="C36" s="36">
        <v>7060</v>
      </c>
      <c r="D36" s="36"/>
      <c r="E36" s="36"/>
      <c r="F36" s="36"/>
      <c r="G36" s="36"/>
      <c r="H36" s="36">
        <v>12000</v>
      </c>
      <c r="I36" s="36">
        <v>600</v>
      </c>
      <c r="J36" s="36">
        <f t="shared" si="0"/>
        <v>1680.0000000000002</v>
      </c>
      <c r="K36" s="36">
        <f t="shared" si="1"/>
        <v>21340</v>
      </c>
      <c r="L36" s="36">
        <f>14400</f>
        <v>14400</v>
      </c>
      <c r="M36" s="36">
        <f t="shared" si="2"/>
        <v>6940</v>
      </c>
      <c r="N36" s="36"/>
      <c r="O36" s="30" t="s">
        <v>125</v>
      </c>
      <c r="P36" s="30"/>
      <c r="Q36" s="30"/>
      <c r="R36" s="30"/>
      <c r="S36" s="30"/>
    </row>
    <row r="37" spans="1:19" ht="15.75" x14ac:dyDescent="0.25">
      <c r="A37" s="36" t="s">
        <v>82</v>
      </c>
      <c r="B37" s="36" t="s">
        <v>115</v>
      </c>
      <c r="C37" s="36">
        <v>1200</v>
      </c>
      <c r="D37" s="36"/>
      <c r="E37" s="36"/>
      <c r="F37" s="36"/>
      <c r="G37" s="36"/>
      <c r="H37" s="36">
        <v>12000</v>
      </c>
      <c r="I37" s="36">
        <v>600</v>
      </c>
      <c r="J37" s="36">
        <f t="shared" si="0"/>
        <v>1680.0000000000002</v>
      </c>
      <c r="K37" s="36">
        <f t="shared" si="1"/>
        <v>15480</v>
      </c>
      <c r="L37" s="36">
        <f>14280</f>
        <v>14280</v>
      </c>
      <c r="M37" s="36">
        <f t="shared" si="2"/>
        <v>1200</v>
      </c>
      <c r="N37" s="36"/>
      <c r="O37" s="30" t="s">
        <v>131</v>
      </c>
      <c r="P37" s="30"/>
      <c r="Q37" s="30"/>
      <c r="R37" s="30"/>
      <c r="S37" s="30"/>
    </row>
    <row r="38" spans="1:19" ht="15.75" x14ac:dyDescent="0.25">
      <c r="A38" s="36" t="s">
        <v>83</v>
      </c>
      <c r="B38" s="36" t="s">
        <v>115</v>
      </c>
      <c r="C38" s="36">
        <v>1200</v>
      </c>
      <c r="D38" s="36"/>
      <c r="E38" s="36"/>
      <c r="F38" s="36"/>
      <c r="G38" s="36"/>
      <c r="H38" s="36">
        <v>12000</v>
      </c>
      <c r="I38" s="36">
        <v>600</v>
      </c>
      <c r="J38" s="36">
        <f t="shared" si="0"/>
        <v>1680.0000000000002</v>
      </c>
      <c r="K38" s="36">
        <f t="shared" si="1"/>
        <v>15480</v>
      </c>
      <c r="L38" s="36">
        <f>14280</f>
        <v>14280</v>
      </c>
      <c r="M38" s="36">
        <f t="shared" si="2"/>
        <v>1200</v>
      </c>
      <c r="N38" s="36"/>
      <c r="O38" s="30" t="s">
        <v>131</v>
      </c>
      <c r="P38" s="30"/>
      <c r="Q38" s="30"/>
      <c r="R38" s="30"/>
      <c r="S38" s="30"/>
    </row>
    <row r="39" spans="1:19" ht="15.75" x14ac:dyDescent="0.25">
      <c r="A39" s="36" t="s">
        <v>84</v>
      </c>
      <c r="B39" s="36" t="s">
        <v>121</v>
      </c>
      <c r="C39" s="36">
        <v>29060</v>
      </c>
      <c r="D39" s="36"/>
      <c r="E39" s="36"/>
      <c r="F39" s="36"/>
      <c r="G39" s="36"/>
      <c r="H39" s="36">
        <v>12000</v>
      </c>
      <c r="I39" s="36">
        <v>600</v>
      </c>
      <c r="J39" s="36">
        <f t="shared" si="0"/>
        <v>1680.0000000000002</v>
      </c>
      <c r="K39" s="36">
        <f t="shared" si="1"/>
        <v>43340</v>
      </c>
      <c r="L39" s="36">
        <v>14280</v>
      </c>
      <c r="M39" s="36">
        <f t="shared" si="2"/>
        <v>29060</v>
      </c>
      <c r="N39" s="36"/>
      <c r="O39" s="30" t="s">
        <v>124</v>
      </c>
      <c r="P39" s="30"/>
      <c r="Q39" s="30"/>
      <c r="R39" s="30"/>
      <c r="S39" s="30"/>
    </row>
    <row r="40" spans="1:19" ht="15.75" x14ac:dyDescent="0.25">
      <c r="A40" s="36" t="s">
        <v>85</v>
      </c>
      <c r="B40" s="56" t="s">
        <v>122</v>
      </c>
      <c r="C40" s="36"/>
      <c r="D40" s="36">
        <v>3000</v>
      </c>
      <c r="E40" s="36">
        <v>24000</v>
      </c>
      <c r="F40" s="36">
        <v>3000</v>
      </c>
      <c r="G40" s="36">
        <v>5000</v>
      </c>
      <c r="H40" s="36">
        <v>12000</v>
      </c>
      <c r="I40" s="36">
        <v>600</v>
      </c>
      <c r="J40" s="36">
        <f t="shared" si="0"/>
        <v>1680.0000000000002</v>
      </c>
      <c r="K40" s="36">
        <f t="shared" si="1"/>
        <v>49280</v>
      </c>
      <c r="L40" s="36">
        <f>20000+24000+5280</f>
        <v>49280</v>
      </c>
      <c r="M40" s="36">
        <f>K40-L40</f>
        <v>0</v>
      </c>
      <c r="N40" s="36"/>
      <c r="O40" s="30"/>
      <c r="P40" s="30"/>
      <c r="Q40" s="30"/>
      <c r="R40" s="30"/>
      <c r="S40" s="30"/>
    </row>
    <row r="41" spans="1:19" ht="15.75" x14ac:dyDescent="0.25">
      <c r="A41" s="36" t="s">
        <v>86</v>
      </c>
      <c r="B41" s="55" t="s">
        <v>98</v>
      </c>
      <c r="C41" s="36"/>
      <c r="D41" s="36"/>
      <c r="E41" s="36"/>
      <c r="F41" s="36"/>
      <c r="G41" s="36"/>
      <c r="H41" s="36"/>
      <c r="I41" s="36"/>
      <c r="J41" s="36">
        <f t="shared" si="0"/>
        <v>0</v>
      </c>
      <c r="K41" s="36">
        <f t="shared" si="1"/>
        <v>0</v>
      </c>
      <c r="L41" s="36"/>
      <c r="M41" s="36">
        <f t="shared" si="2"/>
        <v>0</v>
      </c>
      <c r="N41" s="36"/>
      <c r="O41" s="30"/>
      <c r="P41" s="30"/>
      <c r="Q41" s="30"/>
      <c r="R41" s="30"/>
      <c r="S41" s="30"/>
    </row>
    <row r="42" spans="1:19" ht="15.75" x14ac:dyDescent="0.25">
      <c r="A42" s="36" t="s">
        <v>87</v>
      </c>
      <c r="B42" s="55" t="s">
        <v>98</v>
      </c>
      <c r="C42" s="36"/>
      <c r="D42" s="36"/>
      <c r="E42" s="36"/>
      <c r="F42" s="36"/>
      <c r="G42" s="36"/>
      <c r="H42" s="36"/>
      <c r="I42" s="36"/>
      <c r="J42" s="36">
        <f t="shared" si="0"/>
        <v>0</v>
      </c>
      <c r="K42" s="36">
        <f t="shared" si="1"/>
        <v>0</v>
      </c>
      <c r="L42" s="36"/>
      <c r="M42" s="36">
        <f t="shared" si="2"/>
        <v>0</v>
      </c>
      <c r="N42" s="36"/>
      <c r="O42" s="30"/>
      <c r="P42" s="30"/>
      <c r="Q42" s="30"/>
      <c r="R42" s="30"/>
      <c r="S42" s="30"/>
    </row>
    <row r="43" spans="1:19" ht="15.75" x14ac:dyDescent="0.25">
      <c r="A43" s="36" t="s">
        <v>88</v>
      </c>
      <c r="B43" s="55" t="s">
        <v>98</v>
      </c>
      <c r="C43" s="36"/>
      <c r="D43" s="36"/>
      <c r="E43" s="36"/>
      <c r="F43" s="36"/>
      <c r="G43" s="36"/>
      <c r="H43" s="36"/>
      <c r="I43" s="36"/>
      <c r="J43" s="36">
        <f t="shared" si="0"/>
        <v>0</v>
      </c>
      <c r="K43" s="36">
        <f t="shared" si="1"/>
        <v>0</v>
      </c>
      <c r="L43" s="36"/>
      <c r="M43" s="36">
        <f t="shared" si="2"/>
        <v>0</v>
      </c>
      <c r="N43" s="36"/>
      <c r="O43" s="30"/>
      <c r="P43" s="30"/>
      <c r="Q43" s="30"/>
      <c r="R43" s="30"/>
      <c r="S43" s="30"/>
    </row>
    <row r="44" spans="1:19" ht="15.75" x14ac:dyDescent="0.25">
      <c r="A44" s="36" t="s">
        <v>89</v>
      </c>
      <c r="B44" s="36" t="s">
        <v>116</v>
      </c>
      <c r="C44" s="36">
        <v>3160</v>
      </c>
      <c r="D44" s="36"/>
      <c r="E44" s="36"/>
      <c r="F44" s="36"/>
      <c r="G44" s="36"/>
      <c r="H44" s="36">
        <v>12000</v>
      </c>
      <c r="I44" s="36">
        <v>600</v>
      </c>
      <c r="J44" s="36">
        <f t="shared" si="0"/>
        <v>1680.0000000000002</v>
      </c>
      <c r="K44" s="36">
        <f t="shared" si="1"/>
        <v>17440</v>
      </c>
      <c r="L44" s="36"/>
      <c r="M44" s="36">
        <f t="shared" si="2"/>
        <v>17440</v>
      </c>
      <c r="N44" s="36"/>
      <c r="O44" s="30"/>
      <c r="P44" s="30"/>
      <c r="Q44" s="30"/>
      <c r="R44" s="30"/>
      <c r="S44" s="30"/>
    </row>
    <row r="45" spans="1:19" ht="15.75" x14ac:dyDescent="0.25">
      <c r="A45" s="36" t="s">
        <v>90</v>
      </c>
      <c r="B45" s="55" t="s">
        <v>98</v>
      </c>
      <c r="C45" s="36"/>
      <c r="D45" s="36"/>
      <c r="E45" s="36"/>
      <c r="F45" s="36"/>
      <c r="G45" s="36"/>
      <c r="H45" s="36"/>
      <c r="I45" s="36"/>
      <c r="J45" s="36">
        <f t="shared" si="0"/>
        <v>0</v>
      </c>
      <c r="K45" s="36">
        <f t="shared" si="1"/>
        <v>0</v>
      </c>
      <c r="L45" s="36"/>
      <c r="M45" s="36">
        <f t="shared" si="2"/>
        <v>0</v>
      </c>
      <c r="N45" s="36"/>
      <c r="O45" s="30"/>
      <c r="P45" s="30"/>
      <c r="Q45" s="30"/>
      <c r="R45" s="30"/>
      <c r="S45" s="30"/>
    </row>
    <row r="46" spans="1:19" ht="15.75" x14ac:dyDescent="0.25">
      <c r="A46" s="36" t="s">
        <v>91</v>
      </c>
      <c r="B46" s="61" t="s">
        <v>98</v>
      </c>
      <c r="C46" s="36"/>
      <c r="D46" s="36"/>
      <c r="E46" s="36"/>
      <c r="F46" s="36"/>
      <c r="G46" s="36"/>
      <c r="H46" s="36"/>
      <c r="I46" s="36"/>
      <c r="J46" s="36">
        <f t="shared" si="0"/>
        <v>0</v>
      </c>
      <c r="K46" s="36">
        <f t="shared" si="1"/>
        <v>0</v>
      </c>
      <c r="L46" s="36"/>
      <c r="M46" s="36">
        <f t="shared" si="2"/>
        <v>0</v>
      </c>
      <c r="N46" s="36"/>
      <c r="O46" s="30"/>
      <c r="P46" s="30"/>
      <c r="Q46" s="30"/>
      <c r="R46" s="30"/>
      <c r="S46" s="30"/>
    </row>
    <row r="47" spans="1:19" ht="15.75" x14ac:dyDescent="0.25">
      <c r="A47" s="36" t="s">
        <v>37</v>
      </c>
      <c r="B47" s="55" t="s">
        <v>98</v>
      </c>
      <c r="C47" s="36"/>
      <c r="D47" s="36"/>
      <c r="E47" s="36"/>
      <c r="F47" s="36"/>
      <c r="G47" s="36"/>
      <c r="H47" s="36"/>
      <c r="I47" s="36"/>
      <c r="J47" s="36">
        <f t="shared" si="0"/>
        <v>0</v>
      </c>
      <c r="K47" s="36">
        <f t="shared" si="1"/>
        <v>0</v>
      </c>
      <c r="L47" s="36"/>
      <c r="M47" s="36">
        <f t="shared" si="2"/>
        <v>0</v>
      </c>
      <c r="N47" s="36"/>
      <c r="O47" s="30"/>
      <c r="P47" s="30"/>
      <c r="Q47" s="30"/>
      <c r="R47" s="30"/>
      <c r="S47" s="30"/>
    </row>
    <row r="48" spans="1:19" ht="15.75" x14ac:dyDescent="0.25">
      <c r="A48" s="36" t="s">
        <v>38</v>
      </c>
      <c r="B48" s="55" t="s">
        <v>98</v>
      </c>
      <c r="C48" s="36"/>
      <c r="D48" s="36"/>
      <c r="E48" s="36"/>
      <c r="F48" s="36"/>
      <c r="G48" s="36"/>
      <c r="H48" s="36"/>
      <c r="I48" s="36"/>
      <c r="J48" s="36">
        <f t="shared" si="0"/>
        <v>0</v>
      </c>
      <c r="K48" s="36">
        <f t="shared" si="1"/>
        <v>0</v>
      </c>
      <c r="L48" s="36"/>
      <c r="M48" s="36">
        <f t="shared" si="2"/>
        <v>0</v>
      </c>
      <c r="N48" s="36"/>
      <c r="O48" s="30"/>
      <c r="P48" s="30"/>
      <c r="Q48" s="30"/>
      <c r="R48" s="30"/>
      <c r="S48" s="30"/>
    </row>
    <row r="49" spans="1:19" ht="15.75" x14ac:dyDescent="0.25">
      <c r="A49" s="36" t="s">
        <v>39</v>
      </c>
      <c r="B49" s="55" t="s">
        <v>98</v>
      </c>
      <c r="C49" s="36"/>
      <c r="D49" s="36"/>
      <c r="E49" s="36"/>
      <c r="F49" s="36"/>
      <c r="G49" s="36"/>
      <c r="H49" s="36"/>
      <c r="I49" s="36"/>
      <c r="J49" s="36">
        <f t="shared" si="0"/>
        <v>0</v>
      </c>
      <c r="K49" s="36">
        <f t="shared" si="1"/>
        <v>0</v>
      </c>
      <c r="L49" s="36"/>
      <c r="M49" s="36">
        <f t="shared" si="2"/>
        <v>0</v>
      </c>
      <c r="N49" s="36"/>
      <c r="O49" s="30"/>
      <c r="P49" s="30"/>
      <c r="Q49" s="30"/>
      <c r="R49" s="30"/>
      <c r="S49" s="30"/>
    </row>
    <row r="50" spans="1:19" ht="15.75" x14ac:dyDescent="0.25">
      <c r="A50" s="36" t="s">
        <v>40</v>
      </c>
      <c r="B50" s="55" t="s">
        <v>98</v>
      </c>
      <c r="C50" s="36"/>
      <c r="D50" s="36"/>
      <c r="E50" s="36"/>
      <c r="F50" s="36"/>
      <c r="G50" s="36"/>
      <c r="H50" s="36"/>
      <c r="I50" s="36"/>
      <c r="J50" s="36">
        <f t="shared" si="0"/>
        <v>0</v>
      </c>
      <c r="K50" s="36">
        <f t="shared" si="1"/>
        <v>0</v>
      </c>
      <c r="L50" s="36"/>
      <c r="M50" s="36">
        <f t="shared" si="2"/>
        <v>0</v>
      </c>
      <c r="N50" s="36"/>
      <c r="O50" s="30"/>
      <c r="P50" s="30"/>
      <c r="Q50" s="30"/>
      <c r="R50" s="30"/>
      <c r="S50" s="30"/>
    </row>
    <row r="51" spans="1:19" ht="15.75" x14ac:dyDescent="0.25">
      <c r="A51" s="36" t="s">
        <v>41</v>
      </c>
      <c r="B51" s="55" t="s">
        <v>98</v>
      </c>
      <c r="C51" s="36"/>
      <c r="D51" s="36"/>
      <c r="E51" s="36"/>
      <c r="F51" s="36"/>
      <c r="G51" s="36"/>
      <c r="H51" s="36"/>
      <c r="I51" s="36"/>
      <c r="J51" s="36">
        <f t="shared" si="0"/>
        <v>0</v>
      </c>
      <c r="K51" s="36">
        <f t="shared" si="1"/>
        <v>0</v>
      </c>
      <c r="L51" s="36"/>
      <c r="M51" s="36">
        <f t="shared" si="2"/>
        <v>0</v>
      </c>
      <c r="N51" s="36"/>
      <c r="O51" s="30"/>
      <c r="P51" s="30"/>
      <c r="Q51" s="30"/>
      <c r="R51" s="30"/>
      <c r="S51" s="30"/>
    </row>
    <row r="52" spans="1:19" ht="15.75" x14ac:dyDescent="0.25">
      <c r="A52" s="36" t="s">
        <v>42</v>
      </c>
      <c r="B52" s="61" t="s">
        <v>98</v>
      </c>
      <c r="C52" s="36"/>
      <c r="D52" s="36"/>
      <c r="E52" s="36"/>
      <c r="F52" s="36"/>
      <c r="G52" s="36"/>
      <c r="H52" s="36"/>
      <c r="I52" s="36"/>
      <c r="J52" s="36">
        <f t="shared" si="0"/>
        <v>0</v>
      </c>
      <c r="K52" s="36">
        <f t="shared" si="1"/>
        <v>0</v>
      </c>
      <c r="L52" s="36"/>
      <c r="M52" s="36">
        <f t="shared" si="2"/>
        <v>0</v>
      </c>
      <c r="N52" s="36"/>
      <c r="O52" s="30"/>
      <c r="P52" s="30"/>
      <c r="Q52" s="30"/>
      <c r="R52" s="30"/>
      <c r="S52" s="30"/>
    </row>
    <row r="53" spans="1:19" ht="15.75" x14ac:dyDescent="0.25">
      <c r="A53" s="36" t="s">
        <v>43</v>
      </c>
      <c r="B53" s="55" t="s">
        <v>98</v>
      </c>
      <c r="C53" s="36"/>
      <c r="D53" s="36"/>
      <c r="E53" s="36"/>
      <c r="F53" s="36"/>
      <c r="G53" s="36"/>
      <c r="H53" s="36"/>
      <c r="I53" s="36"/>
      <c r="J53" s="36">
        <f t="shared" si="0"/>
        <v>0</v>
      </c>
      <c r="K53" s="36">
        <f t="shared" si="1"/>
        <v>0</v>
      </c>
      <c r="L53" s="36"/>
      <c r="M53" s="36">
        <f t="shared" si="2"/>
        <v>0</v>
      </c>
      <c r="N53" s="36"/>
      <c r="O53" s="30"/>
      <c r="P53" s="30"/>
      <c r="Q53" s="30"/>
      <c r="R53" s="30"/>
      <c r="S53" s="30"/>
    </row>
    <row r="54" spans="1:19" ht="15.75" x14ac:dyDescent="0.25">
      <c r="A54" s="36" t="s">
        <v>44</v>
      </c>
      <c r="B54" s="55" t="s">
        <v>98</v>
      </c>
      <c r="C54" s="36"/>
      <c r="D54" s="36"/>
      <c r="E54" s="36"/>
      <c r="F54" s="36"/>
      <c r="G54" s="36"/>
      <c r="H54" s="36"/>
      <c r="I54" s="36"/>
      <c r="J54" s="36">
        <f t="shared" si="0"/>
        <v>0</v>
      </c>
      <c r="K54" s="36">
        <f t="shared" si="1"/>
        <v>0</v>
      </c>
      <c r="L54" s="36"/>
      <c r="M54" s="36">
        <f t="shared" si="2"/>
        <v>0</v>
      </c>
      <c r="N54" s="36"/>
      <c r="O54" s="30"/>
      <c r="P54" s="30"/>
      <c r="Q54" s="30"/>
      <c r="R54" s="30"/>
      <c r="S54" s="30"/>
    </row>
    <row r="55" spans="1:19" ht="15.75" x14ac:dyDescent="0.25">
      <c r="A55" s="36" t="s">
        <v>92</v>
      </c>
      <c r="B55" s="56" t="s">
        <v>117</v>
      </c>
      <c r="C55" s="56">
        <v>720</v>
      </c>
      <c r="D55" s="36"/>
      <c r="E55" s="36"/>
      <c r="F55" s="36"/>
      <c r="G55" s="36"/>
      <c r="H55" s="36">
        <v>12000</v>
      </c>
      <c r="I55" s="36">
        <v>600</v>
      </c>
      <c r="J55" s="36">
        <f t="shared" si="0"/>
        <v>1680.0000000000002</v>
      </c>
      <c r="K55" s="36">
        <f t="shared" si="1"/>
        <v>15000</v>
      </c>
      <c r="L55" s="56">
        <v>14280</v>
      </c>
      <c r="M55" s="36">
        <f t="shared" si="2"/>
        <v>720</v>
      </c>
      <c r="N55" s="36"/>
      <c r="O55" s="30" t="s">
        <v>132</v>
      </c>
      <c r="P55" s="30"/>
      <c r="Q55" s="30"/>
      <c r="R55" s="30"/>
      <c r="S55" s="30"/>
    </row>
    <row r="56" spans="1:19" ht="15.75" x14ac:dyDescent="0.25">
      <c r="A56" s="36" t="s">
        <v>93</v>
      </c>
      <c r="B56" s="56" t="s">
        <v>118</v>
      </c>
      <c r="C56" s="36">
        <v>18720</v>
      </c>
      <c r="D56" s="36"/>
      <c r="E56" s="36"/>
      <c r="F56" s="36"/>
      <c r="G56" s="36"/>
      <c r="H56" s="36">
        <v>10000</v>
      </c>
      <c r="I56" s="36">
        <v>600</v>
      </c>
      <c r="J56" s="36">
        <f t="shared" si="0"/>
        <v>1400.0000000000002</v>
      </c>
      <c r="K56" s="36">
        <f t="shared" si="1"/>
        <v>30720</v>
      </c>
      <c r="L56" s="56">
        <f>12000+12600</f>
        <v>24600</v>
      </c>
      <c r="M56" s="36">
        <f t="shared" si="2"/>
        <v>6120</v>
      </c>
      <c r="N56" s="36">
        <v>12600</v>
      </c>
      <c r="O56" s="30" t="s">
        <v>127</v>
      </c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3">
        <f t="shared" ref="C57:L57" si="3">SUM(C5:C56)</f>
        <v>274306</v>
      </c>
      <c r="D57" s="33">
        <f t="shared" si="3"/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452000</v>
      </c>
      <c r="I57" s="33">
        <f t="shared" si="3"/>
        <v>16200</v>
      </c>
      <c r="J57" s="33">
        <f t="shared" si="3"/>
        <v>66680</v>
      </c>
      <c r="K57" s="33">
        <f t="shared" si="3"/>
        <v>844186</v>
      </c>
      <c r="L57" s="33">
        <f t="shared" si="3"/>
        <v>570760</v>
      </c>
      <c r="M57" s="33">
        <f>SUM(M5:M56)</f>
        <v>273426</v>
      </c>
      <c r="N57" s="33">
        <f>SUM(N5:N56)</f>
        <v>14560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57"/>
      <c r="D58" s="57"/>
      <c r="E58" s="57"/>
      <c r="F58" s="39" t="s">
        <v>10</v>
      </c>
      <c r="G58" s="39"/>
      <c r="H58" s="58"/>
      <c r="I58" s="58"/>
      <c r="J58" s="58"/>
      <c r="K58" s="59"/>
      <c r="L58" s="60">
        <f>H44+I44+J44+M31+320</f>
        <v>14600</v>
      </c>
      <c r="M58" s="59"/>
      <c r="N58" s="59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134</v>
      </c>
      <c r="C61" s="44">
        <f>H57</f>
        <v>452000</v>
      </c>
      <c r="D61" s="44"/>
      <c r="E61" s="36"/>
      <c r="F61" s="36"/>
      <c r="G61" s="36" t="s">
        <v>134</v>
      </c>
      <c r="H61" s="44">
        <f>L57</f>
        <v>570760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66680</v>
      </c>
      <c r="D63" s="44"/>
      <c r="E63" s="36"/>
      <c r="F63" s="36"/>
      <c r="G63" s="36"/>
      <c r="H63" s="44"/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14560</v>
      </c>
      <c r="D68" s="36"/>
      <c r="E68" s="36"/>
      <c r="F68" s="36"/>
      <c r="G68" s="46" t="s">
        <v>60</v>
      </c>
      <c r="H68" s="36">
        <v>22600</v>
      </c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60</v>
      </c>
      <c r="C69" s="36">
        <v>22600</v>
      </c>
      <c r="D69" s="36"/>
      <c r="E69" s="36"/>
      <c r="F69" s="36"/>
      <c r="G69" s="46"/>
      <c r="H69" s="36"/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36" t="s">
        <v>17</v>
      </c>
      <c r="C70" s="47">
        <v>0.05</v>
      </c>
      <c r="D70" s="47"/>
      <c r="E70" s="44">
        <f>C70*C61</f>
        <v>22600</v>
      </c>
      <c r="F70" s="36"/>
      <c r="G70" s="36" t="s">
        <v>17</v>
      </c>
      <c r="H70" s="47">
        <v>0.05</v>
      </c>
      <c r="I70" s="47"/>
      <c r="J70" s="47"/>
      <c r="K70" s="44">
        <f>H70*C61</f>
        <v>22600</v>
      </c>
      <c r="L70" s="44"/>
      <c r="M70" s="45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4" t="s">
        <v>18</v>
      </c>
      <c r="C71" s="33" t="s">
        <v>19</v>
      </c>
      <c r="D71" s="33"/>
      <c r="E71" s="33"/>
      <c r="F71" s="33"/>
      <c r="G71" s="34" t="s">
        <v>18</v>
      </c>
      <c r="H71" s="48"/>
      <c r="I71" s="48"/>
      <c r="J71" s="48"/>
      <c r="K71" s="33"/>
      <c r="L71" s="33"/>
      <c r="M71" s="30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49"/>
      <c r="C72" s="47"/>
      <c r="D72" s="47"/>
      <c r="E72" s="36"/>
      <c r="F72" s="36"/>
      <c r="G72" s="49"/>
      <c r="H72" s="47"/>
      <c r="I72" s="47"/>
      <c r="J72" s="36"/>
      <c r="K72" s="36"/>
      <c r="L72" s="36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50" t="s">
        <v>136</v>
      </c>
      <c r="C73" s="36"/>
      <c r="D73" s="36"/>
      <c r="E73" s="36">
        <f>550280+20480</f>
        <v>570760</v>
      </c>
      <c r="F73" s="49"/>
      <c r="G73" s="50" t="s">
        <v>136</v>
      </c>
      <c r="H73" s="36"/>
      <c r="I73" s="36"/>
      <c r="J73" s="36"/>
      <c r="K73" s="36">
        <f>550280+20480</f>
        <v>570760</v>
      </c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36"/>
      <c r="C74" s="47"/>
      <c r="D74" s="47"/>
      <c r="E74" s="36"/>
      <c r="F74" s="36"/>
      <c r="G74" s="36"/>
      <c r="H74" s="47"/>
      <c r="I74" s="47"/>
      <c r="J74" s="47"/>
      <c r="K74" s="36"/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51" t="s">
        <v>20</v>
      </c>
      <c r="C75" s="48">
        <f>C61+C62+C63+C64+C65+C66+C67+C68+C69</f>
        <v>607040</v>
      </c>
      <c r="D75" s="48"/>
      <c r="E75" s="52">
        <f>SUM(E70:E74)</f>
        <v>593360</v>
      </c>
      <c r="F75" s="48">
        <f>C75-E75</f>
        <v>13680</v>
      </c>
      <c r="G75" s="51" t="s">
        <v>20</v>
      </c>
      <c r="H75" s="48">
        <f>H61+H63+H68</f>
        <v>593360</v>
      </c>
      <c r="I75" s="48"/>
      <c r="J75" s="48"/>
      <c r="K75" s="48">
        <f>SUM(K70:K74)</f>
        <v>593360</v>
      </c>
      <c r="L75" s="48">
        <f>H75-K75</f>
        <v>0</v>
      </c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30" t="s">
        <v>21</v>
      </c>
      <c r="C76" s="30"/>
      <c r="D76" s="30"/>
      <c r="E76" s="30"/>
      <c r="F76" s="30" t="s">
        <v>22</v>
      </c>
      <c r="G76" s="30"/>
      <c r="H76" s="30"/>
      <c r="I76" s="30"/>
      <c r="J76" s="30"/>
      <c r="K76" s="45">
        <f>K75-K70</f>
        <v>570760</v>
      </c>
      <c r="L76" s="30" t="s">
        <v>23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24</v>
      </c>
      <c r="C77" s="30"/>
      <c r="D77" s="30"/>
      <c r="E77" s="30"/>
      <c r="F77" s="30" t="s">
        <v>25</v>
      </c>
      <c r="G77" s="30"/>
      <c r="H77" s="30"/>
      <c r="I77" s="30"/>
      <c r="J77" s="30"/>
      <c r="K77" s="45"/>
      <c r="L77" s="30" t="s">
        <v>49</v>
      </c>
      <c r="M77" s="30"/>
      <c r="N77" s="30"/>
      <c r="O77" s="30"/>
      <c r="P77" s="30"/>
      <c r="Q77" s="30"/>
      <c r="R77" s="30"/>
      <c r="S77" s="30"/>
    </row>
    <row r="78" spans="1:19" ht="18.75" x14ac:dyDescent="0.3">
      <c r="A78" s="53"/>
      <c r="B78" s="53"/>
      <c r="C78" s="53"/>
      <c r="D78" s="54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 spans="1:19" ht="18.75" x14ac:dyDescent="0.3">
      <c r="A79" s="53"/>
      <c r="B79" s="53"/>
      <c r="C79" s="53"/>
      <c r="D79" s="53"/>
      <c r="E79" s="53"/>
      <c r="F79" s="53"/>
      <c r="G79" s="53"/>
      <c r="H79" s="65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x14ac:dyDescent="0.25">
      <c r="J80" s="29">
        <f>H61-5280</f>
        <v>565480</v>
      </c>
    </row>
  </sheetData>
  <pageMargins left="0" right="0" top="0" bottom="0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5" workbookViewId="0">
      <selection activeCell="M56" sqref="M56"/>
    </sheetView>
  </sheetViews>
  <sheetFormatPr defaultRowHeight="15" x14ac:dyDescent="0.25"/>
  <cols>
    <col min="1" max="1" width="9.28515625" bestFit="1" customWidth="1"/>
    <col min="2" max="2" width="24.42578125" customWidth="1"/>
    <col min="4" max="4" width="10.7109375" customWidth="1"/>
    <col min="6" max="6" width="12.42578125" customWidth="1"/>
    <col min="9" max="9" width="12.42578125" customWidth="1"/>
  </cols>
  <sheetData>
    <row r="1" spans="1:19" ht="15.75" x14ac:dyDescent="0.25">
      <c r="A1" s="30"/>
      <c r="B1" s="30"/>
      <c r="C1" s="30"/>
      <c r="D1" s="30"/>
      <c r="E1" s="30"/>
      <c r="F1" s="30" t="s">
        <v>26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0" t="s">
        <v>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0" t="s">
        <v>140</v>
      </c>
      <c r="G3" s="30"/>
      <c r="H3" s="30"/>
      <c r="I3" s="30"/>
      <c r="J3" s="30"/>
      <c r="K3" s="62"/>
      <c r="L3" s="30"/>
      <c r="M3" s="30"/>
      <c r="N3" s="30"/>
      <c r="O3" s="30"/>
      <c r="P3" s="30"/>
      <c r="Q3" s="30"/>
      <c r="R3" s="30"/>
      <c r="S3" s="30"/>
    </row>
    <row r="4" spans="1:19" ht="15.75" x14ac:dyDescent="0.25">
      <c r="A4" s="36" t="s">
        <v>1</v>
      </c>
      <c r="B4" s="36" t="s">
        <v>2</v>
      </c>
      <c r="C4" s="36" t="s">
        <v>3</v>
      </c>
      <c r="D4" s="36" t="s">
        <v>52</v>
      </c>
      <c r="E4" s="36" t="s">
        <v>4</v>
      </c>
      <c r="F4" s="36" t="s">
        <v>46</v>
      </c>
      <c r="G4" s="36" t="s">
        <v>55</v>
      </c>
      <c r="H4" s="36" t="s">
        <v>5</v>
      </c>
      <c r="I4" s="36" t="s">
        <v>57</v>
      </c>
      <c r="J4" s="36" t="s">
        <v>119</v>
      </c>
      <c r="K4" s="36" t="s">
        <v>6</v>
      </c>
      <c r="L4" s="36" t="s">
        <v>7</v>
      </c>
      <c r="M4" s="36" t="s">
        <v>8</v>
      </c>
      <c r="N4" s="36" t="s">
        <v>130</v>
      </c>
      <c r="O4" s="30"/>
      <c r="P4" s="30"/>
      <c r="Q4" s="30"/>
      <c r="R4" s="30"/>
      <c r="S4" s="30"/>
    </row>
    <row r="5" spans="1:19" ht="15.75" x14ac:dyDescent="0.25">
      <c r="A5" s="36" t="s">
        <v>61</v>
      </c>
      <c r="B5" s="36" t="s">
        <v>96</v>
      </c>
      <c r="C5" s="55">
        <f>'SEPTEMBER 20'!M5:M56</f>
        <v>17093</v>
      </c>
      <c r="D5" s="36"/>
      <c r="E5" s="36"/>
      <c r="F5" s="36"/>
      <c r="G5" s="36"/>
      <c r="H5" s="36">
        <v>12000</v>
      </c>
      <c r="I5" s="36">
        <v>600</v>
      </c>
      <c r="J5" s="36">
        <f>14%*H5</f>
        <v>1680.0000000000002</v>
      </c>
      <c r="K5" s="36">
        <f>C5+D5+E5+F5+G5+H5+I5+J5</f>
        <v>31373</v>
      </c>
      <c r="L5" s="36">
        <f>14040</f>
        <v>14040</v>
      </c>
      <c r="M5" s="36">
        <f>K5-L5</f>
        <v>17333</v>
      </c>
      <c r="N5" s="36"/>
      <c r="O5" s="30"/>
      <c r="P5" s="30"/>
      <c r="Q5" s="30"/>
      <c r="R5" s="30"/>
      <c r="S5" s="30"/>
    </row>
    <row r="6" spans="1:19" ht="15.75" x14ac:dyDescent="0.25">
      <c r="A6" s="36" t="s">
        <v>95</v>
      </c>
      <c r="B6" s="36" t="s">
        <v>97</v>
      </c>
      <c r="C6" s="55">
        <f>'SEPTEMBER 20'!M6:M57</f>
        <v>60209</v>
      </c>
      <c r="D6" s="36"/>
      <c r="E6" s="36"/>
      <c r="F6" s="36"/>
      <c r="G6" s="36"/>
      <c r="H6" s="36">
        <v>12000</v>
      </c>
      <c r="I6" s="36">
        <v>600</v>
      </c>
      <c r="J6" s="36">
        <f t="shared" ref="J6:J56" si="0">14%*H6</f>
        <v>1680.0000000000002</v>
      </c>
      <c r="K6" s="36">
        <f t="shared" ref="K6:K56" si="1">C6+D6+E6+F6+G6+H6+I6+J6</f>
        <v>74489</v>
      </c>
      <c r="L6" s="36">
        <f>10000</f>
        <v>10000</v>
      </c>
      <c r="M6" s="36">
        <f t="shared" ref="M6:M56" si="2">K6-L6</f>
        <v>64489</v>
      </c>
      <c r="N6" s="36"/>
      <c r="O6" s="30"/>
      <c r="P6" s="30"/>
      <c r="Q6" s="30"/>
      <c r="R6" s="30"/>
      <c r="S6" s="30"/>
    </row>
    <row r="7" spans="1:19" ht="15.75" x14ac:dyDescent="0.25">
      <c r="A7" s="36" t="s">
        <v>62</v>
      </c>
      <c r="B7" s="55" t="s">
        <v>98</v>
      </c>
      <c r="C7" s="55">
        <f>'SEPTEMBER 20'!M7:M58</f>
        <v>0</v>
      </c>
      <c r="D7" s="36"/>
      <c r="E7" s="36"/>
      <c r="F7" s="36"/>
      <c r="G7" s="36"/>
      <c r="H7" s="36"/>
      <c r="I7" s="36"/>
      <c r="J7" s="36">
        <f t="shared" si="0"/>
        <v>0</v>
      </c>
      <c r="K7" s="36">
        <f t="shared" si="1"/>
        <v>0</v>
      </c>
      <c r="L7" s="36"/>
      <c r="M7" s="36">
        <f t="shared" si="2"/>
        <v>0</v>
      </c>
      <c r="N7" s="36"/>
      <c r="O7" s="30"/>
      <c r="P7" s="30">
        <f>14280-L6</f>
        <v>4280</v>
      </c>
      <c r="Q7" s="30"/>
      <c r="R7" s="30"/>
      <c r="S7" s="30"/>
    </row>
    <row r="8" spans="1:19" ht="15.75" x14ac:dyDescent="0.25">
      <c r="A8" s="36" t="s">
        <v>63</v>
      </c>
      <c r="B8" s="36" t="s">
        <v>99</v>
      </c>
      <c r="C8" s="55">
        <f>'SEPTEMBER 20'!M8:M59</f>
        <v>57840</v>
      </c>
      <c r="D8" s="36"/>
      <c r="E8" s="36"/>
      <c r="F8" s="36"/>
      <c r="G8" s="36"/>
      <c r="H8" s="36">
        <v>12000</v>
      </c>
      <c r="I8" s="36">
        <v>600</v>
      </c>
      <c r="J8" s="36">
        <f t="shared" si="0"/>
        <v>1680.0000000000002</v>
      </c>
      <c r="K8" s="36">
        <f t="shared" si="1"/>
        <v>72120</v>
      </c>
      <c r="L8" s="36"/>
      <c r="M8" s="36">
        <f t="shared" si="2"/>
        <v>72120</v>
      </c>
      <c r="N8" s="36"/>
      <c r="O8" s="31" t="s">
        <v>141</v>
      </c>
      <c r="P8" s="30"/>
      <c r="Q8" s="30"/>
      <c r="R8" s="30"/>
      <c r="S8" s="30"/>
    </row>
    <row r="9" spans="1:19" ht="15.75" x14ac:dyDescent="0.25">
      <c r="A9" s="36" t="s">
        <v>64</v>
      </c>
      <c r="B9" s="55" t="s">
        <v>98</v>
      </c>
      <c r="C9" s="55">
        <f>'SEPTEMBER 20'!M9:M60</f>
        <v>0</v>
      </c>
      <c r="D9" s="36"/>
      <c r="E9" s="36"/>
      <c r="F9" s="36"/>
      <c r="G9" s="36"/>
      <c r="H9" s="36"/>
      <c r="I9" s="36"/>
      <c r="J9" s="36">
        <f t="shared" si="0"/>
        <v>0</v>
      </c>
      <c r="K9" s="36">
        <f t="shared" si="1"/>
        <v>0</v>
      </c>
      <c r="L9" s="36"/>
      <c r="M9" s="36">
        <f t="shared" si="2"/>
        <v>0</v>
      </c>
      <c r="N9" s="36"/>
      <c r="O9" s="30"/>
      <c r="P9" s="30"/>
      <c r="Q9" s="30"/>
      <c r="R9" s="30"/>
      <c r="S9" s="30"/>
    </row>
    <row r="10" spans="1:19" ht="15.75" x14ac:dyDescent="0.25">
      <c r="A10" s="36" t="s">
        <v>27</v>
      </c>
      <c r="B10" s="36" t="s">
        <v>100</v>
      </c>
      <c r="C10" s="55">
        <f>'SEPTEMBER 20'!M10:M61</f>
        <v>0</v>
      </c>
      <c r="D10" s="36"/>
      <c r="E10" s="36"/>
      <c r="F10" s="36"/>
      <c r="G10" s="36"/>
      <c r="H10" s="36">
        <v>12000</v>
      </c>
      <c r="I10" s="36">
        <v>600</v>
      </c>
      <c r="J10" s="36">
        <f t="shared" si="0"/>
        <v>1680.0000000000002</v>
      </c>
      <c r="K10" s="36">
        <f t="shared" si="1"/>
        <v>14280</v>
      </c>
      <c r="L10" s="36">
        <v>14280</v>
      </c>
      <c r="M10" s="36">
        <f t="shared" si="2"/>
        <v>0</v>
      </c>
      <c r="N10" s="36"/>
      <c r="O10" s="30"/>
      <c r="P10" s="30"/>
      <c r="Q10" s="30"/>
      <c r="R10" s="30"/>
      <c r="S10" s="30"/>
    </row>
    <row r="11" spans="1:19" ht="15.75" x14ac:dyDescent="0.25">
      <c r="A11" s="36" t="s">
        <v>65</v>
      </c>
      <c r="B11" s="36" t="s">
        <v>101</v>
      </c>
      <c r="C11" s="55">
        <f>'SEPTEMBER 20'!M11:M62</f>
        <v>500</v>
      </c>
      <c r="D11" s="36"/>
      <c r="E11" s="36"/>
      <c r="F11" s="36"/>
      <c r="G11" s="36"/>
      <c r="H11" s="36">
        <v>12000</v>
      </c>
      <c r="I11" s="36">
        <v>600</v>
      </c>
      <c r="J11" s="36">
        <f t="shared" si="0"/>
        <v>1680.0000000000002</v>
      </c>
      <c r="K11" s="36">
        <f t="shared" si="1"/>
        <v>14780</v>
      </c>
      <c r="L11" s="36">
        <f>15500</f>
        <v>15500</v>
      </c>
      <c r="M11" s="36">
        <f t="shared" si="2"/>
        <v>-720</v>
      </c>
      <c r="N11" s="36">
        <v>500</v>
      </c>
      <c r="O11" s="30"/>
      <c r="P11" s="30"/>
      <c r="Q11" s="30"/>
      <c r="R11" s="30"/>
      <c r="S11" s="30"/>
    </row>
    <row r="12" spans="1:19" ht="15.75" x14ac:dyDescent="0.25">
      <c r="A12" s="36" t="s">
        <v>66</v>
      </c>
      <c r="B12" s="36" t="s">
        <v>102</v>
      </c>
      <c r="C12" s="55">
        <f>'SEPTEMBER 20'!M12:M63</f>
        <v>14881</v>
      </c>
      <c r="D12" s="36"/>
      <c r="E12" s="36"/>
      <c r="F12" s="36"/>
      <c r="G12" s="36"/>
      <c r="H12" s="36">
        <v>8000</v>
      </c>
      <c r="I12" s="36">
        <v>600</v>
      </c>
      <c r="J12" s="36">
        <f t="shared" si="0"/>
        <v>1120</v>
      </c>
      <c r="K12" s="36">
        <f t="shared" si="1"/>
        <v>24601</v>
      </c>
      <c r="L12" s="36">
        <f>9720</f>
        <v>9720</v>
      </c>
      <c r="M12" s="36">
        <f t="shared" si="2"/>
        <v>14881</v>
      </c>
      <c r="N12" s="36"/>
      <c r="O12" s="30"/>
      <c r="P12" s="30"/>
      <c r="Q12" s="30"/>
      <c r="R12" s="30"/>
      <c r="S12" s="30"/>
    </row>
    <row r="13" spans="1:19" ht="15.75" x14ac:dyDescent="0.25">
      <c r="A13" s="36" t="s">
        <v>67</v>
      </c>
      <c r="B13" s="36" t="s">
        <v>103</v>
      </c>
      <c r="C13" s="55">
        <f>'SEPTEMBER 20'!M13:M64</f>
        <v>2880</v>
      </c>
      <c r="D13" s="36"/>
      <c r="E13" s="36"/>
      <c r="F13" s="36"/>
      <c r="G13" s="36"/>
      <c r="H13" s="36">
        <v>8000</v>
      </c>
      <c r="I13" s="36">
        <v>600</v>
      </c>
      <c r="J13" s="36">
        <f t="shared" si="0"/>
        <v>1120</v>
      </c>
      <c r="K13" s="36">
        <f t="shared" si="1"/>
        <v>12600</v>
      </c>
      <c r="L13" s="36">
        <f>10000</f>
        <v>10000</v>
      </c>
      <c r="M13" s="36">
        <f t="shared" si="2"/>
        <v>2600</v>
      </c>
      <c r="N13" s="36">
        <v>280</v>
      </c>
      <c r="O13" s="30"/>
      <c r="P13" s="30"/>
      <c r="Q13" s="30"/>
      <c r="R13" s="30"/>
      <c r="S13" s="30"/>
    </row>
    <row r="14" spans="1:19" ht="15.75" x14ac:dyDescent="0.25">
      <c r="A14" s="36" t="s">
        <v>28</v>
      </c>
      <c r="B14" s="36" t="s">
        <v>104</v>
      </c>
      <c r="C14" s="55">
        <f>'SEPTEMBER 20'!M14:M65</f>
        <v>-160</v>
      </c>
      <c r="D14" s="36"/>
      <c r="E14" s="36"/>
      <c r="F14" s="36"/>
      <c r="G14" s="36"/>
      <c r="H14" s="36">
        <v>8000</v>
      </c>
      <c r="I14" s="36">
        <v>600</v>
      </c>
      <c r="J14" s="36">
        <f t="shared" si="0"/>
        <v>1120</v>
      </c>
      <c r="K14" s="36">
        <f t="shared" si="1"/>
        <v>9560</v>
      </c>
      <c r="L14" s="36">
        <v>9900</v>
      </c>
      <c r="M14" s="36">
        <f t="shared" si="2"/>
        <v>-340</v>
      </c>
      <c r="N14" s="36"/>
      <c r="O14" s="30"/>
      <c r="P14" s="30"/>
      <c r="Q14" s="30"/>
      <c r="R14" s="30"/>
      <c r="S14" s="30"/>
    </row>
    <row r="15" spans="1:19" ht="15.75" x14ac:dyDescent="0.25">
      <c r="A15" s="36" t="s">
        <v>29</v>
      </c>
      <c r="B15" s="55" t="s">
        <v>98</v>
      </c>
      <c r="C15" s="55">
        <f>'SEPTEMBER 20'!M15:M66</f>
        <v>0</v>
      </c>
      <c r="D15" s="36"/>
      <c r="E15" s="36"/>
      <c r="F15" s="36"/>
      <c r="G15" s="36"/>
      <c r="H15" s="36"/>
      <c r="I15" s="36"/>
      <c r="J15" s="36">
        <f t="shared" si="0"/>
        <v>0</v>
      </c>
      <c r="K15" s="36">
        <f t="shared" si="1"/>
        <v>0</v>
      </c>
      <c r="L15" s="36"/>
      <c r="M15" s="36">
        <f t="shared" si="2"/>
        <v>0</v>
      </c>
      <c r="N15" s="36"/>
      <c r="O15" s="30"/>
      <c r="P15" s="30"/>
      <c r="Q15" s="30"/>
      <c r="R15" s="30"/>
      <c r="S15" s="30"/>
    </row>
    <row r="16" spans="1:19" ht="15.75" x14ac:dyDescent="0.25">
      <c r="A16" s="36" t="s">
        <v>68</v>
      </c>
      <c r="B16" s="36" t="s">
        <v>105</v>
      </c>
      <c r="C16" s="55">
        <f>'SEPTEMBER 20'!M16:M67</f>
        <v>2671</v>
      </c>
      <c r="D16" s="36"/>
      <c r="E16" s="36"/>
      <c r="F16" s="36"/>
      <c r="G16" s="36"/>
      <c r="H16" s="36">
        <v>8000</v>
      </c>
      <c r="I16" s="36">
        <v>600</v>
      </c>
      <c r="J16" s="36">
        <f t="shared" si="0"/>
        <v>1120</v>
      </c>
      <c r="K16" s="36">
        <f t="shared" si="1"/>
        <v>12391</v>
      </c>
      <c r="L16" s="36">
        <f>10000</f>
        <v>10000</v>
      </c>
      <c r="M16" s="36">
        <f t="shared" si="2"/>
        <v>2391</v>
      </c>
      <c r="N16" s="36"/>
      <c r="O16" s="30"/>
      <c r="P16" s="30"/>
      <c r="Q16" s="30"/>
      <c r="R16" s="30"/>
      <c r="S16" s="30"/>
    </row>
    <row r="17" spans="1:19" ht="15.75" x14ac:dyDescent="0.25">
      <c r="A17" s="36" t="s">
        <v>69</v>
      </c>
      <c r="B17" s="36" t="s">
        <v>106</v>
      </c>
      <c r="C17" s="55">
        <f>'SEPTEMBER 20'!M17:M68</f>
        <v>1680</v>
      </c>
      <c r="D17" s="36"/>
      <c r="E17" s="36"/>
      <c r="F17" s="36"/>
      <c r="G17" s="36"/>
      <c r="H17" s="36">
        <v>8000</v>
      </c>
      <c r="I17" s="36">
        <v>600</v>
      </c>
      <c r="J17" s="36">
        <f t="shared" si="0"/>
        <v>1120</v>
      </c>
      <c r="K17" s="36">
        <f t="shared" si="1"/>
        <v>11400</v>
      </c>
      <c r="L17" s="36">
        <v>9900</v>
      </c>
      <c r="M17" s="36">
        <f t="shared" si="2"/>
        <v>1500</v>
      </c>
      <c r="N17" s="36">
        <v>180</v>
      </c>
      <c r="O17" s="30" t="s">
        <v>162</v>
      </c>
      <c r="P17" s="30"/>
      <c r="Q17" s="30"/>
      <c r="R17" s="30"/>
      <c r="S17" s="30"/>
    </row>
    <row r="18" spans="1:19" ht="15.75" x14ac:dyDescent="0.25">
      <c r="A18" s="36" t="s">
        <v>70</v>
      </c>
      <c r="B18" s="36" t="s">
        <v>102</v>
      </c>
      <c r="C18" s="55">
        <f>'SEPTEMBER 20'!M18:M70</f>
        <v>12673</v>
      </c>
      <c r="D18" s="36"/>
      <c r="E18" s="36"/>
      <c r="F18" s="36"/>
      <c r="G18" s="36"/>
      <c r="H18" s="36">
        <v>8000</v>
      </c>
      <c r="I18" s="36">
        <v>600</v>
      </c>
      <c r="J18" s="36">
        <f t="shared" si="0"/>
        <v>1120</v>
      </c>
      <c r="K18" s="36">
        <f t="shared" si="1"/>
        <v>22393</v>
      </c>
      <c r="L18" s="36">
        <v>9720</v>
      </c>
      <c r="M18" s="36">
        <f t="shared" si="2"/>
        <v>12673</v>
      </c>
      <c r="N18" s="36"/>
      <c r="O18" s="30"/>
      <c r="P18" s="30"/>
      <c r="Q18" s="30"/>
      <c r="R18" s="30"/>
      <c r="S18" s="30"/>
    </row>
    <row r="19" spans="1:19" ht="15.75" x14ac:dyDescent="0.25">
      <c r="A19" s="36" t="s">
        <v>71</v>
      </c>
      <c r="B19" s="36" t="s">
        <v>107</v>
      </c>
      <c r="C19" s="55">
        <f>'SEPTEMBER 20'!M19:M71</f>
        <v>5480</v>
      </c>
      <c r="D19" s="36"/>
      <c r="E19" s="36"/>
      <c r="F19" s="36"/>
      <c r="G19" s="36"/>
      <c r="H19" s="36">
        <v>8000</v>
      </c>
      <c r="I19" s="36">
        <v>600</v>
      </c>
      <c r="J19" s="36">
        <f t="shared" si="0"/>
        <v>1120</v>
      </c>
      <c r="K19" s="36">
        <f t="shared" si="1"/>
        <v>15200</v>
      </c>
      <c r="L19" s="36">
        <f>10040</f>
        <v>10040</v>
      </c>
      <c r="M19" s="36"/>
      <c r="N19" s="36"/>
      <c r="O19" s="30"/>
      <c r="P19" s="30"/>
      <c r="Q19" s="30"/>
      <c r="R19" s="30"/>
      <c r="S19" s="30"/>
    </row>
    <row r="20" spans="1:19" ht="15.75" x14ac:dyDescent="0.25">
      <c r="A20" s="36" t="s">
        <v>30</v>
      </c>
      <c r="B20" s="55" t="s">
        <v>98</v>
      </c>
      <c r="C20" s="55">
        <f>'SEPTEMBER 20'!M20:M72</f>
        <v>0</v>
      </c>
      <c r="D20" s="36"/>
      <c r="E20" s="36"/>
      <c r="F20" s="36"/>
      <c r="G20" s="36"/>
      <c r="H20" s="36"/>
      <c r="I20" s="36"/>
      <c r="J20" s="36">
        <f t="shared" si="0"/>
        <v>0</v>
      </c>
      <c r="K20" s="36">
        <f t="shared" si="1"/>
        <v>0</v>
      </c>
      <c r="L20" s="36"/>
      <c r="M20" s="36">
        <f t="shared" si="2"/>
        <v>0</v>
      </c>
      <c r="N20" s="36"/>
      <c r="O20" s="30"/>
      <c r="P20" s="30"/>
      <c r="Q20" s="30"/>
      <c r="R20" s="30"/>
      <c r="S20" s="30"/>
    </row>
    <row r="21" spans="1:19" ht="15.75" x14ac:dyDescent="0.25">
      <c r="A21" s="36" t="s">
        <v>31</v>
      </c>
      <c r="B21" s="55" t="s">
        <v>98</v>
      </c>
      <c r="C21" s="55">
        <f>'SEPTEMBER 20'!M21:M73</f>
        <v>0</v>
      </c>
      <c r="D21" s="36"/>
      <c r="E21" s="36"/>
      <c r="F21" s="36"/>
      <c r="G21" s="36"/>
      <c r="H21" s="36"/>
      <c r="I21" s="36"/>
      <c r="J21" s="36">
        <f t="shared" si="0"/>
        <v>0</v>
      </c>
      <c r="K21" s="36">
        <f t="shared" si="1"/>
        <v>0</v>
      </c>
      <c r="L21" s="36"/>
      <c r="M21" s="36">
        <f t="shared" si="2"/>
        <v>0</v>
      </c>
      <c r="N21" s="36"/>
      <c r="O21" s="30"/>
      <c r="P21" s="30"/>
      <c r="Q21" s="30"/>
      <c r="R21" s="30"/>
      <c r="S21" s="30"/>
    </row>
    <row r="22" spans="1:19" ht="15.75" x14ac:dyDescent="0.25">
      <c r="A22" s="36" t="s">
        <v>32</v>
      </c>
      <c r="B22" s="55" t="s">
        <v>98</v>
      </c>
      <c r="C22" s="55">
        <f>'SEPTEMBER 20'!M22:M74</f>
        <v>0</v>
      </c>
      <c r="D22" s="36"/>
      <c r="E22" s="36"/>
      <c r="F22" s="36"/>
      <c r="G22" s="36"/>
      <c r="H22" s="36"/>
      <c r="I22" s="36"/>
      <c r="J22" s="36">
        <f t="shared" si="0"/>
        <v>0</v>
      </c>
      <c r="K22" s="36">
        <f t="shared" si="1"/>
        <v>0</v>
      </c>
      <c r="L22" s="36"/>
      <c r="M22" s="36">
        <f t="shared" si="2"/>
        <v>0</v>
      </c>
      <c r="N22" s="36"/>
      <c r="O22" s="30"/>
      <c r="P22" s="30"/>
      <c r="Q22" s="30"/>
      <c r="R22" s="30"/>
      <c r="S22" s="30"/>
    </row>
    <row r="23" spans="1:19" ht="15.75" x14ac:dyDescent="0.25">
      <c r="A23" s="36" t="s">
        <v>33</v>
      </c>
      <c r="B23" s="55" t="s">
        <v>98</v>
      </c>
      <c r="C23" s="55">
        <f>'SEPTEMBER 20'!M23:M75</f>
        <v>0</v>
      </c>
      <c r="D23" s="36"/>
      <c r="E23" s="36"/>
      <c r="F23" s="36"/>
      <c r="G23" s="36"/>
      <c r="H23" s="36"/>
      <c r="I23" s="36"/>
      <c r="J23" s="36">
        <f t="shared" si="0"/>
        <v>0</v>
      </c>
      <c r="K23" s="36">
        <f t="shared" si="1"/>
        <v>0</v>
      </c>
      <c r="L23" s="36"/>
      <c r="M23" s="36">
        <f t="shared" si="2"/>
        <v>0</v>
      </c>
      <c r="N23" s="36"/>
      <c r="O23" s="30"/>
      <c r="P23" s="30"/>
      <c r="Q23" s="30"/>
      <c r="R23" s="30"/>
      <c r="S23" s="30"/>
    </row>
    <row r="24" spans="1:19" ht="15.75" x14ac:dyDescent="0.25">
      <c r="A24" s="36" t="s">
        <v>34</v>
      </c>
      <c r="B24" s="55" t="s">
        <v>98</v>
      </c>
      <c r="C24" s="55">
        <f>'SEPTEMBER 20'!M24:M76</f>
        <v>0</v>
      </c>
      <c r="D24" s="36"/>
      <c r="E24" s="36"/>
      <c r="F24" s="36"/>
      <c r="G24" s="36"/>
      <c r="H24" s="36"/>
      <c r="I24" s="36"/>
      <c r="J24" s="36">
        <f t="shared" si="0"/>
        <v>0</v>
      </c>
      <c r="K24" s="36">
        <f t="shared" si="1"/>
        <v>0</v>
      </c>
      <c r="L24" s="36"/>
      <c r="M24" s="36">
        <f t="shared" si="2"/>
        <v>0</v>
      </c>
      <c r="N24" s="36"/>
      <c r="O24" s="30"/>
      <c r="P24" s="30"/>
      <c r="Q24" s="30"/>
      <c r="R24" s="30"/>
      <c r="S24" s="30"/>
    </row>
    <row r="25" spans="1:19" ht="15.75" x14ac:dyDescent="0.25">
      <c r="A25" s="36" t="s">
        <v>72</v>
      </c>
      <c r="B25" s="36" t="s">
        <v>107</v>
      </c>
      <c r="C25" s="55">
        <f>'SEPTEMBER 20'!M25:M77</f>
        <v>0</v>
      </c>
      <c r="D25" s="36"/>
      <c r="E25" s="36"/>
      <c r="F25" s="36"/>
      <c r="G25" s="36"/>
      <c r="H25" s="36">
        <v>8000</v>
      </c>
      <c r="I25" s="36">
        <v>600</v>
      </c>
      <c r="J25" s="36">
        <f t="shared" si="0"/>
        <v>1120</v>
      </c>
      <c r="K25" s="36">
        <f t="shared" si="1"/>
        <v>9720</v>
      </c>
      <c r="L25" s="36">
        <f>9720</f>
        <v>9720</v>
      </c>
      <c r="M25" s="36">
        <f t="shared" si="2"/>
        <v>0</v>
      </c>
      <c r="N25" s="36"/>
      <c r="O25" s="30"/>
      <c r="P25" s="30"/>
      <c r="Q25" s="30"/>
      <c r="R25" s="30"/>
      <c r="S25" s="30"/>
    </row>
    <row r="26" spans="1:19" ht="15.75" x14ac:dyDescent="0.25">
      <c r="A26" s="36" t="s">
        <v>73</v>
      </c>
      <c r="B26" s="36" t="s">
        <v>123</v>
      </c>
      <c r="C26" s="55">
        <f>'SEPTEMBER 20'!M26:M78</f>
        <v>3140</v>
      </c>
      <c r="D26" s="36"/>
      <c r="E26" s="36"/>
      <c r="F26" s="36"/>
      <c r="G26" s="36"/>
      <c r="H26" s="36">
        <v>8000</v>
      </c>
      <c r="I26" s="36">
        <v>600</v>
      </c>
      <c r="J26" s="36">
        <f t="shared" si="0"/>
        <v>1120</v>
      </c>
      <c r="K26" s="36">
        <f t="shared" si="1"/>
        <v>12860</v>
      </c>
      <c r="L26" s="36">
        <v>10000</v>
      </c>
      <c r="M26" s="36">
        <f t="shared" si="2"/>
        <v>2860</v>
      </c>
      <c r="N26" s="36">
        <v>160</v>
      </c>
      <c r="O26" s="30"/>
      <c r="P26" s="30"/>
      <c r="Q26" s="30"/>
      <c r="R26" s="30"/>
      <c r="S26" s="30"/>
    </row>
    <row r="27" spans="1:19" ht="15.75" x14ac:dyDescent="0.25">
      <c r="A27" s="36" t="s">
        <v>108</v>
      </c>
      <c r="B27" s="36" t="s">
        <v>110</v>
      </c>
      <c r="C27" s="55">
        <f>'SEPTEMBER 20'!M27:M79</f>
        <v>0</v>
      </c>
      <c r="D27" s="36"/>
      <c r="E27" s="36"/>
      <c r="F27" s="36"/>
      <c r="G27" s="36"/>
      <c r="H27" s="36">
        <v>100625</v>
      </c>
      <c r="I27" s="36"/>
      <c r="J27" s="36">
        <f>14%*H27</f>
        <v>14087.500000000002</v>
      </c>
      <c r="K27" s="36">
        <f>C27+D27+E27+F27+G27+H27+I27+J27</f>
        <v>114712.5</v>
      </c>
      <c r="L27" s="36">
        <v>114712.5</v>
      </c>
      <c r="M27" s="36">
        <f t="shared" si="2"/>
        <v>0</v>
      </c>
      <c r="N27" s="36"/>
      <c r="O27" s="30"/>
      <c r="P27" s="30"/>
      <c r="Q27" s="30"/>
      <c r="R27" s="30"/>
      <c r="S27" s="30"/>
    </row>
    <row r="28" spans="1:19" ht="15.75" x14ac:dyDescent="0.25">
      <c r="A28" s="36" t="s">
        <v>109</v>
      </c>
      <c r="B28" s="36" t="s">
        <v>110</v>
      </c>
      <c r="C28" s="55">
        <f>'SEPTEMBER 20'!M28:M80</f>
        <v>0</v>
      </c>
      <c r="D28" s="36"/>
      <c r="E28" s="36"/>
      <c r="F28" s="36"/>
      <c r="G28" s="36"/>
      <c r="H28" s="36">
        <v>71875</v>
      </c>
      <c r="I28" s="36"/>
      <c r="J28" s="36">
        <f>14%*H28</f>
        <v>10062.500000000002</v>
      </c>
      <c r="K28" s="36">
        <f>C28+D28+E28+F28+G28+H28+I28+J28</f>
        <v>81937.5</v>
      </c>
      <c r="L28" s="36">
        <v>81937.5</v>
      </c>
      <c r="M28" s="36">
        <f t="shared" si="2"/>
        <v>0</v>
      </c>
      <c r="N28" s="36"/>
      <c r="O28" s="30"/>
      <c r="P28" s="30"/>
      <c r="Q28" s="30"/>
      <c r="R28" s="30"/>
      <c r="S28" s="30"/>
    </row>
    <row r="29" spans="1:19" ht="15.75" x14ac:dyDescent="0.25">
      <c r="A29" s="36" t="s">
        <v>74</v>
      </c>
      <c r="B29" s="36" t="s">
        <v>102</v>
      </c>
      <c r="C29" s="55">
        <f>'SEPTEMBER 20'!M29:M81</f>
        <v>15720</v>
      </c>
      <c r="D29" s="36"/>
      <c r="E29" s="36"/>
      <c r="F29" s="36"/>
      <c r="G29" s="36"/>
      <c r="H29" s="36">
        <v>12000</v>
      </c>
      <c r="I29" s="36">
        <v>600</v>
      </c>
      <c r="J29" s="36">
        <f t="shared" si="0"/>
        <v>1680.0000000000002</v>
      </c>
      <c r="K29" s="36">
        <f t="shared" si="1"/>
        <v>30000</v>
      </c>
      <c r="L29" s="36">
        <v>14280</v>
      </c>
      <c r="M29" s="36">
        <f t="shared" si="2"/>
        <v>15720</v>
      </c>
      <c r="N29" s="36"/>
      <c r="O29" s="30"/>
      <c r="P29" s="30"/>
      <c r="Q29" s="30"/>
      <c r="R29" s="30"/>
      <c r="S29" s="30"/>
    </row>
    <row r="30" spans="1:19" ht="15.75" x14ac:dyDescent="0.25">
      <c r="A30" s="36" t="s">
        <v>75</v>
      </c>
      <c r="B30" s="36" t="s">
        <v>111</v>
      </c>
      <c r="C30" s="55">
        <f>'SEPTEMBER 20'!M30:M82</f>
        <v>3239</v>
      </c>
      <c r="D30" s="36"/>
      <c r="E30" s="36"/>
      <c r="F30" s="36"/>
      <c r="G30" s="36"/>
      <c r="H30" s="36">
        <v>8000</v>
      </c>
      <c r="I30" s="36">
        <v>600</v>
      </c>
      <c r="J30" s="36">
        <f t="shared" si="0"/>
        <v>1120</v>
      </c>
      <c r="K30" s="36">
        <f t="shared" si="1"/>
        <v>12959</v>
      </c>
      <c r="L30" s="36">
        <v>10000</v>
      </c>
      <c r="M30" s="36">
        <f t="shared" si="2"/>
        <v>2959</v>
      </c>
      <c r="N30" s="36">
        <v>280</v>
      </c>
      <c r="O30" s="30"/>
      <c r="P30" s="30"/>
      <c r="Q30" s="30"/>
      <c r="R30" s="30"/>
      <c r="S30" s="30"/>
    </row>
    <row r="31" spans="1:19" ht="15.75" x14ac:dyDescent="0.25">
      <c r="A31" s="36" t="s">
        <v>76</v>
      </c>
      <c r="B31" s="36" t="s">
        <v>112</v>
      </c>
      <c r="C31" s="55"/>
      <c r="D31" s="36"/>
      <c r="E31" s="36"/>
      <c r="F31" s="36"/>
      <c r="G31" s="36"/>
      <c r="H31" s="36"/>
      <c r="I31" s="36"/>
      <c r="J31" s="36"/>
      <c r="K31" s="36">
        <f t="shared" si="1"/>
        <v>0</v>
      </c>
      <c r="L31" s="36"/>
      <c r="M31" s="36">
        <f t="shared" si="2"/>
        <v>0</v>
      </c>
      <c r="N31" s="36"/>
      <c r="O31" s="30"/>
      <c r="P31" s="30"/>
      <c r="Q31" s="30"/>
      <c r="R31" s="30"/>
      <c r="S31" s="30"/>
    </row>
    <row r="32" spans="1:19" ht="15.75" x14ac:dyDescent="0.25">
      <c r="A32" s="36" t="s">
        <v>77</v>
      </c>
      <c r="B32" s="36" t="s">
        <v>102</v>
      </c>
      <c r="C32" s="55">
        <f>'SEPTEMBER 20'!M32:M84</f>
        <v>480</v>
      </c>
      <c r="D32" s="36"/>
      <c r="E32" s="36"/>
      <c r="F32" s="36"/>
      <c r="G32" s="36"/>
      <c r="H32" s="36">
        <v>12000</v>
      </c>
      <c r="I32" s="36">
        <v>600</v>
      </c>
      <c r="J32" s="36">
        <f t="shared" si="0"/>
        <v>1680.0000000000002</v>
      </c>
      <c r="K32" s="36">
        <f t="shared" si="1"/>
        <v>14760</v>
      </c>
      <c r="L32" s="36">
        <v>14280</v>
      </c>
      <c r="M32" s="36">
        <f t="shared" si="2"/>
        <v>480</v>
      </c>
      <c r="N32" s="36"/>
      <c r="O32" s="30"/>
      <c r="P32" s="30"/>
      <c r="Q32" s="30"/>
      <c r="R32" s="30"/>
      <c r="S32" s="30"/>
    </row>
    <row r="33" spans="1:19" ht="15.75" x14ac:dyDescent="0.25">
      <c r="A33" s="36" t="s">
        <v>78</v>
      </c>
      <c r="B33" s="36" t="s">
        <v>102</v>
      </c>
      <c r="C33" s="55">
        <f>'SEPTEMBER 20'!M33:M85</f>
        <v>12520</v>
      </c>
      <c r="D33" s="36"/>
      <c r="E33" s="36"/>
      <c r="F33" s="36"/>
      <c r="G33" s="36"/>
      <c r="H33" s="36">
        <v>12000</v>
      </c>
      <c r="I33" s="36">
        <v>600</v>
      </c>
      <c r="J33" s="36">
        <f t="shared" si="0"/>
        <v>1680.0000000000002</v>
      </c>
      <c r="K33" s="36">
        <f t="shared" si="1"/>
        <v>26800</v>
      </c>
      <c r="L33" s="36">
        <v>14280</v>
      </c>
      <c r="M33" s="36">
        <f t="shared" si="2"/>
        <v>12520</v>
      </c>
      <c r="N33" s="36"/>
      <c r="O33" s="30"/>
      <c r="P33" s="30"/>
      <c r="Q33" s="30"/>
      <c r="R33" s="30"/>
      <c r="S33" s="30"/>
    </row>
    <row r="34" spans="1:19" ht="15.75" x14ac:dyDescent="0.25">
      <c r="A34" s="36" t="s">
        <v>79</v>
      </c>
      <c r="B34" s="55" t="s">
        <v>98</v>
      </c>
      <c r="C34" s="55">
        <f>'SEPTEMBER 20'!M34:M86</f>
        <v>0</v>
      </c>
      <c r="D34" s="36"/>
      <c r="E34" s="36"/>
      <c r="F34" s="36"/>
      <c r="G34" s="36"/>
      <c r="H34" s="36"/>
      <c r="I34" s="36"/>
      <c r="J34" s="36">
        <f t="shared" si="0"/>
        <v>0</v>
      </c>
      <c r="K34" s="36">
        <f t="shared" si="1"/>
        <v>0</v>
      </c>
      <c r="L34" s="36"/>
      <c r="M34" s="36">
        <f t="shared" si="2"/>
        <v>0</v>
      </c>
      <c r="N34" s="36"/>
      <c r="O34" s="30"/>
      <c r="P34" s="30"/>
      <c r="Q34" s="30"/>
      <c r="R34" s="30"/>
      <c r="S34" s="30"/>
    </row>
    <row r="35" spans="1:19" ht="15.75" x14ac:dyDescent="0.25">
      <c r="A35" s="36" t="s">
        <v>80</v>
      </c>
      <c r="B35" s="36" t="s">
        <v>113</v>
      </c>
      <c r="C35" s="55">
        <f>'SEPTEMBER 20'!M35:M87</f>
        <v>-100</v>
      </c>
      <c r="D35" s="36"/>
      <c r="E35" s="36"/>
      <c r="F35" s="36"/>
      <c r="G35" s="36"/>
      <c r="H35" s="36">
        <v>12000</v>
      </c>
      <c r="I35" s="36">
        <v>600</v>
      </c>
      <c r="J35" s="36">
        <f t="shared" si="0"/>
        <v>1680.0000000000002</v>
      </c>
      <c r="K35" s="36">
        <f t="shared" si="1"/>
        <v>14180</v>
      </c>
      <c r="L35" s="36">
        <v>14500</v>
      </c>
      <c r="M35" s="36">
        <f t="shared" si="2"/>
        <v>-320</v>
      </c>
      <c r="N35" s="36"/>
      <c r="O35" s="30"/>
      <c r="P35" s="30"/>
      <c r="Q35" s="30"/>
      <c r="R35" s="30"/>
      <c r="S35" s="30"/>
    </row>
    <row r="36" spans="1:19" ht="15.75" x14ac:dyDescent="0.25">
      <c r="A36" s="36" t="s">
        <v>81</v>
      </c>
      <c r="B36" s="36" t="s">
        <v>114</v>
      </c>
      <c r="C36" s="55">
        <f>'SEPTEMBER 20'!M36:M88</f>
        <v>6940</v>
      </c>
      <c r="D36" s="36"/>
      <c r="E36" s="36"/>
      <c r="F36" s="36"/>
      <c r="G36" s="36"/>
      <c r="H36" s="36">
        <v>12000</v>
      </c>
      <c r="I36" s="36">
        <v>600</v>
      </c>
      <c r="J36" s="36">
        <f t="shared" si="0"/>
        <v>1680.0000000000002</v>
      </c>
      <c r="K36" s="36">
        <f t="shared" si="1"/>
        <v>21220</v>
      </c>
      <c r="L36" s="36">
        <f>14300</f>
        <v>14300</v>
      </c>
      <c r="M36" s="36">
        <f t="shared" si="2"/>
        <v>6920</v>
      </c>
      <c r="N36" s="36"/>
      <c r="O36" s="30"/>
      <c r="P36" s="30"/>
      <c r="Q36" s="30"/>
      <c r="R36" s="30"/>
      <c r="S36" s="30"/>
    </row>
    <row r="37" spans="1:19" ht="15.75" x14ac:dyDescent="0.25">
      <c r="A37" s="36" t="s">
        <v>82</v>
      </c>
      <c r="B37" s="36" t="s">
        <v>115</v>
      </c>
      <c r="C37" s="55"/>
      <c r="D37" s="36"/>
      <c r="E37" s="36"/>
      <c r="F37" s="36"/>
      <c r="G37" s="36"/>
      <c r="H37" s="36">
        <v>12000</v>
      </c>
      <c r="I37" s="36">
        <v>600</v>
      </c>
      <c r="J37" s="36">
        <f t="shared" si="0"/>
        <v>1680.0000000000002</v>
      </c>
      <c r="K37" s="36">
        <f t="shared" si="1"/>
        <v>14280</v>
      </c>
      <c r="L37" s="36">
        <v>14280</v>
      </c>
      <c r="M37" s="36">
        <f t="shared" si="2"/>
        <v>0</v>
      </c>
      <c r="N37" s="36"/>
      <c r="O37" s="30"/>
      <c r="P37" s="30"/>
      <c r="Q37" s="30"/>
      <c r="R37" s="30"/>
      <c r="S37" s="30"/>
    </row>
    <row r="38" spans="1:19" ht="15.75" x14ac:dyDescent="0.25">
      <c r="A38" s="36" t="s">
        <v>83</v>
      </c>
      <c r="B38" s="36" t="s">
        <v>115</v>
      </c>
      <c r="C38" s="55"/>
      <c r="D38" s="36"/>
      <c r="E38" s="36"/>
      <c r="F38" s="36"/>
      <c r="G38" s="36"/>
      <c r="H38" s="36">
        <v>12000</v>
      </c>
      <c r="I38" s="36">
        <v>600</v>
      </c>
      <c r="J38" s="36">
        <f t="shared" si="0"/>
        <v>1680.0000000000002</v>
      </c>
      <c r="K38" s="36">
        <f t="shared" si="1"/>
        <v>14280</v>
      </c>
      <c r="L38" s="36">
        <v>14280</v>
      </c>
      <c r="M38" s="36">
        <f t="shared" si="2"/>
        <v>0</v>
      </c>
      <c r="N38" s="36"/>
      <c r="O38" s="30"/>
      <c r="P38" s="30"/>
      <c r="Q38" s="30"/>
      <c r="R38" s="30"/>
      <c r="S38" s="30"/>
    </row>
    <row r="39" spans="1:19" ht="15.75" x14ac:dyDescent="0.25">
      <c r="A39" s="36" t="s">
        <v>84</v>
      </c>
      <c r="B39" s="36" t="s">
        <v>121</v>
      </c>
      <c r="C39" s="55">
        <f>'SEPTEMBER 20'!M39:M91</f>
        <v>29060</v>
      </c>
      <c r="D39" s="36"/>
      <c r="E39" s="36"/>
      <c r="F39" s="36"/>
      <c r="G39" s="36"/>
      <c r="H39" s="36">
        <v>12000</v>
      </c>
      <c r="I39" s="36">
        <v>600</v>
      </c>
      <c r="J39" s="36">
        <f t="shared" si="0"/>
        <v>1680.0000000000002</v>
      </c>
      <c r="K39" s="36">
        <f t="shared" si="1"/>
        <v>43340</v>
      </c>
      <c r="L39" s="36">
        <f>14000</f>
        <v>14000</v>
      </c>
      <c r="M39" s="36">
        <f t="shared" si="2"/>
        <v>29340</v>
      </c>
      <c r="N39" s="36"/>
      <c r="O39" s="30"/>
      <c r="P39" s="30"/>
      <c r="Q39" s="30"/>
      <c r="R39" s="30"/>
      <c r="S39" s="30"/>
    </row>
    <row r="40" spans="1:19" ht="15.75" x14ac:dyDescent="0.25">
      <c r="A40" s="36" t="s">
        <v>85</v>
      </c>
      <c r="B40" s="56" t="s">
        <v>122</v>
      </c>
      <c r="C40" s="55">
        <f>'SEPTEMBER 20'!M40:M92</f>
        <v>0</v>
      </c>
      <c r="D40" s="36"/>
      <c r="E40" s="36"/>
      <c r="F40" s="36"/>
      <c r="G40" s="36"/>
      <c r="H40" s="36">
        <v>12000</v>
      </c>
      <c r="I40" s="36">
        <v>600</v>
      </c>
      <c r="J40" s="36">
        <f t="shared" si="0"/>
        <v>1680.0000000000002</v>
      </c>
      <c r="K40" s="36">
        <f t="shared" si="1"/>
        <v>14280</v>
      </c>
      <c r="L40" s="36">
        <v>14280</v>
      </c>
      <c r="M40" s="36">
        <f>K40-L40</f>
        <v>0</v>
      </c>
      <c r="N40" s="36"/>
      <c r="O40" s="30"/>
      <c r="P40" s="30"/>
      <c r="Q40" s="30"/>
      <c r="R40" s="30"/>
      <c r="S40" s="30"/>
    </row>
    <row r="41" spans="1:19" ht="15.75" x14ac:dyDescent="0.25">
      <c r="A41" s="36" t="s">
        <v>86</v>
      </c>
      <c r="B41" s="55" t="s">
        <v>98</v>
      </c>
      <c r="C41" s="55">
        <f>'SEPTEMBER 20'!M41:M93</f>
        <v>0</v>
      </c>
      <c r="D41" s="36"/>
      <c r="E41" s="36"/>
      <c r="F41" s="36"/>
      <c r="G41" s="36"/>
      <c r="H41" s="36"/>
      <c r="I41" s="36"/>
      <c r="J41" s="36">
        <f t="shared" si="0"/>
        <v>0</v>
      </c>
      <c r="K41" s="36">
        <f t="shared" si="1"/>
        <v>0</v>
      </c>
      <c r="L41" s="36"/>
      <c r="M41" s="36">
        <f t="shared" si="2"/>
        <v>0</v>
      </c>
      <c r="N41" s="36"/>
      <c r="O41" s="30"/>
      <c r="P41" s="30"/>
      <c r="Q41" s="30"/>
      <c r="R41" s="30"/>
      <c r="S41" s="30"/>
    </row>
    <row r="42" spans="1:19" ht="15.75" x14ac:dyDescent="0.25">
      <c r="A42" s="36" t="s">
        <v>87</v>
      </c>
      <c r="B42" s="55" t="s">
        <v>98</v>
      </c>
      <c r="C42" s="55">
        <f>'SEPTEMBER 20'!M42:M94</f>
        <v>0</v>
      </c>
      <c r="D42" s="36"/>
      <c r="E42" s="36"/>
      <c r="F42" s="36"/>
      <c r="G42" s="36"/>
      <c r="H42" s="36"/>
      <c r="I42" s="36"/>
      <c r="J42" s="36">
        <f t="shared" si="0"/>
        <v>0</v>
      </c>
      <c r="K42" s="36">
        <f t="shared" si="1"/>
        <v>0</v>
      </c>
      <c r="L42" s="36"/>
      <c r="M42" s="36">
        <f t="shared" si="2"/>
        <v>0</v>
      </c>
      <c r="N42" s="36"/>
      <c r="O42" s="30"/>
      <c r="P42" s="30"/>
      <c r="Q42" s="30"/>
      <c r="R42" s="30"/>
      <c r="S42" s="30"/>
    </row>
    <row r="43" spans="1:19" ht="15.75" x14ac:dyDescent="0.25">
      <c r="A43" s="36" t="s">
        <v>88</v>
      </c>
      <c r="B43" s="55" t="s">
        <v>98</v>
      </c>
      <c r="C43" s="55">
        <f>'SEPTEMBER 20'!M43:M95</f>
        <v>0</v>
      </c>
      <c r="D43" s="36"/>
      <c r="E43" s="36"/>
      <c r="F43" s="36"/>
      <c r="G43" s="36"/>
      <c r="H43" s="36"/>
      <c r="I43" s="36"/>
      <c r="J43" s="36">
        <f t="shared" si="0"/>
        <v>0</v>
      </c>
      <c r="K43" s="36">
        <f t="shared" si="1"/>
        <v>0</v>
      </c>
      <c r="L43" s="36"/>
      <c r="M43" s="36">
        <f t="shared" si="2"/>
        <v>0</v>
      </c>
      <c r="N43" s="36"/>
      <c r="O43" s="30"/>
      <c r="P43" s="30"/>
      <c r="Q43" s="30"/>
      <c r="R43" s="30"/>
      <c r="S43" s="30"/>
    </row>
    <row r="44" spans="1:19" ht="15.75" x14ac:dyDescent="0.25">
      <c r="A44" s="36" t="s">
        <v>89</v>
      </c>
      <c r="B44" s="36" t="s">
        <v>116</v>
      </c>
      <c r="C44" s="55">
        <f>'SEPTEMBER 20'!M44:M96</f>
        <v>17440</v>
      </c>
      <c r="D44" s="36"/>
      <c r="E44" s="36"/>
      <c r="F44" s="36"/>
      <c r="G44" s="36"/>
      <c r="H44" s="36">
        <v>12000</v>
      </c>
      <c r="I44" s="36">
        <v>600</v>
      </c>
      <c r="J44" s="36">
        <f t="shared" si="0"/>
        <v>1680.0000000000002</v>
      </c>
      <c r="K44" s="36">
        <f t="shared" si="1"/>
        <v>31720</v>
      </c>
      <c r="L44" s="36"/>
      <c r="M44" s="36">
        <f t="shared" si="2"/>
        <v>31720</v>
      </c>
      <c r="N44" s="36"/>
      <c r="O44" s="31" t="s">
        <v>141</v>
      </c>
      <c r="P44" s="30"/>
      <c r="Q44" s="30"/>
      <c r="R44" s="30"/>
      <c r="S44" s="30"/>
    </row>
    <row r="45" spans="1:19" ht="15.75" x14ac:dyDescent="0.25">
      <c r="A45" s="36" t="s">
        <v>90</v>
      </c>
      <c r="B45" s="55" t="s">
        <v>98</v>
      </c>
      <c r="C45" s="55">
        <f>'SEPTEMBER 20'!M45:M97</f>
        <v>0</v>
      </c>
      <c r="D45" s="36"/>
      <c r="E45" s="36"/>
      <c r="F45" s="36"/>
      <c r="G45" s="36"/>
      <c r="H45" s="36"/>
      <c r="I45" s="36"/>
      <c r="J45" s="36">
        <f t="shared" si="0"/>
        <v>0</v>
      </c>
      <c r="K45" s="36">
        <f t="shared" si="1"/>
        <v>0</v>
      </c>
      <c r="L45" s="36"/>
      <c r="M45" s="36">
        <f t="shared" si="2"/>
        <v>0</v>
      </c>
      <c r="N45" s="36"/>
      <c r="O45" s="30"/>
      <c r="P45" s="30"/>
      <c r="Q45" s="30"/>
      <c r="R45" s="30"/>
      <c r="S45" s="30"/>
    </row>
    <row r="46" spans="1:19" ht="15.75" x14ac:dyDescent="0.25">
      <c r="A46" s="36" t="s">
        <v>91</v>
      </c>
      <c r="B46" s="61" t="s">
        <v>98</v>
      </c>
      <c r="C46" s="55">
        <f>'SEPTEMBER 20'!M46:M98</f>
        <v>0</v>
      </c>
      <c r="D46" s="36"/>
      <c r="E46" s="36"/>
      <c r="F46" s="36"/>
      <c r="G46" s="36"/>
      <c r="H46" s="36"/>
      <c r="I46" s="36"/>
      <c r="J46" s="36">
        <f t="shared" si="0"/>
        <v>0</v>
      </c>
      <c r="K46" s="36">
        <f t="shared" si="1"/>
        <v>0</v>
      </c>
      <c r="L46" s="36"/>
      <c r="M46" s="36">
        <f t="shared" si="2"/>
        <v>0</v>
      </c>
      <c r="N46" s="36"/>
      <c r="O46" s="30"/>
      <c r="P46" s="30"/>
      <c r="Q46" s="30"/>
      <c r="R46" s="30"/>
      <c r="S46" s="30"/>
    </row>
    <row r="47" spans="1:19" ht="15.75" x14ac:dyDescent="0.25">
      <c r="A47" s="36" t="s">
        <v>37</v>
      </c>
      <c r="B47" s="55" t="s">
        <v>98</v>
      </c>
      <c r="C47" s="55">
        <f>'SEPTEMBER 20'!M47:M99</f>
        <v>0</v>
      </c>
      <c r="D47" s="36"/>
      <c r="E47" s="36"/>
      <c r="F47" s="36"/>
      <c r="G47" s="36"/>
      <c r="H47" s="36"/>
      <c r="I47" s="36"/>
      <c r="J47" s="36">
        <f t="shared" si="0"/>
        <v>0</v>
      </c>
      <c r="K47" s="36">
        <f t="shared" si="1"/>
        <v>0</v>
      </c>
      <c r="L47" s="36"/>
      <c r="M47" s="36">
        <f t="shared" si="2"/>
        <v>0</v>
      </c>
      <c r="N47" s="36"/>
      <c r="O47" s="30"/>
      <c r="P47" s="30"/>
      <c r="Q47" s="30"/>
      <c r="R47" s="30"/>
      <c r="S47" s="30"/>
    </row>
    <row r="48" spans="1:19" ht="15.75" x14ac:dyDescent="0.25">
      <c r="A48" s="36" t="s">
        <v>38</v>
      </c>
      <c r="B48" s="55" t="s">
        <v>98</v>
      </c>
      <c r="C48" s="55">
        <f>'SEPTEMBER 20'!M48:M100</f>
        <v>0</v>
      </c>
      <c r="D48" s="36"/>
      <c r="E48" s="36"/>
      <c r="F48" s="36"/>
      <c r="G48" s="36"/>
      <c r="H48" s="36"/>
      <c r="I48" s="36"/>
      <c r="J48" s="36">
        <f t="shared" si="0"/>
        <v>0</v>
      </c>
      <c r="K48" s="36">
        <f t="shared" si="1"/>
        <v>0</v>
      </c>
      <c r="L48" s="36"/>
      <c r="M48" s="36">
        <f t="shared" si="2"/>
        <v>0</v>
      </c>
      <c r="N48" s="36"/>
      <c r="O48" s="30"/>
      <c r="P48" s="30"/>
      <c r="Q48" s="30"/>
      <c r="R48" s="30"/>
      <c r="S48" s="30"/>
    </row>
    <row r="49" spans="1:19" ht="15.75" x14ac:dyDescent="0.25">
      <c r="A49" s="36" t="s">
        <v>39</v>
      </c>
      <c r="B49" s="55" t="s">
        <v>98</v>
      </c>
      <c r="C49" s="55">
        <f>'SEPTEMBER 20'!M49:M101</f>
        <v>0</v>
      </c>
      <c r="D49" s="36"/>
      <c r="E49" s="36"/>
      <c r="F49" s="36"/>
      <c r="G49" s="36"/>
      <c r="H49" s="36"/>
      <c r="I49" s="36"/>
      <c r="J49" s="36">
        <f t="shared" si="0"/>
        <v>0</v>
      </c>
      <c r="K49" s="36">
        <f t="shared" si="1"/>
        <v>0</v>
      </c>
      <c r="L49" s="36"/>
      <c r="M49" s="36">
        <f t="shared" si="2"/>
        <v>0</v>
      </c>
      <c r="N49" s="36"/>
      <c r="O49" s="30"/>
      <c r="P49" s="30"/>
      <c r="Q49" s="30"/>
      <c r="R49" s="30"/>
      <c r="S49" s="30"/>
    </row>
    <row r="50" spans="1:19" ht="15.75" x14ac:dyDescent="0.25">
      <c r="A50" s="36" t="s">
        <v>40</v>
      </c>
      <c r="B50" s="55" t="s">
        <v>98</v>
      </c>
      <c r="C50" s="55">
        <f>'SEPTEMBER 20'!M50:M102</f>
        <v>0</v>
      </c>
      <c r="D50" s="36"/>
      <c r="E50" s="36"/>
      <c r="F50" s="36"/>
      <c r="G50" s="36"/>
      <c r="H50" s="36"/>
      <c r="I50" s="36"/>
      <c r="J50" s="36">
        <f t="shared" si="0"/>
        <v>0</v>
      </c>
      <c r="K50" s="36">
        <f t="shared" si="1"/>
        <v>0</v>
      </c>
      <c r="L50" s="36"/>
      <c r="M50" s="36">
        <f t="shared" si="2"/>
        <v>0</v>
      </c>
      <c r="N50" s="36"/>
      <c r="O50" s="30"/>
      <c r="P50" s="30"/>
      <c r="Q50" s="30"/>
      <c r="R50" s="30"/>
      <c r="S50" s="30"/>
    </row>
    <row r="51" spans="1:19" ht="15.75" x14ac:dyDescent="0.25">
      <c r="A51" s="36" t="s">
        <v>41</v>
      </c>
      <c r="B51" s="55" t="s">
        <v>98</v>
      </c>
      <c r="C51" s="55">
        <f>'SEPTEMBER 20'!M51:M103</f>
        <v>0</v>
      </c>
      <c r="D51" s="36"/>
      <c r="E51" s="36"/>
      <c r="F51" s="36"/>
      <c r="G51" s="36"/>
      <c r="H51" s="36"/>
      <c r="I51" s="36"/>
      <c r="J51" s="36">
        <f t="shared" si="0"/>
        <v>0</v>
      </c>
      <c r="K51" s="36">
        <f t="shared" si="1"/>
        <v>0</v>
      </c>
      <c r="L51" s="36"/>
      <c r="M51" s="36">
        <f t="shared" si="2"/>
        <v>0</v>
      </c>
      <c r="N51" s="36"/>
      <c r="O51" s="30"/>
      <c r="P51" s="30"/>
      <c r="Q51" s="30"/>
      <c r="R51" s="30"/>
      <c r="S51" s="30"/>
    </row>
    <row r="52" spans="1:19" ht="15.75" x14ac:dyDescent="0.25">
      <c r="A52" s="36" t="s">
        <v>42</v>
      </c>
      <c r="B52" s="61" t="s">
        <v>98</v>
      </c>
      <c r="C52" s="55">
        <f>'SEPTEMBER 20'!M52:M104</f>
        <v>0</v>
      </c>
      <c r="D52" s="36"/>
      <c r="E52" s="36"/>
      <c r="F52" s="36"/>
      <c r="G52" s="36"/>
      <c r="H52" s="36"/>
      <c r="I52" s="36"/>
      <c r="J52" s="36">
        <f t="shared" si="0"/>
        <v>0</v>
      </c>
      <c r="K52" s="36">
        <f t="shared" si="1"/>
        <v>0</v>
      </c>
      <c r="L52" s="36"/>
      <c r="M52" s="36">
        <f t="shared" si="2"/>
        <v>0</v>
      </c>
      <c r="N52" s="36"/>
      <c r="O52" s="30"/>
      <c r="P52" s="30"/>
      <c r="Q52" s="30"/>
      <c r="R52" s="30"/>
      <c r="S52" s="30"/>
    </row>
    <row r="53" spans="1:19" ht="15.75" x14ac:dyDescent="0.25">
      <c r="A53" s="36" t="s">
        <v>43</v>
      </c>
      <c r="B53" s="55" t="s">
        <v>98</v>
      </c>
      <c r="C53" s="55">
        <f>'SEPTEMBER 20'!M53:M105</f>
        <v>0</v>
      </c>
      <c r="D53" s="36"/>
      <c r="E53" s="36"/>
      <c r="F53" s="36"/>
      <c r="G53" s="36"/>
      <c r="H53" s="36"/>
      <c r="I53" s="36"/>
      <c r="J53" s="36">
        <f t="shared" si="0"/>
        <v>0</v>
      </c>
      <c r="K53" s="36">
        <f t="shared" si="1"/>
        <v>0</v>
      </c>
      <c r="L53" s="36"/>
      <c r="M53" s="36">
        <f t="shared" si="2"/>
        <v>0</v>
      </c>
      <c r="N53" s="36"/>
      <c r="O53" s="30"/>
      <c r="P53" s="30"/>
      <c r="Q53" s="30"/>
      <c r="R53" s="30"/>
      <c r="S53" s="30"/>
    </row>
    <row r="54" spans="1:19" ht="15.75" x14ac:dyDescent="0.25">
      <c r="A54" s="36" t="s">
        <v>44</v>
      </c>
      <c r="B54" s="55" t="s">
        <v>98</v>
      </c>
      <c r="C54" s="55">
        <f>'SEPTEMBER 20'!M54:M106</f>
        <v>0</v>
      </c>
      <c r="D54" s="36"/>
      <c r="E54" s="36"/>
      <c r="F54" s="36"/>
      <c r="G54" s="36"/>
      <c r="H54" s="36"/>
      <c r="I54" s="36"/>
      <c r="J54" s="36">
        <f t="shared" si="0"/>
        <v>0</v>
      </c>
      <c r="K54" s="36">
        <f t="shared" si="1"/>
        <v>0</v>
      </c>
      <c r="L54" s="36"/>
      <c r="M54" s="36">
        <f t="shared" si="2"/>
        <v>0</v>
      </c>
      <c r="N54" s="36"/>
      <c r="O54" s="30"/>
      <c r="P54" s="30"/>
      <c r="Q54" s="30"/>
      <c r="R54" s="30"/>
      <c r="S54" s="30"/>
    </row>
    <row r="55" spans="1:19" ht="15.75" x14ac:dyDescent="0.25">
      <c r="A55" s="36" t="s">
        <v>92</v>
      </c>
      <c r="B55" s="56" t="s">
        <v>117</v>
      </c>
      <c r="C55" s="55"/>
      <c r="D55" s="36"/>
      <c r="E55" s="36"/>
      <c r="F55" s="36"/>
      <c r="G55" s="36"/>
      <c r="H55" s="36">
        <v>12000</v>
      </c>
      <c r="I55" s="36">
        <v>600</v>
      </c>
      <c r="J55" s="36">
        <f t="shared" si="0"/>
        <v>1680.0000000000002</v>
      </c>
      <c r="K55" s="36">
        <f t="shared" si="1"/>
        <v>14280</v>
      </c>
      <c r="L55" s="56">
        <f>14280</f>
        <v>14280</v>
      </c>
      <c r="M55" s="36">
        <f t="shared" si="2"/>
        <v>0</v>
      </c>
      <c r="N55" s="36"/>
      <c r="O55" s="30"/>
      <c r="P55" s="30"/>
      <c r="Q55" s="30"/>
      <c r="R55" s="30"/>
      <c r="S55" s="30"/>
    </row>
    <row r="56" spans="1:19" ht="15.75" x14ac:dyDescent="0.25">
      <c r="A56" s="36" t="s">
        <v>93</v>
      </c>
      <c r="B56" s="56" t="s">
        <v>118</v>
      </c>
      <c r="C56" s="55">
        <f>'SEPTEMBER 20'!M56:M108</f>
        <v>6120</v>
      </c>
      <c r="D56" s="36"/>
      <c r="E56" s="36"/>
      <c r="F56" s="36"/>
      <c r="G56" s="36"/>
      <c r="H56" s="36">
        <v>10000</v>
      </c>
      <c r="I56" s="36">
        <v>600</v>
      </c>
      <c r="J56" s="36">
        <f t="shared" si="0"/>
        <v>1400.0000000000002</v>
      </c>
      <c r="K56" s="36">
        <f t="shared" si="1"/>
        <v>18120</v>
      </c>
      <c r="L56" s="56">
        <f>12300</f>
        <v>12300</v>
      </c>
      <c r="M56" s="36">
        <f t="shared" si="2"/>
        <v>5820</v>
      </c>
      <c r="N56" s="36">
        <v>300</v>
      </c>
      <c r="O56" s="30"/>
      <c r="P56" s="30"/>
      <c r="Q56" s="30"/>
      <c r="R56" s="30"/>
      <c r="S56" s="30"/>
    </row>
    <row r="57" spans="1:19" ht="15.75" x14ac:dyDescent="0.25">
      <c r="A57" s="36"/>
      <c r="B57" s="36" t="s">
        <v>9</v>
      </c>
      <c r="C57" s="36">
        <f>SUM(C5:C56)</f>
        <v>270306</v>
      </c>
      <c r="D57" s="36">
        <f t="shared" ref="D57:K57" si="3">SUM(D5:D56)</f>
        <v>0</v>
      </c>
      <c r="E57" s="36">
        <f t="shared" si="3"/>
        <v>0</v>
      </c>
      <c r="F57" s="36">
        <f t="shared" si="3"/>
        <v>0</v>
      </c>
      <c r="G57" s="36">
        <f t="shared" si="3"/>
        <v>0</v>
      </c>
      <c r="H57" s="36">
        <f t="shared" si="3"/>
        <v>454500</v>
      </c>
      <c r="I57" s="36">
        <f t="shared" si="3"/>
        <v>16200</v>
      </c>
      <c r="J57" s="36">
        <f t="shared" si="3"/>
        <v>63630</v>
      </c>
      <c r="K57" s="36">
        <f t="shared" si="3"/>
        <v>804636</v>
      </c>
      <c r="L57" s="36">
        <f>SUM(L5:L56)</f>
        <v>504530</v>
      </c>
      <c r="M57" s="36">
        <f>SUM(M5:M56)</f>
        <v>294946</v>
      </c>
      <c r="N57" s="36">
        <f>SUM(N5:N56)</f>
        <v>1700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57"/>
      <c r="D58" s="57"/>
      <c r="E58" s="57"/>
      <c r="F58" s="39" t="s">
        <v>10</v>
      </c>
      <c r="G58" s="39"/>
      <c r="H58" s="58"/>
      <c r="I58" s="58"/>
      <c r="J58" s="58"/>
      <c r="K58" s="59"/>
      <c r="L58" s="60"/>
      <c r="M58" s="59"/>
      <c r="N58" s="59"/>
      <c r="O58" s="30"/>
      <c r="P58" s="30"/>
      <c r="Q58" s="30"/>
      <c r="R58" s="30"/>
      <c r="S58" s="30"/>
    </row>
    <row r="59" spans="1:19" ht="15.75" x14ac:dyDescent="0.25">
      <c r="A59" s="30"/>
      <c r="B59" s="30" t="s">
        <v>11</v>
      </c>
      <c r="C59" s="30"/>
      <c r="D59" s="30"/>
      <c r="E59" s="30"/>
      <c r="F59" s="30"/>
      <c r="G59" s="30"/>
      <c r="H59" s="63"/>
      <c r="I59" s="58"/>
      <c r="J59" s="58"/>
      <c r="K59" s="30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6" t="s">
        <v>13</v>
      </c>
      <c r="C60" s="36" t="s">
        <v>14</v>
      </c>
      <c r="D60" s="36"/>
      <c r="E60" s="36" t="s">
        <v>15</v>
      </c>
      <c r="F60" s="36" t="s">
        <v>16</v>
      </c>
      <c r="G60" s="36" t="s">
        <v>13</v>
      </c>
      <c r="H60" s="36" t="s">
        <v>14</v>
      </c>
      <c r="I60" s="36"/>
      <c r="J60" s="36"/>
      <c r="K60" s="36" t="s">
        <v>15</v>
      </c>
      <c r="L60" s="36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139</v>
      </c>
      <c r="C61" s="44">
        <f>H57</f>
        <v>454500</v>
      </c>
      <c r="D61" s="44"/>
      <c r="E61" s="36"/>
      <c r="F61" s="36"/>
      <c r="G61" s="36" t="s">
        <v>139</v>
      </c>
      <c r="H61" s="44">
        <f>L57</f>
        <v>504530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63630</v>
      </c>
      <c r="D63" s="44"/>
      <c r="E63" s="36"/>
      <c r="F63" s="36"/>
      <c r="G63" s="36" t="s">
        <v>146</v>
      </c>
      <c r="H63" s="44">
        <f>'SEPTEMBER 20'!L75</f>
        <v>0</v>
      </c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1700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'SEPTEMBER 20'!F75</f>
        <v>13680</v>
      </c>
      <c r="D69" s="36"/>
      <c r="E69" s="36"/>
      <c r="F69" s="36"/>
      <c r="G69" s="46" t="s">
        <v>60</v>
      </c>
      <c r="H69" s="36">
        <v>22725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36" t="s">
        <v>17</v>
      </c>
      <c r="C70" s="47">
        <v>0.05</v>
      </c>
      <c r="D70" s="47"/>
      <c r="E70" s="44">
        <f>C70*C61</f>
        <v>22725</v>
      </c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46" t="s">
        <v>60</v>
      </c>
      <c r="C71" s="36">
        <v>22725</v>
      </c>
      <c r="D71" s="36"/>
      <c r="E71" s="44"/>
      <c r="F71" s="36"/>
      <c r="G71" s="36" t="s">
        <v>17</v>
      </c>
      <c r="H71" s="47">
        <v>0.05</v>
      </c>
      <c r="I71" s="47"/>
      <c r="J71" s="47"/>
      <c r="K71" s="44">
        <f>H71*C61</f>
        <v>22725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55" t="s">
        <v>18</v>
      </c>
      <c r="C72" s="36" t="s">
        <v>19</v>
      </c>
      <c r="D72" s="36"/>
      <c r="E72" s="36"/>
      <c r="F72" s="36"/>
      <c r="G72" s="55" t="s">
        <v>18</v>
      </c>
      <c r="H72" s="44"/>
      <c r="I72" s="44"/>
      <c r="J72" s="44"/>
      <c r="K72" s="36"/>
      <c r="L72" s="36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 t="s">
        <v>136</v>
      </c>
      <c r="C73" s="47"/>
      <c r="D73" s="47"/>
      <c r="E73" s="36">
        <f>L57</f>
        <v>504530</v>
      </c>
      <c r="F73" s="36"/>
      <c r="G73" s="49" t="s">
        <v>136</v>
      </c>
      <c r="H73" s="47"/>
      <c r="I73" s="47"/>
      <c r="J73" s="36"/>
      <c r="K73" s="36">
        <f>L57</f>
        <v>504530</v>
      </c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/>
      <c r="C74" s="36"/>
      <c r="D74" s="36"/>
      <c r="E74" s="36"/>
      <c r="F74" s="49"/>
      <c r="G74" s="50"/>
      <c r="H74" s="36"/>
      <c r="I74" s="36"/>
      <c r="J74" s="36"/>
      <c r="K74" s="36"/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49" t="s">
        <v>20</v>
      </c>
      <c r="C76" s="44">
        <f>C61+C62+C63+C64+C65+C66+C67+C68+C71+C69</f>
        <v>572435</v>
      </c>
      <c r="D76" s="44"/>
      <c r="E76" s="64">
        <f>SUM(E70:E75)</f>
        <v>527255</v>
      </c>
      <c r="F76" s="44">
        <f>C76-E76</f>
        <v>45180</v>
      </c>
      <c r="G76" s="49" t="s">
        <v>20</v>
      </c>
      <c r="H76" s="44">
        <f>H61+H63+H69</f>
        <v>527255</v>
      </c>
      <c r="I76" s="44"/>
      <c r="J76" s="44"/>
      <c r="K76" s="44">
        <f>SUM(K71:K75)</f>
        <v>527255</v>
      </c>
      <c r="L76" s="44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30"/>
      <c r="F77" s="30" t="s">
        <v>22</v>
      </c>
      <c r="G77" s="30"/>
      <c r="H77" s="30"/>
      <c r="I77" s="30"/>
      <c r="J77" s="30"/>
      <c r="K77" s="45">
        <f>K76-K71</f>
        <v>504530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</sheetData>
  <pageMargins left="0.7" right="0.7" top="0.75" bottom="0.75" header="0.3" footer="0.3"/>
  <pageSetup paperSize="28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A27" workbookViewId="0">
      <selection activeCell="L60" sqref="L60"/>
    </sheetView>
  </sheetViews>
  <sheetFormatPr defaultRowHeight="15" x14ac:dyDescent="0.25"/>
  <cols>
    <col min="2" max="2" width="35.42578125" bestFit="1" customWidth="1"/>
    <col min="11" max="11" width="12.28515625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137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3" t="s">
        <v>61</v>
      </c>
      <c r="B5" s="33" t="s">
        <v>96</v>
      </c>
      <c r="C5" s="34">
        <f>'OCTOBER 2020'!M5:M57</f>
        <v>17333</v>
      </c>
      <c r="D5" s="33"/>
      <c r="E5" s="33"/>
      <c r="F5" s="33"/>
      <c r="G5" s="33"/>
      <c r="H5" s="33">
        <v>12000</v>
      </c>
      <c r="I5" s="33">
        <v>600</v>
      </c>
      <c r="J5" s="33">
        <f>14%*H5</f>
        <v>1680.0000000000002</v>
      </c>
      <c r="K5" s="33">
        <f>C5+D5+E5+F5+G5+H5+I5+J5</f>
        <v>31613</v>
      </c>
      <c r="L5" s="33">
        <f>14280</f>
        <v>14280</v>
      </c>
      <c r="M5" s="33">
        <f>K5-L5</f>
        <v>17333</v>
      </c>
      <c r="N5" s="33"/>
      <c r="O5" s="30"/>
      <c r="P5" s="30"/>
      <c r="Q5" s="30"/>
      <c r="R5" s="30"/>
      <c r="S5" s="30"/>
    </row>
    <row r="6" spans="1:19" ht="15.75" x14ac:dyDescent="0.25">
      <c r="A6" s="33" t="s">
        <v>95</v>
      </c>
      <c r="B6" s="33" t="s">
        <v>97</v>
      </c>
      <c r="C6" s="34">
        <f>'OCTOBER 2020'!M6:M58-24273</f>
        <v>40216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14%*H6</f>
        <v>1680.0000000000002</v>
      </c>
      <c r="K6" s="33">
        <f t="shared" ref="K6:K56" si="1">C6+D6+E6+F6+G6+H6+I6+J6</f>
        <v>54496</v>
      </c>
      <c r="L6" s="33"/>
      <c r="M6" s="33">
        <f t="shared" ref="M6:M56" si="2">K6-L6</f>
        <v>54496</v>
      </c>
      <c r="N6" s="33"/>
      <c r="O6" s="30"/>
      <c r="P6" s="30"/>
      <c r="Q6" s="30"/>
      <c r="R6" s="30"/>
      <c r="S6" s="30"/>
    </row>
    <row r="7" spans="1:19" ht="15.75" x14ac:dyDescent="0.25">
      <c r="A7" s="33" t="s">
        <v>62</v>
      </c>
      <c r="B7" s="34" t="s">
        <v>98</v>
      </c>
      <c r="C7" s="34">
        <f>'OCTOBER 2020'!M7:M59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  <c r="P7" s="30"/>
      <c r="Q7" s="30"/>
      <c r="R7" s="30"/>
      <c r="S7" s="30"/>
    </row>
    <row r="8" spans="1:19" ht="15.75" x14ac:dyDescent="0.25">
      <c r="A8" s="33" t="s">
        <v>63</v>
      </c>
      <c r="B8" s="33" t="s">
        <v>99</v>
      </c>
      <c r="C8" s="34">
        <f>'OCTOBER 2020'!M8:M60</f>
        <v>72120</v>
      </c>
      <c r="D8" s="33"/>
      <c r="E8" s="33"/>
      <c r="F8" s="33"/>
      <c r="G8" s="33"/>
      <c r="H8" s="33">
        <v>12000</v>
      </c>
      <c r="I8" s="33">
        <v>600</v>
      </c>
      <c r="J8" s="33">
        <f t="shared" si="0"/>
        <v>1680.0000000000002</v>
      </c>
      <c r="K8" s="33">
        <f t="shared" si="1"/>
        <v>86400</v>
      </c>
      <c r="L8" s="33">
        <f>14500+29000</f>
        <v>43500</v>
      </c>
      <c r="M8" s="33">
        <f t="shared" si="2"/>
        <v>42900</v>
      </c>
      <c r="N8" s="33">
        <v>29000</v>
      </c>
      <c r="O8" s="30" t="s">
        <v>145</v>
      </c>
      <c r="P8" s="30"/>
      <c r="Q8" s="30"/>
      <c r="R8" s="30"/>
      <c r="S8" s="30"/>
    </row>
    <row r="9" spans="1:19" ht="15.75" x14ac:dyDescent="0.25">
      <c r="A9" s="33" t="s">
        <v>64</v>
      </c>
      <c r="B9" s="34" t="s">
        <v>98</v>
      </c>
      <c r="C9" s="34">
        <f>'OCTOBER 2020'!M9:M61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  <c r="P9" s="30"/>
      <c r="Q9" s="30"/>
      <c r="R9" s="30"/>
      <c r="S9" s="30"/>
    </row>
    <row r="10" spans="1:19" ht="15.75" x14ac:dyDescent="0.25">
      <c r="A10" s="33" t="s">
        <v>27</v>
      </c>
      <c r="B10" s="33" t="s">
        <v>100</v>
      </c>
      <c r="C10" s="34">
        <f>'OCTOBER 2020'!M10:M62</f>
        <v>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1680.0000000000002</v>
      </c>
      <c r="K10" s="33">
        <f t="shared" si="1"/>
        <v>14280</v>
      </c>
      <c r="L10" s="33">
        <f>14520</f>
        <v>14520</v>
      </c>
      <c r="M10" s="33">
        <f t="shared" si="2"/>
        <v>-240</v>
      </c>
      <c r="N10" s="33"/>
      <c r="O10" s="30"/>
      <c r="P10" s="30"/>
      <c r="Q10" s="30"/>
      <c r="R10" s="30"/>
      <c r="S10" s="30"/>
    </row>
    <row r="11" spans="1:19" ht="15.75" x14ac:dyDescent="0.25">
      <c r="A11" s="33" t="s">
        <v>65</v>
      </c>
      <c r="B11" s="33" t="s">
        <v>101</v>
      </c>
      <c r="C11" s="34">
        <f>'OCTOBER 2020'!M11:M63</f>
        <v>-720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1680.0000000000002</v>
      </c>
      <c r="K11" s="33">
        <f t="shared" si="1"/>
        <v>13560</v>
      </c>
      <c r="L11" s="33">
        <f>15000</f>
        <v>15000</v>
      </c>
      <c r="M11" s="33">
        <f t="shared" si="2"/>
        <v>-1440</v>
      </c>
      <c r="N11" s="33"/>
      <c r="O11" s="30"/>
      <c r="P11" s="30"/>
      <c r="Q11" s="30"/>
      <c r="R11" s="30"/>
      <c r="S11" s="30"/>
    </row>
    <row r="12" spans="1:19" ht="15.75" x14ac:dyDescent="0.25">
      <c r="A12" s="33" t="s">
        <v>66</v>
      </c>
      <c r="B12" s="33" t="s">
        <v>102</v>
      </c>
      <c r="C12" s="34">
        <f>'OCTOBER 2020'!M12:M64</f>
        <v>14881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1120</v>
      </c>
      <c r="K12" s="33">
        <f t="shared" si="1"/>
        <v>24601</v>
      </c>
      <c r="L12" s="33">
        <v>9720</v>
      </c>
      <c r="M12" s="33">
        <f t="shared" si="2"/>
        <v>14881</v>
      </c>
      <c r="N12" s="33"/>
      <c r="O12" s="30"/>
      <c r="P12" s="30"/>
      <c r="Q12" s="30"/>
      <c r="R12" s="30"/>
      <c r="S12" s="30"/>
    </row>
    <row r="13" spans="1:19" ht="15.75" x14ac:dyDescent="0.25">
      <c r="A13" s="33" t="s">
        <v>67</v>
      </c>
      <c r="B13" s="33" t="s">
        <v>103</v>
      </c>
      <c r="C13" s="34">
        <f>'OCTOBER 2020'!M13:M65</f>
        <v>2600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1120</v>
      </c>
      <c r="K13" s="33">
        <f t="shared" si="1"/>
        <v>12320</v>
      </c>
      <c r="L13" s="33">
        <v>10000</v>
      </c>
      <c r="M13" s="33">
        <f t="shared" si="2"/>
        <v>2320</v>
      </c>
      <c r="N13" s="33"/>
      <c r="O13" s="30"/>
      <c r="P13" s="30"/>
      <c r="Q13" s="30"/>
      <c r="R13" s="30"/>
      <c r="S13" s="30"/>
    </row>
    <row r="14" spans="1:19" ht="15.75" x14ac:dyDescent="0.25">
      <c r="A14" s="33" t="s">
        <v>28</v>
      </c>
      <c r="B14" s="33" t="s">
        <v>104</v>
      </c>
      <c r="C14" s="34">
        <f>'OCTOBER 2020'!M14:M66</f>
        <v>-340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1120</v>
      </c>
      <c r="K14" s="33">
        <f t="shared" si="1"/>
        <v>9380</v>
      </c>
      <c r="L14" s="33">
        <v>10500</v>
      </c>
      <c r="M14" s="33">
        <f t="shared" si="2"/>
        <v>-1120</v>
      </c>
      <c r="N14" s="33"/>
      <c r="O14" s="30"/>
      <c r="P14" s="30"/>
      <c r="Q14" s="30"/>
      <c r="R14" s="30"/>
      <c r="S14" s="30"/>
    </row>
    <row r="15" spans="1:19" ht="15.75" x14ac:dyDescent="0.25">
      <c r="A15" s="33" t="s">
        <v>29</v>
      </c>
      <c r="B15" s="34" t="s">
        <v>98</v>
      </c>
      <c r="C15" s="34">
        <f>'OCTOBER 2020'!M15:M67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  <c r="P15" s="30"/>
      <c r="Q15" s="30"/>
      <c r="R15" s="30"/>
      <c r="S15" s="30"/>
    </row>
    <row r="16" spans="1:19" ht="15.75" x14ac:dyDescent="0.25">
      <c r="A16" s="33" t="s">
        <v>68</v>
      </c>
      <c r="B16" s="33" t="s">
        <v>105</v>
      </c>
      <c r="C16" s="34">
        <f>'OCTOBER 2020'!M16:M68</f>
        <v>2391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1120</v>
      </c>
      <c r="K16" s="33">
        <f t="shared" si="1"/>
        <v>12111</v>
      </c>
      <c r="L16" s="33">
        <f>10000</f>
        <v>10000</v>
      </c>
      <c r="M16" s="33">
        <f t="shared" si="2"/>
        <v>2111</v>
      </c>
      <c r="N16" s="33">
        <v>280</v>
      </c>
      <c r="O16" s="30"/>
      <c r="P16" s="30"/>
      <c r="Q16" s="30"/>
      <c r="R16" s="30"/>
      <c r="S16" s="30"/>
    </row>
    <row r="17" spans="1:19" ht="15.75" x14ac:dyDescent="0.25">
      <c r="A17" s="33" t="s">
        <v>69</v>
      </c>
      <c r="B17" s="33" t="s">
        <v>106</v>
      </c>
      <c r="C17" s="34">
        <f>'OCTOBER 2020'!M17:M70</f>
        <v>1500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1120</v>
      </c>
      <c r="K17" s="33">
        <f t="shared" si="1"/>
        <v>11220</v>
      </c>
      <c r="L17" s="33">
        <f>9880</f>
        <v>9880</v>
      </c>
      <c r="M17" s="33">
        <f t="shared" si="2"/>
        <v>1340</v>
      </c>
      <c r="N17" s="33"/>
      <c r="O17" s="30"/>
      <c r="P17" s="30">
        <f>K27+K28</f>
        <v>196650</v>
      </c>
      <c r="Q17" s="30"/>
      <c r="R17" s="30"/>
      <c r="S17" s="30"/>
    </row>
    <row r="18" spans="1:19" ht="15.75" x14ac:dyDescent="0.25">
      <c r="A18" s="33" t="s">
        <v>70</v>
      </c>
      <c r="B18" s="33" t="s">
        <v>102</v>
      </c>
      <c r="C18" s="34">
        <f>'OCTOBER 2020'!M18:M71</f>
        <v>12673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1120</v>
      </c>
      <c r="K18" s="33">
        <f t="shared" si="1"/>
        <v>22393</v>
      </c>
      <c r="L18" s="33">
        <v>9720</v>
      </c>
      <c r="M18" s="33">
        <f t="shared" si="2"/>
        <v>12673</v>
      </c>
      <c r="N18" s="33"/>
      <c r="O18" s="30"/>
      <c r="P18" s="30"/>
      <c r="Q18" s="30"/>
      <c r="R18" s="30"/>
      <c r="S18" s="30"/>
    </row>
    <row r="19" spans="1:19" ht="15.75" x14ac:dyDescent="0.25">
      <c r="A19" s="33" t="s">
        <v>71</v>
      </c>
      <c r="B19" s="33" t="s">
        <v>107</v>
      </c>
      <c r="C19" s="34">
        <f>'OCTOBER 2020'!M19:M72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1120</v>
      </c>
      <c r="K19" s="33">
        <f t="shared" si="1"/>
        <v>9720</v>
      </c>
      <c r="L19" s="33">
        <f>9720</f>
        <v>9720</v>
      </c>
      <c r="M19" s="33">
        <f t="shared" si="2"/>
        <v>0</v>
      </c>
      <c r="N19" s="33"/>
      <c r="O19" s="30" t="s">
        <v>142</v>
      </c>
      <c r="P19" s="30"/>
      <c r="Q19" s="30"/>
      <c r="R19" s="30"/>
      <c r="S19" s="30"/>
    </row>
    <row r="20" spans="1:19" ht="15.75" x14ac:dyDescent="0.25">
      <c r="A20" s="33" t="s">
        <v>30</v>
      </c>
      <c r="B20" s="34" t="s">
        <v>98</v>
      </c>
      <c r="C20" s="34">
        <f>'OCTOBER 2020'!M20:M73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  <c r="P20" s="30"/>
      <c r="Q20" s="30"/>
      <c r="R20" s="30"/>
      <c r="S20" s="30"/>
    </row>
    <row r="21" spans="1:19" ht="15.75" x14ac:dyDescent="0.25">
      <c r="A21" s="33" t="s">
        <v>31</v>
      </c>
      <c r="B21" s="34" t="s">
        <v>98</v>
      </c>
      <c r="C21" s="34">
        <f>'OCTOBER 2020'!M21:M74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  <c r="P21" s="30"/>
      <c r="Q21" s="30"/>
      <c r="R21" s="30"/>
      <c r="S21" s="30"/>
    </row>
    <row r="22" spans="1:19" ht="15.75" x14ac:dyDescent="0.25">
      <c r="A22" s="33" t="s">
        <v>32</v>
      </c>
      <c r="B22" s="34" t="s">
        <v>98</v>
      </c>
      <c r="C22" s="34">
        <f>'OCTOBER 2020'!M22:M75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  <c r="P22" s="30"/>
      <c r="Q22" s="30"/>
      <c r="R22" s="30"/>
      <c r="S22" s="30"/>
    </row>
    <row r="23" spans="1:19" ht="15.75" x14ac:dyDescent="0.25">
      <c r="A23" s="33" t="s">
        <v>33</v>
      </c>
      <c r="B23" s="34" t="s">
        <v>98</v>
      </c>
      <c r="C23" s="34">
        <f>'OCTOBER 2020'!M23:M76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  <c r="P23" s="30"/>
      <c r="Q23" s="30"/>
      <c r="R23" s="30"/>
      <c r="S23" s="30"/>
    </row>
    <row r="24" spans="1:19" ht="15.75" x14ac:dyDescent="0.25">
      <c r="A24" s="33" t="s">
        <v>34</v>
      </c>
      <c r="B24" s="34" t="s">
        <v>98</v>
      </c>
      <c r="C24" s="34">
        <f>'OCTOBER 2020'!M24:M77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  <c r="P24" s="30"/>
      <c r="Q24" s="30"/>
      <c r="R24" s="30"/>
      <c r="S24" s="30"/>
    </row>
    <row r="25" spans="1:19" ht="15.75" x14ac:dyDescent="0.25">
      <c r="A25" s="33" t="s">
        <v>72</v>
      </c>
      <c r="B25" s="33" t="s">
        <v>107</v>
      </c>
      <c r="C25" s="34">
        <f>'OCTOBER 2020'!M25:M78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1120</v>
      </c>
      <c r="K25" s="33">
        <f t="shared" si="1"/>
        <v>9720</v>
      </c>
      <c r="L25" s="33">
        <f>9720</f>
        <v>9720</v>
      </c>
      <c r="M25" s="33">
        <f t="shared" si="2"/>
        <v>0</v>
      </c>
      <c r="N25" s="33"/>
      <c r="O25" s="30" t="s">
        <v>143</v>
      </c>
      <c r="P25" s="30"/>
      <c r="Q25" s="30"/>
      <c r="R25" s="30"/>
      <c r="S25" s="30"/>
    </row>
    <row r="26" spans="1:19" ht="15.75" x14ac:dyDescent="0.25">
      <c r="A26" s="33" t="s">
        <v>73</v>
      </c>
      <c r="B26" s="33" t="s">
        <v>123</v>
      </c>
      <c r="C26" s="34">
        <f>'OCTOBER 2020'!M26:M79</f>
        <v>2860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1120</v>
      </c>
      <c r="K26" s="33">
        <f t="shared" si="1"/>
        <v>12580</v>
      </c>
      <c r="L26" s="33">
        <v>10000</v>
      </c>
      <c r="M26" s="33">
        <f t="shared" si="2"/>
        <v>2580</v>
      </c>
      <c r="N26" s="33">
        <v>280</v>
      </c>
      <c r="O26" s="30"/>
      <c r="P26" s="30"/>
      <c r="Q26" s="30"/>
      <c r="R26" s="30"/>
      <c r="S26" s="30"/>
    </row>
    <row r="27" spans="1:19" ht="15.75" x14ac:dyDescent="0.25">
      <c r="A27" s="33" t="s">
        <v>108</v>
      </c>
      <c r="B27" s="33" t="s">
        <v>110</v>
      </c>
      <c r="C27" s="34">
        <f>'OCTOBER 2020'!M27:M80</f>
        <v>0</v>
      </c>
      <c r="D27" s="33"/>
      <c r="E27" s="33"/>
      <c r="F27" s="33"/>
      <c r="G27" s="33"/>
      <c r="H27" s="33">
        <v>100625</v>
      </c>
      <c r="I27" s="33"/>
      <c r="J27" s="33">
        <f>14%*H27</f>
        <v>14087.500000000002</v>
      </c>
      <c r="K27" s="33">
        <f>C27+D27+E27+F27+G27+H27+I27+J27</f>
        <v>114712.5</v>
      </c>
      <c r="L27" s="33">
        <v>114712.5</v>
      </c>
      <c r="M27" s="33">
        <f t="shared" si="2"/>
        <v>0</v>
      </c>
      <c r="N27" s="33"/>
      <c r="O27" s="30"/>
      <c r="P27" s="30"/>
      <c r="Q27" s="30"/>
      <c r="R27" s="30"/>
      <c r="S27" s="30"/>
    </row>
    <row r="28" spans="1:19" ht="15.75" x14ac:dyDescent="0.25">
      <c r="A28" s="33" t="s">
        <v>109</v>
      </c>
      <c r="B28" s="33" t="s">
        <v>110</v>
      </c>
      <c r="C28" s="34">
        <f>'OCTOBER 2020'!M28:M81</f>
        <v>0</v>
      </c>
      <c r="D28" s="33"/>
      <c r="E28" s="33"/>
      <c r="F28" s="33"/>
      <c r="G28" s="33"/>
      <c r="H28" s="33">
        <v>71875</v>
      </c>
      <c r="I28" s="33"/>
      <c r="J28" s="33">
        <f>14%*H28</f>
        <v>10062.500000000002</v>
      </c>
      <c r="K28" s="33">
        <f>C28+D28+E28+F28+G28+H28+I28+J28</f>
        <v>81937.5</v>
      </c>
      <c r="L28" s="33">
        <v>81937.5</v>
      </c>
      <c r="M28" s="33">
        <f t="shared" si="2"/>
        <v>0</v>
      </c>
      <c r="N28" s="33"/>
      <c r="O28" s="30"/>
      <c r="P28" s="30"/>
      <c r="Q28" s="30"/>
      <c r="R28" s="30"/>
      <c r="S28" s="30"/>
    </row>
    <row r="29" spans="1:19" ht="15.75" x14ac:dyDescent="0.25">
      <c r="A29" s="33" t="s">
        <v>74</v>
      </c>
      <c r="B29" s="33" t="s">
        <v>102</v>
      </c>
      <c r="C29" s="34">
        <f>'OCTOBER 2020'!M29:M82</f>
        <v>15720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1680.0000000000002</v>
      </c>
      <c r="K29" s="33">
        <f t="shared" si="1"/>
        <v>30000</v>
      </c>
      <c r="L29" s="33">
        <v>14280</v>
      </c>
      <c r="M29" s="33">
        <f t="shared" si="2"/>
        <v>15720</v>
      </c>
      <c r="N29" s="33"/>
      <c r="O29" s="30"/>
      <c r="P29" s="30"/>
      <c r="Q29" s="30"/>
      <c r="R29" s="30"/>
      <c r="S29" s="30"/>
    </row>
    <row r="30" spans="1:19" ht="15.75" x14ac:dyDescent="0.25">
      <c r="A30" s="33" t="s">
        <v>75</v>
      </c>
      <c r="B30" s="33" t="s">
        <v>111</v>
      </c>
      <c r="C30" s="34">
        <f>'OCTOBER 2020'!M30:M83</f>
        <v>2959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1120</v>
      </c>
      <c r="K30" s="33">
        <f t="shared" si="1"/>
        <v>12679</v>
      </c>
      <c r="L30" s="33">
        <f>10000</f>
        <v>10000</v>
      </c>
      <c r="M30" s="33">
        <f t="shared" si="2"/>
        <v>2679</v>
      </c>
      <c r="N30" s="33"/>
      <c r="O30" s="30"/>
      <c r="P30" s="30"/>
      <c r="Q30" s="30"/>
      <c r="R30" s="30"/>
      <c r="S30" s="30"/>
    </row>
    <row r="31" spans="1:19" ht="15.75" x14ac:dyDescent="0.25">
      <c r="A31" s="33" t="s">
        <v>76</v>
      </c>
      <c r="B31" s="33" t="s">
        <v>112</v>
      </c>
      <c r="C31" s="34"/>
      <c r="D31" s="33"/>
      <c r="E31" s="33"/>
      <c r="F31" s="33"/>
      <c r="G31" s="33"/>
      <c r="H31" s="33"/>
      <c r="I31" s="33"/>
      <c r="J31" s="33"/>
      <c r="K31" s="33">
        <f t="shared" si="1"/>
        <v>0</v>
      </c>
      <c r="L31" s="33"/>
      <c r="M31" s="33">
        <f t="shared" si="2"/>
        <v>0</v>
      </c>
      <c r="N31" s="33"/>
      <c r="O31" s="30"/>
      <c r="P31" s="30"/>
      <c r="Q31" s="30"/>
      <c r="R31" s="30"/>
      <c r="S31" s="30"/>
    </row>
    <row r="32" spans="1:19" ht="15.75" x14ac:dyDescent="0.25">
      <c r="A32" s="33" t="s">
        <v>77</v>
      </c>
      <c r="B32" s="33" t="s">
        <v>102</v>
      </c>
      <c r="C32" s="34">
        <f>'OCTOBER 2020'!M32:M85</f>
        <v>480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1680.0000000000002</v>
      </c>
      <c r="K32" s="33">
        <f t="shared" si="1"/>
        <v>14760</v>
      </c>
      <c r="L32" s="33">
        <v>14280</v>
      </c>
      <c r="M32" s="33">
        <f t="shared" si="2"/>
        <v>480</v>
      </c>
      <c r="N32" s="33"/>
      <c r="O32" s="30"/>
      <c r="P32" s="30"/>
      <c r="Q32" s="30"/>
      <c r="R32" s="30"/>
      <c r="S32" s="30"/>
    </row>
    <row r="33" spans="1:19" ht="15.75" x14ac:dyDescent="0.25">
      <c r="A33" s="33" t="s">
        <v>78</v>
      </c>
      <c r="B33" s="33" t="s">
        <v>102</v>
      </c>
      <c r="C33" s="34">
        <f>'OCTOBER 2020'!M33:M86</f>
        <v>12520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1680.0000000000002</v>
      </c>
      <c r="K33" s="33">
        <f t="shared" si="1"/>
        <v>26800</v>
      </c>
      <c r="L33" s="33">
        <f>14280+1220</f>
        <v>15500</v>
      </c>
      <c r="M33" s="33">
        <f t="shared" si="2"/>
        <v>11300</v>
      </c>
      <c r="N33" s="33">
        <v>1220</v>
      </c>
      <c r="O33" s="30"/>
      <c r="P33" s="30"/>
      <c r="Q33" s="30"/>
      <c r="R33" s="30"/>
      <c r="S33" s="30"/>
    </row>
    <row r="34" spans="1:19" ht="15.75" x14ac:dyDescent="0.25">
      <c r="A34" s="33" t="s">
        <v>79</v>
      </c>
      <c r="B34" s="34" t="s">
        <v>144</v>
      </c>
      <c r="C34" s="34">
        <f>'OCTOBER 2020'!M34:M87</f>
        <v>0</v>
      </c>
      <c r="D34" s="33">
        <v>3000</v>
      </c>
      <c r="E34" s="33">
        <v>24000</v>
      </c>
      <c r="F34" s="33">
        <v>3000</v>
      </c>
      <c r="G34" s="33">
        <v>5000</v>
      </c>
      <c r="H34" s="33">
        <v>12000</v>
      </c>
      <c r="I34" s="33">
        <v>600</v>
      </c>
      <c r="J34" s="33">
        <f t="shared" si="0"/>
        <v>1680.0000000000002</v>
      </c>
      <c r="K34" s="33">
        <f t="shared" si="1"/>
        <v>49280</v>
      </c>
      <c r="L34" s="33">
        <v>49280</v>
      </c>
      <c r="M34" s="33">
        <f t="shared" si="2"/>
        <v>0</v>
      </c>
      <c r="N34" s="33"/>
      <c r="O34" s="30"/>
      <c r="P34" s="30"/>
      <c r="Q34" s="30"/>
      <c r="R34" s="30"/>
      <c r="S34" s="30"/>
    </row>
    <row r="35" spans="1:19" ht="15.75" x14ac:dyDescent="0.25">
      <c r="A35" s="33" t="s">
        <v>80</v>
      </c>
      <c r="B35" s="33" t="s">
        <v>113</v>
      </c>
      <c r="C35" s="34">
        <f>'OCTOBER 2020'!M35:M88</f>
        <v>-320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1680.0000000000002</v>
      </c>
      <c r="K35" s="33">
        <f t="shared" si="1"/>
        <v>13960</v>
      </c>
      <c r="L35" s="33">
        <v>14500</v>
      </c>
      <c r="M35" s="33">
        <f t="shared" si="2"/>
        <v>-540</v>
      </c>
      <c r="N35" s="33"/>
      <c r="O35" s="30"/>
      <c r="P35" s="30"/>
      <c r="Q35" s="30"/>
      <c r="R35" s="30"/>
      <c r="S35" s="30"/>
    </row>
    <row r="36" spans="1:19" ht="15.75" x14ac:dyDescent="0.25">
      <c r="A36" s="33" t="s">
        <v>81</v>
      </c>
      <c r="B36" s="33" t="s">
        <v>114</v>
      </c>
      <c r="C36" s="34">
        <f>'OCTOBER 2020'!M36:M89</f>
        <v>6920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1680.0000000000002</v>
      </c>
      <c r="K36" s="33">
        <f t="shared" si="1"/>
        <v>21200</v>
      </c>
      <c r="L36" s="33">
        <f>14300</f>
        <v>14300</v>
      </c>
      <c r="M36" s="33">
        <f t="shared" si="2"/>
        <v>6900</v>
      </c>
      <c r="N36" s="33">
        <v>20</v>
      </c>
      <c r="O36" s="30"/>
      <c r="P36" s="30"/>
      <c r="Q36" s="30"/>
      <c r="R36" s="30"/>
      <c r="S36" s="30"/>
    </row>
    <row r="37" spans="1:19" ht="15.75" x14ac:dyDescent="0.25">
      <c r="A37" s="33" t="s">
        <v>82</v>
      </c>
      <c r="B37" s="33" t="s">
        <v>115</v>
      </c>
      <c r="C37" s="34">
        <f>'OCTOBER 2020'!M37:M90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1680.0000000000002</v>
      </c>
      <c r="K37" s="33">
        <f t="shared" si="1"/>
        <v>14280</v>
      </c>
      <c r="L37" s="33">
        <v>14280</v>
      </c>
      <c r="M37" s="33">
        <f t="shared" si="2"/>
        <v>0</v>
      </c>
      <c r="N37" s="33"/>
      <c r="O37" s="30"/>
      <c r="P37" s="30"/>
      <c r="Q37" s="30"/>
      <c r="R37" s="30"/>
      <c r="S37" s="30"/>
    </row>
    <row r="38" spans="1:19" ht="15.75" x14ac:dyDescent="0.25">
      <c r="A38" s="33" t="s">
        <v>83</v>
      </c>
      <c r="B38" s="33" t="s">
        <v>115</v>
      </c>
      <c r="C38" s="34">
        <f>'OCTOBER 2020'!M38:M91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1680.0000000000002</v>
      </c>
      <c r="K38" s="33">
        <f t="shared" si="1"/>
        <v>14280</v>
      </c>
      <c r="L38" s="33">
        <v>14280</v>
      </c>
      <c r="M38" s="33">
        <f t="shared" si="2"/>
        <v>0</v>
      </c>
      <c r="N38" s="33"/>
      <c r="O38" s="30"/>
      <c r="P38" s="30"/>
      <c r="Q38" s="30"/>
      <c r="R38" s="30"/>
      <c r="S38" s="30"/>
    </row>
    <row r="39" spans="1:19" ht="15.75" x14ac:dyDescent="0.25">
      <c r="A39" s="33" t="s">
        <v>84</v>
      </c>
      <c r="B39" s="33" t="s">
        <v>121</v>
      </c>
      <c r="C39" s="34">
        <f>'OCTOBER 2020'!M39:M92</f>
        <v>29340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1680.0000000000002</v>
      </c>
      <c r="K39" s="33">
        <f t="shared" si="1"/>
        <v>43620</v>
      </c>
      <c r="L39" s="33">
        <f>16000+1000+2000+4000</f>
        <v>23000</v>
      </c>
      <c r="M39" s="33">
        <f t="shared" si="2"/>
        <v>20620</v>
      </c>
      <c r="N39" s="33">
        <v>8440</v>
      </c>
      <c r="O39" s="30">
        <f>14280+280</f>
        <v>14560</v>
      </c>
      <c r="P39" s="30"/>
      <c r="Q39" s="30"/>
      <c r="R39" s="30"/>
      <c r="S39" s="30"/>
    </row>
    <row r="40" spans="1:19" ht="15.75" x14ac:dyDescent="0.25">
      <c r="A40" s="33" t="s">
        <v>85</v>
      </c>
      <c r="B40" s="35" t="s">
        <v>122</v>
      </c>
      <c r="C40" s="34">
        <f>'OCTOBER 2020'!M40:M93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1680.0000000000002</v>
      </c>
      <c r="K40" s="33">
        <f t="shared" si="1"/>
        <v>14280</v>
      </c>
      <c r="L40" s="33">
        <f>14280</f>
        <v>14280</v>
      </c>
      <c r="M40" s="33">
        <f>K40-L40</f>
        <v>0</v>
      </c>
      <c r="N40" s="33"/>
      <c r="O40" s="30">
        <f>L39-O39</f>
        <v>8440</v>
      </c>
      <c r="P40" s="30"/>
      <c r="Q40" s="30"/>
      <c r="R40" s="30"/>
      <c r="S40" s="30"/>
    </row>
    <row r="41" spans="1:19" ht="15.75" x14ac:dyDescent="0.25">
      <c r="A41" s="33" t="s">
        <v>86</v>
      </c>
      <c r="B41" s="34" t="s">
        <v>98</v>
      </c>
      <c r="C41" s="34">
        <f>'OCTOBER 2020'!M41:M94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  <c r="P41" s="30"/>
      <c r="Q41" s="30"/>
      <c r="R41" s="30"/>
      <c r="S41" s="30"/>
    </row>
    <row r="42" spans="1:19" ht="15.75" x14ac:dyDescent="0.25">
      <c r="A42" s="33" t="s">
        <v>87</v>
      </c>
      <c r="B42" s="34" t="s">
        <v>98</v>
      </c>
      <c r="C42" s="34">
        <f>'OCTOBER 2020'!M42:M95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  <c r="P42" s="30"/>
      <c r="Q42" s="30"/>
      <c r="R42" s="30"/>
      <c r="S42" s="30"/>
    </row>
    <row r="43" spans="1:19" ht="15.75" x14ac:dyDescent="0.25">
      <c r="A43" s="33" t="s">
        <v>88</v>
      </c>
      <c r="B43" s="34" t="s">
        <v>98</v>
      </c>
      <c r="C43" s="34">
        <f>'OCTOBER 2020'!M43:M96</f>
        <v>0</v>
      </c>
      <c r="D43" s="36"/>
      <c r="E43" s="36"/>
      <c r="F43" s="36"/>
      <c r="G43" s="36"/>
      <c r="H43" s="33"/>
      <c r="I43" s="33"/>
      <c r="J43" s="33">
        <f t="shared" si="0"/>
        <v>0</v>
      </c>
      <c r="K43" s="33">
        <f t="shared" si="1"/>
        <v>0</v>
      </c>
      <c r="L43" s="36"/>
      <c r="M43" s="33">
        <f t="shared" si="2"/>
        <v>0</v>
      </c>
      <c r="N43" s="33"/>
      <c r="O43" s="30"/>
      <c r="P43" s="30"/>
      <c r="Q43" s="30"/>
      <c r="R43" s="30"/>
      <c r="S43" s="30"/>
    </row>
    <row r="44" spans="1:19" ht="15.75" x14ac:dyDescent="0.25">
      <c r="A44" s="33" t="s">
        <v>89</v>
      </c>
      <c r="B44" s="33" t="s">
        <v>116</v>
      </c>
      <c r="C44" s="34">
        <f>'OCTOBER 2020'!M44:M97</f>
        <v>31720</v>
      </c>
      <c r="D44" s="36"/>
      <c r="E44" s="36"/>
      <c r="F44" s="36"/>
      <c r="G44" s="36"/>
      <c r="H44" s="33">
        <v>12000</v>
      </c>
      <c r="I44" s="33">
        <v>600</v>
      </c>
      <c r="J44" s="33">
        <f t="shared" si="0"/>
        <v>1680.0000000000002</v>
      </c>
      <c r="K44" s="33">
        <f t="shared" si="1"/>
        <v>46000</v>
      </c>
      <c r="L44" s="36">
        <f>25000+15000</f>
        <v>40000</v>
      </c>
      <c r="M44" s="33">
        <f t="shared" si="2"/>
        <v>6000</v>
      </c>
      <c r="N44" s="33"/>
      <c r="O44" s="30">
        <f>L39-14280-280</f>
        <v>8440</v>
      </c>
      <c r="P44" s="30"/>
      <c r="Q44" s="30"/>
      <c r="R44" s="30"/>
      <c r="S44" s="30"/>
    </row>
    <row r="45" spans="1:19" ht="15.75" x14ac:dyDescent="0.25">
      <c r="A45" s="33" t="s">
        <v>90</v>
      </c>
      <c r="B45" s="34" t="s">
        <v>98</v>
      </c>
      <c r="C45" s="34">
        <f>'OCTOBER 2020'!M45:M98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  <c r="P45" s="30"/>
      <c r="Q45" s="30"/>
      <c r="R45" s="30"/>
      <c r="S45" s="30"/>
    </row>
    <row r="46" spans="1:19" ht="15.75" x14ac:dyDescent="0.25">
      <c r="A46" s="33" t="s">
        <v>91</v>
      </c>
      <c r="B46" s="37" t="s">
        <v>98</v>
      </c>
      <c r="C46" s="34">
        <f>'OCTOBER 2020'!M46:M99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  <c r="P46" s="30"/>
      <c r="Q46" s="30"/>
      <c r="R46" s="30"/>
      <c r="S46" s="30"/>
    </row>
    <row r="47" spans="1:19" ht="15.75" x14ac:dyDescent="0.25">
      <c r="A47" s="33" t="s">
        <v>37</v>
      </c>
      <c r="B47" s="34" t="s">
        <v>98</v>
      </c>
      <c r="C47" s="34">
        <f>'OCTOBER 2020'!M47:M100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  <c r="P47" s="30"/>
      <c r="Q47" s="30"/>
      <c r="R47" s="30"/>
      <c r="S47" s="30"/>
    </row>
    <row r="48" spans="1:19" ht="15.75" x14ac:dyDescent="0.25">
      <c r="A48" s="33" t="s">
        <v>38</v>
      </c>
      <c r="B48" s="34" t="s">
        <v>98</v>
      </c>
      <c r="C48" s="34">
        <f>'OCTOBER 2020'!M48:M101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  <c r="P48" s="30"/>
      <c r="Q48" s="30"/>
      <c r="R48" s="30"/>
      <c r="S48" s="30"/>
    </row>
    <row r="49" spans="1:19" ht="15.75" x14ac:dyDescent="0.25">
      <c r="A49" s="33" t="s">
        <v>39</v>
      </c>
      <c r="B49" s="34" t="s">
        <v>98</v>
      </c>
      <c r="C49" s="34">
        <f>'OCTOBER 2020'!M49:M102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  <c r="P49" s="30"/>
      <c r="Q49" s="30"/>
      <c r="R49" s="30"/>
      <c r="S49" s="30"/>
    </row>
    <row r="50" spans="1:19" ht="15.75" x14ac:dyDescent="0.25">
      <c r="A50" s="33" t="s">
        <v>40</v>
      </c>
      <c r="B50" s="34" t="s">
        <v>98</v>
      </c>
      <c r="C50" s="34">
        <f>'OCTOBER 2020'!M50:M103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  <c r="P50" s="30"/>
      <c r="Q50" s="30"/>
      <c r="R50" s="30"/>
      <c r="S50" s="30"/>
    </row>
    <row r="51" spans="1:19" ht="15.75" x14ac:dyDescent="0.25">
      <c r="A51" s="33" t="s">
        <v>41</v>
      </c>
      <c r="B51" s="34" t="s">
        <v>98</v>
      </c>
      <c r="C51" s="34">
        <f>'OCTOBER 2020'!M51:M104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  <c r="P51" s="30"/>
      <c r="Q51" s="30"/>
      <c r="R51" s="30"/>
      <c r="S51" s="30"/>
    </row>
    <row r="52" spans="1:19" ht="15.75" x14ac:dyDescent="0.25">
      <c r="A52" s="33" t="s">
        <v>42</v>
      </c>
      <c r="B52" s="37" t="s">
        <v>98</v>
      </c>
      <c r="C52" s="34">
        <f>'OCTOBER 2020'!M52:M105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  <c r="P52" s="30"/>
      <c r="Q52" s="30"/>
      <c r="R52" s="30"/>
      <c r="S52" s="30"/>
    </row>
    <row r="53" spans="1:19" ht="15.75" x14ac:dyDescent="0.25">
      <c r="A53" s="33" t="s">
        <v>43</v>
      </c>
      <c r="B53" s="34" t="s">
        <v>98</v>
      </c>
      <c r="C53" s="34">
        <f>'OCTOBER 2020'!M53:M106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  <c r="P53" s="30">
        <f>P52-L57</f>
        <v>-634170</v>
      </c>
      <c r="Q53" s="30"/>
      <c r="R53" s="30"/>
      <c r="S53" s="30"/>
    </row>
    <row r="54" spans="1:19" ht="15.75" x14ac:dyDescent="0.25">
      <c r="A54" s="33" t="s">
        <v>44</v>
      </c>
      <c r="B54" s="34" t="s">
        <v>98</v>
      </c>
      <c r="C54" s="34">
        <f>'OCTOBER 2020'!M54:M107</f>
        <v>0</v>
      </c>
      <c r="D54" s="36"/>
      <c r="E54" s="36"/>
      <c r="F54" s="36"/>
      <c r="G54" s="36"/>
      <c r="H54" s="33"/>
      <c r="I54" s="33"/>
      <c r="J54" s="33">
        <f t="shared" si="0"/>
        <v>0</v>
      </c>
      <c r="K54" s="33">
        <f t="shared" si="1"/>
        <v>0</v>
      </c>
      <c r="L54" s="36"/>
      <c r="M54" s="33">
        <f t="shared" si="2"/>
        <v>0</v>
      </c>
      <c r="N54" s="33"/>
      <c r="O54" s="30"/>
      <c r="P54" s="30"/>
      <c r="Q54" s="30"/>
      <c r="R54" s="30"/>
      <c r="S54" s="30"/>
    </row>
    <row r="55" spans="1:19" ht="15.75" x14ac:dyDescent="0.25">
      <c r="A55" s="33" t="s">
        <v>92</v>
      </c>
      <c r="B55" s="35" t="s">
        <v>117</v>
      </c>
      <c r="C55" s="34">
        <f>'OCTOBER 2020'!M55:M108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1680.0000000000002</v>
      </c>
      <c r="K55" s="33">
        <f t="shared" si="1"/>
        <v>14280</v>
      </c>
      <c r="L55" s="35">
        <f>14280</f>
        <v>14280</v>
      </c>
      <c r="M55" s="33">
        <f t="shared" si="2"/>
        <v>0</v>
      </c>
      <c r="N55" s="33"/>
      <c r="O55" s="30" t="s">
        <v>132</v>
      </c>
      <c r="P55" s="30"/>
      <c r="Q55" s="30"/>
      <c r="R55" s="30"/>
      <c r="S55" s="30"/>
    </row>
    <row r="56" spans="1:19" ht="15.75" x14ac:dyDescent="0.25">
      <c r="A56" s="33" t="s">
        <v>93</v>
      </c>
      <c r="B56" s="35" t="s">
        <v>118</v>
      </c>
      <c r="C56" s="34">
        <f>'OCTOBER 2020'!M56:M109</f>
        <v>5820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1400.0000000000002</v>
      </c>
      <c r="K56" s="33">
        <f t="shared" si="1"/>
        <v>17820</v>
      </c>
      <c r="L56" s="35">
        <f>3700+5000</f>
        <v>8700</v>
      </c>
      <c r="M56" s="33">
        <f t="shared" si="2"/>
        <v>9120</v>
      </c>
      <c r="N56" s="33"/>
      <c r="O56" s="30"/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4">
        <f>'OCTOBER 2020'!M57:M110</f>
        <v>294946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466500</v>
      </c>
      <c r="I57" s="33">
        <f t="shared" si="3"/>
        <v>16800</v>
      </c>
      <c r="J57" s="33">
        <f t="shared" si="3"/>
        <v>65310</v>
      </c>
      <c r="K57" s="33">
        <f t="shared" si="3"/>
        <v>854283</v>
      </c>
      <c r="L57" s="33">
        <f>SUM(L5:L56)</f>
        <v>634170</v>
      </c>
      <c r="M57" s="33">
        <f>SUM(M5:M56)</f>
        <v>220113</v>
      </c>
      <c r="N57" s="33">
        <f>SUM(N5:N56)</f>
        <v>39240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>
        <f>H56+I56+J56</f>
        <v>12000</v>
      </c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138</v>
      </c>
      <c r="C61" s="44">
        <f>H57</f>
        <v>466500</v>
      </c>
      <c r="D61" s="44"/>
      <c r="E61" s="36"/>
      <c r="F61" s="36"/>
      <c r="G61" s="36" t="s">
        <v>138</v>
      </c>
      <c r="H61" s="44">
        <f>L57</f>
        <v>634170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16800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65310</v>
      </c>
      <c r="D63" s="44"/>
      <c r="E63" s="36"/>
      <c r="F63" s="36"/>
      <c r="G63" s="36" t="s">
        <v>146</v>
      </c>
      <c r="H63" s="44">
        <f>'OCTOBER 2020'!L76</f>
        <v>0</v>
      </c>
      <c r="I63" s="44"/>
      <c r="J63" s="44"/>
      <c r="K63" s="36"/>
      <c r="L63" s="36"/>
      <c r="M63" s="30"/>
      <c r="N63" s="30">
        <f>H56+I56+J56-L56</f>
        <v>3300</v>
      </c>
      <c r="O63" s="30"/>
      <c r="P63" s="30">
        <f>M44-3160</f>
        <v>2840</v>
      </c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>
        <f>N63+P63+M35+14280+14280+4300</f>
        <v>38460</v>
      </c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39240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'OCTOBER 2020'!F76</f>
        <v>45180</v>
      </c>
      <c r="D69" s="36"/>
      <c r="E69" s="36"/>
      <c r="F69" s="36"/>
      <c r="G69" s="46" t="s">
        <v>60</v>
      </c>
      <c r="H69" s="36">
        <v>23325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46" t="s">
        <v>60</v>
      </c>
      <c r="C70" s="36">
        <v>23325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6" t="s">
        <v>17</v>
      </c>
      <c r="C71" s="47">
        <v>0.05</v>
      </c>
      <c r="D71" s="47"/>
      <c r="E71" s="44">
        <f>C71*C61</f>
        <v>23325</v>
      </c>
      <c r="F71" s="36"/>
      <c r="G71" s="36" t="s">
        <v>17</v>
      </c>
      <c r="H71" s="47">
        <v>0.05</v>
      </c>
      <c r="I71" s="47"/>
      <c r="J71" s="47"/>
      <c r="K71" s="44">
        <f>H71*C61</f>
        <v>23325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 t="s">
        <v>136</v>
      </c>
      <c r="C74" s="36"/>
      <c r="D74" s="36"/>
      <c r="E74" s="36">
        <f>L57</f>
        <v>634170</v>
      </c>
      <c r="F74" s="49"/>
      <c r="G74" s="50" t="s">
        <v>136</v>
      </c>
      <c r="H74" s="36"/>
      <c r="I74" s="36"/>
      <c r="J74" s="36"/>
      <c r="K74" s="36">
        <f>L57</f>
        <v>634170</v>
      </c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51" t="s">
        <v>20</v>
      </c>
      <c r="C76" s="48">
        <f>C61+C62+C63+C64+C65+C66+C67+C68+C69+C70</f>
        <v>691355</v>
      </c>
      <c r="D76" s="48"/>
      <c r="E76" s="52">
        <f>SUM(E71:E75)</f>
        <v>657495</v>
      </c>
      <c r="F76" s="48">
        <f>C76-E76</f>
        <v>33860</v>
      </c>
      <c r="G76" s="51" t="s">
        <v>20</v>
      </c>
      <c r="H76" s="48">
        <f>H61+H63+H69</f>
        <v>657495</v>
      </c>
      <c r="I76" s="48"/>
      <c r="J76" s="48"/>
      <c r="K76" s="48">
        <f>SUM(K71:K75)</f>
        <v>657495</v>
      </c>
      <c r="L76" s="48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45">
        <f>F76+E71</f>
        <v>57185</v>
      </c>
      <c r="F77" s="30" t="s">
        <v>22</v>
      </c>
      <c r="G77" s="30"/>
      <c r="H77" s="30"/>
      <c r="I77" s="30"/>
      <c r="J77" s="30"/>
      <c r="K77" s="45">
        <f>K76-K71</f>
        <v>634170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 spans="8:8" x14ac:dyDescent="0.25">
      <c r="H81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workbookViewId="0">
      <selection activeCell="L44" sqref="L44"/>
    </sheetView>
  </sheetViews>
  <sheetFormatPr defaultRowHeight="15" x14ac:dyDescent="0.25"/>
  <cols>
    <col min="2" max="2" width="24.42578125" customWidth="1"/>
    <col min="7" max="7" width="11.7109375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147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3" t="s">
        <v>61</v>
      </c>
      <c r="B5" s="33" t="s">
        <v>96</v>
      </c>
      <c r="C5" s="34">
        <f>NOVEMBER20!M5:M56</f>
        <v>17333</v>
      </c>
      <c r="D5" s="33"/>
      <c r="E5" s="33"/>
      <c r="F5" s="33"/>
      <c r="G5" s="33"/>
      <c r="H5" s="33">
        <v>12000</v>
      </c>
      <c r="I5" s="33">
        <v>600</v>
      </c>
      <c r="J5" s="33">
        <f>14%*H5</f>
        <v>1680.0000000000002</v>
      </c>
      <c r="K5" s="33">
        <f>C5+D5+E5+F5+G5+H5+I5+J5</f>
        <v>31613</v>
      </c>
      <c r="L5" s="33">
        <f>10000+5000</f>
        <v>15000</v>
      </c>
      <c r="M5" s="33">
        <f>K5-L5</f>
        <v>16613</v>
      </c>
      <c r="N5" s="33">
        <v>720</v>
      </c>
      <c r="O5" s="30"/>
      <c r="P5" s="30"/>
      <c r="Q5" s="30"/>
      <c r="R5" s="30"/>
      <c r="S5" s="30"/>
    </row>
    <row r="6" spans="1:19" ht="15.75" x14ac:dyDescent="0.25">
      <c r="A6" s="33" t="s">
        <v>95</v>
      </c>
      <c r="B6" s="33" t="s">
        <v>97</v>
      </c>
      <c r="C6" s="34">
        <f>NOVEMBER20!M6:M57</f>
        <v>54496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14%*H6</f>
        <v>1680.0000000000002</v>
      </c>
      <c r="K6" s="33">
        <f t="shared" ref="K6:K56" si="1">C6+D6+E6+F6+G6+H6+I6+J6</f>
        <v>68776</v>
      </c>
      <c r="L6" s="33">
        <f>11800+11000</f>
        <v>22800</v>
      </c>
      <c r="M6" s="33">
        <f t="shared" ref="M6:M56" si="2">K6-L6</f>
        <v>45976</v>
      </c>
      <c r="N6" s="33"/>
      <c r="O6" s="30"/>
      <c r="P6" s="30"/>
      <c r="Q6" s="30"/>
      <c r="R6" s="30"/>
      <c r="S6" s="30"/>
    </row>
    <row r="7" spans="1:19" ht="15.75" x14ac:dyDescent="0.25">
      <c r="A7" s="33" t="s">
        <v>62</v>
      </c>
      <c r="B7" s="34" t="s">
        <v>98</v>
      </c>
      <c r="C7" s="34">
        <f>NOVEMBER20!M7:M58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  <c r="P7" s="30"/>
      <c r="Q7" s="30"/>
      <c r="R7" s="30"/>
      <c r="S7" s="30"/>
    </row>
    <row r="8" spans="1:19" ht="15.75" x14ac:dyDescent="0.25">
      <c r="A8" s="33" t="s">
        <v>63</v>
      </c>
      <c r="B8" s="33" t="s">
        <v>99</v>
      </c>
      <c r="C8" s="34">
        <f>NOVEMBER20!M8:M59</f>
        <v>42900</v>
      </c>
      <c r="D8" s="33"/>
      <c r="E8" s="33"/>
      <c r="F8" s="33"/>
      <c r="G8" s="33"/>
      <c r="H8" s="33">
        <v>12000</v>
      </c>
      <c r="I8" s="33">
        <v>600</v>
      </c>
      <c r="J8" s="33">
        <f t="shared" si="0"/>
        <v>1680.0000000000002</v>
      </c>
      <c r="K8" s="33">
        <f t="shared" si="1"/>
        <v>57180</v>
      </c>
      <c r="L8" s="33">
        <f>14500</f>
        <v>14500</v>
      </c>
      <c r="M8" s="33">
        <f t="shared" si="2"/>
        <v>42680</v>
      </c>
      <c r="N8" s="33"/>
      <c r="O8" s="30" t="s">
        <v>145</v>
      </c>
      <c r="P8" s="30"/>
      <c r="Q8" s="30"/>
      <c r="R8" s="30"/>
      <c r="S8" s="30"/>
    </row>
    <row r="9" spans="1:19" ht="15.75" x14ac:dyDescent="0.25">
      <c r="A9" s="33" t="s">
        <v>64</v>
      </c>
      <c r="B9" s="34" t="s">
        <v>98</v>
      </c>
      <c r="C9" s="34">
        <f>NOVEMBER20!M9:M60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  <c r="P9" s="30"/>
      <c r="Q9" s="30"/>
      <c r="R9" s="30"/>
      <c r="S9" s="30"/>
    </row>
    <row r="10" spans="1:19" ht="15.75" x14ac:dyDescent="0.25">
      <c r="A10" s="33" t="s">
        <v>27</v>
      </c>
      <c r="B10" s="33" t="s">
        <v>100</v>
      </c>
      <c r="C10" s="34">
        <f>NOVEMBER20!M10:M61</f>
        <v>-240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1680.0000000000002</v>
      </c>
      <c r="K10" s="33">
        <f t="shared" si="1"/>
        <v>14040</v>
      </c>
      <c r="L10" s="33"/>
      <c r="M10" s="33">
        <f t="shared" si="2"/>
        <v>14040</v>
      </c>
      <c r="N10" s="33"/>
      <c r="O10" s="30"/>
      <c r="P10" s="30"/>
      <c r="Q10" s="30"/>
      <c r="R10" s="30"/>
      <c r="S10" s="30"/>
    </row>
    <row r="11" spans="1:19" ht="15.75" x14ac:dyDescent="0.25">
      <c r="A11" s="33" t="s">
        <v>65</v>
      </c>
      <c r="B11" s="33" t="s">
        <v>101</v>
      </c>
      <c r="C11" s="34">
        <f>NOVEMBER20!M11:M62</f>
        <v>-1440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1680.0000000000002</v>
      </c>
      <c r="K11" s="33">
        <f t="shared" si="1"/>
        <v>12840</v>
      </c>
      <c r="L11" s="33">
        <f>14000</f>
        <v>14000</v>
      </c>
      <c r="M11" s="33">
        <f t="shared" si="2"/>
        <v>-1160</v>
      </c>
      <c r="N11" s="33"/>
      <c r="O11" s="30"/>
      <c r="P11" s="30"/>
      <c r="Q11" s="30"/>
      <c r="R11" s="30"/>
      <c r="S11" s="30"/>
    </row>
    <row r="12" spans="1:19" ht="15.75" x14ac:dyDescent="0.25">
      <c r="A12" s="33" t="s">
        <v>66</v>
      </c>
      <c r="B12" s="33" t="s">
        <v>102</v>
      </c>
      <c r="C12" s="34">
        <f>NOVEMBER20!M12:M63</f>
        <v>14881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1120</v>
      </c>
      <c r="K12" s="33">
        <f t="shared" si="1"/>
        <v>24601</v>
      </c>
      <c r="L12" s="33">
        <v>9720</v>
      </c>
      <c r="M12" s="33">
        <f t="shared" si="2"/>
        <v>14881</v>
      </c>
      <c r="N12" s="33"/>
      <c r="O12" s="30"/>
      <c r="P12" s="30"/>
      <c r="Q12" s="30"/>
      <c r="R12" s="30"/>
      <c r="S12" s="30"/>
    </row>
    <row r="13" spans="1:19" ht="15.75" x14ac:dyDescent="0.25">
      <c r="A13" s="33" t="s">
        <v>67</v>
      </c>
      <c r="B13" s="33" t="s">
        <v>103</v>
      </c>
      <c r="C13" s="34">
        <f>NOVEMBER20!M13:M64</f>
        <v>2320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1120</v>
      </c>
      <c r="K13" s="33">
        <f t="shared" si="1"/>
        <v>12040</v>
      </c>
      <c r="L13" s="33">
        <v>10000</v>
      </c>
      <c r="M13" s="33">
        <f t="shared" si="2"/>
        <v>2040</v>
      </c>
      <c r="N13" s="33">
        <v>280</v>
      </c>
      <c r="O13" s="30"/>
      <c r="P13" s="30"/>
      <c r="Q13" s="30"/>
      <c r="R13" s="30"/>
      <c r="S13" s="30"/>
    </row>
    <row r="14" spans="1:19" ht="15.75" x14ac:dyDescent="0.25">
      <c r="A14" s="33" t="s">
        <v>28</v>
      </c>
      <c r="B14" s="33" t="s">
        <v>104</v>
      </c>
      <c r="C14" s="34">
        <f>NOVEMBER20!M14:M65</f>
        <v>-1120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1120</v>
      </c>
      <c r="K14" s="33">
        <f t="shared" si="1"/>
        <v>8600</v>
      </c>
      <c r="L14" s="33"/>
      <c r="M14" s="33">
        <f t="shared" si="2"/>
        <v>8600</v>
      </c>
      <c r="N14" s="33"/>
      <c r="O14" s="30"/>
      <c r="P14" s="30"/>
      <c r="Q14" s="30"/>
      <c r="R14" s="30"/>
      <c r="S14" s="30"/>
    </row>
    <row r="15" spans="1:19" ht="15.75" x14ac:dyDescent="0.25">
      <c r="A15" s="33" t="s">
        <v>29</v>
      </c>
      <c r="B15" s="34" t="s">
        <v>98</v>
      </c>
      <c r="C15" s="34">
        <f>NOVEMBER20!M15:M66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  <c r="P15" s="30"/>
      <c r="Q15" s="30"/>
      <c r="R15" s="30"/>
      <c r="S15" s="30"/>
    </row>
    <row r="16" spans="1:19" ht="15.75" x14ac:dyDescent="0.25">
      <c r="A16" s="33" t="s">
        <v>68</v>
      </c>
      <c r="B16" s="33" t="s">
        <v>105</v>
      </c>
      <c r="C16" s="34">
        <f>NOVEMBER20!M16:M67</f>
        <v>2111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1120</v>
      </c>
      <c r="K16" s="33">
        <f t="shared" si="1"/>
        <v>11831</v>
      </c>
      <c r="L16" s="33">
        <f>10000</f>
        <v>10000</v>
      </c>
      <c r="M16" s="33">
        <f t="shared" si="2"/>
        <v>1831</v>
      </c>
      <c r="N16" s="33">
        <v>280</v>
      </c>
      <c r="O16" s="30"/>
      <c r="P16" s="30"/>
      <c r="Q16" s="30"/>
      <c r="R16" s="30"/>
      <c r="S16" s="30"/>
    </row>
    <row r="17" spans="1:19" ht="15.75" x14ac:dyDescent="0.25">
      <c r="A17" s="33" t="s">
        <v>69</v>
      </c>
      <c r="B17" s="33" t="s">
        <v>106</v>
      </c>
      <c r="C17" s="34">
        <f>NOVEMBER20!M17:M68</f>
        <v>1340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1120</v>
      </c>
      <c r="K17" s="33">
        <f t="shared" si="1"/>
        <v>11060</v>
      </c>
      <c r="L17" s="33">
        <v>7000</v>
      </c>
      <c r="M17" s="33">
        <f t="shared" si="2"/>
        <v>4060</v>
      </c>
      <c r="N17" s="33"/>
      <c r="O17" s="30"/>
      <c r="P17" s="30">
        <f>K27+K28</f>
        <v>196650</v>
      </c>
      <c r="Q17" s="30"/>
      <c r="R17" s="30"/>
      <c r="S17" s="30"/>
    </row>
    <row r="18" spans="1:19" ht="15.75" x14ac:dyDescent="0.25">
      <c r="A18" s="33" t="s">
        <v>70</v>
      </c>
      <c r="B18" s="33" t="s">
        <v>102</v>
      </c>
      <c r="C18" s="34">
        <f>NOVEMBER20!M18:M69</f>
        <v>12673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1120</v>
      </c>
      <c r="K18" s="33">
        <f t="shared" si="1"/>
        <v>22393</v>
      </c>
      <c r="L18" s="33">
        <v>9720</v>
      </c>
      <c r="M18" s="33">
        <f t="shared" si="2"/>
        <v>12673</v>
      </c>
      <c r="N18" s="33"/>
      <c r="O18" s="30"/>
      <c r="P18" s="30"/>
      <c r="Q18" s="30"/>
      <c r="R18" s="30"/>
      <c r="S18" s="30"/>
    </row>
    <row r="19" spans="1:19" ht="15.75" x14ac:dyDescent="0.25">
      <c r="A19" s="33" t="s">
        <v>71</v>
      </c>
      <c r="B19" s="33" t="s">
        <v>107</v>
      </c>
      <c r="C19" s="34">
        <f>NOVEMBER20!M19:M70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1120</v>
      </c>
      <c r="K19" s="33">
        <f t="shared" si="1"/>
        <v>9720</v>
      </c>
      <c r="L19" s="33">
        <f>9720+9720</f>
        <v>19440</v>
      </c>
      <c r="M19" s="33">
        <f t="shared" si="2"/>
        <v>-9720</v>
      </c>
      <c r="N19" s="33"/>
      <c r="O19" s="30" t="s">
        <v>142</v>
      </c>
      <c r="P19" s="30"/>
      <c r="Q19" s="30"/>
      <c r="R19" s="30"/>
      <c r="S19" s="30"/>
    </row>
    <row r="20" spans="1:19" ht="15.75" x14ac:dyDescent="0.25">
      <c r="A20" s="33" t="s">
        <v>30</v>
      </c>
      <c r="B20" s="34" t="s">
        <v>98</v>
      </c>
      <c r="C20" s="34">
        <f>NOVEMBER20!M20:M71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  <c r="P20" s="30"/>
      <c r="Q20" s="30"/>
      <c r="R20" s="30"/>
      <c r="S20" s="30"/>
    </row>
    <row r="21" spans="1:19" ht="15.75" x14ac:dyDescent="0.25">
      <c r="A21" s="33" t="s">
        <v>31</v>
      </c>
      <c r="B21" s="34" t="s">
        <v>98</v>
      </c>
      <c r="C21" s="34">
        <f>NOVEMBER20!M21:M72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  <c r="P21" s="30"/>
      <c r="Q21" s="30"/>
      <c r="R21" s="30"/>
      <c r="S21" s="30"/>
    </row>
    <row r="22" spans="1:19" ht="15.75" x14ac:dyDescent="0.25">
      <c r="A22" s="33" t="s">
        <v>32</v>
      </c>
      <c r="B22" s="34" t="s">
        <v>98</v>
      </c>
      <c r="C22" s="34">
        <f>NOVEMBER20!M22:M73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  <c r="P22" s="30">
        <f>L18+L12+14280+14280</f>
        <v>48000</v>
      </c>
      <c r="Q22" s="30">
        <f>P22+Q23</f>
        <v>55000</v>
      </c>
      <c r="R22" s="30"/>
      <c r="S22" s="30"/>
    </row>
    <row r="23" spans="1:19" ht="15.75" x14ac:dyDescent="0.25">
      <c r="A23" s="33" t="s">
        <v>33</v>
      </c>
      <c r="B23" s="34" t="s">
        <v>98</v>
      </c>
      <c r="C23" s="34">
        <f>NOVEMBER20!M23:M74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  <c r="P23" s="30">
        <f>68500-P22</f>
        <v>20500</v>
      </c>
      <c r="Q23" s="30">
        <f>P23-13500</f>
        <v>7000</v>
      </c>
      <c r="R23" s="30"/>
      <c r="S23" s="30"/>
    </row>
    <row r="24" spans="1:19" ht="15.75" x14ac:dyDescent="0.25">
      <c r="A24" s="33" t="s">
        <v>34</v>
      </c>
      <c r="B24" s="34" t="s">
        <v>98</v>
      </c>
      <c r="C24" s="34">
        <f>NOVEMBER20!M24:M75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  <c r="P24" s="30"/>
      <c r="Q24" s="30"/>
      <c r="R24" s="30"/>
      <c r="S24" s="30"/>
    </row>
    <row r="25" spans="1:19" ht="15.75" x14ac:dyDescent="0.25">
      <c r="A25" s="33" t="s">
        <v>72</v>
      </c>
      <c r="B25" s="33" t="s">
        <v>107</v>
      </c>
      <c r="C25" s="34">
        <f>NOVEMBER20!M25:M76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1120</v>
      </c>
      <c r="K25" s="33">
        <f t="shared" si="1"/>
        <v>9720</v>
      </c>
      <c r="L25" s="33">
        <f>9720+9720</f>
        <v>19440</v>
      </c>
      <c r="M25" s="33">
        <f t="shared" si="2"/>
        <v>-9720</v>
      </c>
      <c r="N25" s="33"/>
      <c r="O25" s="30" t="s">
        <v>143</v>
      </c>
      <c r="P25" s="30"/>
      <c r="Q25" s="30"/>
      <c r="R25" s="30"/>
      <c r="S25" s="30"/>
    </row>
    <row r="26" spans="1:19" ht="15.75" x14ac:dyDescent="0.25">
      <c r="A26" s="33" t="s">
        <v>73</v>
      </c>
      <c r="B26" s="33" t="s">
        <v>123</v>
      </c>
      <c r="C26" s="34">
        <f>NOVEMBER20!M26:M77</f>
        <v>2580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1120</v>
      </c>
      <c r="K26" s="33">
        <f t="shared" si="1"/>
        <v>12300</v>
      </c>
      <c r="L26" s="33">
        <f>5000</f>
        <v>5000</v>
      </c>
      <c r="M26" s="33">
        <f t="shared" si="2"/>
        <v>7300</v>
      </c>
      <c r="N26" s="33"/>
      <c r="O26" s="30"/>
      <c r="P26" s="30"/>
      <c r="Q26" s="30"/>
      <c r="R26" s="30"/>
      <c r="S26" s="30"/>
    </row>
    <row r="27" spans="1:19" ht="15.75" x14ac:dyDescent="0.25">
      <c r="A27" s="33" t="s">
        <v>108</v>
      </c>
      <c r="B27" s="33" t="s">
        <v>110</v>
      </c>
      <c r="C27" s="34">
        <f>NOVEMBER20!M27:M78</f>
        <v>0</v>
      </c>
      <c r="D27" s="33"/>
      <c r="E27" s="33"/>
      <c r="F27" s="33"/>
      <c r="G27" s="33"/>
      <c r="H27" s="33">
        <v>100625</v>
      </c>
      <c r="I27" s="33"/>
      <c r="J27" s="33">
        <f>14%*H27</f>
        <v>14087.500000000002</v>
      </c>
      <c r="K27" s="33">
        <f>C27+D27+E27+F27+G27+H27+I27+J27</f>
        <v>114712.5</v>
      </c>
      <c r="L27" s="33">
        <v>114712.5</v>
      </c>
      <c r="M27" s="33">
        <f t="shared" si="2"/>
        <v>0</v>
      </c>
      <c r="N27" s="33"/>
      <c r="O27" s="30"/>
      <c r="P27" s="30"/>
      <c r="Q27" s="30"/>
      <c r="R27" s="30"/>
      <c r="S27" s="30"/>
    </row>
    <row r="28" spans="1:19" ht="15.75" x14ac:dyDescent="0.25">
      <c r="A28" s="33" t="s">
        <v>109</v>
      </c>
      <c r="B28" s="33" t="s">
        <v>110</v>
      </c>
      <c r="C28" s="34">
        <f>NOVEMBER20!M28:M79</f>
        <v>0</v>
      </c>
      <c r="D28" s="33"/>
      <c r="E28" s="33"/>
      <c r="F28" s="33"/>
      <c r="G28" s="33"/>
      <c r="H28" s="33">
        <v>71875</v>
      </c>
      <c r="I28" s="33"/>
      <c r="J28" s="33">
        <f>14%*H28</f>
        <v>10062.500000000002</v>
      </c>
      <c r="K28" s="33">
        <f>C28+D28+E28+F28+G28+H28+I28+J28</f>
        <v>81937.5</v>
      </c>
      <c r="L28" s="33">
        <v>81937.5</v>
      </c>
      <c r="M28" s="33">
        <f t="shared" si="2"/>
        <v>0</v>
      </c>
      <c r="N28" s="33"/>
      <c r="O28" s="30"/>
      <c r="P28" s="30"/>
      <c r="Q28" s="30"/>
      <c r="R28" s="30"/>
      <c r="S28" s="30"/>
    </row>
    <row r="29" spans="1:19" ht="15.75" x14ac:dyDescent="0.25">
      <c r="A29" s="33" t="s">
        <v>74</v>
      </c>
      <c r="B29" s="33" t="s">
        <v>102</v>
      </c>
      <c r="C29" s="34">
        <f>NOVEMBER20!M29:M80</f>
        <v>15720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1680.0000000000002</v>
      </c>
      <c r="K29" s="33">
        <f t="shared" si="1"/>
        <v>30000</v>
      </c>
      <c r="L29" s="33">
        <v>14280</v>
      </c>
      <c r="M29" s="33">
        <f t="shared" si="2"/>
        <v>15720</v>
      </c>
      <c r="N29" s="33"/>
      <c r="O29" s="30"/>
      <c r="P29" s="30"/>
      <c r="Q29" s="30"/>
      <c r="R29" s="30"/>
      <c r="S29" s="30"/>
    </row>
    <row r="30" spans="1:19" ht="15.75" x14ac:dyDescent="0.25">
      <c r="A30" s="33" t="s">
        <v>75</v>
      </c>
      <c r="B30" s="33" t="s">
        <v>111</v>
      </c>
      <c r="C30" s="34">
        <f>NOVEMBER20!M30:M81</f>
        <v>2679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1120</v>
      </c>
      <c r="K30" s="33">
        <f t="shared" si="1"/>
        <v>12399</v>
      </c>
      <c r="L30" s="33">
        <v>10000</v>
      </c>
      <c r="M30" s="33">
        <f t="shared" si="2"/>
        <v>2399</v>
      </c>
      <c r="N30" s="33">
        <v>280</v>
      </c>
      <c r="O30" s="30"/>
      <c r="P30" s="30"/>
      <c r="Q30" s="30"/>
      <c r="R30" s="30"/>
      <c r="S30" s="30"/>
    </row>
    <row r="31" spans="1:19" ht="15.75" x14ac:dyDescent="0.25">
      <c r="A31" s="33" t="s">
        <v>76</v>
      </c>
      <c r="B31" s="33" t="s">
        <v>112</v>
      </c>
      <c r="C31" s="34">
        <f>NOVEMBER20!M31:M82</f>
        <v>0</v>
      </c>
      <c r="D31" s="33"/>
      <c r="E31" s="33"/>
      <c r="F31" s="33"/>
      <c r="G31" s="33"/>
      <c r="H31" s="33"/>
      <c r="I31" s="33"/>
      <c r="J31" s="33"/>
      <c r="K31" s="33">
        <f t="shared" si="1"/>
        <v>0</v>
      </c>
      <c r="L31" s="33"/>
      <c r="M31" s="33">
        <f t="shared" si="2"/>
        <v>0</v>
      </c>
      <c r="N31" s="33"/>
      <c r="O31" s="30"/>
      <c r="P31" s="30">
        <f>0.05*5000</f>
        <v>250</v>
      </c>
      <c r="Q31" s="30"/>
      <c r="R31" s="30"/>
      <c r="S31" s="30"/>
    </row>
    <row r="32" spans="1:19" ht="15.75" x14ac:dyDescent="0.25">
      <c r="A32" s="33" t="s">
        <v>77</v>
      </c>
      <c r="B32" s="33" t="s">
        <v>102</v>
      </c>
      <c r="C32" s="34">
        <f>NOVEMBER20!M32:M83</f>
        <v>480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1680.0000000000002</v>
      </c>
      <c r="K32" s="33">
        <f t="shared" si="1"/>
        <v>14760</v>
      </c>
      <c r="L32" s="33">
        <v>14280</v>
      </c>
      <c r="M32" s="33">
        <f t="shared" si="2"/>
        <v>480</v>
      </c>
      <c r="N32" s="33"/>
      <c r="O32" s="30"/>
      <c r="P32" s="30"/>
      <c r="Q32" s="30"/>
      <c r="R32" s="30"/>
      <c r="S32" s="30"/>
    </row>
    <row r="33" spans="1:19" ht="15.75" x14ac:dyDescent="0.25">
      <c r="A33" s="33" t="s">
        <v>78</v>
      </c>
      <c r="B33" s="33" t="s">
        <v>102</v>
      </c>
      <c r="C33" s="34">
        <f>NOVEMBER20!M33:M84</f>
        <v>11300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1680.0000000000002</v>
      </c>
      <c r="K33" s="33">
        <f t="shared" si="1"/>
        <v>25580</v>
      </c>
      <c r="L33" s="33">
        <f>7000</f>
        <v>7000</v>
      </c>
      <c r="M33" s="33">
        <f t="shared" si="2"/>
        <v>18580</v>
      </c>
      <c r="N33" s="33"/>
      <c r="O33" s="30"/>
      <c r="P33" s="30"/>
      <c r="Q33" s="30"/>
      <c r="R33" s="30"/>
      <c r="S33" s="30"/>
    </row>
    <row r="34" spans="1:19" ht="15.75" x14ac:dyDescent="0.25">
      <c r="A34" s="33" t="s">
        <v>79</v>
      </c>
      <c r="B34" s="34" t="s">
        <v>144</v>
      </c>
      <c r="C34" s="34">
        <f>NOVEMBER20!M34:M85</f>
        <v>0</v>
      </c>
      <c r="D34" s="33"/>
      <c r="E34" s="33"/>
      <c r="F34" s="33"/>
      <c r="G34" s="33"/>
      <c r="H34" s="34">
        <v>12000</v>
      </c>
      <c r="I34" s="34">
        <v>600</v>
      </c>
      <c r="J34" s="34">
        <f t="shared" si="0"/>
        <v>1680.0000000000002</v>
      </c>
      <c r="K34" s="34">
        <f t="shared" si="1"/>
        <v>14280</v>
      </c>
      <c r="L34" s="34">
        <f>14280+14500</f>
        <v>28780</v>
      </c>
      <c r="M34" s="33">
        <f t="shared" si="2"/>
        <v>-14500</v>
      </c>
      <c r="N34" s="33"/>
      <c r="O34" s="30"/>
      <c r="P34" s="30"/>
      <c r="Q34" s="30"/>
      <c r="R34" s="30"/>
      <c r="S34" s="30"/>
    </row>
    <row r="35" spans="1:19" ht="15.75" x14ac:dyDescent="0.25">
      <c r="A35" s="33" t="s">
        <v>80</v>
      </c>
      <c r="B35" s="33" t="s">
        <v>113</v>
      </c>
      <c r="C35" s="34">
        <f>NOVEMBER20!M35:M86</f>
        <v>-540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1680.0000000000002</v>
      </c>
      <c r="K35" s="33">
        <f t="shared" si="1"/>
        <v>13740</v>
      </c>
      <c r="L35" s="33">
        <v>14500</v>
      </c>
      <c r="M35" s="33">
        <f t="shared" si="2"/>
        <v>-760</v>
      </c>
      <c r="N35" s="33"/>
      <c r="O35" s="30"/>
      <c r="P35" s="30"/>
      <c r="Q35" s="30"/>
      <c r="R35" s="30"/>
      <c r="S35" s="30"/>
    </row>
    <row r="36" spans="1:19" ht="15.75" x14ac:dyDescent="0.25">
      <c r="A36" s="33" t="s">
        <v>81</v>
      </c>
      <c r="B36" s="33" t="s">
        <v>114</v>
      </c>
      <c r="C36" s="34">
        <f>NOVEMBER20!M36:M87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1680.0000000000002</v>
      </c>
      <c r="K36" s="33">
        <f t="shared" si="1"/>
        <v>21180</v>
      </c>
      <c r="L36" s="33">
        <f>14500</f>
        <v>14500</v>
      </c>
      <c r="M36" s="33">
        <f t="shared" si="2"/>
        <v>6680</v>
      </c>
      <c r="N36" s="33">
        <v>220</v>
      </c>
      <c r="O36" s="30"/>
      <c r="P36" s="30"/>
      <c r="Q36" s="30"/>
      <c r="R36" s="30"/>
      <c r="S36" s="30"/>
    </row>
    <row r="37" spans="1:19" ht="15.75" x14ac:dyDescent="0.25">
      <c r="A37" s="33" t="s">
        <v>82</v>
      </c>
      <c r="B37" s="33" t="s">
        <v>115</v>
      </c>
      <c r="C37" s="34">
        <f>NOVEMBER20!M37:M88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1680.0000000000002</v>
      </c>
      <c r="K37" s="33">
        <f t="shared" si="1"/>
        <v>14280</v>
      </c>
      <c r="L37" s="33">
        <v>14280</v>
      </c>
      <c r="M37" s="33">
        <f t="shared" si="2"/>
        <v>0</v>
      </c>
      <c r="N37" s="33"/>
      <c r="O37" s="30"/>
      <c r="P37" s="30"/>
      <c r="Q37" s="30"/>
      <c r="R37" s="30"/>
      <c r="S37" s="30"/>
    </row>
    <row r="38" spans="1:19" ht="15.75" x14ac:dyDescent="0.25">
      <c r="A38" s="33" t="s">
        <v>83</v>
      </c>
      <c r="B38" s="33" t="s">
        <v>115</v>
      </c>
      <c r="C38" s="34">
        <f>NOVEMBER20!M38:M89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1680.0000000000002</v>
      </c>
      <c r="K38" s="33">
        <f t="shared" si="1"/>
        <v>14280</v>
      </c>
      <c r="L38" s="33">
        <v>14280</v>
      </c>
      <c r="M38" s="33">
        <f t="shared" si="2"/>
        <v>0</v>
      </c>
      <c r="N38" s="33"/>
      <c r="O38" s="30"/>
      <c r="P38" s="30"/>
      <c r="Q38" s="30"/>
      <c r="R38" s="30"/>
      <c r="S38" s="30"/>
    </row>
    <row r="39" spans="1:19" ht="15.75" x14ac:dyDescent="0.25">
      <c r="A39" s="33" t="s">
        <v>84</v>
      </c>
      <c r="B39" s="33" t="s">
        <v>121</v>
      </c>
      <c r="C39" s="34">
        <f>NOVEMBER20!M39:M90</f>
        <v>20620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1680.0000000000002</v>
      </c>
      <c r="K39" s="33">
        <f t="shared" si="1"/>
        <v>34900</v>
      </c>
      <c r="L39" s="33">
        <f>5500+20000</f>
        <v>25500</v>
      </c>
      <c r="M39" s="33">
        <f t="shared" si="2"/>
        <v>9400</v>
      </c>
      <c r="N39" s="33">
        <f>5500+5720</f>
        <v>11220</v>
      </c>
      <c r="O39" s="30"/>
      <c r="P39" s="30"/>
      <c r="Q39" s="30"/>
      <c r="R39" s="30"/>
      <c r="S39" s="30"/>
    </row>
    <row r="40" spans="1:19" ht="15.75" x14ac:dyDescent="0.25">
      <c r="A40" s="33" t="s">
        <v>85</v>
      </c>
      <c r="B40" s="35" t="s">
        <v>122</v>
      </c>
      <c r="C40" s="34">
        <f>NOVEMBER20!M40:M91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1680.0000000000002</v>
      </c>
      <c r="K40" s="33">
        <f t="shared" si="1"/>
        <v>14280</v>
      </c>
      <c r="L40" s="33">
        <f>11000+3280</f>
        <v>14280</v>
      </c>
      <c r="M40" s="33">
        <f>K40-L40</f>
        <v>0</v>
      </c>
      <c r="N40" s="33"/>
      <c r="O40" s="30"/>
      <c r="P40" s="30"/>
      <c r="Q40" s="30"/>
      <c r="R40" s="30"/>
      <c r="S40" s="30"/>
    </row>
    <row r="41" spans="1:19" ht="15.75" x14ac:dyDescent="0.25">
      <c r="A41" s="33" t="s">
        <v>86</v>
      </c>
      <c r="B41" s="34" t="s">
        <v>98</v>
      </c>
      <c r="C41" s="34">
        <f>NOVEMBER20!M41:M92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  <c r="P41" s="30"/>
      <c r="Q41" s="30"/>
      <c r="R41" s="30"/>
      <c r="S41" s="30"/>
    </row>
    <row r="42" spans="1:19" ht="15.75" x14ac:dyDescent="0.25">
      <c r="A42" s="33" t="s">
        <v>87</v>
      </c>
      <c r="B42" s="34" t="s">
        <v>98</v>
      </c>
      <c r="C42" s="34">
        <f>NOVEMBER20!M42:M93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  <c r="P42" s="30"/>
      <c r="Q42" s="30"/>
      <c r="R42" s="30"/>
      <c r="S42" s="30"/>
    </row>
    <row r="43" spans="1:19" ht="15.75" x14ac:dyDescent="0.25">
      <c r="A43" s="33" t="s">
        <v>88</v>
      </c>
      <c r="B43" s="34" t="s">
        <v>98</v>
      </c>
      <c r="C43" s="34">
        <f>NOVEMBER20!M43:M94</f>
        <v>0</v>
      </c>
      <c r="D43" s="36"/>
      <c r="E43" s="36"/>
      <c r="F43" s="36"/>
      <c r="G43" s="36"/>
      <c r="H43" s="33"/>
      <c r="I43" s="33"/>
      <c r="J43" s="33">
        <f t="shared" si="0"/>
        <v>0</v>
      </c>
      <c r="K43" s="33">
        <f t="shared" si="1"/>
        <v>0</v>
      </c>
      <c r="L43" s="36"/>
      <c r="M43" s="33">
        <f t="shared" si="2"/>
        <v>0</v>
      </c>
      <c r="N43" s="33"/>
      <c r="O43" s="30"/>
      <c r="P43" s="30"/>
      <c r="Q43" s="30"/>
      <c r="R43" s="30"/>
      <c r="S43" s="30"/>
    </row>
    <row r="44" spans="1:19" ht="15.75" x14ac:dyDescent="0.25">
      <c r="A44" s="33" t="s">
        <v>89</v>
      </c>
      <c r="B44" s="33" t="s">
        <v>116</v>
      </c>
      <c r="C44" s="34">
        <f>NOVEMBER20!M44:M95</f>
        <v>6000</v>
      </c>
      <c r="D44" s="36"/>
      <c r="E44" s="36"/>
      <c r="F44" s="36"/>
      <c r="G44" s="36"/>
      <c r="H44" s="33">
        <v>12000</v>
      </c>
      <c r="I44" s="33">
        <v>600</v>
      </c>
      <c r="J44" s="33">
        <f t="shared" si="0"/>
        <v>1680.0000000000002</v>
      </c>
      <c r="K44" s="33">
        <f t="shared" si="1"/>
        <v>20280</v>
      </c>
      <c r="L44" s="36"/>
      <c r="M44" s="33">
        <f t="shared" si="2"/>
        <v>20280</v>
      </c>
      <c r="N44" s="33"/>
      <c r="O44" s="30"/>
      <c r="P44" s="30"/>
      <c r="Q44" s="30"/>
      <c r="R44" s="30"/>
      <c r="S44" s="30"/>
    </row>
    <row r="45" spans="1:19" ht="15.75" x14ac:dyDescent="0.25">
      <c r="A45" s="33" t="s">
        <v>90</v>
      </c>
      <c r="B45" s="34" t="s">
        <v>98</v>
      </c>
      <c r="C45" s="34">
        <f>NOVEMBER20!M45:M96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  <c r="P45" s="30"/>
      <c r="Q45" s="30"/>
      <c r="R45" s="30"/>
      <c r="S45" s="30"/>
    </row>
    <row r="46" spans="1:19" ht="15.75" x14ac:dyDescent="0.25">
      <c r="A46" s="33" t="s">
        <v>91</v>
      </c>
      <c r="B46" s="37" t="s">
        <v>98</v>
      </c>
      <c r="C46" s="34">
        <f>NOVEMBER20!M46:M97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  <c r="P46" s="30"/>
      <c r="Q46" s="30"/>
      <c r="R46" s="30"/>
      <c r="S46" s="30"/>
    </row>
    <row r="47" spans="1:19" ht="15.75" x14ac:dyDescent="0.25">
      <c r="A47" s="33" t="s">
        <v>37</v>
      </c>
      <c r="B47" s="34" t="s">
        <v>98</v>
      </c>
      <c r="C47" s="34">
        <f>NOVEMBER20!M47:M98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  <c r="P47" s="30"/>
      <c r="Q47" s="30"/>
      <c r="R47" s="30"/>
      <c r="S47" s="30"/>
    </row>
    <row r="48" spans="1:19" ht="15.75" x14ac:dyDescent="0.25">
      <c r="A48" s="33" t="s">
        <v>38</v>
      </c>
      <c r="B48" s="34" t="s">
        <v>98</v>
      </c>
      <c r="C48" s="34">
        <f>NOVEMBER20!M48:M99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  <c r="P48" s="30"/>
      <c r="Q48" s="30"/>
      <c r="R48" s="30"/>
      <c r="S48" s="30"/>
    </row>
    <row r="49" spans="1:19" ht="15.75" x14ac:dyDescent="0.25">
      <c r="A49" s="33" t="s">
        <v>39</v>
      </c>
      <c r="B49" s="34" t="s">
        <v>98</v>
      </c>
      <c r="C49" s="34">
        <f>NOVEMBER20!M49:M100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  <c r="P49" s="30"/>
      <c r="Q49" s="30"/>
      <c r="R49" s="30"/>
      <c r="S49" s="30"/>
    </row>
    <row r="50" spans="1:19" ht="15.75" x14ac:dyDescent="0.25">
      <c r="A50" s="33" t="s">
        <v>40</v>
      </c>
      <c r="B50" s="34" t="s">
        <v>98</v>
      </c>
      <c r="C50" s="34">
        <f>NOVEMBER20!M50:M101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  <c r="P50" s="30"/>
      <c r="Q50" s="30"/>
      <c r="R50" s="30"/>
      <c r="S50" s="30"/>
    </row>
    <row r="51" spans="1:19" ht="15.75" x14ac:dyDescent="0.25">
      <c r="A51" s="33" t="s">
        <v>41</v>
      </c>
      <c r="B51" s="34" t="s">
        <v>98</v>
      </c>
      <c r="C51" s="34">
        <f>NOVEMBER20!M51:M102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  <c r="P51" s="30"/>
      <c r="Q51" s="30"/>
      <c r="R51" s="30"/>
      <c r="S51" s="30"/>
    </row>
    <row r="52" spans="1:19" ht="15.75" x14ac:dyDescent="0.25">
      <c r="A52" s="33" t="s">
        <v>42</v>
      </c>
      <c r="B52" s="37" t="s">
        <v>98</v>
      </c>
      <c r="C52" s="34">
        <f>NOVEMBER20!M52:M103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  <c r="P52" s="30"/>
      <c r="Q52" s="30"/>
      <c r="R52" s="30"/>
      <c r="S52" s="30"/>
    </row>
    <row r="53" spans="1:19" ht="15.75" x14ac:dyDescent="0.25">
      <c r="A53" s="33" t="s">
        <v>43</v>
      </c>
      <c r="B53" s="34" t="s">
        <v>98</v>
      </c>
      <c r="C53" s="34">
        <f>NOVEMBER20!M53:M104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  <c r="P53" s="30"/>
      <c r="Q53" s="30"/>
      <c r="R53" s="30"/>
      <c r="S53" s="30"/>
    </row>
    <row r="54" spans="1:19" ht="15.75" x14ac:dyDescent="0.25">
      <c r="A54" s="33" t="s">
        <v>44</v>
      </c>
      <c r="B54" s="34" t="s">
        <v>98</v>
      </c>
      <c r="C54" s="34">
        <f>NOVEMBER20!M54:M105</f>
        <v>0</v>
      </c>
      <c r="D54" s="36"/>
      <c r="E54" s="36"/>
      <c r="F54" s="36"/>
      <c r="G54" s="36"/>
      <c r="H54" s="33"/>
      <c r="I54" s="33"/>
      <c r="J54" s="33">
        <f t="shared" si="0"/>
        <v>0</v>
      </c>
      <c r="K54" s="33">
        <f t="shared" si="1"/>
        <v>0</v>
      </c>
      <c r="L54" s="36"/>
      <c r="M54" s="33">
        <f t="shared" si="2"/>
        <v>0</v>
      </c>
      <c r="N54" s="33"/>
      <c r="O54" s="30"/>
      <c r="P54" s="30"/>
      <c r="Q54" s="30"/>
      <c r="R54" s="30"/>
      <c r="S54" s="30"/>
    </row>
    <row r="55" spans="1:19" ht="15.75" x14ac:dyDescent="0.25">
      <c r="A55" s="33" t="s">
        <v>92</v>
      </c>
      <c r="B55" s="35" t="s">
        <v>117</v>
      </c>
      <c r="C55" s="34">
        <f>NOVEMBER20!M55:M106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1680.0000000000002</v>
      </c>
      <c r="K55" s="33">
        <f t="shared" si="1"/>
        <v>14280</v>
      </c>
      <c r="L55" s="35">
        <v>14280</v>
      </c>
      <c r="M55" s="33">
        <f t="shared" si="2"/>
        <v>0</v>
      </c>
      <c r="N55" s="33"/>
      <c r="O55" s="30"/>
      <c r="P55" s="30"/>
      <c r="Q55" s="30"/>
      <c r="R55" s="30"/>
      <c r="S55" s="30"/>
    </row>
    <row r="56" spans="1:19" ht="15.75" x14ac:dyDescent="0.25">
      <c r="A56" s="33" t="s">
        <v>93</v>
      </c>
      <c r="B56" s="35" t="s">
        <v>118</v>
      </c>
      <c r="C56" s="34">
        <f>NOVEMBER20!M56:M107</f>
        <v>9120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1400.0000000000002</v>
      </c>
      <c r="K56" s="33">
        <f t="shared" si="1"/>
        <v>21120</v>
      </c>
      <c r="L56" s="35">
        <f>7000</f>
        <v>7000</v>
      </c>
      <c r="M56" s="33">
        <f t="shared" si="2"/>
        <v>14120</v>
      </c>
      <c r="N56" s="33"/>
      <c r="O56" s="30"/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4">
        <f>SUM(C5:C56)</f>
        <v>220113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466500</v>
      </c>
      <c r="I57" s="33">
        <f t="shared" si="3"/>
        <v>16800</v>
      </c>
      <c r="J57" s="33">
        <f t="shared" si="3"/>
        <v>65310</v>
      </c>
      <c r="K57" s="33">
        <f t="shared" si="3"/>
        <v>768723</v>
      </c>
      <c r="L57" s="33">
        <f>SUM(L5:L56)</f>
        <v>546230</v>
      </c>
      <c r="M57" s="33">
        <f>SUM(M5:M56)</f>
        <v>222493</v>
      </c>
      <c r="N57" s="33">
        <f>SUM(N5:N56)</f>
        <v>13000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148</v>
      </c>
      <c r="C61" s="44">
        <f>H57</f>
        <v>466500</v>
      </c>
      <c r="D61" s="44"/>
      <c r="E61" s="36"/>
      <c r="F61" s="36"/>
      <c r="G61" s="36" t="s">
        <v>148</v>
      </c>
      <c r="H61" s="44">
        <f>L57</f>
        <v>546230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16800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65310</v>
      </c>
      <c r="D63" s="44"/>
      <c r="E63" s="36"/>
      <c r="F63" s="36"/>
      <c r="G63" s="36" t="s">
        <v>146</v>
      </c>
      <c r="H63" s="44">
        <f>NOVEMBER20!L76</f>
        <v>0</v>
      </c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13000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NOVEMBER20!F76</f>
        <v>33860</v>
      </c>
      <c r="D69" s="36"/>
      <c r="E69" s="36"/>
      <c r="F69" s="36"/>
      <c r="G69" s="46" t="s">
        <v>60</v>
      </c>
      <c r="H69" s="36">
        <v>23325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46" t="s">
        <v>60</v>
      </c>
      <c r="C70" s="36">
        <v>23325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6" t="s">
        <v>17</v>
      </c>
      <c r="C71" s="47">
        <v>0.05</v>
      </c>
      <c r="D71" s="47"/>
      <c r="E71" s="44">
        <f>C71*C61</f>
        <v>23325</v>
      </c>
      <c r="F71" s="36"/>
      <c r="G71" s="36" t="s">
        <v>17</v>
      </c>
      <c r="H71" s="47">
        <v>0.05</v>
      </c>
      <c r="I71" s="47"/>
      <c r="J71" s="47"/>
      <c r="K71" s="44">
        <f>H71*C61</f>
        <v>23325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 t="s">
        <v>136</v>
      </c>
      <c r="C74" s="36"/>
      <c r="D74" s="36"/>
      <c r="E74" s="36">
        <f>L57</f>
        <v>546230</v>
      </c>
      <c r="F74" s="49"/>
      <c r="G74" s="50" t="s">
        <v>136</v>
      </c>
      <c r="H74" s="36"/>
      <c r="I74" s="36"/>
      <c r="J74" s="36"/>
      <c r="K74" s="36">
        <f>L57</f>
        <v>546230</v>
      </c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51" t="s">
        <v>20</v>
      </c>
      <c r="C76" s="48">
        <f>C61+C62+C63+C64+C65+C66+C67+C68+C69+C70</f>
        <v>618795</v>
      </c>
      <c r="D76" s="48"/>
      <c r="E76" s="52">
        <f>SUM(E71:E75)</f>
        <v>569555</v>
      </c>
      <c r="F76" s="48">
        <f>C76-E76</f>
        <v>49240</v>
      </c>
      <c r="G76" s="51" t="s">
        <v>20</v>
      </c>
      <c r="H76" s="48">
        <f>H61+H63+H69</f>
        <v>569555</v>
      </c>
      <c r="I76" s="48"/>
      <c r="J76" s="48"/>
      <c r="K76" s="48">
        <f>SUM(K71:K75)</f>
        <v>569555</v>
      </c>
      <c r="L76" s="48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45">
        <f>F76+E71</f>
        <v>72565</v>
      </c>
      <c r="F77" s="30" t="s">
        <v>22</v>
      </c>
      <c r="G77" s="30"/>
      <c r="H77" s="30"/>
      <c r="I77" s="30"/>
      <c r="J77" s="30"/>
      <c r="K77" s="45">
        <f>K76-K71</f>
        <v>546230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8" workbookViewId="0">
      <selection activeCell="N62" sqref="N62"/>
    </sheetView>
  </sheetViews>
  <sheetFormatPr defaultRowHeight="15" x14ac:dyDescent="0.25"/>
  <cols>
    <col min="2" max="2" width="22" customWidth="1"/>
    <col min="13" max="13" width="11.28515625" bestFit="1" customWidth="1"/>
  </cols>
  <sheetData>
    <row r="1" spans="1:19" ht="15.75" x14ac:dyDescent="0.25">
      <c r="A1" s="67"/>
      <c r="B1" s="67"/>
      <c r="C1" s="66"/>
      <c r="D1" s="66"/>
      <c r="E1" s="66"/>
      <c r="F1" s="68" t="s">
        <v>26</v>
      </c>
      <c r="G1" s="68"/>
      <c r="H1" s="68"/>
      <c r="I1" s="68"/>
      <c r="J1" s="68"/>
      <c r="K1" s="68"/>
      <c r="L1" s="68"/>
      <c r="M1" s="66"/>
      <c r="N1" s="66"/>
      <c r="O1" s="66"/>
      <c r="P1" s="30"/>
      <c r="Q1" s="30"/>
      <c r="R1" s="30"/>
      <c r="S1" s="30"/>
    </row>
    <row r="2" spans="1:19" ht="15.75" x14ac:dyDescent="0.25">
      <c r="A2" s="66"/>
      <c r="B2" s="67"/>
      <c r="C2" s="66"/>
      <c r="D2" s="66"/>
      <c r="E2" s="66"/>
      <c r="F2" s="68" t="s">
        <v>0</v>
      </c>
      <c r="G2" s="68"/>
      <c r="H2" s="68"/>
      <c r="I2" s="68"/>
      <c r="J2" s="68"/>
      <c r="K2" s="68"/>
      <c r="L2" s="68"/>
      <c r="M2" s="66"/>
      <c r="N2" s="66"/>
      <c r="O2" s="66"/>
      <c r="P2" s="30"/>
      <c r="Q2" s="30"/>
      <c r="R2" s="30"/>
      <c r="S2" s="30"/>
    </row>
    <row r="3" spans="1:19" ht="15.75" x14ac:dyDescent="0.25">
      <c r="A3" s="66"/>
      <c r="B3" s="66"/>
      <c r="C3" s="66"/>
      <c r="D3" s="66"/>
      <c r="E3" s="66"/>
      <c r="F3" s="68" t="s">
        <v>149</v>
      </c>
      <c r="G3" s="68"/>
      <c r="H3" s="68"/>
      <c r="I3" s="68"/>
      <c r="J3" s="68"/>
      <c r="K3" s="69"/>
      <c r="L3" s="68"/>
      <c r="M3" s="66"/>
      <c r="N3" s="66"/>
      <c r="O3" s="66"/>
      <c r="P3" s="30"/>
      <c r="Q3" s="30"/>
      <c r="R3" s="30"/>
      <c r="S3" s="30"/>
    </row>
    <row r="4" spans="1:19" ht="15.75" x14ac:dyDescent="0.25">
      <c r="A4" s="35" t="s">
        <v>1</v>
      </c>
      <c r="B4" s="35" t="s">
        <v>2</v>
      </c>
      <c r="C4" s="35" t="s">
        <v>3</v>
      </c>
      <c r="D4" s="35" t="s">
        <v>52</v>
      </c>
      <c r="E4" s="35" t="s">
        <v>4</v>
      </c>
      <c r="F4" s="35" t="s">
        <v>46</v>
      </c>
      <c r="G4" s="35" t="s">
        <v>55</v>
      </c>
      <c r="H4" s="35" t="s">
        <v>5</v>
      </c>
      <c r="I4" s="35" t="s">
        <v>57</v>
      </c>
      <c r="J4" s="35" t="s">
        <v>151</v>
      </c>
      <c r="K4" s="35" t="s">
        <v>6</v>
      </c>
      <c r="L4" s="35" t="s">
        <v>7</v>
      </c>
      <c r="M4" s="35" t="s">
        <v>8</v>
      </c>
      <c r="N4" s="35" t="s">
        <v>130</v>
      </c>
      <c r="O4" s="66"/>
      <c r="P4" s="30"/>
      <c r="Q4" s="30"/>
      <c r="R4" s="30"/>
      <c r="S4" s="30"/>
    </row>
    <row r="5" spans="1:19" ht="15.75" x14ac:dyDescent="0.25">
      <c r="A5" s="35" t="s">
        <v>61</v>
      </c>
      <c r="B5" s="35" t="s">
        <v>96</v>
      </c>
      <c r="C5" s="35">
        <f>'DECEMBER 20'!M5:M56</f>
        <v>16613</v>
      </c>
      <c r="D5" s="35"/>
      <c r="E5" s="35"/>
      <c r="F5" s="35"/>
      <c r="G5" s="35"/>
      <c r="H5" s="35">
        <v>12000</v>
      </c>
      <c r="I5" s="35">
        <v>600</v>
      </c>
      <c r="J5" s="35">
        <f>16%*H5</f>
        <v>1920</v>
      </c>
      <c r="K5" s="35">
        <f>C5+D5+E5+F5+G5+H5+I5+J5</f>
        <v>31133</v>
      </c>
      <c r="L5" s="35">
        <f>14520+3000</f>
        <v>17520</v>
      </c>
      <c r="M5" s="35">
        <f>K5-L5</f>
        <v>13613</v>
      </c>
      <c r="N5" s="35">
        <v>3000</v>
      </c>
      <c r="O5" s="66"/>
      <c r="P5" s="30"/>
      <c r="Q5" s="30"/>
      <c r="R5" s="30"/>
      <c r="S5" s="30"/>
    </row>
    <row r="6" spans="1:19" ht="15.75" x14ac:dyDescent="0.25">
      <c r="A6" s="35" t="s">
        <v>95</v>
      </c>
      <c r="B6" s="35" t="s">
        <v>97</v>
      </c>
      <c r="C6" s="35">
        <f>'DECEMBER 20'!M6:M57</f>
        <v>45976</v>
      </c>
      <c r="D6" s="35"/>
      <c r="E6" s="35"/>
      <c r="F6" s="35"/>
      <c r="G6" s="35"/>
      <c r="H6" s="35">
        <v>12000</v>
      </c>
      <c r="I6" s="35">
        <v>600</v>
      </c>
      <c r="J6" s="35">
        <f t="shared" ref="J6:J56" si="0">16%*H6</f>
        <v>1920</v>
      </c>
      <c r="K6" s="35">
        <f t="shared" ref="K6:K56" si="1">C6+D6+E6+F6+G6+H6+I6+J6</f>
        <v>60496</v>
      </c>
      <c r="L6" s="35">
        <f>15000</f>
        <v>15000</v>
      </c>
      <c r="M6" s="35">
        <f t="shared" ref="M6:M56" si="2">K6-L6</f>
        <v>45496</v>
      </c>
      <c r="N6" s="35"/>
      <c r="O6" s="66"/>
      <c r="P6" s="30"/>
      <c r="Q6" s="30"/>
      <c r="R6" s="30"/>
      <c r="S6" s="30"/>
    </row>
    <row r="7" spans="1:19" ht="15.75" x14ac:dyDescent="0.25">
      <c r="A7" s="35" t="s">
        <v>62</v>
      </c>
      <c r="B7" s="35" t="s">
        <v>98</v>
      </c>
      <c r="C7" s="35">
        <f>'DECEMBER 20'!M7:M58</f>
        <v>0</v>
      </c>
      <c r="D7" s="35"/>
      <c r="E7" s="35"/>
      <c r="F7" s="35"/>
      <c r="G7" s="35"/>
      <c r="H7" s="35"/>
      <c r="I7" s="35"/>
      <c r="J7" s="35">
        <f t="shared" si="0"/>
        <v>0</v>
      </c>
      <c r="K7" s="35">
        <f t="shared" si="1"/>
        <v>0</v>
      </c>
      <c r="L7" s="35"/>
      <c r="M7" s="35">
        <f t="shared" si="2"/>
        <v>0</v>
      </c>
      <c r="N7" s="35"/>
      <c r="O7" s="66"/>
      <c r="P7" s="30"/>
      <c r="Q7" s="30"/>
      <c r="R7" s="30"/>
      <c r="S7" s="30"/>
    </row>
    <row r="8" spans="1:19" ht="15.75" x14ac:dyDescent="0.25">
      <c r="A8" s="35" t="s">
        <v>63</v>
      </c>
      <c r="B8" s="35" t="s">
        <v>99</v>
      </c>
      <c r="C8" s="35">
        <f>'DECEMBER 20'!M8:M59</f>
        <v>42680</v>
      </c>
      <c r="D8" s="35"/>
      <c r="E8" s="35"/>
      <c r="F8" s="35"/>
      <c r="G8" s="35"/>
      <c r="H8" s="35">
        <v>12000</v>
      </c>
      <c r="I8" s="35">
        <v>600</v>
      </c>
      <c r="J8" s="35">
        <f t="shared" si="0"/>
        <v>1920</v>
      </c>
      <c r="K8" s="35">
        <f t="shared" si="1"/>
        <v>57200</v>
      </c>
      <c r="L8" s="35"/>
      <c r="M8" s="35">
        <f t="shared" si="2"/>
        <v>57200</v>
      </c>
      <c r="N8" s="35"/>
      <c r="O8" s="66" t="s">
        <v>152</v>
      </c>
      <c r="P8" s="30"/>
      <c r="Q8" s="30"/>
      <c r="R8" s="30"/>
      <c r="S8" s="30"/>
    </row>
    <row r="9" spans="1:19" ht="15.75" x14ac:dyDescent="0.25">
      <c r="A9" s="35" t="s">
        <v>64</v>
      </c>
      <c r="B9" s="35" t="s">
        <v>98</v>
      </c>
      <c r="C9" s="35">
        <f>'DECEMBER 20'!M9:M60</f>
        <v>0</v>
      </c>
      <c r="D9" s="35"/>
      <c r="E9" s="35"/>
      <c r="F9" s="35"/>
      <c r="G9" s="35"/>
      <c r="H9" s="35"/>
      <c r="I9" s="35"/>
      <c r="J9" s="35">
        <f t="shared" si="0"/>
        <v>0</v>
      </c>
      <c r="K9" s="35">
        <f t="shared" si="1"/>
        <v>0</v>
      </c>
      <c r="L9" s="35"/>
      <c r="M9" s="35">
        <f t="shared" si="2"/>
        <v>0</v>
      </c>
      <c r="N9" s="35"/>
      <c r="O9" s="66"/>
      <c r="P9" s="30"/>
      <c r="Q9" s="30"/>
      <c r="R9" s="30"/>
      <c r="S9" s="30"/>
    </row>
    <row r="10" spans="1:19" ht="15.75" x14ac:dyDescent="0.25">
      <c r="A10" s="35" t="s">
        <v>27</v>
      </c>
      <c r="B10" s="35" t="s">
        <v>100</v>
      </c>
      <c r="C10" s="35">
        <f>'DECEMBER 20'!M10:M61</f>
        <v>14040</v>
      </c>
      <c r="D10" s="35"/>
      <c r="E10" s="35"/>
      <c r="F10" s="35"/>
      <c r="G10" s="35"/>
      <c r="H10" s="35">
        <v>12000</v>
      </c>
      <c r="I10" s="35">
        <v>600</v>
      </c>
      <c r="J10" s="35">
        <f t="shared" si="0"/>
        <v>1920</v>
      </c>
      <c r="K10" s="35">
        <f t="shared" si="1"/>
        <v>28560</v>
      </c>
      <c r="L10" s="35">
        <f>14520+14520</f>
        <v>29040</v>
      </c>
      <c r="M10" s="35">
        <f t="shared" si="2"/>
        <v>-480</v>
      </c>
      <c r="N10" s="35"/>
      <c r="O10" s="66"/>
      <c r="P10" s="30"/>
      <c r="Q10" s="30"/>
      <c r="R10" s="30"/>
      <c r="S10" s="30"/>
    </row>
    <row r="11" spans="1:19" ht="15.75" x14ac:dyDescent="0.25">
      <c r="A11" s="35" t="s">
        <v>65</v>
      </c>
      <c r="B11" s="35" t="s">
        <v>101</v>
      </c>
      <c r="C11" s="35">
        <f>'DECEMBER 20'!M11:M62</f>
        <v>-1160</v>
      </c>
      <c r="D11" s="35"/>
      <c r="E11" s="35"/>
      <c r="F11" s="35"/>
      <c r="G11" s="35"/>
      <c r="H11" s="35">
        <v>12000</v>
      </c>
      <c r="I11" s="35">
        <v>600</v>
      </c>
      <c r="J11" s="35">
        <f t="shared" si="0"/>
        <v>1920</v>
      </c>
      <c r="K11" s="35">
        <f t="shared" si="1"/>
        <v>13360</v>
      </c>
      <c r="L11" s="35">
        <f>14500</f>
        <v>14500</v>
      </c>
      <c r="M11" s="35">
        <f t="shared" si="2"/>
        <v>-1140</v>
      </c>
      <c r="N11" s="35"/>
      <c r="O11" s="66"/>
      <c r="P11" s="30"/>
      <c r="Q11" s="30"/>
      <c r="R11" s="30"/>
      <c r="S11" s="30"/>
    </row>
    <row r="12" spans="1:19" ht="15.75" x14ac:dyDescent="0.25">
      <c r="A12" s="35" t="s">
        <v>66</v>
      </c>
      <c r="B12" s="35" t="s">
        <v>102</v>
      </c>
      <c r="C12" s="35">
        <f>'DECEMBER 20'!M12:M63</f>
        <v>14881</v>
      </c>
      <c r="D12" s="35"/>
      <c r="E12" s="35"/>
      <c r="F12" s="35"/>
      <c r="G12" s="35"/>
      <c r="H12" s="35">
        <v>8000</v>
      </c>
      <c r="I12" s="35">
        <v>600</v>
      </c>
      <c r="J12" s="35">
        <f t="shared" si="0"/>
        <v>1280</v>
      </c>
      <c r="K12" s="35">
        <f t="shared" si="1"/>
        <v>24761</v>
      </c>
      <c r="L12" s="35">
        <v>9880</v>
      </c>
      <c r="M12" s="35">
        <f t="shared" si="2"/>
        <v>14881</v>
      </c>
      <c r="N12" s="35"/>
      <c r="O12" s="66"/>
      <c r="P12" s="30"/>
      <c r="Q12" s="30"/>
      <c r="R12" s="30"/>
      <c r="S12" s="30"/>
    </row>
    <row r="13" spans="1:19" ht="15.75" x14ac:dyDescent="0.25">
      <c r="A13" s="35" t="s">
        <v>67</v>
      </c>
      <c r="B13" s="35" t="s">
        <v>103</v>
      </c>
      <c r="C13" s="35">
        <f>'DECEMBER 20'!M13:M64</f>
        <v>2040</v>
      </c>
      <c r="D13" s="35"/>
      <c r="E13" s="35"/>
      <c r="F13" s="35"/>
      <c r="G13" s="35"/>
      <c r="H13" s="35">
        <v>8000</v>
      </c>
      <c r="I13" s="35">
        <v>600</v>
      </c>
      <c r="J13" s="35">
        <f t="shared" si="0"/>
        <v>1280</v>
      </c>
      <c r="K13" s="35">
        <f t="shared" si="1"/>
        <v>11920</v>
      </c>
      <c r="L13" s="35">
        <f>10000</f>
        <v>10000</v>
      </c>
      <c r="M13" s="35">
        <f t="shared" si="2"/>
        <v>1920</v>
      </c>
      <c r="N13" s="35"/>
      <c r="O13" s="66"/>
      <c r="P13" s="30"/>
      <c r="Q13" s="30"/>
      <c r="R13" s="30"/>
      <c r="S13" s="30"/>
    </row>
    <row r="14" spans="1:19" ht="15.75" x14ac:dyDescent="0.25">
      <c r="A14" s="35" t="s">
        <v>28</v>
      </c>
      <c r="B14" s="35" t="s">
        <v>104</v>
      </c>
      <c r="C14" s="35">
        <f>'DECEMBER 20'!M14:M65</f>
        <v>8600</v>
      </c>
      <c r="D14" s="35"/>
      <c r="E14" s="35"/>
      <c r="F14" s="35"/>
      <c r="G14" s="35"/>
      <c r="H14" s="35">
        <v>8000</v>
      </c>
      <c r="I14" s="35">
        <v>600</v>
      </c>
      <c r="J14" s="35">
        <f t="shared" si="0"/>
        <v>1280</v>
      </c>
      <c r="K14" s="35">
        <f t="shared" si="1"/>
        <v>18480</v>
      </c>
      <c r="L14" s="35">
        <f>15000</f>
        <v>15000</v>
      </c>
      <c r="M14" s="35">
        <f t="shared" si="2"/>
        <v>3480</v>
      </c>
      <c r="N14" s="35"/>
      <c r="O14" s="66"/>
      <c r="P14" s="30"/>
      <c r="Q14" s="30"/>
      <c r="R14" s="30"/>
      <c r="S14" s="30"/>
    </row>
    <row r="15" spans="1:19" ht="15.75" x14ac:dyDescent="0.25">
      <c r="A15" s="35" t="s">
        <v>29</v>
      </c>
      <c r="B15" s="35" t="s">
        <v>98</v>
      </c>
      <c r="C15" s="35">
        <f>'DECEMBER 20'!M15:M66</f>
        <v>0</v>
      </c>
      <c r="D15" s="35"/>
      <c r="E15" s="35"/>
      <c r="F15" s="35"/>
      <c r="G15" s="35"/>
      <c r="H15" s="35"/>
      <c r="I15" s="35"/>
      <c r="J15" s="35">
        <f t="shared" si="0"/>
        <v>0</v>
      </c>
      <c r="K15" s="35">
        <f t="shared" si="1"/>
        <v>0</v>
      </c>
      <c r="L15" s="35"/>
      <c r="M15" s="35">
        <f t="shared" si="2"/>
        <v>0</v>
      </c>
      <c r="N15" s="35"/>
      <c r="O15" s="66"/>
      <c r="P15" s="30"/>
      <c r="Q15" s="30"/>
      <c r="R15" s="30"/>
      <c r="S15" s="30"/>
    </row>
    <row r="16" spans="1:19" ht="15.75" x14ac:dyDescent="0.25">
      <c r="A16" s="35" t="s">
        <v>68</v>
      </c>
      <c r="B16" s="35" t="s">
        <v>105</v>
      </c>
      <c r="C16" s="35">
        <f>'DECEMBER 20'!M16:M67</f>
        <v>1831</v>
      </c>
      <c r="D16" s="35"/>
      <c r="E16" s="35"/>
      <c r="F16" s="35"/>
      <c r="G16" s="35"/>
      <c r="H16" s="35">
        <v>8000</v>
      </c>
      <c r="I16" s="35">
        <v>600</v>
      </c>
      <c r="J16" s="35">
        <f t="shared" si="0"/>
        <v>1280</v>
      </c>
      <c r="K16" s="35">
        <f t="shared" si="1"/>
        <v>11711</v>
      </c>
      <c r="L16" s="35">
        <f>10000</f>
        <v>10000</v>
      </c>
      <c r="M16" s="35">
        <f t="shared" si="2"/>
        <v>1711</v>
      </c>
      <c r="N16" s="35">
        <v>120</v>
      </c>
      <c r="O16" s="66"/>
      <c r="P16" s="30"/>
      <c r="Q16" s="30"/>
      <c r="R16" s="30"/>
      <c r="S16" s="30"/>
    </row>
    <row r="17" spans="1:19" ht="15.75" x14ac:dyDescent="0.25">
      <c r="A17" s="35" t="s">
        <v>69</v>
      </c>
      <c r="B17" s="35" t="s">
        <v>106</v>
      </c>
      <c r="C17" s="35">
        <f>'DECEMBER 20'!M17:M68</f>
        <v>4060</v>
      </c>
      <c r="D17" s="35"/>
      <c r="E17" s="35"/>
      <c r="F17" s="35"/>
      <c r="G17" s="35"/>
      <c r="H17" s="35">
        <v>8000</v>
      </c>
      <c r="I17" s="35">
        <v>600</v>
      </c>
      <c r="J17" s="35">
        <f t="shared" si="0"/>
        <v>1280</v>
      </c>
      <c r="K17" s="35">
        <f t="shared" si="1"/>
        <v>13940</v>
      </c>
      <c r="L17" s="35">
        <f>9880</f>
        <v>9880</v>
      </c>
      <c r="M17" s="35">
        <f t="shared" si="2"/>
        <v>4060</v>
      </c>
      <c r="N17" s="35"/>
      <c r="O17" s="66"/>
      <c r="P17" s="30"/>
      <c r="Q17" s="30"/>
      <c r="R17" s="30"/>
      <c r="S17" s="30"/>
    </row>
    <row r="18" spans="1:19" ht="15.75" x14ac:dyDescent="0.25">
      <c r="A18" s="35" t="s">
        <v>70</v>
      </c>
      <c r="B18" s="35" t="s">
        <v>102</v>
      </c>
      <c r="C18" s="35">
        <f>'DECEMBER 20'!M18:M69</f>
        <v>12673</v>
      </c>
      <c r="D18" s="35"/>
      <c r="E18" s="35"/>
      <c r="F18" s="35"/>
      <c r="G18" s="35"/>
      <c r="H18" s="35">
        <v>8000</v>
      </c>
      <c r="I18" s="35">
        <v>600</v>
      </c>
      <c r="J18" s="35">
        <f t="shared" si="0"/>
        <v>1280</v>
      </c>
      <c r="K18" s="35">
        <f t="shared" si="1"/>
        <v>22553</v>
      </c>
      <c r="L18" s="35">
        <v>9880</v>
      </c>
      <c r="M18" s="35">
        <f t="shared" si="2"/>
        <v>12673</v>
      </c>
      <c r="N18" s="35"/>
      <c r="O18" s="66"/>
      <c r="P18" s="30"/>
      <c r="Q18" s="30"/>
      <c r="R18" s="30"/>
      <c r="S18" s="30"/>
    </row>
    <row r="19" spans="1:19" ht="15.75" x14ac:dyDescent="0.25">
      <c r="A19" s="35" t="s">
        <v>71</v>
      </c>
      <c r="B19" s="35" t="s">
        <v>107</v>
      </c>
      <c r="C19" s="35">
        <f>'DECEMBER 20'!M19:M70</f>
        <v>-9720</v>
      </c>
      <c r="D19" s="35"/>
      <c r="E19" s="35"/>
      <c r="F19" s="35"/>
      <c r="G19" s="35"/>
      <c r="H19" s="35">
        <v>8000</v>
      </c>
      <c r="I19" s="35">
        <v>600</v>
      </c>
      <c r="J19" s="35">
        <f t="shared" si="0"/>
        <v>1280</v>
      </c>
      <c r="K19" s="35">
        <f t="shared" si="1"/>
        <v>160</v>
      </c>
      <c r="L19" s="35"/>
      <c r="M19" s="35">
        <f t="shared" si="2"/>
        <v>160</v>
      </c>
      <c r="N19" s="35"/>
      <c r="O19" s="66"/>
      <c r="P19" s="30"/>
      <c r="Q19" s="30"/>
      <c r="R19" s="30"/>
      <c r="S19" s="30"/>
    </row>
    <row r="20" spans="1:19" ht="15.75" x14ac:dyDescent="0.25">
      <c r="A20" s="35" t="s">
        <v>30</v>
      </c>
      <c r="B20" s="35" t="s">
        <v>98</v>
      </c>
      <c r="C20" s="35">
        <f>'DECEMBER 20'!M20:M71</f>
        <v>0</v>
      </c>
      <c r="D20" s="35"/>
      <c r="E20" s="35"/>
      <c r="F20" s="35"/>
      <c r="G20" s="35"/>
      <c r="H20" s="35"/>
      <c r="I20" s="35"/>
      <c r="J20" s="35">
        <f t="shared" si="0"/>
        <v>0</v>
      </c>
      <c r="K20" s="35">
        <f t="shared" si="1"/>
        <v>0</v>
      </c>
      <c r="L20" s="35"/>
      <c r="M20" s="35">
        <f t="shared" si="2"/>
        <v>0</v>
      </c>
      <c r="N20" s="35"/>
      <c r="O20" s="66"/>
      <c r="P20" s="30"/>
      <c r="Q20" s="30"/>
      <c r="R20" s="30"/>
      <c r="S20" s="30"/>
    </row>
    <row r="21" spans="1:19" ht="15.75" x14ac:dyDescent="0.25">
      <c r="A21" s="35" t="s">
        <v>31</v>
      </c>
      <c r="B21" s="35" t="s">
        <v>98</v>
      </c>
      <c r="C21" s="35">
        <f>'DECEMBER 20'!M21:M72</f>
        <v>0</v>
      </c>
      <c r="D21" s="35"/>
      <c r="E21" s="35"/>
      <c r="F21" s="35"/>
      <c r="G21" s="35"/>
      <c r="H21" s="35"/>
      <c r="I21" s="35"/>
      <c r="J21" s="35">
        <f t="shared" si="0"/>
        <v>0</v>
      </c>
      <c r="K21" s="35">
        <f t="shared" si="1"/>
        <v>0</v>
      </c>
      <c r="L21" s="35"/>
      <c r="M21" s="35">
        <f t="shared" si="2"/>
        <v>0</v>
      </c>
      <c r="N21" s="35"/>
      <c r="O21" s="66"/>
      <c r="P21" s="30"/>
      <c r="Q21" s="30"/>
      <c r="R21" s="30"/>
      <c r="S21" s="30"/>
    </row>
    <row r="22" spans="1:19" ht="15.75" x14ac:dyDescent="0.25">
      <c r="A22" s="35" t="s">
        <v>32</v>
      </c>
      <c r="B22" s="35" t="s">
        <v>98</v>
      </c>
      <c r="C22" s="35">
        <f>'DECEMBER 20'!M22:M73</f>
        <v>0</v>
      </c>
      <c r="D22" s="35"/>
      <c r="E22" s="35"/>
      <c r="F22" s="35"/>
      <c r="G22" s="35"/>
      <c r="H22" s="35"/>
      <c r="I22" s="35"/>
      <c r="J22" s="35">
        <f t="shared" si="0"/>
        <v>0</v>
      </c>
      <c r="K22" s="35">
        <f t="shared" si="1"/>
        <v>0</v>
      </c>
      <c r="L22" s="35"/>
      <c r="M22" s="35">
        <f t="shared" si="2"/>
        <v>0</v>
      </c>
      <c r="N22" s="35"/>
      <c r="O22" s="66"/>
      <c r="P22" s="30"/>
      <c r="Q22" s="30"/>
      <c r="R22" s="30"/>
      <c r="S22" s="30"/>
    </row>
    <row r="23" spans="1:19" ht="15.75" x14ac:dyDescent="0.25">
      <c r="A23" s="35" t="s">
        <v>33</v>
      </c>
      <c r="B23" s="35" t="s">
        <v>98</v>
      </c>
      <c r="C23" s="35">
        <f>'DECEMBER 20'!M23:M74</f>
        <v>0</v>
      </c>
      <c r="D23" s="35"/>
      <c r="E23" s="35"/>
      <c r="F23" s="35"/>
      <c r="G23" s="35"/>
      <c r="H23" s="35"/>
      <c r="I23" s="35"/>
      <c r="J23" s="35">
        <f t="shared" si="0"/>
        <v>0</v>
      </c>
      <c r="K23" s="35">
        <f t="shared" si="1"/>
        <v>0</v>
      </c>
      <c r="L23" s="35"/>
      <c r="M23" s="35">
        <f t="shared" si="2"/>
        <v>0</v>
      </c>
      <c r="N23" s="35"/>
      <c r="O23" s="66"/>
      <c r="P23" s="30"/>
      <c r="Q23" s="30"/>
      <c r="R23" s="30"/>
      <c r="S23" s="30"/>
    </row>
    <row r="24" spans="1:19" ht="15.75" x14ac:dyDescent="0.25">
      <c r="A24" s="35" t="s">
        <v>34</v>
      </c>
      <c r="B24" s="35" t="s">
        <v>98</v>
      </c>
      <c r="C24" s="35">
        <f>'DECEMBER 20'!M24:M75</f>
        <v>0</v>
      </c>
      <c r="D24" s="35"/>
      <c r="E24" s="35"/>
      <c r="F24" s="35"/>
      <c r="G24" s="35"/>
      <c r="H24" s="35"/>
      <c r="I24" s="35"/>
      <c r="J24" s="35">
        <f t="shared" si="0"/>
        <v>0</v>
      </c>
      <c r="K24" s="35">
        <f t="shared" si="1"/>
        <v>0</v>
      </c>
      <c r="L24" s="35"/>
      <c r="M24" s="35">
        <f t="shared" si="2"/>
        <v>0</v>
      </c>
      <c r="N24" s="35"/>
      <c r="O24" s="66"/>
      <c r="P24" s="30"/>
      <c r="Q24" s="30"/>
      <c r="R24" s="30"/>
      <c r="S24" s="30"/>
    </row>
    <row r="25" spans="1:19" ht="15.75" x14ac:dyDescent="0.25">
      <c r="A25" s="35" t="s">
        <v>72</v>
      </c>
      <c r="B25" s="35" t="s">
        <v>107</v>
      </c>
      <c r="C25" s="35">
        <f>'DECEMBER 20'!M25:M76</f>
        <v>-9720</v>
      </c>
      <c r="D25" s="35"/>
      <c r="E25" s="35"/>
      <c r="F25" s="35"/>
      <c r="G25" s="35"/>
      <c r="H25" s="35">
        <v>8000</v>
      </c>
      <c r="I25" s="35">
        <v>600</v>
      </c>
      <c r="J25" s="35">
        <f t="shared" si="0"/>
        <v>1280</v>
      </c>
      <c r="K25" s="35">
        <f t="shared" si="1"/>
        <v>160</v>
      </c>
      <c r="L25" s="35"/>
      <c r="M25" s="35">
        <f t="shared" si="2"/>
        <v>160</v>
      </c>
      <c r="N25" s="35"/>
      <c r="O25" s="66"/>
      <c r="P25" s="30"/>
      <c r="Q25" s="30"/>
      <c r="R25" s="30"/>
      <c r="S25" s="30"/>
    </row>
    <row r="26" spans="1:19" ht="15.75" x14ac:dyDescent="0.25">
      <c r="A26" s="35" t="s">
        <v>73</v>
      </c>
      <c r="B26" s="35" t="s">
        <v>123</v>
      </c>
      <c r="C26" s="35">
        <f>'DECEMBER 20'!M26:M77</f>
        <v>7300</v>
      </c>
      <c r="D26" s="35"/>
      <c r="E26" s="35"/>
      <c r="F26" s="35"/>
      <c r="G26" s="35"/>
      <c r="H26" s="35">
        <v>8000</v>
      </c>
      <c r="I26" s="35">
        <v>600</v>
      </c>
      <c r="J26" s="35">
        <f t="shared" si="0"/>
        <v>1280</v>
      </c>
      <c r="K26" s="35">
        <f t="shared" si="1"/>
        <v>17180</v>
      </c>
      <c r="L26" s="35">
        <f>5000+10000</f>
        <v>15000</v>
      </c>
      <c r="M26" s="35">
        <f>K26-L26</f>
        <v>2180</v>
      </c>
      <c r="N26" s="35">
        <v>400</v>
      </c>
      <c r="O26" s="66"/>
      <c r="P26" s="30"/>
      <c r="Q26" s="30"/>
      <c r="R26" s="30"/>
      <c r="S26" s="30"/>
    </row>
    <row r="27" spans="1:19" ht="15.75" x14ac:dyDescent="0.25">
      <c r="A27" s="35" t="s">
        <v>108</v>
      </c>
      <c r="B27" s="35" t="s">
        <v>110</v>
      </c>
      <c r="C27" s="35">
        <f>'DECEMBER 20'!M27:M78</f>
        <v>0</v>
      </c>
      <c r="D27" s="35"/>
      <c r="E27" s="35"/>
      <c r="F27" s="35"/>
      <c r="G27" s="35"/>
      <c r="H27" s="35">
        <v>100625</v>
      </c>
      <c r="I27" s="35"/>
      <c r="J27" s="35">
        <f>16%*H27</f>
        <v>16100</v>
      </c>
      <c r="K27" s="35">
        <f>C27+D27+E27+F27+G27+H27+I27+J27</f>
        <v>116725</v>
      </c>
      <c r="L27" s="35">
        <v>114713</v>
      </c>
      <c r="M27" s="35">
        <f t="shared" si="2"/>
        <v>2012</v>
      </c>
      <c r="N27" s="35"/>
      <c r="O27" s="66"/>
      <c r="P27" s="30"/>
      <c r="Q27" s="30"/>
      <c r="R27" s="30"/>
      <c r="S27" s="30"/>
    </row>
    <row r="28" spans="1:19" ht="15.75" x14ac:dyDescent="0.25">
      <c r="A28" s="35" t="s">
        <v>109</v>
      </c>
      <c r="B28" s="35" t="s">
        <v>110</v>
      </c>
      <c r="C28" s="35">
        <f>'DECEMBER 20'!M28:M79</f>
        <v>0</v>
      </c>
      <c r="D28" s="35"/>
      <c r="E28" s="35"/>
      <c r="F28" s="35"/>
      <c r="G28" s="35"/>
      <c r="H28" s="35">
        <v>71875</v>
      </c>
      <c r="I28" s="35"/>
      <c r="J28" s="35">
        <f>16%*H28</f>
        <v>11500</v>
      </c>
      <c r="K28" s="35">
        <f>C28+D28+E28+F28+G28+H28+I28+J28</f>
        <v>83375</v>
      </c>
      <c r="L28" s="35">
        <v>81787</v>
      </c>
      <c r="M28" s="35">
        <f t="shared" si="2"/>
        <v>1588</v>
      </c>
      <c r="N28" s="35"/>
      <c r="O28" s="66"/>
      <c r="P28" s="30"/>
      <c r="Q28" s="30"/>
      <c r="R28" s="30"/>
      <c r="S28" s="30"/>
    </row>
    <row r="29" spans="1:19" ht="15.75" x14ac:dyDescent="0.25">
      <c r="A29" s="35" t="s">
        <v>74</v>
      </c>
      <c r="B29" s="35" t="s">
        <v>102</v>
      </c>
      <c r="C29" s="35">
        <f>'DECEMBER 20'!M29:M80</f>
        <v>15720</v>
      </c>
      <c r="D29" s="35"/>
      <c r="E29" s="35"/>
      <c r="F29" s="35"/>
      <c r="G29" s="35"/>
      <c r="H29" s="35">
        <v>12000</v>
      </c>
      <c r="I29" s="35">
        <v>600</v>
      </c>
      <c r="J29" s="35">
        <f t="shared" si="0"/>
        <v>1920</v>
      </c>
      <c r="K29" s="35">
        <f t="shared" si="1"/>
        <v>30240</v>
      </c>
      <c r="L29" s="35">
        <v>14520</v>
      </c>
      <c r="M29" s="35">
        <f t="shared" si="2"/>
        <v>15720</v>
      </c>
      <c r="N29" s="35"/>
      <c r="O29" s="66"/>
      <c r="P29" s="30"/>
      <c r="Q29" s="30"/>
      <c r="R29" s="30"/>
      <c r="S29" s="30"/>
    </row>
    <row r="30" spans="1:19" ht="15.75" x14ac:dyDescent="0.25">
      <c r="A30" s="35" t="s">
        <v>75</v>
      </c>
      <c r="B30" s="35" t="s">
        <v>111</v>
      </c>
      <c r="C30" s="35">
        <f>'DECEMBER 20'!M30:M81</f>
        <v>2399</v>
      </c>
      <c r="D30" s="35"/>
      <c r="E30" s="35"/>
      <c r="F30" s="35"/>
      <c r="G30" s="35"/>
      <c r="H30" s="35">
        <v>8000</v>
      </c>
      <c r="I30" s="35">
        <v>600</v>
      </c>
      <c r="J30" s="35">
        <f t="shared" si="0"/>
        <v>1280</v>
      </c>
      <c r="K30" s="35">
        <f t="shared" si="1"/>
        <v>12279</v>
      </c>
      <c r="L30" s="35">
        <f>9500</f>
        <v>9500</v>
      </c>
      <c r="M30" s="35">
        <f t="shared" si="2"/>
        <v>2779</v>
      </c>
      <c r="N30" s="35"/>
      <c r="O30" s="66"/>
      <c r="P30" s="30">
        <f>16%*H27</f>
        <v>16100</v>
      </c>
      <c r="Q30" s="30"/>
      <c r="R30" s="30"/>
      <c r="S30" s="30"/>
    </row>
    <row r="31" spans="1:19" ht="15.75" x14ac:dyDescent="0.25">
      <c r="A31" s="35" t="s">
        <v>76</v>
      </c>
      <c r="B31" s="35" t="s">
        <v>112</v>
      </c>
      <c r="C31" s="35">
        <f>'DECEMBER 20'!M31:M82</f>
        <v>0</v>
      </c>
      <c r="D31" s="35"/>
      <c r="E31" s="35"/>
      <c r="F31" s="35"/>
      <c r="G31" s="35"/>
      <c r="H31" s="35"/>
      <c r="I31" s="35"/>
      <c r="J31" s="35">
        <f t="shared" si="0"/>
        <v>0</v>
      </c>
      <c r="K31" s="35">
        <f t="shared" si="1"/>
        <v>0</v>
      </c>
      <c r="L31" s="35"/>
      <c r="M31" s="35">
        <f t="shared" si="2"/>
        <v>0</v>
      </c>
      <c r="N31" s="35"/>
      <c r="O31" s="66"/>
      <c r="P31" s="30"/>
      <c r="Q31" s="30"/>
      <c r="R31" s="30"/>
      <c r="S31" s="30"/>
    </row>
    <row r="32" spans="1:19" ht="15.75" x14ac:dyDescent="0.25">
      <c r="A32" s="35" t="s">
        <v>77</v>
      </c>
      <c r="B32" s="35" t="s">
        <v>102</v>
      </c>
      <c r="C32" s="35">
        <f>'DECEMBER 20'!M32:M83</f>
        <v>480</v>
      </c>
      <c r="D32" s="35"/>
      <c r="E32" s="35"/>
      <c r="F32" s="35"/>
      <c r="G32" s="35"/>
      <c r="H32" s="35">
        <v>12000</v>
      </c>
      <c r="I32" s="35">
        <v>600</v>
      </c>
      <c r="J32" s="35">
        <f t="shared" si="0"/>
        <v>1920</v>
      </c>
      <c r="K32" s="35">
        <f t="shared" si="1"/>
        <v>15000</v>
      </c>
      <c r="L32" s="35">
        <v>14520</v>
      </c>
      <c r="M32" s="35">
        <f t="shared" si="2"/>
        <v>480</v>
      </c>
      <c r="N32" s="35"/>
      <c r="O32" s="66"/>
      <c r="P32" s="30"/>
      <c r="Q32" s="30"/>
      <c r="R32" s="30"/>
      <c r="S32" s="30"/>
    </row>
    <row r="33" spans="1:19" ht="15.75" x14ac:dyDescent="0.25">
      <c r="A33" s="35" t="s">
        <v>78</v>
      </c>
      <c r="B33" s="35" t="s">
        <v>102</v>
      </c>
      <c r="C33" s="35">
        <f>'DECEMBER 20'!M33:M84</f>
        <v>18580</v>
      </c>
      <c r="D33" s="35"/>
      <c r="E33" s="35"/>
      <c r="F33" s="35"/>
      <c r="G33" s="35"/>
      <c r="H33" s="35">
        <v>12000</v>
      </c>
      <c r="I33" s="35">
        <v>600</v>
      </c>
      <c r="J33" s="35">
        <f t="shared" si="0"/>
        <v>1920</v>
      </c>
      <c r="K33" s="35">
        <f t="shared" si="1"/>
        <v>33100</v>
      </c>
      <c r="L33" s="35">
        <f>14520</f>
        <v>14520</v>
      </c>
      <c r="M33" s="35">
        <f t="shared" si="2"/>
        <v>18580</v>
      </c>
      <c r="N33" s="35"/>
      <c r="O33" s="66">
        <f>H27+H28</f>
        <v>172500</v>
      </c>
      <c r="P33" s="30"/>
      <c r="Q33" s="30"/>
      <c r="R33" s="30"/>
      <c r="S33" s="30"/>
    </row>
    <row r="34" spans="1:19" ht="15.75" x14ac:dyDescent="0.25">
      <c r="A34" s="35" t="s">
        <v>79</v>
      </c>
      <c r="B34" s="35" t="s">
        <v>144</v>
      </c>
      <c r="C34" s="35">
        <f>'DECEMBER 20'!M34:M85</f>
        <v>-14500</v>
      </c>
      <c r="D34" s="35"/>
      <c r="E34" s="35"/>
      <c r="F34" s="35"/>
      <c r="G34" s="35"/>
      <c r="H34" s="35">
        <v>12000</v>
      </c>
      <c r="I34" s="35">
        <v>600</v>
      </c>
      <c r="J34" s="35">
        <f t="shared" si="0"/>
        <v>1920</v>
      </c>
      <c r="K34" s="35">
        <f t="shared" si="1"/>
        <v>20</v>
      </c>
      <c r="L34" s="35">
        <v>14540</v>
      </c>
      <c r="M34" s="35">
        <f t="shared" si="2"/>
        <v>-14520</v>
      </c>
      <c r="N34" s="35"/>
      <c r="O34" s="66"/>
      <c r="P34" s="30">
        <f>16%*O33</f>
        <v>27600</v>
      </c>
      <c r="Q34" s="30"/>
      <c r="R34" s="30"/>
      <c r="S34" s="30"/>
    </row>
    <row r="35" spans="1:19" ht="15.75" x14ac:dyDescent="0.25">
      <c r="A35" s="35" t="s">
        <v>80</v>
      </c>
      <c r="B35" s="35" t="s">
        <v>113</v>
      </c>
      <c r="C35" s="35">
        <f>'DECEMBER 20'!M35:M86</f>
        <v>-760</v>
      </c>
      <c r="D35" s="35"/>
      <c r="E35" s="35"/>
      <c r="F35" s="35"/>
      <c r="G35" s="35"/>
      <c r="H35" s="35">
        <v>12000</v>
      </c>
      <c r="I35" s="35">
        <v>600</v>
      </c>
      <c r="J35" s="35">
        <f t="shared" si="0"/>
        <v>1920</v>
      </c>
      <c r="K35" s="35">
        <f t="shared" si="1"/>
        <v>13760</v>
      </c>
      <c r="L35" s="35">
        <f>14500</f>
        <v>14500</v>
      </c>
      <c r="M35" s="35">
        <f t="shared" si="2"/>
        <v>-740</v>
      </c>
      <c r="N35" s="35"/>
      <c r="O35" s="66"/>
      <c r="P35" s="30">
        <f>O33+P34</f>
        <v>200100</v>
      </c>
      <c r="Q35" s="30"/>
      <c r="R35" s="30"/>
      <c r="S35" s="30"/>
    </row>
    <row r="36" spans="1:19" ht="15.75" x14ac:dyDescent="0.25">
      <c r="A36" s="35" t="s">
        <v>81</v>
      </c>
      <c r="B36" s="35" t="s">
        <v>114</v>
      </c>
      <c r="C36" s="35">
        <f>'DECEMBER 20'!M36:M87</f>
        <v>6680</v>
      </c>
      <c r="D36" s="35"/>
      <c r="E36" s="35"/>
      <c r="F36" s="35"/>
      <c r="G36" s="35"/>
      <c r="H36" s="35">
        <v>12000</v>
      </c>
      <c r="I36" s="35">
        <v>600</v>
      </c>
      <c r="J36" s="35">
        <f t="shared" si="0"/>
        <v>1920</v>
      </c>
      <c r="K36" s="35">
        <f t="shared" si="1"/>
        <v>21200</v>
      </c>
      <c r="L36" s="35">
        <f>14300</f>
        <v>14300</v>
      </c>
      <c r="M36" s="35">
        <f t="shared" si="2"/>
        <v>6900</v>
      </c>
      <c r="N36" s="35"/>
      <c r="O36" s="66"/>
      <c r="P36" s="30">
        <f>K27+K28</f>
        <v>200100</v>
      </c>
      <c r="Q36" s="30"/>
      <c r="R36" s="30"/>
      <c r="S36" s="30"/>
    </row>
    <row r="37" spans="1:19" ht="15.75" x14ac:dyDescent="0.25">
      <c r="A37" s="35" t="s">
        <v>82</v>
      </c>
      <c r="B37" s="35" t="s">
        <v>115</v>
      </c>
      <c r="C37" s="35">
        <f>'DECEMBER 20'!M37:M88</f>
        <v>0</v>
      </c>
      <c r="D37" s="35"/>
      <c r="E37" s="35"/>
      <c r="F37" s="35"/>
      <c r="G37" s="35"/>
      <c r="H37" s="35">
        <v>12000</v>
      </c>
      <c r="I37" s="35">
        <v>600</v>
      </c>
      <c r="J37" s="35">
        <f t="shared" si="0"/>
        <v>1920</v>
      </c>
      <c r="K37" s="35">
        <f t="shared" si="1"/>
        <v>14520</v>
      </c>
      <c r="L37" s="35">
        <v>14520</v>
      </c>
      <c r="M37" s="35">
        <f t="shared" si="2"/>
        <v>0</v>
      </c>
      <c r="N37" s="35"/>
      <c r="O37" s="66"/>
      <c r="P37" s="30">
        <f>P36-196500</f>
        <v>3600</v>
      </c>
      <c r="Q37" s="30"/>
      <c r="R37" s="30"/>
      <c r="S37" s="30"/>
    </row>
    <row r="38" spans="1:19" ht="15.75" x14ac:dyDescent="0.25">
      <c r="A38" s="35" t="s">
        <v>83</v>
      </c>
      <c r="B38" s="35" t="s">
        <v>115</v>
      </c>
      <c r="C38" s="35">
        <f>'DECEMBER 20'!M38:M89</f>
        <v>0</v>
      </c>
      <c r="D38" s="35"/>
      <c r="E38" s="35"/>
      <c r="F38" s="35"/>
      <c r="G38" s="35"/>
      <c r="H38" s="35">
        <v>12000</v>
      </c>
      <c r="I38" s="35">
        <v>600</v>
      </c>
      <c r="J38" s="35">
        <f t="shared" si="0"/>
        <v>1920</v>
      </c>
      <c r="K38" s="35">
        <f t="shared" si="1"/>
        <v>14520</v>
      </c>
      <c r="L38" s="35">
        <v>14600</v>
      </c>
      <c r="M38" s="35">
        <f t="shared" si="2"/>
        <v>-80</v>
      </c>
      <c r="N38" s="35"/>
      <c r="O38" s="66"/>
      <c r="P38" s="30"/>
      <c r="Q38" s="30"/>
      <c r="R38" s="30"/>
      <c r="S38" s="30"/>
    </row>
    <row r="39" spans="1:19" ht="15.75" x14ac:dyDescent="0.25">
      <c r="A39" s="35" t="s">
        <v>84</v>
      </c>
      <c r="B39" s="35" t="s">
        <v>121</v>
      </c>
      <c r="C39" s="35">
        <f>'DECEMBER 20'!M39:M90</f>
        <v>9400</v>
      </c>
      <c r="D39" s="35"/>
      <c r="E39" s="35"/>
      <c r="F39" s="35"/>
      <c r="G39" s="35"/>
      <c r="H39" s="35">
        <v>12000</v>
      </c>
      <c r="I39" s="35">
        <v>600</v>
      </c>
      <c r="J39" s="35">
        <f t="shared" si="0"/>
        <v>1920</v>
      </c>
      <c r="K39" s="35">
        <f t="shared" si="1"/>
        <v>23920</v>
      </c>
      <c r="L39" s="35">
        <f>15000</f>
        <v>15000</v>
      </c>
      <c r="M39" s="35">
        <f t="shared" si="2"/>
        <v>8920</v>
      </c>
      <c r="N39" s="35">
        <v>480</v>
      </c>
      <c r="O39" s="66"/>
      <c r="P39" s="30"/>
      <c r="Q39" s="30"/>
      <c r="R39" s="30"/>
      <c r="S39" s="30"/>
    </row>
    <row r="40" spans="1:19" ht="15.75" x14ac:dyDescent="0.25">
      <c r="A40" s="35" t="s">
        <v>85</v>
      </c>
      <c r="B40" s="35" t="s">
        <v>122</v>
      </c>
      <c r="C40" s="35">
        <f>'DECEMBER 20'!M40:M91</f>
        <v>0</v>
      </c>
      <c r="D40" s="35"/>
      <c r="E40" s="35"/>
      <c r="F40" s="35"/>
      <c r="G40" s="35"/>
      <c r="H40" s="35">
        <v>12000</v>
      </c>
      <c r="I40" s="35">
        <v>600</v>
      </c>
      <c r="J40" s="35">
        <f t="shared" si="0"/>
        <v>1920</v>
      </c>
      <c r="K40" s="35">
        <f t="shared" si="1"/>
        <v>14520</v>
      </c>
      <c r="L40" s="35">
        <f>1020+13500</f>
        <v>14520</v>
      </c>
      <c r="M40" s="35">
        <f>K40-L40</f>
        <v>0</v>
      </c>
      <c r="N40" s="35"/>
      <c r="O40" s="66"/>
      <c r="P40" s="30"/>
      <c r="Q40" s="30"/>
      <c r="R40" s="30"/>
      <c r="S40" s="30"/>
    </row>
    <row r="41" spans="1:19" ht="15.75" x14ac:dyDescent="0.25">
      <c r="A41" s="35" t="s">
        <v>86</v>
      </c>
      <c r="B41" s="35" t="s">
        <v>98</v>
      </c>
      <c r="C41" s="35">
        <f>'DECEMBER 20'!M41:M92</f>
        <v>0</v>
      </c>
      <c r="D41" s="56"/>
      <c r="E41" s="56"/>
      <c r="F41" s="56"/>
      <c r="G41" s="56"/>
      <c r="H41" s="56"/>
      <c r="I41" s="35"/>
      <c r="J41" s="35">
        <f t="shared" si="0"/>
        <v>0</v>
      </c>
      <c r="K41" s="35">
        <f t="shared" si="1"/>
        <v>0</v>
      </c>
      <c r="L41" s="56"/>
      <c r="M41" s="35">
        <f t="shared" si="2"/>
        <v>0</v>
      </c>
      <c r="N41" s="35"/>
      <c r="O41" s="66"/>
      <c r="P41" s="30"/>
      <c r="Q41" s="30"/>
      <c r="R41" s="30"/>
      <c r="S41" s="30"/>
    </row>
    <row r="42" spans="1:19" ht="15.75" x14ac:dyDescent="0.25">
      <c r="A42" s="35" t="s">
        <v>87</v>
      </c>
      <c r="B42" s="35" t="s">
        <v>98</v>
      </c>
      <c r="C42" s="35">
        <f>'DECEMBER 20'!M42:M93</f>
        <v>0</v>
      </c>
      <c r="D42" s="56"/>
      <c r="E42" s="56"/>
      <c r="F42" s="56"/>
      <c r="G42" s="56"/>
      <c r="H42" s="56"/>
      <c r="I42" s="35"/>
      <c r="J42" s="35">
        <f t="shared" si="0"/>
        <v>0</v>
      </c>
      <c r="K42" s="35">
        <f t="shared" si="1"/>
        <v>0</v>
      </c>
      <c r="L42" s="56"/>
      <c r="M42" s="35">
        <f t="shared" si="2"/>
        <v>0</v>
      </c>
      <c r="N42" s="35"/>
      <c r="O42" s="66"/>
      <c r="P42" s="30"/>
      <c r="Q42" s="30"/>
      <c r="R42" s="30"/>
      <c r="S42" s="30"/>
    </row>
    <row r="43" spans="1:19" ht="15.75" x14ac:dyDescent="0.25">
      <c r="A43" s="35" t="s">
        <v>88</v>
      </c>
      <c r="B43" s="35" t="s">
        <v>98</v>
      </c>
      <c r="C43" s="35">
        <f>'DECEMBER 20'!M43:M94</f>
        <v>0</v>
      </c>
      <c r="D43" s="56"/>
      <c r="E43" s="56"/>
      <c r="F43" s="56"/>
      <c r="G43" s="56"/>
      <c r="H43" s="35"/>
      <c r="I43" s="35"/>
      <c r="J43" s="35">
        <f t="shared" si="0"/>
        <v>0</v>
      </c>
      <c r="K43" s="35">
        <f t="shared" si="1"/>
        <v>0</v>
      </c>
      <c r="L43" s="35"/>
      <c r="M43" s="35">
        <f t="shared" si="2"/>
        <v>0</v>
      </c>
      <c r="N43" s="35"/>
      <c r="O43" s="66"/>
      <c r="P43" s="30"/>
      <c r="Q43" s="30"/>
      <c r="R43" s="30"/>
      <c r="S43" s="30"/>
    </row>
    <row r="44" spans="1:19" ht="15.75" x14ac:dyDescent="0.25">
      <c r="A44" s="35" t="s">
        <v>89</v>
      </c>
      <c r="B44" s="35" t="s">
        <v>116</v>
      </c>
      <c r="C44" s="35">
        <f>'DECEMBER 20'!M44:M95</f>
        <v>20280</v>
      </c>
      <c r="D44" s="56"/>
      <c r="E44" s="56"/>
      <c r="F44" s="56"/>
      <c r="G44" s="56"/>
      <c r="H44" s="35">
        <v>12000</v>
      </c>
      <c r="I44" s="35">
        <v>600</v>
      </c>
      <c r="J44" s="35">
        <f>16%*H44</f>
        <v>1920</v>
      </c>
      <c r="K44" s="35">
        <f t="shared" si="1"/>
        <v>34800</v>
      </c>
      <c r="L44" s="35">
        <f>15000</f>
        <v>15000</v>
      </c>
      <c r="M44" s="35">
        <f>K44-L44</f>
        <v>19800</v>
      </c>
      <c r="N44" s="35"/>
      <c r="O44" s="66"/>
      <c r="P44" s="30"/>
      <c r="Q44" s="30"/>
      <c r="R44" s="30"/>
      <c r="S44" s="30"/>
    </row>
    <row r="45" spans="1:19" ht="15.75" x14ac:dyDescent="0.25">
      <c r="A45" s="35" t="s">
        <v>90</v>
      </c>
      <c r="B45" s="35" t="s">
        <v>98</v>
      </c>
      <c r="C45" s="35">
        <f>'DECEMBER 20'!M45:M96</f>
        <v>0</v>
      </c>
      <c r="D45" s="56"/>
      <c r="E45" s="56"/>
      <c r="F45" s="56"/>
      <c r="G45" s="56"/>
      <c r="H45" s="35"/>
      <c r="I45" s="35"/>
      <c r="J45" s="35">
        <f t="shared" si="0"/>
        <v>0</v>
      </c>
      <c r="K45" s="35">
        <f t="shared" si="1"/>
        <v>0</v>
      </c>
      <c r="L45" s="56"/>
      <c r="M45" s="35">
        <f t="shared" si="2"/>
        <v>0</v>
      </c>
      <c r="N45" s="35"/>
      <c r="O45" s="66"/>
      <c r="P45" s="30"/>
      <c r="Q45" s="30"/>
      <c r="R45" s="30"/>
      <c r="S45" s="30"/>
    </row>
    <row r="46" spans="1:19" ht="15.75" x14ac:dyDescent="0.25">
      <c r="A46" s="35" t="s">
        <v>91</v>
      </c>
      <c r="B46" s="70" t="s">
        <v>98</v>
      </c>
      <c r="C46" s="35">
        <f>'DECEMBER 20'!M46:M97</f>
        <v>0</v>
      </c>
      <c r="D46" s="56"/>
      <c r="E46" s="56"/>
      <c r="F46" s="56"/>
      <c r="G46" s="56"/>
      <c r="H46" s="35"/>
      <c r="I46" s="35"/>
      <c r="J46" s="35">
        <f t="shared" si="0"/>
        <v>0</v>
      </c>
      <c r="K46" s="35">
        <f t="shared" si="1"/>
        <v>0</v>
      </c>
      <c r="L46" s="56"/>
      <c r="M46" s="35">
        <f t="shared" si="2"/>
        <v>0</v>
      </c>
      <c r="N46" s="35"/>
      <c r="O46" s="66"/>
      <c r="P46" s="30"/>
      <c r="Q46" s="30"/>
      <c r="R46" s="30"/>
      <c r="S46" s="30"/>
    </row>
    <row r="47" spans="1:19" ht="15.75" x14ac:dyDescent="0.25">
      <c r="A47" s="35" t="s">
        <v>37</v>
      </c>
      <c r="B47" s="35" t="s">
        <v>98</v>
      </c>
      <c r="C47" s="35">
        <f>'DECEMBER 20'!M47:M98</f>
        <v>0</v>
      </c>
      <c r="D47" s="56"/>
      <c r="E47" s="56"/>
      <c r="F47" s="56"/>
      <c r="G47" s="56"/>
      <c r="H47" s="35"/>
      <c r="I47" s="35"/>
      <c r="J47" s="35">
        <f t="shared" si="0"/>
        <v>0</v>
      </c>
      <c r="K47" s="35">
        <f t="shared" si="1"/>
        <v>0</v>
      </c>
      <c r="L47" s="56"/>
      <c r="M47" s="35">
        <f t="shared" si="2"/>
        <v>0</v>
      </c>
      <c r="N47" s="35"/>
      <c r="O47" s="66"/>
      <c r="P47" s="30"/>
      <c r="Q47" s="30"/>
      <c r="R47" s="30"/>
      <c r="S47" s="30"/>
    </row>
    <row r="48" spans="1:19" ht="15.75" x14ac:dyDescent="0.25">
      <c r="A48" s="35" t="s">
        <v>38</v>
      </c>
      <c r="B48" s="35" t="s">
        <v>98</v>
      </c>
      <c r="C48" s="35">
        <f>'DECEMBER 20'!M48:M99</f>
        <v>0</v>
      </c>
      <c r="D48" s="56"/>
      <c r="E48" s="56"/>
      <c r="F48" s="56"/>
      <c r="G48" s="56"/>
      <c r="H48" s="35"/>
      <c r="I48" s="35"/>
      <c r="J48" s="35">
        <f t="shared" si="0"/>
        <v>0</v>
      </c>
      <c r="K48" s="35">
        <f t="shared" si="1"/>
        <v>0</v>
      </c>
      <c r="L48" s="56"/>
      <c r="M48" s="35">
        <f t="shared" si="2"/>
        <v>0</v>
      </c>
      <c r="N48" s="35"/>
      <c r="O48" s="66"/>
      <c r="P48" s="30"/>
      <c r="Q48" s="30"/>
      <c r="R48" s="30"/>
      <c r="S48" s="30"/>
    </row>
    <row r="49" spans="1:19" ht="15.75" x14ac:dyDescent="0.25">
      <c r="A49" s="35" t="s">
        <v>39</v>
      </c>
      <c r="B49" s="35" t="s">
        <v>98</v>
      </c>
      <c r="C49" s="35">
        <f>'DECEMBER 20'!M49:M100</f>
        <v>0</v>
      </c>
      <c r="D49" s="56"/>
      <c r="E49" s="56"/>
      <c r="F49" s="56"/>
      <c r="G49" s="56"/>
      <c r="H49" s="35"/>
      <c r="I49" s="35"/>
      <c r="J49" s="35">
        <f t="shared" si="0"/>
        <v>0</v>
      </c>
      <c r="K49" s="35">
        <f t="shared" si="1"/>
        <v>0</v>
      </c>
      <c r="L49" s="56"/>
      <c r="M49" s="35">
        <f t="shared" si="2"/>
        <v>0</v>
      </c>
      <c r="N49" s="35"/>
      <c r="O49" s="66"/>
      <c r="P49" s="30"/>
      <c r="Q49" s="30"/>
      <c r="R49" s="30"/>
      <c r="S49" s="30"/>
    </row>
    <row r="50" spans="1:19" ht="15.75" x14ac:dyDescent="0.25">
      <c r="A50" s="35" t="s">
        <v>40</v>
      </c>
      <c r="B50" s="35" t="s">
        <v>98</v>
      </c>
      <c r="C50" s="35">
        <f>'DECEMBER 20'!M50:M101</f>
        <v>0</v>
      </c>
      <c r="D50" s="56"/>
      <c r="E50" s="56"/>
      <c r="F50" s="56"/>
      <c r="G50" s="56"/>
      <c r="H50" s="35"/>
      <c r="I50" s="35"/>
      <c r="J50" s="35">
        <f t="shared" si="0"/>
        <v>0</v>
      </c>
      <c r="K50" s="35">
        <f t="shared" si="1"/>
        <v>0</v>
      </c>
      <c r="L50" s="56"/>
      <c r="M50" s="35">
        <f t="shared" si="2"/>
        <v>0</v>
      </c>
      <c r="N50" s="35"/>
      <c r="O50" s="66"/>
      <c r="P50" s="30"/>
      <c r="Q50" s="30"/>
      <c r="R50" s="30"/>
      <c r="S50" s="30"/>
    </row>
    <row r="51" spans="1:19" ht="15.75" x14ac:dyDescent="0.25">
      <c r="A51" s="35" t="s">
        <v>41</v>
      </c>
      <c r="B51" s="35" t="s">
        <v>98</v>
      </c>
      <c r="C51" s="35">
        <f>'DECEMBER 20'!M51:M102</f>
        <v>0</v>
      </c>
      <c r="D51" s="56"/>
      <c r="E51" s="56"/>
      <c r="F51" s="56"/>
      <c r="G51" s="56"/>
      <c r="H51" s="35"/>
      <c r="I51" s="35"/>
      <c r="J51" s="35">
        <f t="shared" si="0"/>
        <v>0</v>
      </c>
      <c r="K51" s="35">
        <f t="shared" si="1"/>
        <v>0</v>
      </c>
      <c r="L51" s="56"/>
      <c r="M51" s="35">
        <f t="shared" si="2"/>
        <v>0</v>
      </c>
      <c r="N51" s="35"/>
      <c r="O51" s="66"/>
      <c r="P51" s="30"/>
      <c r="Q51" s="30"/>
      <c r="R51" s="30"/>
      <c r="S51" s="30"/>
    </row>
    <row r="52" spans="1:19" ht="15.75" x14ac:dyDescent="0.25">
      <c r="A52" s="35" t="s">
        <v>42</v>
      </c>
      <c r="B52" s="70" t="s">
        <v>98</v>
      </c>
      <c r="C52" s="35">
        <f>'DECEMBER 20'!M52:M103</f>
        <v>0</v>
      </c>
      <c r="D52" s="56"/>
      <c r="E52" s="56"/>
      <c r="F52" s="56"/>
      <c r="G52" s="56"/>
      <c r="H52" s="35"/>
      <c r="I52" s="35"/>
      <c r="J52" s="35">
        <f t="shared" si="0"/>
        <v>0</v>
      </c>
      <c r="K52" s="35">
        <f t="shared" si="1"/>
        <v>0</v>
      </c>
      <c r="L52" s="56"/>
      <c r="M52" s="35">
        <f t="shared" si="2"/>
        <v>0</v>
      </c>
      <c r="N52" s="35"/>
      <c r="O52" s="66"/>
      <c r="P52" s="30"/>
      <c r="Q52" s="30"/>
      <c r="R52" s="30"/>
      <c r="S52" s="30"/>
    </row>
    <row r="53" spans="1:19" ht="15.75" x14ac:dyDescent="0.25">
      <c r="A53" s="35" t="s">
        <v>43</v>
      </c>
      <c r="B53" s="35" t="s">
        <v>98</v>
      </c>
      <c r="C53" s="35">
        <f>'DECEMBER 20'!M53:M104</f>
        <v>0</v>
      </c>
      <c r="D53" s="56"/>
      <c r="E53" s="56"/>
      <c r="F53" s="56"/>
      <c r="G53" s="56"/>
      <c r="H53" s="35"/>
      <c r="I53" s="35"/>
      <c r="J53" s="35">
        <f t="shared" si="0"/>
        <v>0</v>
      </c>
      <c r="K53" s="35">
        <f t="shared" si="1"/>
        <v>0</v>
      </c>
      <c r="L53" s="56"/>
      <c r="M53" s="35">
        <f t="shared" si="2"/>
        <v>0</v>
      </c>
      <c r="N53" s="35"/>
      <c r="O53" s="66"/>
      <c r="P53" s="30"/>
      <c r="Q53" s="30"/>
      <c r="R53" s="30"/>
      <c r="S53" s="30"/>
    </row>
    <row r="54" spans="1:19" ht="15.75" x14ac:dyDescent="0.25">
      <c r="A54" s="35" t="s">
        <v>44</v>
      </c>
      <c r="B54" s="35" t="s">
        <v>159</v>
      </c>
      <c r="C54" s="35">
        <f>'DECEMBER 20'!M54:M105</f>
        <v>0</v>
      </c>
      <c r="D54" s="56">
        <v>3000</v>
      </c>
      <c r="E54" s="56">
        <v>24000</v>
      </c>
      <c r="F54" s="56">
        <v>3000</v>
      </c>
      <c r="G54" s="56">
        <v>5000</v>
      </c>
      <c r="H54" s="35">
        <v>12000</v>
      </c>
      <c r="I54" s="35">
        <v>600</v>
      </c>
      <c r="J54" s="35">
        <f t="shared" si="0"/>
        <v>1920</v>
      </c>
      <c r="K54" s="35">
        <f t="shared" si="1"/>
        <v>49520</v>
      </c>
      <c r="L54" s="35">
        <v>34000</v>
      </c>
      <c r="M54" s="35">
        <f t="shared" si="2"/>
        <v>15520</v>
      </c>
      <c r="N54" s="35"/>
      <c r="O54" s="66"/>
      <c r="P54" s="30"/>
      <c r="Q54" s="30"/>
      <c r="R54" s="30"/>
      <c r="S54" s="30"/>
    </row>
    <row r="55" spans="1:19" ht="15.75" x14ac:dyDescent="0.25">
      <c r="A55" s="35" t="s">
        <v>92</v>
      </c>
      <c r="B55" s="35" t="s">
        <v>117</v>
      </c>
      <c r="C55" s="35">
        <f>'DECEMBER 20'!M55:M106</f>
        <v>0</v>
      </c>
      <c r="D55" s="35"/>
      <c r="E55" s="35"/>
      <c r="F55" s="56"/>
      <c r="G55" s="56"/>
      <c r="H55" s="35">
        <v>12000</v>
      </c>
      <c r="I55" s="35">
        <v>600</v>
      </c>
      <c r="J55" s="35">
        <f t="shared" si="0"/>
        <v>1920</v>
      </c>
      <c r="K55" s="35">
        <f t="shared" si="1"/>
        <v>14520</v>
      </c>
      <c r="L55" s="35">
        <f>14520</f>
        <v>14520</v>
      </c>
      <c r="M55" s="35">
        <f t="shared" si="2"/>
        <v>0</v>
      </c>
      <c r="N55" s="35"/>
      <c r="O55" s="66"/>
      <c r="P55" s="30"/>
      <c r="Q55" s="30"/>
      <c r="R55" s="30"/>
      <c r="S55" s="30"/>
    </row>
    <row r="56" spans="1:19" ht="15.75" x14ac:dyDescent="0.25">
      <c r="A56" s="35" t="s">
        <v>93</v>
      </c>
      <c r="B56" s="35" t="s">
        <v>118</v>
      </c>
      <c r="C56" s="35">
        <f>'DECEMBER 20'!M56:M107</f>
        <v>14120</v>
      </c>
      <c r="D56" s="35"/>
      <c r="E56" s="35"/>
      <c r="F56" s="56"/>
      <c r="G56" s="56"/>
      <c r="H56" s="35">
        <v>10000</v>
      </c>
      <c r="I56" s="35">
        <v>600</v>
      </c>
      <c r="J56" s="35">
        <f t="shared" si="0"/>
        <v>1600</v>
      </c>
      <c r="K56" s="35">
        <f t="shared" si="1"/>
        <v>26320</v>
      </c>
      <c r="L56" s="35">
        <f>3500+13000+2500</f>
        <v>19000</v>
      </c>
      <c r="M56" s="35">
        <f t="shared" si="2"/>
        <v>7320</v>
      </c>
      <c r="N56" s="35"/>
      <c r="O56" s="66"/>
      <c r="P56" s="30"/>
      <c r="Q56" s="30"/>
      <c r="R56" s="30"/>
      <c r="S56" s="30"/>
    </row>
    <row r="57" spans="1:19" ht="15.75" x14ac:dyDescent="0.25">
      <c r="A57" s="35"/>
      <c r="B57" s="35" t="s">
        <v>9</v>
      </c>
      <c r="C57" s="35">
        <f>SUM(C5:C56)</f>
        <v>222493</v>
      </c>
      <c r="D57" s="35">
        <f t="shared" ref="D57:K57" si="3">SUM(D5:D56)</f>
        <v>3000</v>
      </c>
      <c r="E57" s="35">
        <f t="shared" si="3"/>
        <v>24000</v>
      </c>
      <c r="F57" s="35">
        <f t="shared" si="3"/>
        <v>3000</v>
      </c>
      <c r="G57" s="35">
        <f t="shared" si="3"/>
        <v>5000</v>
      </c>
      <c r="H57" s="35">
        <f t="shared" si="3"/>
        <v>478500</v>
      </c>
      <c r="I57" s="35">
        <f t="shared" si="3"/>
        <v>17400</v>
      </c>
      <c r="J57" s="35">
        <f t="shared" si="3"/>
        <v>76560</v>
      </c>
      <c r="K57" s="35">
        <f t="shared" si="3"/>
        <v>829953</v>
      </c>
      <c r="L57" s="35">
        <f>SUM(L5:L56)</f>
        <v>589760</v>
      </c>
      <c r="M57" s="35">
        <f>SUM(M5:M56)</f>
        <v>240193</v>
      </c>
      <c r="N57" s="35">
        <f>SUM(N5:N56)</f>
        <v>4000</v>
      </c>
      <c r="O57" s="66"/>
      <c r="P57" s="30">
        <f>23520-23440</f>
        <v>80</v>
      </c>
      <c r="Q57" s="30"/>
      <c r="R57" s="30"/>
      <c r="S57" s="30"/>
    </row>
    <row r="58" spans="1:19" ht="15.75" x14ac:dyDescent="0.25">
      <c r="A58" s="66"/>
      <c r="B58" s="66"/>
      <c r="C58" s="71"/>
      <c r="D58" s="71"/>
      <c r="E58" s="71"/>
      <c r="F58" s="66" t="s">
        <v>10</v>
      </c>
      <c r="G58" s="66"/>
      <c r="H58" s="72"/>
      <c r="I58" s="72"/>
      <c r="J58" s="72"/>
      <c r="K58" s="73"/>
      <c r="L58" s="42"/>
      <c r="M58" s="73"/>
      <c r="N58" s="73"/>
      <c r="O58" s="66"/>
      <c r="P58" s="30">
        <f>14520+80</f>
        <v>14600</v>
      </c>
      <c r="Q58" s="30"/>
      <c r="R58" s="30"/>
      <c r="S58" s="30"/>
    </row>
    <row r="59" spans="1:19" ht="15.75" x14ac:dyDescent="0.25">
      <c r="A59" s="66"/>
      <c r="B59" s="68" t="s">
        <v>11</v>
      </c>
      <c r="C59" s="68"/>
      <c r="D59" s="68"/>
      <c r="E59" s="68"/>
      <c r="F59" s="68"/>
      <c r="G59" s="68"/>
      <c r="H59" s="74"/>
      <c r="I59" s="72"/>
      <c r="J59" s="72"/>
      <c r="K59" s="68" t="s">
        <v>12</v>
      </c>
      <c r="L59" s="66"/>
      <c r="M59" s="66"/>
      <c r="N59" s="66"/>
      <c r="O59" s="66"/>
      <c r="P59" s="30"/>
      <c r="Q59" s="30"/>
      <c r="R59" s="30"/>
      <c r="S59" s="30"/>
    </row>
    <row r="60" spans="1:19" ht="15.75" x14ac:dyDescent="0.25">
      <c r="A60" s="66"/>
      <c r="B60" s="35" t="s">
        <v>13</v>
      </c>
      <c r="C60" s="35" t="s">
        <v>14</v>
      </c>
      <c r="D60" s="35"/>
      <c r="E60" s="35" t="s">
        <v>15</v>
      </c>
      <c r="F60" s="35" t="s">
        <v>16</v>
      </c>
      <c r="G60" s="35" t="s">
        <v>13</v>
      </c>
      <c r="H60" s="35" t="s">
        <v>14</v>
      </c>
      <c r="I60" s="35"/>
      <c r="J60" s="35"/>
      <c r="K60" s="35" t="s">
        <v>15</v>
      </c>
      <c r="L60" s="35" t="s">
        <v>8</v>
      </c>
      <c r="M60" s="67"/>
      <c r="N60" s="66"/>
      <c r="O60" s="66"/>
      <c r="P60" s="30"/>
      <c r="Q60" s="30"/>
      <c r="R60" s="30"/>
      <c r="S60" s="30"/>
    </row>
    <row r="61" spans="1:19" ht="15.75" x14ac:dyDescent="0.25">
      <c r="A61" s="66"/>
      <c r="B61" s="56" t="s">
        <v>150</v>
      </c>
      <c r="C61" s="75">
        <f>H57</f>
        <v>478500</v>
      </c>
      <c r="D61" s="75"/>
      <c r="E61" s="56"/>
      <c r="F61" s="56"/>
      <c r="G61" s="56" t="s">
        <v>150</v>
      </c>
      <c r="H61" s="75">
        <f>L57</f>
        <v>589760</v>
      </c>
      <c r="I61" s="75"/>
      <c r="J61" s="75"/>
      <c r="K61" s="56"/>
      <c r="L61" s="56"/>
      <c r="M61" s="66"/>
      <c r="N61" s="66"/>
      <c r="O61" s="66"/>
      <c r="P61" s="30"/>
      <c r="Q61" s="30"/>
      <c r="R61" s="30"/>
      <c r="S61" s="30"/>
    </row>
    <row r="62" spans="1:19" ht="15.75" x14ac:dyDescent="0.25">
      <c r="A62" s="66"/>
      <c r="B62" s="56" t="s">
        <v>57</v>
      </c>
      <c r="C62" s="75">
        <f>I57</f>
        <v>17400</v>
      </c>
      <c r="D62" s="75"/>
      <c r="E62" s="56"/>
      <c r="F62" s="56"/>
      <c r="G62" s="56"/>
      <c r="H62" s="75"/>
      <c r="I62" s="75"/>
      <c r="J62" s="75"/>
      <c r="K62" s="56"/>
      <c r="L62" s="56"/>
      <c r="M62" s="66"/>
      <c r="N62" s="66"/>
      <c r="O62" s="66"/>
      <c r="P62" s="30"/>
      <c r="Q62" s="30"/>
      <c r="R62" s="30"/>
      <c r="S62" s="30"/>
    </row>
    <row r="63" spans="1:19" ht="15.75" x14ac:dyDescent="0.25">
      <c r="A63" s="66"/>
      <c r="B63" s="56" t="s">
        <v>56</v>
      </c>
      <c r="C63" s="75">
        <f>J57</f>
        <v>76560</v>
      </c>
      <c r="D63" s="75"/>
      <c r="E63" s="56"/>
      <c r="F63" s="56"/>
      <c r="G63" s="56" t="s">
        <v>146</v>
      </c>
      <c r="H63" s="75">
        <f>'DECEMBER 20'!L76</f>
        <v>0</v>
      </c>
      <c r="I63" s="75"/>
      <c r="J63" s="75"/>
      <c r="K63" s="56"/>
      <c r="L63" s="56"/>
      <c r="M63" s="66"/>
      <c r="N63" s="66"/>
      <c r="O63" s="66"/>
      <c r="P63" s="30"/>
      <c r="Q63" s="30"/>
      <c r="R63" s="30"/>
      <c r="S63" s="30"/>
    </row>
    <row r="64" spans="1:19" ht="15.75" x14ac:dyDescent="0.25">
      <c r="A64" s="66"/>
      <c r="B64" s="76" t="s">
        <v>4</v>
      </c>
      <c r="C64" s="56">
        <f>E57</f>
        <v>24000</v>
      </c>
      <c r="D64" s="56"/>
      <c r="E64" s="56"/>
      <c r="F64" s="56"/>
      <c r="G64" s="76"/>
      <c r="H64" s="56"/>
      <c r="I64" s="56"/>
      <c r="J64" s="56"/>
      <c r="K64" s="56"/>
      <c r="L64" s="56"/>
      <c r="M64" s="66"/>
      <c r="N64" s="66"/>
      <c r="O64" s="66"/>
      <c r="P64" s="30"/>
      <c r="Q64" s="30"/>
      <c r="R64" s="30"/>
      <c r="S64" s="30"/>
    </row>
    <row r="65" spans="1:19" ht="15.75" x14ac:dyDescent="0.25">
      <c r="A65" s="66"/>
      <c r="B65" s="76" t="s">
        <v>46</v>
      </c>
      <c r="C65" s="56">
        <f>F57</f>
        <v>3000</v>
      </c>
      <c r="D65" s="56"/>
      <c r="E65" s="56"/>
      <c r="F65" s="56"/>
      <c r="G65" s="76"/>
      <c r="H65" s="56"/>
      <c r="I65" s="56"/>
      <c r="J65" s="56"/>
      <c r="K65" s="56"/>
      <c r="L65" s="56"/>
      <c r="M65" s="66"/>
      <c r="N65" s="66"/>
      <c r="O65" s="66"/>
      <c r="P65" s="30"/>
      <c r="Q65" s="30"/>
      <c r="R65" s="30"/>
      <c r="S65" s="30"/>
    </row>
    <row r="66" spans="1:19" ht="15.75" x14ac:dyDescent="0.25">
      <c r="A66" s="66"/>
      <c r="B66" s="76" t="s">
        <v>47</v>
      </c>
      <c r="C66" s="56">
        <f>G57</f>
        <v>5000</v>
      </c>
      <c r="D66" s="56"/>
      <c r="E66" s="56"/>
      <c r="F66" s="56"/>
      <c r="G66" s="76"/>
      <c r="H66" s="56"/>
      <c r="I66" s="56"/>
      <c r="J66" s="56"/>
      <c r="K66" s="56"/>
      <c r="L66" s="56"/>
      <c r="M66" s="66"/>
      <c r="N66" s="66"/>
      <c r="O66" s="66"/>
      <c r="P66" s="30"/>
      <c r="Q66" s="30"/>
      <c r="R66" s="30"/>
      <c r="S66" s="30"/>
    </row>
    <row r="67" spans="1:19" ht="15.75" x14ac:dyDescent="0.25">
      <c r="A67" s="66"/>
      <c r="B67" s="76" t="s">
        <v>52</v>
      </c>
      <c r="C67" s="56">
        <f>D57</f>
        <v>3000</v>
      </c>
      <c r="D67" s="56"/>
      <c r="E67" s="56"/>
      <c r="F67" s="56"/>
      <c r="G67" s="76"/>
      <c r="H67" s="56"/>
      <c r="I67" s="56"/>
      <c r="J67" s="56"/>
      <c r="K67" s="56"/>
      <c r="L67" s="56"/>
      <c r="M67" s="66"/>
      <c r="N67" s="66"/>
      <c r="O67" s="66"/>
      <c r="P67" s="30"/>
      <c r="Q67" s="30"/>
      <c r="R67" s="30"/>
      <c r="S67" s="30"/>
    </row>
    <row r="68" spans="1:19" ht="15.75" x14ac:dyDescent="0.25">
      <c r="A68" s="66"/>
      <c r="B68" s="76" t="s">
        <v>130</v>
      </c>
      <c r="C68" s="56">
        <f>N57</f>
        <v>4000</v>
      </c>
      <c r="D68" s="56"/>
      <c r="E68" s="56"/>
      <c r="F68" s="56"/>
      <c r="G68" s="76"/>
      <c r="H68" s="56"/>
      <c r="I68" s="56"/>
      <c r="J68" s="56"/>
      <c r="K68" s="56"/>
      <c r="L68" s="56"/>
      <c r="M68" s="66"/>
      <c r="N68" s="66"/>
      <c r="O68" s="66"/>
      <c r="P68" s="30"/>
      <c r="Q68" s="30"/>
      <c r="R68" s="30"/>
      <c r="S68" s="30"/>
    </row>
    <row r="69" spans="1:19" ht="15.75" x14ac:dyDescent="0.25">
      <c r="A69" s="66"/>
      <c r="B69" s="76" t="s">
        <v>146</v>
      </c>
      <c r="C69" s="75">
        <f>'DECEMBER 20'!F76</f>
        <v>49240</v>
      </c>
      <c r="D69" s="56"/>
      <c r="E69" s="56"/>
      <c r="F69" s="56"/>
      <c r="G69" s="76" t="s">
        <v>60</v>
      </c>
      <c r="H69" s="56">
        <v>23925</v>
      </c>
      <c r="I69" s="56"/>
      <c r="J69" s="56"/>
      <c r="K69" s="56"/>
      <c r="L69" s="56"/>
      <c r="M69" s="66"/>
      <c r="N69" s="66"/>
      <c r="O69" s="66"/>
      <c r="P69" s="30"/>
      <c r="Q69" s="30"/>
      <c r="R69" s="30"/>
      <c r="S69" s="30"/>
    </row>
    <row r="70" spans="1:19" ht="15.75" x14ac:dyDescent="0.25">
      <c r="A70" s="66"/>
      <c r="B70" s="76" t="s">
        <v>60</v>
      </c>
      <c r="C70" s="56">
        <v>23925</v>
      </c>
      <c r="D70" s="56"/>
      <c r="E70" s="75"/>
      <c r="F70" s="56"/>
      <c r="G70" s="76"/>
      <c r="H70" s="56"/>
      <c r="I70" s="56"/>
      <c r="J70" s="56"/>
      <c r="K70" s="56"/>
      <c r="L70" s="56"/>
      <c r="M70" s="66"/>
      <c r="N70" s="66"/>
      <c r="O70" s="66"/>
      <c r="P70" s="30"/>
      <c r="Q70" s="30"/>
      <c r="R70" s="30"/>
      <c r="S70" s="30"/>
    </row>
    <row r="71" spans="1:19" ht="15.75" x14ac:dyDescent="0.25">
      <c r="A71" s="66"/>
      <c r="B71" s="56" t="s">
        <v>17</v>
      </c>
      <c r="C71" s="77">
        <v>0.05</v>
      </c>
      <c r="D71" s="77"/>
      <c r="E71" s="75">
        <f>C71*C61</f>
        <v>23925</v>
      </c>
      <c r="F71" s="56"/>
      <c r="G71" s="56" t="s">
        <v>17</v>
      </c>
      <c r="H71" s="77">
        <v>0.05</v>
      </c>
      <c r="I71" s="77"/>
      <c r="J71" s="77"/>
      <c r="K71" s="75">
        <f>H71*C61</f>
        <v>23925</v>
      </c>
      <c r="L71" s="75"/>
      <c r="M71" s="78"/>
      <c r="N71" s="66"/>
      <c r="O71" s="66"/>
      <c r="P71" s="30"/>
      <c r="Q71" s="30"/>
      <c r="R71" s="30"/>
      <c r="S71" s="30"/>
    </row>
    <row r="72" spans="1:19" ht="15.75" x14ac:dyDescent="0.25">
      <c r="A72" s="66"/>
      <c r="B72" s="35" t="s">
        <v>18</v>
      </c>
      <c r="C72" s="35" t="s">
        <v>19</v>
      </c>
      <c r="D72" s="35"/>
      <c r="E72" s="35"/>
      <c r="F72" s="35"/>
      <c r="G72" s="35" t="s">
        <v>18</v>
      </c>
      <c r="H72" s="79"/>
      <c r="I72" s="79"/>
      <c r="J72" s="79"/>
      <c r="K72" s="35"/>
      <c r="L72" s="35"/>
      <c r="M72" s="66"/>
      <c r="N72" s="66"/>
      <c r="O72" s="66"/>
      <c r="P72" s="30"/>
      <c r="Q72" s="30"/>
      <c r="R72" s="30"/>
      <c r="S72" s="30"/>
    </row>
    <row r="73" spans="1:19" ht="15.75" x14ac:dyDescent="0.25">
      <c r="A73" s="66"/>
      <c r="B73" s="80"/>
      <c r="C73" s="77"/>
      <c r="D73" s="77"/>
      <c r="E73" s="56"/>
      <c r="F73" s="56"/>
      <c r="G73" s="80"/>
      <c r="H73" s="77"/>
      <c r="I73" s="77"/>
      <c r="J73" s="56"/>
      <c r="K73" s="56"/>
      <c r="L73" s="56"/>
      <c r="M73" s="66"/>
      <c r="N73" s="66"/>
      <c r="O73" s="66"/>
      <c r="P73" s="30"/>
      <c r="Q73" s="30"/>
      <c r="R73" s="30"/>
      <c r="S73" s="30"/>
    </row>
    <row r="74" spans="1:19" ht="15.75" x14ac:dyDescent="0.25">
      <c r="A74" s="66"/>
      <c r="B74" s="81" t="s">
        <v>136</v>
      </c>
      <c r="C74" s="56"/>
      <c r="D74" s="56"/>
      <c r="E74" s="56">
        <f>L57</f>
        <v>589760</v>
      </c>
      <c r="F74" s="80"/>
      <c r="G74" s="81" t="s">
        <v>136</v>
      </c>
      <c r="H74" s="56"/>
      <c r="I74" s="56"/>
      <c r="J74" s="56"/>
      <c r="K74" s="56">
        <f>L57</f>
        <v>589760</v>
      </c>
      <c r="L74" s="56"/>
      <c r="M74" s="66"/>
      <c r="N74" s="66"/>
      <c r="O74" s="66"/>
      <c r="P74" s="30"/>
      <c r="Q74" s="30"/>
      <c r="R74" s="30"/>
      <c r="S74" s="30"/>
    </row>
    <row r="75" spans="1:19" ht="15.75" x14ac:dyDescent="0.25">
      <c r="A75" s="66"/>
      <c r="B75" s="56" t="s">
        <v>170</v>
      </c>
      <c r="C75" s="77"/>
      <c r="D75" s="77"/>
      <c r="E75" s="56">
        <v>28120</v>
      </c>
      <c r="F75" s="56"/>
      <c r="G75" s="56"/>
      <c r="H75" s="77"/>
      <c r="I75" s="77"/>
      <c r="J75" s="77"/>
      <c r="K75" s="56"/>
      <c r="L75" s="56"/>
      <c r="M75" s="66"/>
      <c r="N75" s="66"/>
      <c r="O75" s="66"/>
      <c r="P75" s="30"/>
      <c r="Q75" s="30"/>
      <c r="R75" s="30"/>
      <c r="S75" s="30"/>
    </row>
    <row r="76" spans="1:19" ht="15.75" x14ac:dyDescent="0.25">
      <c r="A76" s="66"/>
      <c r="B76" s="82" t="s">
        <v>20</v>
      </c>
      <c r="C76" s="79">
        <f>C61+C62+C63+C64+C65+C66+C67+C68+C69+C70</f>
        <v>684625</v>
      </c>
      <c r="D76" s="79"/>
      <c r="E76" s="83">
        <f>SUM(E71:E75)</f>
        <v>641805</v>
      </c>
      <c r="F76" s="79">
        <f>C76-E76</f>
        <v>42820</v>
      </c>
      <c r="G76" s="82" t="s">
        <v>20</v>
      </c>
      <c r="H76" s="79">
        <f>H61+H63+H69</f>
        <v>613685</v>
      </c>
      <c r="I76" s="79"/>
      <c r="J76" s="79"/>
      <c r="K76" s="79">
        <f>SUM(K71:K75)</f>
        <v>613685</v>
      </c>
      <c r="L76" s="79">
        <f>H76-K76</f>
        <v>0</v>
      </c>
      <c r="M76" s="66"/>
      <c r="N76" s="66"/>
      <c r="O76" s="66"/>
      <c r="P76" s="30"/>
      <c r="Q76" s="30"/>
      <c r="R76" s="30"/>
      <c r="S76" s="30"/>
    </row>
    <row r="77" spans="1:19" ht="15.75" x14ac:dyDescent="0.25">
      <c r="A77" s="66"/>
      <c r="B77" s="66" t="s">
        <v>21</v>
      </c>
      <c r="C77" s="66"/>
      <c r="D77" s="66"/>
      <c r="E77" s="78">
        <f>F76+E71</f>
        <v>66745</v>
      </c>
      <c r="F77" s="66" t="s">
        <v>22</v>
      </c>
      <c r="G77" s="66"/>
      <c r="H77" s="66"/>
      <c r="I77" s="66"/>
      <c r="J77" s="66"/>
      <c r="K77" s="78">
        <f>K76-K71</f>
        <v>589760</v>
      </c>
      <c r="L77" s="66" t="s">
        <v>23</v>
      </c>
      <c r="M77" s="66"/>
      <c r="N77" s="66"/>
      <c r="O77" s="66"/>
      <c r="P77" s="30"/>
      <c r="Q77" s="30"/>
      <c r="R77" s="30"/>
      <c r="S77" s="30"/>
    </row>
    <row r="78" spans="1:19" ht="15.75" x14ac:dyDescent="0.25">
      <c r="A78" s="66"/>
      <c r="B78" s="66" t="s">
        <v>24</v>
      </c>
      <c r="C78" s="66"/>
      <c r="D78" s="66"/>
      <c r="E78" s="66"/>
      <c r="F78" s="66" t="s">
        <v>25</v>
      </c>
      <c r="G78" s="66"/>
      <c r="H78" s="66"/>
      <c r="I78" s="66"/>
      <c r="J78" s="66"/>
      <c r="K78" s="78"/>
      <c r="L78" s="66" t="s">
        <v>49</v>
      </c>
      <c r="M78" s="66"/>
      <c r="N78" s="66"/>
      <c r="O78" s="66"/>
      <c r="P78" s="30"/>
      <c r="Q78" s="30"/>
      <c r="R78" s="30"/>
      <c r="S78" s="30"/>
    </row>
    <row r="79" spans="1:19" ht="18.75" x14ac:dyDescent="0.3">
      <c r="A79" s="84"/>
      <c r="B79" s="84"/>
      <c r="C79" s="84"/>
      <c r="D79" s="85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53"/>
      <c r="Q79" s="53"/>
      <c r="R79" s="53"/>
    </row>
    <row r="80" spans="1:19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</sheetData>
  <pageMargins left="0.7" right="0.7" top="0.75" bottom="0.75" header="0.3" footer="0.3"/>
  <pageSetup paperSize="28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37" workbookViewId="0">
      <selection activeCell="O44" sqref="O44"/>
    </sheetView>
  </sheetViews>
  <sheetFormatPr defaultRowHeight="15" x14ac:dyDescent="0.25"/>
  <cols>
    <col min="1" max="1" width="10.28515625" customWidth="1"/>
    <col min="2" max="2" width="21.42578125" customWidth="1"/>
    <col min="4" max="4" width="10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155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'JANUARY 21'!M5:M56</f>
        <v>13613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28133</v>
      </c>
      <c r="L5" s="33">
        <f>14520</f>
        <v>14520</v>
      </c>
      <c r="M5" s="33">
        <f>K5-L5</f>
        <v>13613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'JANUARY 21'!M6:M57</f>
        <v>45496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60016</v>
      </c>
      <c r="L6" s="33">
        <f>13000</f>
        <v>13000</v>
      </c>
      <c r="M6" s="33">
        <f t="shared" ref="M6:M56" si="2">K6-L6</f>
        <v>47016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'JANUARY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99</v>
      </c>
      <c r="C8" s="34">
        <f>'JANUARY 21'!M8:M59</f>
        <v>57200</v>
      </c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57200</v>
      </c>
      <c r="L8" s="33"/>
      <c r="M8" s="33">
        <f t="shared" si="2"/>
        <v>57200</v>
      </c>
      <c r="N8" s="33"/>
      <c r="O8" s="30" t="s">
        <v>152</v>
      </c>
    </row>
    <row r="9" spans="1:15" ht="15.75" x14ac:dyDescent="0.25">
      <c r="A9" s="33" t="s">
        <v>64</v>
      </c>
      <c r="B9" s="34" t="s">
        <v>98</v>
      </c>
      <c r="C9" s="34">
        <f>'JANUARY 21'!M9:M62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'JANUARY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'JANUARY 21'!M11:M62</f>
        <v>-1140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13380</v>
      </c>
      <c r="L11" s="33">
        <f>14500</f>
        <v>14500</v>
      </c>
      <c r="M11" s="33">
        <f t="shared" si="2"/>
        <v>-1120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/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'JANUARY 21'!M13:M64</f>
        <v>1920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11800</v>
      </c>
      <c r="L13" s="33">
        <f>7000</f>
        <v>7000</v>
      </c>
      <c r="M13" s="33">
        <f t="shared" si="2"/>
        <v>4800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'JANUARY 21'!M14:M65</f>
        <v>3480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1280</v>
      </c>
      <c r="K14" s="33">
        <f t="shared" si="1"/>
        <v>13360</v>
      </c>
      <c r="L14" s="33"/>
      <c r="M14" s="33">
        <f t="shared" si="2"/>
        <v>13360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'JANUARY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'JANUARY 21'!M16:M67</f>
        <v>1711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11591</v>
      </c>
      <c r="L16" s="33">
        <v>10000</v>
      </c>
      <c r="M16" s="33">
        <f t="shared" si="2"/>
        <v>1591</v>
      </c>
      <c r="N16" s="33">
        <v>120</v>
      </c>
      <c r="O16" s="30"/>
    </row>
    <row r="17" spans="1:15" ht="15.75" x14ac:dyDescent="0.25">
      <c r="A17" s="33" t="s">
        <v>69</v>
      </c>
      <c r="B17" s="33" t="s">
        <v>106</v>
      </c>
      <c r="C17" s="34">
        <f>'JANUARY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9880</f>
        <v>9880</v>
      </c>
      <c r="M17" s="33">
        <f t="shared" si="2"/>
        <v>4060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/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'JANUARY 21'!M19:M70</f>
        <v>160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10040</v>
      </c>
      <c r="L19" s="33">
        <v>9720</v>
      </c>
      <c r="M19" s="33">
        <f t="shared" si="2"/>
        <v>320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'JANUARY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'JANUARY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'JANUARY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'JANUARY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'JANUARY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'JANUARY 21'!M25:M76</f>
        <v>160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10040</v>
      </c>
      <c r="L25" s="33">
        <f>9720</f>
        <v>9720</v>
      </c>
      <c r="M25" s="33">
        <f t="shared" si="2"/>
        <v>320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'JANUARY 21'!M26:M77</f>
        <v>2180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12060</v>
      </c>
      <c r="L26" s="33"/>
      <c r="M26" s="33">
        <f t="shared" si="2"/>
        <v>12060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'JANUARY 21'!M27:M78</f>
        <v>2012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118737</v>
      </c>
      <c r="L27" s="33">
        <v>116725</v>
      </c>
      <c r="M27" s="33">
        <f t="shared" si="2"/>
        <v>2012</v>
      </c>
      <c r="N27" s="33"/>
      <c r="O27" s="30">
        <f>L28-3600</f>
        <v>76175</v>
      </c>
    </row>
    <row r="28" spans="1:15" ht="15.75" x14ac:dyDescent="0.25">
      <c r="A28" s="33" t="s">
        <v>109</v>
      </c>
      <c r="B28" s="33" t="s">
        <v>110</v>
      </c>
      <c r="C28" s="34">
        <f>'JANUARY 21'!M28:M79</f>
        <v>1588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84963</v>
      </c>
      <c r="L28" s="33">
        <v>79775</v>
      </c>
      <c r="M28" s="33">
        <f t="shared" si="2"/>
        <v>5188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/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>
        <f>M28+M27</f>
        <v>7200</v>
      </c>
    </row>
    <row r="30" spans="1:15" ht="15.75" x14ac:dyDescent="0.25">
      <c r="A30" s="33" t="s">
        <v>75</v>
      </c>
      <c r="B30" s="33" t="s">
        <v>111</v>
      </c>
      <c r="C30" s="34">
        <f>'JANUARY 21'!M30:M81</f>
        <v>2779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12659</v>
      </c>
      <c r="L30" s="33">
        <f>7000</f>
        <v>7000</v>
      </c>
      <c r="M30" s="33">
        <f t="shared" si="2"/>
        <v>5659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'JANUARY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/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/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4" t="s">
        <v>144</v>
      </c>
      <c r="C34" s="34">
        <f>'JANUARY 21'!M34:M85</f>
        <v>-14520</v>
      </c>
      <c r="D34" s="33"/>
      <c r="E34" s="33"/>
      <c r="F34" s="33"/>
      <c r="G34" s="33"/>
      <c r="H34" s="34">
        <v>12000</v>
      </c>
      <c r="I34" s="34">
        <v>600</v>
      </c>
      <c r="J34" s="33">
        <f t="shared" si="0"/>
        <v>1920</v>
      </c>
      <c r="K34" s="34">
        <f t="shared" si="1"/>
        <v>0</v>
      </c>
      <c r="L34" s="34"/>
      <c r="M34" s="33">
        <f t="shared" si="2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'JANUARY 21'!M35:M86</f>
        <v>-740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13780</v>
      </c>
      <c r="L35" s="33">
        <v>14520</v>
      </c>
      <c r="M35" s="33">
        <f t="shared" si="2"/>
        <v>-740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'JANUARY 21'!M36:M87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21420</v>
      </c>
      <c r="L36" s="33">
        <f>14500</f>
        <v>14500</v>
      </c>
      <c r="M36" s="33">
        <f t="shared" si="2"/>
        <v>6920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'JANUARY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14520</v>
      </c>
      <c r="L37" s="33"/>
      <c r="M37" s="33">
        <f t="shared" si="2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'JANUARY 21'!M38:M89</f>
        <v>-80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14440</v>
      </c>
      <c r="L38" s="33"/>
      <c r="M38" s="33">
        <f t="shared" si="2"/>
        <v>14440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'JANUARY 21'!M39:M90</f>
        <v>8920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23440</v>
      </c>
      <c r="L39" s="33">
        <v>23520</v>
      </c>
      <c r="M39" s="33">
        <f t="shared" si="2"/>
        <v>-80</v>
      </c>
      <c r="N39" s="33">
        <v>8920</v>
      </c>
      <c r="O39" s="30"/>
    </row>
    <row r="40" spans="1:15" ht="15.75" x14ac:dyDescent="0.25">
      <c r="A40" s="33" t="s">
        <v>85</v>
      </c>
      <c r="B40" s="35" t="s">
        <v>122</v>
      </c>
      <c r="C40" s="34">
        <f>'JANUARY 21'!M40:M91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14520</v>
      </c>
      <c r="L40" s="33">
        <f>14000</f>
        <v>14000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5"/>
      <c r="C41" s="34">
        <f>'JANUARY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'JANUARY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'JANUARY 21'!M43:M94</f>
        <v>0</v>
      </c>
      <c r="D43" s="36">
        <v>3000</v>
      </c>
      <c r="E43" s="36">
        <v>24000</v>
      </c>
      <c r="F43" s="36">
        <v>3000</v>
      </c>
      <c r="G43" s="36">
        <v>5000</v>
      </c>
      <c r="H43" s="33">
        <v>12000</v>
      </c>
      <c r="I43" s="33">
        <v>600</v>
      </c>
      <c r="J43" s="33">
        <f t="shared" si="0"/>
        <v>1920</v>
      </c>
      <c r="K43" s="33">
        <f t="shared" si="1"/>
        <v>49520</v>
      </c>
      <c r="L43" s="36">
        <v>49520</v>
      </c>
      <c r="M43" s="33">
        <f t="shared" si="2"/>
        <v>0</v>
      </c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'JANUARY 21'!M44:M95</f>
        <v>19800</v>
      </c>
      <c r="D44" s="36"/>
      <c r="E44" s="36"/>
      <c r="F44" s="36"/>
      <c r="G44" s="36"/>
      <c r="H44" s="33">
        <v>12000</v>
      </c>
      <c r="I44" s="33">
        <v>600</v>
      </c>
      <c r="J44" s="33">
        <f>16%*H44</f>
        <v>1920</v>
      </c>
      <c r="K44" s="33">
        <f t="shared" si="1"/>
        <v>34320</v>
      </c>
      <c r="L44" s="36"/>
      <c r="M44" s="33">
        <f t="shared" si="2"/>
        <v>34320</v>
      </c>
      <c r="N44" s="33"/>
      <c r="O44" s="30" t="s">
        <v>158</v>
      </c>
    </row>
    <row r="45" spans="1:15" ht="15.75" x14ac:dyDescent="0.25">
      <c r="A45" s="33" t="s">
        <v>90</v>
      </c>
      <c r="B45" s="34" t="s">
        <v>98</v>
      </c>
      <c r="C45" s="34">
        <f>'JANUARY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'JANUARY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'JANUARY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'JANUARY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'JANUARY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'JANUARY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'JANUARY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'JANUARY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'JANUARY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'JANUARY 21'!M54:M105</f>
        <v>15520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30040</v>
      </c>
      <c r="L54" s="36">
        <f>5000+10000+5000+5000</f>
        <v>25000</v>
      </c>
      <c r="M54" s="33">
        <f t="shared" si="2"/>
        <v>5040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'JANUARY 21'!M55:M106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14520</v>
      </c>
      <c r="L55" s="35">
        <f>5500</f>
        <v>5500</v>
      </c>
      <c r="M55" s="33">
        <f t="shared" si="2"/>
        <v>9020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'JANUARY 21'!M56:M107</f>
        <v>7320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19520</v>
      </c>
      <c r="L56" s="35"/>
      <c r="M56" s="33">
        <f t="shared" si="2"/>
        <v>19520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177859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478500</v>
      </c>
      <c r="I57" s="33">
        <f t="shared" si="3"/>
        <v>17400</v>
      </c>
      <c r="J57" s="33">
        <f t="shared" si="3"/>
        <v>76560</v>
      </c>
      <c r="K57" s="33">
        <f t="shared" si="3"/>
        <v>785319</v>
      </c>
      <c r="L57" s="33">
        <f>SUM(L5:L56)</f>
        <v>516240</v>
      </c>
      <c r="M57" s="33">
        <f>SUM(M5:M56)</f>
        <v>269079</v>
      </c>
      <c r="N57" s="33">
        <f>SUM(N5:N56)</f>
        <v>9040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154</v>
      </c>
      <c r="C61" s="44">
        <f>H57</f>
        <v>478500</v>
      </c>
      <c r="D61" s="44"/>
      <c r="E61" s="36"/>
      <c r="F61" s="36"/>
      <c r="G61" s="36" t="s">
        <v>154</v>
      </c>
      <c r="H61" s="44">
        <f>L57</f>
        <v>516240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17400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76560</v>
      </c>
      <c r="D63" s="44"/>
      <c r="E63" s="36"/>
      <c r="F63" s="36"/>
      <c r="G63" s="36" t="s">
        <v>146</v>
      </c>
      <c r="H63" s="44">
        <f>'JANUARY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9040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'JANUARY 21'!F76</f>
        <v>42820</v>
      </c>
      <c r="D69" s="36"/>
      <c r="E69" s="36"/>
      <c r="F69" s="36"/>
      <c r="G69" s="46" t="s">
        <v>60</v>
      </c>
      <c r="H69" s="36">
        <v>23925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>
        <v>23925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23925</v>
      </c>
      <c r="F71" s="36"/>
      <c r="G71" s="36" t="s">
        <v>17</v>
      </c>
      <c r="H71" s="47">
        <v>0.05</v>
      </c>
      <c r="I71" s="47"/>
      <c r="J71" s="47"/>
      <c r="K71" s="44">
        <f>H71*C61</f>
        <v>23925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516240</v>
      </c>
      <c r="F74" s="49"/>
      <c r="G74" s="50" t="s">
        <v>136</v>
      </c>
      <c r="H74" s="36"/>
      <c r="I74" s="36"/>
      <c r="J74" s="36"/>
      <c r="K74" s="36">
        <f>L57</f>
        <v>516240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683245</v>
      </c>
      <c r="D76" s="48"/>
      <c r="E76" s="52">
        <f>SUM(E71:E75)</f>
        <v>540165</v>
      </c>
      <c r="F76" s="48">
        <f>C76-E76</f>
        <v>143080</v>
      </c>
      <c r="G76" s="51" t="s">
        <v>20</v>
      </c>
      <c r="H76" s="48">
        <f>H61+H63+H69</f>
        <v>540165</v>
      </c>
      <c r="I76" s="48"/>
      <c r="J76" s="48"/>
      <c r="K76" s="48">
        <f>SUM(K71:K75)</f>
        <v>540165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167005</v>
      </c>
      <c r="F77" s="30" t="s">
        <v>22</v>
      </c>
      <c r="G77" s="30"/>
      <c r="H77" s="30"/>
      <c r="I77" s="30"/>
      <c r="J77" s="30"/>
      <c r="K77" s="45">
        <f>K76-K71</f>
        <v>516240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79" spans="1:15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</sheetData>
  <pageMargins left="0" right="0" top="0" bottom="0" header="0" footer="0"/>
  <pageSetup paperSize="28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8" workbookViewId="0">
      <selection activeCell="H74" sqref="H74"/>
    </sheetView>
  </sheetViews>
  <sheetFormatPr defaultRowHeight="15" x14ac:dyDescent="0.25"/>
  <cols>
    <col min="2" max="2" width="20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157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'FEBRUARY 21'!M5:M56</f>
        <v>13613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28133</v>
      </c>
      <c r="L5" s="33">
        <f>14520+1000</f>
        <v>15520</v>
      </c>
      <c r="M5" s="33">
        <f>K5-L5</f>
        <v>12613</v>
      </c>
      <c r="N5" s="33">
        <v>1000</v>
      </c>
      <c r="O5" s="30"/>
    </row>
    <row r="6" spans="1:15" ht="15.75" x14ac:dyDescent="0.25">
      <c r="A6" s="33" t="s">
        <v>95</v>
      </c>
      <c r="B6" s="33" t="s">
        <v>97</v>
      </c>
      <c r="C6" s="34">
        <f>'FEBRUARY 21'!M6:M57</f>
        <v>47016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61536</v>
      </c>
      <c r="L6" s="33">
        <f>14500</f>
        <v>14500</v>
      </c>
      <c r="M6" s="33">
        <f t="shared" ref="M6:M56" si="2">K6-L6</f>
        <v>47036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'FEBRUARY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/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0</v>
      </c>
      <c r="L8" s="33"/>
      <c r="M8" s="33">
        <f t="shared" si="2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'FEBRUARY 21'!M9:M60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'FEBRUARY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'FEBRUARY 21'!M11:M62</f>
        <v>-1120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13400</v>
      </c>
      <c r="L11" s="33">
        <v>14000</v>
      </c>
      <c r="M11" s="33">
        <f t="shared" si="2"/>
        <v>-600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'FEBRUARY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'FEBRUARY 21'!M13:M64</f>
        <v>4800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14680</v>
      </c>
      <c r="L13" s="33">
        <f>10000</f>
        <v>10000</v>
      </c>
      <c r="M13" s="33">
        <f t="shared" si="2"/>
        <v>4680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'FEBRUARY 21'!M14:M65</f>
        <v>13360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1280</v>
      </c>
      <c r="K14" s="33">
        <f t="shared" si="1"/>
        <v>23240</v>
      </c>
      <c r="L14" s="33">
        <f>10000+3000</f>
        <v>13000</v>
      </c>
      <c r="M14" s="33">
        <f t="shared" si="2"/>
        <v>10240</v>
      </c>
      <c r="N14" s="33"/>
      <c r="O14" s="30" t="s">
        <v>171</v>
      </c>
    </row>
    <row r="15" spans="1:15" ht="15.75" x14ac:dyDescent="0.25">
      <c r="A15" s="33" t="s">
        <v>29</v>
      </c>
      <c r="B15" s="34" t="s">
        <v>98</v>
      </c>
      <c r="C15" s="34">
        <f>'FEBRUARY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'FEBRUARY 21'!M16:M67</f>
        <v>1591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11471</v>
      </c>
      <c r="L16" s="33">
        <f>9880</f>
        <v>9880</v>
      </c>
      <c r="M16" s="33">
        <f t="shared" si="2"/>
        <v>1591</v>
      </c>
      <c r="N16" s="33"/>
      <c r="O16" s="30"/>
    </row>
    <row r="17" spans="1:17" ht="15.75" x14ac:dyDescent="0.25">
      <c r="A17" s="33" t="s">
        <v>69</v>
      </c>
      <c r="B17" s="33" t="s">
        <v>106</v>
      </c>
      <c r="C17" s="34">
        <f>'FEBRUARY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9880</f>
        <v>9880</v>
      </c>
      <c r="M17" s="33">
        <f t="shared" si="2"/>
        <v>4060</v>
      </c>
      <c r="N17" s="33"/>
      <c r="O17" s="30"/>
    </row>
    <row r="18" spans="1:17" ht="15.75" x14ac:dyDescent="0.25">
      <c r="A18" s="33" t="s">
        <v>70</v>
      </c>
      <c r="B18" s="33" t="s">
        <v>102</v>
      </c>
      <c r="C18" s="34">
        <f>'FEBRUARY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7" ht="15.75" x14ac:dyDescent="0.25">
      <c r="A19" s="33" t="s">
        <v>71</v>
      </c>
      <c r="B19" s="33" t="s">
        <v>107</v>
      </c>
      <c r="C19" s="34">
        <f>'FEBRUARY 21'!M19:M70</f>
        <v>320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10200</v>
      </c>
      <c r="L19" s="33">
        <v>9720</v>
      </c>
      <c r="M19" s="33">
        <f t="shared" si="2"/>
        <v>480</v>
      </c>
      <c r="N19" s="33"/>
      <c r="O19" s="30"/>
    </row>
    <row r="20" spans="1:17" ht="15.75" x14ac:dyDescent="0.25">
      <c r="A20" s="33" t="s">
        <v>30</v>
      </c>
      <c r="B20" s="34" t="s">
        <v>98</v>
      </c>
      <c r="C20" s="34">
        <f>'FEBRUARY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7" ht="15.75" x14ac:dyDescent="0.25">
      <c r="A21" s="33" t="s">
        <v>31</v>
      </c>
      <c r="B21" s="34" t="s">
        <v>98</v>
      </c>
      <c r="C21" s="34">
        <f>'FEBRUARY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7" ht="15.75" x14ac:dyDescent="0.25">
      <c r="A22" s="33" t="s">
        <v>32</v>
      </c>
      <c r="B22" s="34" t="s">
        <v>98</v>
      </c>
      <c r="C22" s="34">
        <f>'FEBRUARY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7" ht="15.75" x14ac:dyDescent="0.25">
      <c r="A23" s="33" t="s">
        <v>33</v>
      </c>
      <c r="B23" s="34" t="s">
        <v>98</v>
      </c>
      <c r="C23" s="34">
        <f>'FEBRUARY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7" ht="15.75" x14ac:dyDescent="0.25">
      <c r="A24" s="33" t="s">
        <v>34</v>
      </c>
      <c r="B24" s="34" t="s">
        <v>98</v>
      </c>
      <c r="C24" s="34">
        <f>'FEBRUARY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7" ht="15.75" x14ac:dyDescent="0.25">
      <c r="A25" s="33" t="s">
        <v>72</v>
      </c>
      <c r="B25" s="33" t="s">
        <v>107</v>
      </c>
      <c r="C25" s="34">
        <f>'FEBRUARY 21'!M25:M76</f>
        <v>320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10200</v>
      </c>
      <c r="L25" s="33">
        <v>9720</v>
      </c>
      <c r="M25" s="33">
        <f t="shared" si="2"/>
        <v>480</v>
      </c>
      <c r="N25" s="33"/>
      <c r="O25" s="30"/>
    </row>
    <row r="26" spans="1:17" ht="15.75" x14ac:dyDescent="0.25">
      <c r="A26" s="33" t="s">
        <v>73</v>
      </c>
      <c r="B26" s="33" t="s">
        <v>123</v>
      </c>
      <c r="C26" s="34">
        <f>'FEBRUARY 21'!M26:M77</f>
        <v>12060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21940</v>
      </c>
      <c r="L26" s="33"/>
      <c r="M26" s="33">
        <f t="shared" si="2"/>
        <v>21940</v>
      </c>
      <c r="N26" s="33"/>
      <c r="O26" s="30">
        <f>M27+M28</f>
        <v>10800</v>
      </c>
    </row>
    <row r="27" spans="1:17" ht="15.75" x14ac:dyDescent="0.25">
      <c r="A27" s="33" t="s">
        <v>108</v>
      </c>
      <c r="B27" s="33" t="s">
        <v>110</v>
      </c>
      <c r="C27" s="34">
        <f>'FEBRUARY 21'!M27:M78</f>
        <v>2012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118737</v>
      </c>
      <c r="L27" s="33">
        <v>113125</v>
      </c>
      <c r="M27" s="33">
        <f t="shared" si="2"/>
        <v>5612</v>
      </c>
      <c r="N27" s="33"/>
      <c r="O27" s="30">
        <f>O26+200100</f>
        <v>210900</v>
      </c>
    </row>
    <row r="28" spans="1:17" ht="15.75" x14ac:dyDescent="0.25">
      <c r="A28" s="33" t="s">
        <v>109</v>
      </c>
      <c r="B28" s="33" t="s">
        <v>110</v>
      </c>
      <c r="C28" s="34">
        <f>'FEBRUARY 21'!M28:M79</f>
        <v>5188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88563</v>
      </c>
      <c r="L28" s="33">
        <v>83375</v>
      </c>
      <c r="M28" s="33">
        <f t="shared" si="2"/>
        <v>5188</v>
      </c>
      <c r="N28" s="33"/>
      <c r="O28" s="30"/>
    </row>
    <row r="29" spans="1:17" ht="15.75" x14ac:dyDescent="0.25">
      <c r="A29" s="33" t="s">
        <v>74</v>
      </c>
      <c r="B29" s="33" t="s">
        <v>102</v>
      </c>
      <c r="C29" s="34">
        <f>'FEBRUARY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>
        <f>J27+H27</f>
        <v>116725</v>
      </c>
      <c r="P29">
        <f>O29+O30</f>
        <v>200100</v>
      </c>
      <c r="Q29">
        <f>Q30+O30</f>
        <v>196500</v>
      </c>
    </row>
    <row r="30" spans="1:17" ht="15.75" x14ac:dyDescent="0.25">
      <c r="A30" s="33" t="s">
        <v>75</v>
      </c>
      <c r="B30" s="33" t="s">
        <v>111</v>
      </c>
      <c r="C30" s="34">
        <f>'FEBRUARY 21'!M30:M81</f>
        <v>5659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15539</v>
      </c>
      <c r="L30" s="33">
        <f>11000</f>
        <v>11000</v>
      </c>
      <c r="M30" s="33">
        <f t="shared" si="2"/>
        <v>4539</v>
      </c>
      <c r="N30" s="33"/>
      <c r="O30" s="30">
        <f>H28+J28</f>
        <v>83375</v>
      </c>
      <c r="P30">
        <f>P29-196500</f>
        <v>3600</v>
      </c>
      <c r="Q30">
        <f>O29-3600</f>
        <v>113125</v>
      </c>
    </row>
    <row r="31" spans="1:17" ht="15.75" x14ac:dyDescent="0.25">
      <c r="A31" s="33" t="s">
        <v>76</v>
      </c>
      <c r="B31" s="33" t="s">
        <v>112</v>
      </c>
      <c r="C31" s="34">
        <f>'FEBRUARY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7" ht="15.75" x14ac:dyDescent="0.25">
      <c r="A32" s="33" t="s">
        <v>77</v>
      </c>
      <c r="B32" s="33" t="s">
        <v>102</v>
      </c>
      <c r="C32" s="34">
        <f>'FEBRUARY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'FEBRUARY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4" t="s">
        <v>144</v>
      </c>
      <c r="C34" s="34">
        <f>'FEBRUARY 21'!M34:M85</f>
        <v>0</v>
      </c>
      <c r="D34" s="33"/>
      <c r="E34" s="33"/>
      <c r="F34" s="33"/>
      <c r="G34" s="33"/>
      <c r="H34" s="34">
        <v>12000</v>
      </c>
      <c r="I34" s="34">
        <v>600</v>
      </c>
      <c r="J34" s="33">
        <f t="shared" si="0"/>
        <v>1920</v>
      </c>
      <c r="K34" s="34">
        <f t="shared" si="1"/>
        <v>14520</v>
      </c>
      <c r="L34" s="34">
        <f>14520</f>
        <v>14520</v>
      </c>
      <c r="M34" s="33">
        <f t="shared" si="2"/>
        <v>0</v>
      </c>
      <c r="N34" s="33"/>
      <c r="O34" s="30">
        <f>H28+J28</f>
        <v>83375</v>
      </c>
    </row>
    <row r="35" spans="1:15" ht="15.75" x14ac:dyDescent="0.25">
      <c r="A35" s="33" t="s">
        <v>80</v>
      </c>
      <c r="B35" s="33" t="s">
        <v>113</v>
      </c>
      <c r="C35" s="34">
        <f>'FEBRUARY 21'!M35:M86</f>
        <v>-740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13780</v>
      </c>
      <c r="L35" s="33">
        <v>14500</v>
      </c>
      <c r="M35" s="33">
        <f t="shared" si="2"/>
        <v>-720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'FEBRUARY 21'!M36:M87</f>
        <v>6920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21440</v>
      </c>
      <c r="L36" s="33">
        <f>14000</f>
        <v>14000</v>
      </c>
      <c r="M36" s="33">
        <f t="shared" si="2"/>
        <v>7440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'FEBRUARY 21'!M37:M88</f>
        <v>14520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29040</v>
      </c>
      <c r="L37" s="33">
        <f>29040</f>
        <v>29040</v>
      </c>
      <c r="M37" s="33">
        <f t="shared" si="2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'FEBRUARY 21'!M38:M89</f>
        <v>14440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28960</v>
      </c>
      <c r="L38" s="33">
        <v>28960</v>
      </c>
      <c r="M38" s="33">
        <f t="shared" si="2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'FEBRUARY 21'!M39:M90</f>
        <v>-80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14440</v>
      </c>
      <c r="L39" s="33">
        <f>14500</f>
        <v>14500</v>
      </c>
      <c r="M39" s="33">
        <f t="shared" si="2"/>
        <v>-60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'FEBRUARY 21'!M40:M91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15040</v>
      </c>
      <c r="L40" s="33">
        <f>14000</f>
        <v>14000</v>
      </c>
      <c r="M40" s="33">
        <f>K40-L40</f>
        <v>1040</v>
      </c>
      <c r="N40" s="33"/>
      <c r="O40" s="30"/>
    </row>
    <row r="41" spans="1:15" ht="15.75" x14ac:dyDescent="0.25">
      <c r="A41" s="33" t="s">
        <v>86</v>
      </c>
      <c r="B41" s="35" t="s">
        <v>98</v>
      </c>
      <c r="C41" s="34">
        <f>'FEBRUARY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'FEBRUARY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/>
      <c r="D43" s="36"/>
      <c r="E43" s="36"/>
      <c r="F43" s="36"/>
      <c r="G43" s="36"/>
      <c r="H43" s="33">
        <v>12000</v>
      </c>
      <c r="I43" s="33">
        <v>600</v>
      </c>
      <c r="J43" s="33">
        <f t="shared" si="0"/>
        <v>1920</v>
      </c>
      <c r="K43" s="33">
        <f t="shared" si="1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'FEBRUARY 21'!M44:M95</f>
        <v>34320</v>
      </c>
      <c r="D44" s="36"/>
      <c r="E44" s="36"/>
      <c r="F44" s="36"/>
      <c r="G44" s="36"/>
      <c r="H44" s="33">
        <v>12000</v>
      </c>
      <c r="I44" s="33">
        <v>600</v>
      </c>
      <c r="J44" s="33">
        <f>16%*H44</f>
        <v>1920</v>
      </c>
      <c r="K44" s="33">
        <f t="shared" si="1"/>
        <v>48840</v>
      </c>
      <c r="L44" s="36"/>
      <c r="M44" s="33">
        <f t="shared" si="2"/>
        <v>48840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'FEBRUARY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'FEBRUARY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'FEBRUARY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'FEBRUARY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'FEBRUARY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'FEBRUARY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'FEBRUARY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'FEBRUARY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'FEBRUARY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'FEBRUARY 21'!M54:M105</f>
        <v>5040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19560</v>
      </c>
      <c r="L54" s="36">
        <f>5000+5000+5000</f>
        <v>15000</v>
      </c>
      <c r="M54" s="33">
        <f t="shared" si="2"/>
        <v>4560</v>
      </c>
      <c r="N54" s="33"/>
      <c r="O54" s="30">
        <f>14520-5000</f>
        <v>9520</v>
      </c>
    </row>
    <row r="55" spans="1:15" ht="15.75" x14ac:dyDescent="0.25">
      <c r="A55" s="33" t="s">
        <v>92</v>
      </c>
      <c r="B55" s="35" t="s">
        <v>117</v>
      </c>
      <c r="C55" s="34">
        <f>'FEBRUARY 21'!M55:M106</f>
        <v>9020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23540</v>
      </c>
      <c r="L55" s="35">
        <f>9520+3000</f>
        <v>12520</v>
      </c>
      <c r="M55" s="33">
        <f t="shared" si="2"/>
        <v>11020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'FEBRUARY 21'!M56:M107</f>
        <v>19520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31720</v>
      </c>
      <c r="L56" s="35">
        <f>5000+6000+6000</f>
        <v>17000</v>
      </c>
      <c r="M56" s="33">
        <f t="shared" si="2"/>
        <v>14720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211879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478500</v>
      </c>
      <c r="I57" s="33">
        <f t="shared" si="3"/>
        <v>17400</v>
      </c>
      <c r="J57" s="33">
        <f t="shared" si="3"/>
        <v>76560</v>
      </c>
      <c r="K57" s="33">
        <f t="shared" si="3"/>
        <v>784339</v>
      </c>
      <c r="L57" s="33">
        <f>SUM(L5:L56)</f>
        <v>580120</v>
      </c>
      <c r="M57" s="33">
        <f>SUM(M5:M56)</f>
        <v>204219</v>
      </c>
      <c r="N57" s="33">
        <f>SUM(N5:N56)</f>
        <v>1000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156</v>
      </c>
      <c r="C61" s="44">
        <f>H57</f>
        <v>478500</v>
      </c>
      <c r="D61" s="44"/>
      <c r="E61" s="36"/>
      <c r="F61" s="36"/>
      <c r="G61" s="36" t="s">
        <v>156</v>
      </c>
      <c r="H61" s="44">
        <f>L57</f>
        <v>580120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17400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76560</v>
      </c>
      <c r="D63" s="44"/>
      <c r="E63" s="36"/>
      <c r="F63" s="36"/>
      <c r="G63" s="36" t="s">
        <v>146</v>
      </c>
      <c r="H63" s="44">
        <f>'FEBRUARY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1000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'FEBRUARY 21'!F76</f>
        <v>143080</v>
      </c>
      <c r="D69" s="36"/>
      <c r="E69" s="36"/>
      <c r="F69" s="36"/>
      <c r="G69" s="46" t="s">
        <v>60</v>
      </c>
      <c r="H69" s="36">
        <v>23925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>
        <v>23925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23925</v>
      </c>
      <c r="F71" s="36"/>
      <c r="G71" s="36" t="s">
        <v>17</v>
      </c>
      <c r="H71" s="47">
        <v>0.05</v>
      </c>
      <c r="I71" s="47"/>
      <c r="J71" s="47"/>
      <c r="K71" s="44">
        <f>H71*C61</f>
        <v>23925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580120</v>
      </c>
      <c r="F74" s="49"/>
      <c r="G74" s="50" t="s">
        <v>136</v>
      </c>
      <c r="H74" s="36"/>
      <c r="I74" s="36"/>
      <c r="J74" s="36"/>
      <c r="K74" s="36">
        <f>L57</f>
        <v>580120</v>
      </c>
      <c r="L74" s="36"/>
      <c r="M74" s="30"/>
      <c r="N74" s="30"/>
      <c r="O74" s="30"/>
    </row>
    <row r="75" spans="1:15" ht="15.75" x14ac:dyDescent="0.25">
      <c r="A75" s="30"/>
      <c r="B75" s="36" t="s">
        <v>172</v>
      </c>
      <c r="C75" s="47"/>
      <c r="D75" s="47"/>
      <c r="E75" s="36">
        <v>10240</v>
      </c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740465</v>
      </c>
      <c r="D76" s="48"/>
      <c r="E76" s="52">
        <f>SUM(E71:E75)</f>
        <v>614285</v>
      </c>
      <c r="F76" s="48">
        <f>C76-E76</f>
        <v>126180</v>
      </c>
      <c r="G76" s="51" t="s">
        <v>20</v>
      </c>
      <c r="H76" s="48">
        <f>H61+H63+H69</f>
        <v>604045</v>
      </c>
      <c r="I76" s="48"/>
      <c r="J76" s="48"/>
      <c r="K76" s="48">
        <f>SUM(K71:K75)</f>
        <v>604045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150105</v>
      </c>
      <c r="F77" s="30" t="s">
        <v>22</v>
      </c>
      <c r="G77" s="30"/>
      <c r="H77" s="30"/>
      <c r="I77" s="30"/>
      <c r="J77" s="30"/>
      <c r="K77" s="45">
        <f>K76-K71</f>
        <v>580120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>
        <f>5200+32796+23925</f>
        <v>61921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 20</vt:lpstr>
      <vt:lpstr>AUGUST 20</vt:lpstr>
      <vt:lpstr>SEPTEMBER 20</vt:lpstr>
      <vt:lpstr>OCTOBER 2020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2021-03-05T08:14:13Z</cp:lastPrinted>
  <dcterms:created xsi:type="dcterms:W3CDTF">2020-06-23T09:38:53Z</dcterms:created>
  <dcterms:modified xsi:type="dcterms:W3CDTF">2021-12-15T09:18:24Z</dcterms:modified>
</cp:coreProperties>
</file>