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614" firstSheet="26" activeTab="30"/>
  </bookViews>
  <sheets>
    <sheet name="JUNE " sheetId="1" r:id="rId1"/>
    <sheet name="JULY" sheetId="2" r:id="rId2"/>
    <sheet name="AUGUST" sheetId="3" r:id="rId3"/>
    <sheet name="SEPT" sheetId="4" r:id="rId4"/>
    <sheet name="OCTOBER19" sheetId="5" r:id="rId5"/>
    <sheet name="NOVEMBER 19" sheetId="6" r:id="rId6"/>
    <sheet name="DECEMBER 19" sheetId="7" r:id="rId7"/>
    <sheet name="JANUARY 20" sheetId="8" r:id="rId8"/>
    <sheet name="FEBRUARY 20" sheetId="9" r:id="rId9"/>
    <sheet name="MARCH 20" sheetId="10" r:id="rId10"/>
    <sheet name="APRIL 20" sheetId="11" r:id="rId11"/>
    <sheet name="MAY 20" sheetId="12" r:id="rId12"/>
    <sheet name="JUNE 20" sheetId="13" r:id="rId13"/>
    <sheet name="JULY 20" sheetId="14" r:id="rId14"/>
    <sheet name="AUGUST 20" sheetId="15" r:id="rId15"/>
    <sheet name="SEPTEMBER20" sheetId="16" r:id="rId16"/>
    <sheet name="OCTOBER 20" sheetId="17" r:id="rId17"/>
    <sheet name="NOVEMBER20" sheetId="18" r:id="rId18"/>
    <sheet name="DECEMBER 20" sheetId="19" r:id="rId19"/>
    <sheet name="JANUARY 21" sheetId="20" r:id="rId20"/>
    <sheet name="FEBRUARY 21" sheetId="21" r:id="rId21"/>
    <sheet name="MARCH 21" sheetId="22" r:id="rId22"/>
    <sheet name="APRIL21" sheetId="23" r:id="rId23"/>
    <sheet name="MAY 21" sheetId="24" r:id="rId24"/>
    <sheet name="JUNE 21" sheetId="25" r:id="rId25"/>
    <sheet name="JULY 21" sheetId="26" r:id="rId26"/>
    <sheet name="AUGUST 21" sheetId="27" r:id="rId27"/>
    <sheet name="SEPT 21" sheetId="28" r:id="rId28"/>
    <sheet name="OCTOBER 21" sheetId="29" r:id="rId29"/>
    <sheet name="NOVEMBER 21" sheetId="30" r:id="rId30"/>
    <sheet name="DECEMBER 21" sheetId="31" r:id="rId31"/>
  </sheets>
  <calcPr calcId="162913"/>
</workbook>
</file>

<file path=xl/calcChain.xml><?xml version="1.0" encoding="utf-8"?>
<calcChain xmlns="http://schemas.openxmlformats.org/spreadsheetml/2006/main">
  <c r="H20" i="31" l="1"/>
  <c r="H18" i="30" l="1"/>
  <c r="H37" i="31" l="1"/>
  <c r="H42" i="31" s="1"/>
  <c r="D37" i="31"/>
  <c r="D42" i="31" s="1"/>
  <c r="K25" i="31"/>
  <c r="G34" i="31" s="1"/>
  <c r="J25" i="31"/>
  <c r="H25" i="31"/>
  <c r="G29" i="31" s="1"/>
  <c r="D25" i="31"/>
  <c r="C32" i="31" s="1"/>
  <c r="C25" i="31"/>
  <c r="C31" i="31" s="1"/>
  <c r="E23" i="31"/>
  <c r="E25" i="31" s="1"/>
  <c r="C29" i="31" s="1"/>
  <c r="C34" i="31" l="1"/>
  <c r="H35" i="31"/>
  <c r="D35" i="31"/>
  <c r="H8" i="29"/>
  <c r="H37" i="30" l="1"/>
  <c r="H42" i="30" s="1"/>
  <c r="D37" i="30"/>
  <c r="D42" i="30" s="1"/>
  <c r="K25" i="30"/>
  <c r="G34" i="30" s="1"/>
  <c r="J25" i="30"/>
  <c r="H25" i="30"/>
  <c r="D25" i="30"/>
  <c r="C32" i="30" s="1"/>
  <c r="C25" i="30"/>
  <c r="E23" i="30"/>
  <c r="E25" i="30" s="1"/>
  <c r="C29" i="30" s="1"/>
  <c r="G29" i="30" l="1"/>
  <c r="C34" i="30"/>
  <c r="C31" i="30"/>
  <c r="H35" i="30"/>
  <c r="D35" i="30"/>
  <c r="H37" i="29"/>
  <c r="H42" i="29" s="1"/>
  <c r="D37" i="29"/>
  <c r="D42" i="29" s="1"/>
  <c r="K25" i="29"/>
  <c r="G34" i="29" s="1"/>
  <c r="J25" i="29"/>
  <c r="D25" i="29"/>
  <c r="C32" i="29" s="1"/>
  <c r="C25" i="29"/>
  <c r="E23" i="29"/>
  <c r="E25" i="29" s="1"/>
  <c r="C29" i="29" s="1"/>
  <c r="G15" i="29"/>
  <c r="I15" i="29" s="1"/>
  <c r="F15" i="30" s="1"/>
  <c r="G15" i="30" s="1"/>
  <c r="I15" i="30" s="1"/>
  <c r="F15" i="31" s="1"/>
  <c r="G15" i="31" s="1"/>
  <c r="I15" i="31" s="1"/>
  <c r="H25" i="29"/>
  <c r="G29" i="29" s="1"/>
  <c r="H35" i="29" l="1"/>
  <c r="D35" i="29"/>
  <c r="C31" i="29"/>
  <c r="C34" i="29"/>
  <c r="H18" i="28"/>
  <c r="H21" i="28"/>
  <c r="H10" i="28"/>
  <c r="H22" i="28" l="1"/>
  <c r="H14" i="28" l="1"/>
  <c r="H24" i="28" l="1"/>
  <c r="H16" i="28" l="1"/>
  <c r="H11" i="28" l="1"/>
  <c r="H9" i="28" l="1"/>
  <c r="H5" i="28" l="1"/>
  <c r="H20" i="28" l="1"/>
  <c r="H17" i="28" l="1"/>
  <c r="H12" i="28" l="1"/>
  <c r="H7" i="28" l="1"/>
  <c r="H8" i="27" l="1"/>
  <c r="H37" i="28"/>
  <c r="H42" i="28" s="1"/>
  <c r="D37" i="28"/>
  <c r="D42" i="28" s="1"/>
  <c r="K25" i="28"/>
  <c r="G34" i="28" s="1"/>
  <c r="J25" i="28"/>
  <c r="D25" i="28"/>
  <c r="C32" i="28" s="1"/>
  <c r="C25" i="28"/>
  <c r="E23" i="28"/>
  <c r="E25" i="28" s="1"/>
  <c r="C29" i="28" s="1"/>
  <c r="H25" i="28"/>
  <c r="G29" i="28" s="1"/>
  <c r="H35" i="28" l="1"/>
  <c r="D35" i="28"/>
  <c r="C31" i="28"/>
  <c r="C34" i="28"/>
  <c r="H15" i="27"/>
  <c r="H10" i="27" l="1"/>
  <c r="H11" i="27" l="1"/>
  <c r="H22" i="27" l="1"/>
  <c r="H16" i="27" l="1"/>
  <c r="H21" i="27" l="1"/>
  <c r="H5" i="27" l="1"/>
  <c r="H9" i="27" l="1"/>
  <c r="H24" i="27" l="1"/>
  <c r="H14" i="27" l="1"/>
  <c r="H37" i="27" l="1"/>
  <c r="H42" i="27" s="1"/>
  <c r="D37" i="27"/>
  <c r="D42" i="27" s="1"/>
  <c r="K25" i="27"/>
  <c r="G34" i="27" s="1"/>
  <c r="J25" i="27"/>
  <c r="D25" i="27"/>
  <c r="C32" i="27" s="1"/>
  <c r="C25" i="27"/>
  <c r="E23" i="27"/>
  <c r="E25" i="27" s="1"/>
  <c r="C29" i="27" s="1"/>
  <c r="H25" i="27"/>
  <c r="G29" i="27" s="1"/>
  <c r="H35" i="27" l="1"/>
  <c r="D35" i="27"/>
  <c r="C31" i="27"/>
  <c r="C34" i="27"/>
  <c r="H37" i="25"/>
  <c r="D37" i="25"/>
  <c r="H14" i="26"/>
  <c r="H37" i="26"/>
  <c r="D37" i="26"/>
  <c r="H20" i="26" l="1"/>
  <c r="H21" i="26"/>
  <c r="H17" i="26"/>
  <c r="H10" i="26"/>
  <c r="H16" i="26" l="1"/>
  <c r="H15" i="26" l="1"/>
  <c r="H23" i="26" l="1"/>
  <c r="H7" i="26" l="1"/>
  <c r="H9" i="26" l="1"/>
  <c r="H13" i="26" l="1"/>
  <c r="H19" i="26" l="1"/>
  <c r="H11" i="26" l="1"/>
  <c r="H24" i="26" l="1"/>
  <c r="H42" i="26" l="1"/>
  <c r="D42" i="26"/>
  <c r="K25" i="26"/>
  <c r="G34" i="26" s="1"/>
  <c r="J25" i="26"/>
  <c r="H25" i="26"/>
  <c r="G29" i="26" s="1"/>
  <c r="D25" i="26"/>
  <c r="C32" i="26" s="1"/>
  <c r="C25" i="26"/>
  <c r="C31" i="26" s="1"/>
  <c r="E23" i="26"/>
  <c r="E25" i="26" s="1"/>
  <c r="G10" i="26"/>
  <c r="I10" i="26" s="1"/>
  <c r="F10" i="27" s="1"/>
  <c r="G10" i="27" s="1"/>
  <c r="I10" i="27" s="1"/>
  <c r="F10" i="28" s="1"/>
  <c r="G10" i="28" s="1"/>
  <c r="I10" i="28" s="1"/>
  <c r="F10" i="29" s="1"/>
  <c r="G10" i="29" s="1"/>
  <c r="I10" i="29" s="1"/>
  <c r="F10" i="30" s="1"/>
  <c r="G10" i="30" s="1"/>
  <c r="I10" i="30" s="1"/>
  <c r="F10" i="31" s="1"/>
  <c r="G10" i="31" s="1"/>
  <c r="I10" i="31" s="1"/>
  <c r="G6" i="26"/>
  <c r="I6" i="26" s="1"/>
  <c r="F6" i="27" s="1"/>
  <c r="G6" i="27" s="1"/>
  <c r="I6" i="27" s="1"/>
  <c r="F6" i="28" s="1"/>
  <c r="G6" i="28" s="1"/>
  <c r="I6" i="28" s="1"/>
  <c r="F6" i="29" s="1"/>
  <c r="G6" i="29" s="1"/>
  <c r="I6" i="29" s="1"/>
  <c r="F6" i="30" s="1"/>
  <c r="G6" i="30" s="1"/>
  <c r="I6" i="30" s="1"/>
  <c r="F6" i="31" s="1"/>
  <c r="G6" i="31" s="1"/>
  <c r="I6" i="31" s="1"/>
  <c r="C34" i="26" l="1"/>
  <c r="C29" i="26"/>
  <c r="H15" i="25"/>
  <c r="H35" i="26" l="1"/>
  <c r="D35" i="26"/>
  <c r="H12" i="25"/>
  <c r="H17" i="25" l="1"/>
  <c r="H14" i="25" l="1"/>
  <c r="H16" i="25" l="1"/>
  <c r="H5" i="25" l="1"/>
  <c r="H9" i="25" l="1"/>
  <c r="H7" i="25" l="1"/>
  <c r="H18" i="25" l="1"/>
  <c r="H23" i="25" l="1"/>
  <c r="H21" i="25" l="1"/>
  <c r="H11" i="25" l="1"/>
  <c r="H6" i="24" l="1"/>
  <c r="H21" i="24" l="1"/>
  <c r="H8" i="24" l="1"/>
  <c r="H42" i="25" l="1"/>
  <c r="D42" i="25"/>
  <c r="K25" i="25"/>
  <c r="G34" i="25" s="1"/>
  <c r="J25" i="25"/>
  <c r="D25" i="25"/>
  <c r="C32" i="25" s="1"/>
  <c r="C25" i="25"/>
  <c r="E23" i="25"/>
  <c r="E25" i="25" s="1"/>
  <c r="C29" i="25" s="1"/>
  <c r="H25" i="25"/>
  <c r="G29" i="25" s="1"/>
  <c r="H35" i="25" l="1"/>
  <c r="D35" i="25"/>
  <c r="C31" i="25"/>
  <c r="C34" i="25"/>
  <c r="H16" i="24"/>
  <c r="D37" i="24" l="1"/>
  <c r="H37" i="24"/>
  <c r="H13" i="24" l="1"/>
  <c r="H23" i="24" l="1"/>
  <c r="H14" i="24" l="1"/>
  <c r="H12" i="24" l="1"/>
  <c r="H19" i="24" l="1"/>
  <c r="G22" i="24" l="1"/>
  <c r="I22" i="24" s="1"/>
  <c r="F22" i="25" s="1"/>
  <c r="G22" i="25" s="1"/>
  <c r="I22" i="25" s="1"/>
  <c r="F22" i="26" s="1"/>
  <c r="G22" i="26" s="1"/>
  <c r="I22" i="26" s="1"/>
  <c r="F22" i="27" s="1"/>
  <c r="G22" i="27" s="1"/>
  <c r="I22" i="27" s="1"/>
  <c r="F22" i="28" s="1"/>
  <c r="G22" i="28" s="1"/>
  <c r="I22" i="28" s="1"/>
  <c r="F22" i="29" s="1"/>
  <c r="G22" i="29" s="1"/>
  <c r="I22" i="29" s="1"/>
  <c r="G22" i="30" s="1"/>
  <c r="I22" i="30" s="1"/>
  <c r="F22" i="31" s="1"/>
  <c r="G22" i="31" s="1"/>
  <c r="I22" i="31" s="1"/>
  <c r="H42" i="24"/>
  <c r="D42" i="24"/>
  <c r="J25" i="24"/>
  <c r="D25" i="24"/>
  <c r="C32" i="24" s="1"/>
  <c r="C25" i="24"/>
  <c r="E23" i="24"/>
  <c r="E25" i="24" s="1"/>
  <c r="C29" i="24" s="1"/>
  <c r="K25" i="24"/>
  <c r="H25" i="24"/>
  <c r="G29" i="24" s="1"/>
  <c r="G34" i="24" l="1"/>
  <c r="C34" i="24"/>
  <c r="H35" i="24"/>
  <c r="D35" i="24"/>
  <c r="C31" i="24"/>
  <c r="H15" i="23"/>
  <c r="H18" i="23"/>
  <c r="H6" i="23" l="1"/>
  <c r="H5" i="23" l="1"/>
  <c r="H37" i="23" l="1"/>
  <c r="D37" i="23"/>
  <c r="H11" i="23" l="1"/>
  <c r="K16" i="23" l="1"/>
  <c r="H16" i="23"/>
  <c r="G9" i="23" l="1"/>
  <c r="I9" i="23" s="1"/>
  <c r="F9" i="24" s="1"/>
  <c r="G9" i="24" s="1"/>
  <c r="I9" i="24" s="1"/>
  <c r="F9" i="25" s="1"/>
  <c r="G9" i="25" s="1"/>
  <c r="I9" i="25" s="1"/>
  <c r="F9" i="26" s="1"/>
  <c r="G9" i="26" s="1"/>
  <c r="I9" i="26" s="1"/>
  <c r="F9" i="27" s="1"/>
  <c r="G9" i="27" s="1"/>
  <c r="I9" i="27" s="1"/>
  <c r="F9" i="28" s="1"/>
  <c r="G9" i="28" s="1"/>
  <c r="I9" i="28" s="1"/>
  <c r="F9" i="29" s="1"/>
  <c r="G9" i="29" s="1"/>
  <c r="I9" i="29" s="1"/>
  <c r="H42" i="23"/>
  <c r="D42" i="23"/>
  <c r="K25" i="23"/>
  <c r="G34" i="23" s="1"/>
  <c r="J25" i="23"/>
  <c r="D25" i="23"/>
  <c r="C32" i="23" s="1"/>
  <c r="C25" i="23"/>
  <c r="C31" i="23" s="1"/>
  <c r="E23" i="23"/>
  <c r="G21" i="23"/>
  <c r="I21" i="23" s="1"/>
  <c r="F21" i="24" s="1"/>
  <c r="G21" i="24" s="1"/>
  <c r="I21" i="24" s="1"/>
  <c r="F21" i="25" s="1"/>
  <c r="G21" i="25" s="1"/>
  <c r="I21" i="25" s="1"/>
  <c r="F21" i="26" s="1"/>
  <c r="G21" i="26" s="1"/>
  <c r="I21" i="26" s="1"/>
  <c r="F21" i="27" s="1"/>
  <c r="G21" i="27" s="1"/>
  <c r="I21" i="27" s="1"/>
  <c r="F21" i="28" s="1"/>
  <c r="G21" i="28" s="1"/>
  <c r="I21" i="28" s="1"/>
  <c r="F21" i="29" s="1"/>
  <c r="G21" i="29" s="1"/>
  <c r="I21" i="29" s="1"/>
  <c r="F21" i="30" s="1"/>
  <c r="G21" i="30" s="1"/>
  <c r="I21" i="30" s="1"/>
  <c r="F21" i="31" s="1"/>
  <c r="G21" i="31" s="1"/>
  <c r="I21" i="31" s="1"/>
  <c r="H25" i="23"/>
  <c r="G29" i="23" s="1"/>
  <c r="F9" i="30" l="1"/>
  <c r="G9" i="30" s="1"/>
  <c r="I9" i="30" s="1"/>
  <c r="F9" i="31" s="1"/>
  <c r="G9" i="31" s="1"/>
  <c r="I9" i="31" s="1"/>
  <c r="E25" i="23"/>
  <c r="C34" i="23"/>
  <c r="H13" i="22"/>
  <c r="H6" i="22"/>
  <c r="H22" i="21"/>
  <c r="C29" i="23" l="1"/>
  <c r="H35" i="23" s="1"/>
  <c r="H17" i="22"/>
  <c r="D35" i="23" l="1"/>
  <c r="H5" i="22"/>
  <c r="H10" i="22" l="1"/>
  <c r="H15" i="22" l="1"/>
  <c r="H20" i="22" l="1"/>
  <c r="H37" i="22" l="1"/>
  <c r="D37" i="22"/>
  <c r="Q28" i="21" l="1"/>
  <c r="Q29" i="21" s="1"/>
  <c r="P29" i="21"/>
  <c r="P28" i="21"/>
  <c r="H8" i="21"/>
  <c r="H42" i="22"/>
  <c r="D42" i="22"/>
  <c r="K25" i="22"/>
  <c r="G34" i="22" s="1"/>
  <c r="J25" i="22"/>
  <c r="D25" i="22"/>
  <c r="C25" i="22"/>
  <c r="E23" i="22"/>
  <c r="E25" i="22" s="1"/>
  <c r="C29" i="22" s="1"/>
  <c r="H25" i="22"/>
  <c r="G29" i="22" s="1"/>
  <c r="H35" i="22" l="1"/>
  <c r="D35" i="22"/>
  <c r="C31" i="22"/>
  <c r="C34" i="22"/>
  <c r="H13" i="21"/>
  <c r="H6" i="21" l="1"/>
  <c r="H11" i="21" l="1"/>
  <c r="H10" i="21" l="1"/>
  <c r="H14" i="21" l="1"/>
  <c r="H12" i="21" l="1"/>
  <c r="H16" i="21" l="1"/>
  <c r="H21" i="21" l="1"/>
  <c r="H20" i="21" l="1"/>
  <c r="H9" i="20" l="1"/>
  <c r="H18" i="20" l="1"/>
  <c r="H42" i="21"/>
  <c r="D42" i="21"/>
  <c r="K25" i="21"/>
  <c r="G34" i="21" s="1"/>
  <c r="J25" i="21"/>
  <c r="D25" i="21"/>
  <c r="C25" i="21"/>
  <c r="C31" i="21" s="1"/>
  <c r="E23" i="21"/>
  <c r="H25" i="21"/>
  <c r="G29" i="21" s="1"/>
  <c r="E25" i="21" l="1"/>
  <c r="C29" i="21" s="1"/>
  <c r="C34" i="21"/>
  <c r="H5" i="20"/>
  <c r="H35" i="21" l="1"/>
  <c r="D35" i="21"/>
  <c r="H14" i="20"/>
  <c r="H22" i="20" l="1"/>
  <c r="H23" i="20" l="1"/>
  <c r="H16" i="20" l="1"/>
  <c r="H17" i="20" l="1"/>
  <c r="H21" i="20" l="1"/>
  <c r="H11" i="20" l="1"/>
  <c r="H6" i="20" l="1"/>
  <c r="H7" i="20" l="1"/>
  <c r="H24" i="20" l="1"/>
  <c r="H9" i="19" l="1"/>
  <c r="F22" i="19"/>
  <c r="H6" i="18"/>
  <c r="H6" i="19"/>
  <c r="H6" i="17"/>
  <c r="H42" i="20"/>
  <c r="D42" i="20"/>
  <c r="K25" i="20"/>
  <c r="G34" i="20" s="1"/>
  <c r="J25" i="20"/>
  <c r="D25" i="20"/>
  <c r="C25" i="20"/>
  <c r="C31" i="20" s="1"/>
  <c r="E23" i="20"/>
  <c r="H25" i="20"/>
  <c r="G29" i="20" s="1"/>
  <c r="E25" i="20" l="1"/>
  <c r="C29" i="20" s="1"/>
  <c r="C34" i="20"/>
  <c r="H16" i="19"/>
  <c r="H8" i="19"/>
  <c r="D35" i="20" l="1"/>
  <c r="H35" i="20"/>
  <c r="E23" i="19"/>
  <c r="H18" i="19" l="1"/>
  <c r="H19" i="19"/>
  <c r="H7" i="19" l="1"/>
  <c r="H20" i="19" l="1"/>
  <c r="H14" i="19" l="1"/>
  <c r="H21" i="19"/>
  <c r="H8" i="18" l="1"/>
  <c r="H42" i="19" l="1"/>
  <c r="D42" i="19"/>
  <c r="K25" i="19"/>
  <c r="G34" i="19" s="1"/>
  <c r="J25" i="19"/>
  <c r="E25" i="19"/>
  <c r="C29" i="19" s="1"/>
  <c r="D25" i="19"/>
  <c r="C25" i="19"/>
  <c r="C31" i="19" s="1"/>
  <c r="G22" i="19"/>
  <c r="I22" i="19" s="1"/>
  <c r="F22" i="20" s="1"/>
  <c r="G22" i="20" s="1"/>
  <c r="I22" i="20" s="1"/>
  <c r="F22" i="21" s="1"/>
  <c r="G22" i="21" s="1"/>
  <c r="I22" i="21" s="1"/>
  <c r="F22" i="22" s="1"/>
  <c r="G22" i="22" s="1"/>
  <c r="I22" i="22" s="1"/>
  <c r="F22" i="23" s="1"/>
  <c r="G22" i="23" s="1"/>
  <c r="I22" i="23" s="1"/>
  <c r="H25" i="19"/>
  <c r="G29" i="19" s="1"/>
  <c r="H35" i="19" l="1"/>
  <c r="D35" i="19"/>
  <c r="C34" i="19"/>
  <c r="H13" i="18"/>
  <c r="H14" i="18" l="1"/>
  <c r="H20" i="18" l="1"/>
  <c r="H16" i="18" l="1"/>
  <c r="H24" i="18" l="1"/>
  <c r="H12" i="18" l="1"/>
  <c r="H9" i="17" l="1"/>
  <c r="H18" i="18" l="1"/>
  <c r="H7" i="18" l="1"/>
  <c r="K8" i="17" l="1"/>
  <c r="H42" i="18" l="1"/>
  <c r="D42" i="18"/>
  <c r="J25" i="18"/>
  <c r="E25" i="18"/>
  <c r="C29" i="18" s="1"/>
  <c r="D25" i="18"/>
  <c r="C25" i="18"/>
  <c r="C31" i="18" s="1"/>
  <c r="K25" i="18"/>
  <c r="H25" i="18"/>
  <c r="G29" i="18" s="1"/>
  <c r="G34" i="18" l="1"/>
  <c r="C34" i="18"/>
  <c r="H35" i="18"/>
  <c r="D35" i="18"/>
  <c r="H14" i="17"/>
  <c r="C25" i="11" l="1"/>
  <c r="E25" i="11"/>
  <c r="H19" i="5"/>
  <c r="I25" i="1"/>
  <c r="C31" i="1" s="1"/>
  <c r="H15" i="17" l="1"/>
  <c r="H16" i="17" l="1"/>
  <c r="H8" i="17" l="1"/>
  <c r="H21" i="17" l="1"/>
  <c r="H24" i="17" l="1"/>
  <c r="H19" i="17" l="1"/>
  <c r="H7" i="17" l="1"/>
  <c r="H25" i="17" s="1"/>
  <c r="G29" i="17" s="1"/>
  <c r="H15" i="16" l="1"/>
  <c r="H42" i="17" l="1"/>
  <c r="D42" i="17"/>
  <c r="K25" i="17"/>
  <c r="J25" i="17"/>
  <c r="E25" i="17"/>
  <c r="C29" i="17" s="1"/>
  <c r="D25" i="17"/>
  <c r="C25" i="17"/>
  <c r="C31" i="17" s="1"/>
  <c r="G34" i="17" l="1"/>
  <c r="H35" i="17"/>
  <c r="D35" i="17"/>
  <c r="C34" i="17"/>
  <c r="H6" i="16"/>
  <c r="H18" i="16" l="1"/>
  <c r="H14" i="16"/>
  <c r="L42" i="16" l="1"/>
  <c r="Q30" i="16"/>
  <c r="H21" i="16" l="1"/>
  <c r="H5" i="16"/>
  <c r="H13" i="16"/>
  <c r="H12" i="16"/>
  <c r="H23" i="15" l="1"/>
  <c r="H24" i="16" l="1"/>
  <c r="H20" i="16" l="1"/>
  <c r="H11" i="16" l="1"/>
  <c r="H9" i="16" l="1"/>
  <c r="H6" i="15" l="1"/>
  <c r="H8" i="15" l="1"/>
  <c r="H37" i="16" l="1"/>
  <c r="D37" i="16"/>
  <c r="H42" i="16" l="1"/>
  <c r="D42" i="16"/>
  <c r="J25" i="16"/>
  <c r="E25" i="16"/>
  <c r="C29" i="16" s="1"/>
  <c r="D25" i="16"/>
  <c r="C32" i="16" s="1"/>
  <c r="C25" i="16"/>
  <c r="K25" i="16"/>
  <c r="H25" i="16"/>
  <c r="G29" i="16" s="1"/>
  <c r="G34" i="16" l="1"/>
  <c r="C34" i="16"/>
  <c r="H35" i="16"/>
  <c r="D35" i="16"/>
  <c r="C31" i="16"/>
  <c r="K23" i="15" l="1"/>
  <c r="H15" i="15" l="1"/>
  <c r="K15" i="15"/>
  <c r="H12" i="15" l="1"/>
  <c r="H37" i="15" l="1"/>
  <c r="D37" i="15"/>
  <c r="H18" i="15" l="1"/>
  <c r="H17" i="15"/>
  <c r="H16" i="15"/>
  <c r="H13" i="15" l="1"/>
  <c r="H18" i="14" l="1"/>
  <c r="H8" i="14" l="1"/>
  <c r="H6" i="14" l="1"/>
  <c r="D42" i="15" l="1"/>
  <c r="K25" i="15"/>
  <c r="G34" i="15" s="1"/>
  <c r="J25" i="15"/>
  <c r="E25" i="15"/>
  <c r="C29" i="15" s="1"/>
  <c r="D25" i="15"/>
  <c r="C32" i="15" s="1"/>
  <c r="C25" i="15"/>
  <c r="H25" i="15"/>
  <c r="G29" i="15" s="1"/>
  <c r="H35" i="15" l="1"/>
  <c r="D35" i="15"/>
  <c r="C31" i="15"/>
  <c r="C34" i="15"/>
  <c r="H42" i="15"/>
  <c r="H16" i="14" l="1"/>
  <c r="H12" i="14" l="1"/>
  <c r="H14" i="14" l="1"/>
  <c r="H24" i="14" l="1"/>
  <c r="H10" i="14"/>
  <c r="D37" i="14" l="1"/>
  <c r="H37" i="14" s="1"/>
  <c r="H43" i="14" s="1"/>
  <c r="D43" i="14" l="1"/>
  <c r="K25" i="14"/>
  <c r="C34" i="14" s="1"/>
  <c r="J25" i="14"/>
  <c r="E25" i="14"/>
  <c r="C29" i="14" s="1"/>
  <c r="D25" i="14"/>
  <c r="C32" i="14" s="1"/>
  <c r="C25" i="14"/>
  <c r="C31" i="14" s="1"/>
  <c r="G24" i="14"/>
  <c r="I24" i="14" s="1"/>
  <c r="F24" i="15" s="1"/>
  <c r="G24" i="15" s="1"/>
  <c r="I24" i="15" s="1"/>
  <c r="F24" i="16" s="1"/>
  <c r="G24" i="16" s="1"/>
  <c r="I24" i="16" s="1"/>
  <c r="F24" i="17" s="1"/>
  <c r="G24" i="17" s="1"/>
  <c r="I24" i="17" s="1"/>
  <c r="F24" i="18" s="1"/>
  <c r="G24" i="18" s="1"/>
  <c r="I24" i="18" s="1"/>
  <c r="H25" i="14"/>
  <c r="G29" i="14" s="1"/>
  <c r="F24" i="19" l="1"/>
  <c r="G24" i="19" s="1"/>
  <c r="I24" i="19" s="1"/>
  <c r="F24" i="20" s="1"/>
  <c r="G24" i="20" s="1"/>
  <c r="I24" i="20" s="1"/>
  <c r="F24" i="21" s="1"/>
  <c r="G24" i="21" s="1"/>
  <c r="I24" i="21" s="1"/>
  <c r="F24" i="22" s="1"/>
  <c r="G24" i="22" s="1"/>
  <c r="I24" i="22" s="1"/>
  <c r="F24" i="23" s="1"/>
  <c r="G24" i="23" s="1"/>
  <c r="I24" i="23" s="1"/>
  <c r="F24" i="24" s="1"/>
  <c r="G24" i="24" s="1"/>
  <c r="I24" i="24" s="1"/>
  <c r="F24" i="25" s="1"/>
  <c r="G24" i="25" s="1"/>
  <c r="I24" i="25" s="1"/>
  <c r="F24" i="26" s="1"/>
  <c r="G24" i="26" s="1"/>
  <c r="I24" i="26" s="1"/>
  <c r="F24" i="27" s="1"/>
  <c r="G24" i="27" s="1"/>
  <c r="I24" i="27" s="1"/>
  <c r="F24" i="28" s="1"/>
  <c r="G24" i="28" s="1"/>
  <c r="I24" i="28" s="1"/>
  <c r="F24" i="29" s="1"/>
  <c r="G24" i="29" s="1"/>
  <c r="I24" i="29" s="1"/>
  <c r="F24" i="30" s="1"/>
  <c r="G24" i="30" s="1"/>
  <c r="I24" i="30" s="1"/>
  <c r="F24" i="31" s="1"/>
  <c r="G24" i="31" s="1"/>
  <c r="I24" i="31" s="1"/>
  <c r="D35" i="14"/>
  <c r="H35" i="14"/>
  <c r="G34" i="14"/>
  <c r="H12" i="13"/>
  <c r="K21" i="1" l="1"/>
  <c r="K24" i="1" s="1"/>
  <c r="H8" i="13"/>
  <c r="H15" i="13" l="1"/>
  <c r="H6" i="13" l="1"/>
  <c r="H17" i="13" l="1"/>
  <c r="H17" i="12"/>
  <c r="H13" i="13"/>
  <c r="H25" i="13" s="1"/>
  <c r="G29" i="13" s="1"/>
  <c r="H37" i="13" l="1"/>
  <c r="H42" i="13" s="1"/>
  <c r="D37" i="13"/>
  <c r="E25" i="12" l="1"/>
  <c r="H8" i="12" l="1"/>
  <c r="D42" i="13" l="1"/>
  <c r="J25" i="13"/>
  <c r="E25" i="13"/>
  <c r="C29" i="13" s="1"/>
  <c r="D25" i="13"/>
  <c r="C32" i="13" s="1"/>
  <c r="C25" i="13"/>
  <c r="C31" i="13" s="1"/>
  <c r="K25" i="13"/>
  <c r="G9" i="13"/>
  <c r="I9" i="13" s="1"/>
  <c r="F9" i="14" l="1"/>
  <c r="G9" i="14" s="1"/>
  <c r="I9" i="14" s="1"/>
  <c r="F9" i="15" s="1"/>
  <c r="G9" i="15" s="1"/>
  <c r="I9" i="15" s="1"/>
  <c r="F9" i="16" s="1"/>
  <c r="G9" i="16" s="1"/>
  <c r="I9" i="16" s="1"/>
  <c r="F9" i="17" s="1"/>
  <c r="G9" i="17" s="1"/>
  <c r="I9" i="17" s="1"/>
  <c r="F9" i="18" s="1"/>
  <c r="G9" i="18" s="1"/>
  <c r="I9" i="18" s="1"/>
  <c r="G9" i="19" s="1"/>
  <c r="I9" i="19" s="1"/>
  <c r="F9" i="20" s="1"/>
  <c r="C34" i="13"/>
  <c r="G34" i="13"/>
  <c r="H35" i="13"/>
  <c r="D35" i="13"/>
  <c r="H6" i="12"/>
  <c r="G9" i="20" l="1"/>
  <c r="I9" i="20" s="1"/>
  <c r="F9" i="21" s="1"/>
  <c r="G9" i="21" s="1"/>
  <c r="I9" i="21" s="1"/>
  <c r="F9" i="22" s="1"/>
  <c r="K16" i="12"/>
  <c r="G9" i="22" l="1"/>
  <c r="H16" i="12"/>
  <c r="H6" i="10"/>
  <c r="H6" i="11"/>
  <c r="I9" i="22" l="1"/>
  <c r="H15" i="12"/>
  <c r="H5" i="12" l="1"/>
  <c r="K18" i="12"/>
  <c r="H18" i="12"/>
  <c r="H12" i="12" l="1"/>
  <c r="H42" i="12" l="1"/>
  <c r="D42" i="12"/>
  <c r="K25" i="12"/>
  <c r="C34" i="12" s="1"/>
  <c r="G34" i="12" s="1"/>
  <c r="J25" i="12"/>
  <c r="C33" i="12" s="1"/>
  <c r="G33" i="12" s="1"/>
  <c r="C29" i="12"/>
  <c r="D25" i="12"/>
  <c r="C32" i="12" s="1"/>
  <c r="C25" i="12"/>
  <c r="H25" i="12"/>
  <c r="G29" i="12" s="1"/>
  <c r="H35" i="12" l="1"/>
  <c r="D35" i="12"/>
  <c r="C31" i="12"/>
  <c r="H5" i="11" l="1"/>
  <c r="H42" i="11" l="1"/>
  <c r="K25" i="11"/>
  <c r="C34" i="11" s="1"/>
  <c r="G34" i="11" s="1"/>
  <c r="J25" i="11"/>
  <c r="C33" i="11" s="1"/>
  <c r="G33" i="11" s="1"/>
  <c r="C29" i="11"/>
  <c r="H35" i="11" s="1"/>
  <c r="D25" i="11"/>
  <c r="C32" i="11" s="1"/>
  <c r="C31" i="11"/>
  <c r="G20" i="11"/>
  <c r="I20" i="11" s="1"/>
  <c r="F20" i="12" s="1"/>
  <c r="G20" i="12" s="1"/>
  <c r="I20" i="12" s="1"/>
  <c r="F20" i="13" s="1"/>
  <c r="G20" i="13" s="1"/>
  <c r="I20" i="13" s="1"/>
  <c r="G10" i="11"/>
  <c r="I10" i="11" s="1"/>
  <c r="F10" i="12" s="1"/>
  <c r="G10" i="12" s="1"/>
  <c r="I10" i="12" s="1"/>
  <c r="F10" i="13" s="1"/>
  <c r="G10" i="13" s="1"/>
  <c r="I10" i="13" s="1"/>
  <c r="H25" i="11"/>
  <c r="G29" i="11" s="1"/>
  <c r="F10" i="14" l="1"/>
  <c r="G10" i="14" s="1"/>
  <c r="I10" i="14" s="1"/>
  <c r="F10" i="15" s="1"/>
  <c r="G10" i="15" s="1"/>
  <c r="I10" i="15" s="1"/>
  <c r="F10" i="16" s="1"/>
  <c r="G10" i="16" s="1"/>
  <c r="I10" i="16" s="1"/>
  <c r="F10" i="17" s="1"/>
  <c r="G10" i="17" s="1"/>
  <c r="I10" i="17" s="1"/>
  <c r="F10" i="18" s="1"/>
  <c r="G10" i="18" s="1"/>
  <c r="I10" i="18" s="1"/>
  <c r="F20" i="14"/>
  <c r="G20" i="14" s="1"/>
  <c r="I20" i="14" s="1"/>
  <c r="F20" i="15" s="1"/>
  <c r="G20" i="15" s="1"/>
  <c r="I20" i="15" s="1"/>
  <c r="F20" i="16" s="1"/>
  <c r="G20" i="16" s="1"/>
  <c r="I20" i="16" s="1"/>
  <c r="F20" i="17" s="1"/>
  <c r="G20" i="17" s="1"/>
  <c r="I20" i="17" s="1"/>
  <c r="F20" i="18" s="1"/>
  <c r="G20" i="18" s="1"/>
  <c r="I20" i="18" s="1"/>
  <c r="D35" i="11"/>
  <c r="F20" i="19" l="1"/>
  <c r="G20" i="19" s="1"/>
  <c r="I20" i="19" s="1"/>
  <c r="F20" i="20" s="1"/>
  <c r="G20" i="20" s="1"/>
  <c r="I20" i="20" s="1"/>
  <c r="F20" i="21" s="1"/>
  <c r="G20" i="21" s="1"/>
  <c r="I20" i="21" s="1"/>
  <c r="F20" i="22" s="1"/>
  <c r="G20" i="22" s="1"/>
  <c r="I20" i="22" s="1"/>
  <c r="F20" i="23" s="1"/>
  <c r="G20" i="23" s="1"/>
  <c r="I20" i="23" s="1"/>
  <c r="F20" i="24" s="1"/>
  <c r="G20" i="24" s="1"/>
  <c r="I20" i="24" s="1"/>
  <c r="F20" i="25" s="1"/>
  <c r="G20" i="25" s="1"/>
  <c r="I20" i="25" s="1"/>
  <c r="F20" i="26" s="1"/>
  <c r="G20" i="26" s="1"/>
  <c r="I20" i="26" s="1"/>
  <c r="F20" i="27" s="1"/>
  <c r="G20" i="27" s="1"/>
  <c r="I20" i="27" s="1"/>
  <c r="F20" i="28" s="1"/>
  <c r="G20" i="28" s="1"/>
  <c r="I20" i="28" s="1"/>
  <c r="F20" i="29" s="1"/>
  <c r="G20" i="29" s="1"/>
  <c r="I20" i="29" s="1"/>
  <c r="F20" i="30" s="1"/>
  <c r="G20" i="30" s="1"/>
  <c r="I20" i="30" s="1"/>
  <c r="F20" i="31" s="1"/>
  <c r="G20" i="31" s="1"/>
  <c r="I20" i="31" s="1"/>
  <c r="F10" i="19"/>
  <c r="G10" i="19" s="1"/>
  <c r="I10" i="19" s="1"/>
  <c r="F10" i="20" s="1"/>
  <c r="G10" i="20" s="1"/>
  <c r="I10" i="20" s="1"/>
  <c r="F10" i="21" s="1"/>
  <c r="G10" i="21" s="1"/>
  <c r="I10" i="21" s="1"/>
  <c r="F10" i="22" s="1"/>
  <c r="G10" i="22" s="1"/>
  <c r="I10" i="22" s="1"/>
  <c r="F10" i="23" s="1"/>
  <c r="G10" i="23" s="1"/>
  <c r="I10" i="23" s="1"/>
  <c r="F10" i="24" s="1"/>
  <c r="G10" i="24" s="1"/>
  <c r="I10" i="24" s="1"/>
  <c r="F10" i="25" s="1"/>
  <c r="G10" i="25" s="1"/>
  <c r="I10" i="25" s="1"/>
  <c r="H42" i="10"/>
  <c r="K25" i="10"/>
  <c r="C34" i="10" s="1"/>
  <c r="G34" i="10" s="1"/>
  <c r="J25" i="10"/>
  <c r="C33" i="10" s="1"/>
  <c r="G33" i="10" s="1"/>
  <c r="H25" i="10"/>
  <c r="G29" i="10" s="1"/>
  <c r="E25" i="10"/>
  <c r="C29" i="10" s="1"/>
  <c r="D35" i="10" s="1"/>
  <c r="H35" i="10" s="1"/>
  <c r="D25" i="10"/>
  <c r="C32" i="10" s="1"/>
  <c r="C25" i="10"/>
  <c r="C31" i="10" l="1"/>
  <c r="H6" i="8" l="1"/>
  <c r="K25" i="8" l="1"/>
  <c r="C34" i="8" s="1"/>
  <c r="L25" i="8"/>
  <c r="D25" i="9" l="1"/>
  <c r="C32" i="9" s="1"/>
  <c r="H42" i="9"/>
  <c r="D42" i="9"/>
  <c r="K25" i="9"/>
  <c r="C34" i="9" s="1"/>
  <c r="J25" i="9"/>
  <c r="C33" i="9" s="1"/>
  <c r="G33" i="9" s="1"/>
  <c r="H25" i="9"/>
  <c r="G29" i="9" s="1"/>
  <c r="E25" i="9"/>
  <c r="C29" i="9" s="1"/>
  <c r="C25" i="9"/>
  <c r="C31" i="9" s="1"/>
  <c r="G34" i="9" l="1"/>
  <c r="D35" i="9"/>
  <c r="H35" i="9" s="1"/>
  <c r="H6" i="7"/>
  <c r="D42" i="8" l="1"/>
  <c r="H42" i="8"/>
  <c r="G34" i="8"/>
  <c r="J25" i="8"/>
  <c r="H25" i="8"/>
  <c r="G29" i="8" s="1"/>
  <c r="E25" i="8"/>
  <c r="C29" i="8" s="1"/>
  <c r="D25" i="8"/>
  <c r="C32" i="8" s="1"/>
  <c r="C25" i="8"/>
  <c r="C31" i="8" s="1"/>
  <c r="C33" i="8" l="1"/>
  <c r="G33" i="8" s="1"/>
  <c r="D35" i="8"/>
  <c r="H35" i="8" s="1"/>
  <c r="D38" i="7"/>
  <c r="H38" i="7" s="1"/>
  <c r="H6" i="6" l="1"/>
  <c r="H42" i="7" l="1"/>
  <c r="D42" i="7"/>
  <c r="K25" i="7"/>
  <c r="C34" i="7" s="1"/>
  <c r="J25" i="7"/>
  <c r="C33" i="7" s="1"/>
  <c r="G33" i="7" s="1"/>
  <c r="H25" i="7"/>
  <c r="E25" i="7"/>
  <c r="C29" i="7" s="1"/>
  <c r="D25" i="7"/>
  <c r="C32" i="7" s="1"/>
  <c r="C25" i="7"/>
  <c r="C31" i="7" s="1"/>
  <c r="G34" i="7" l="1"/>
  <c r="G29" i="7"/>
  <c r="D35" i="7"/>
  <c r="H35" i="7" s="1"/>
  <c r="H42" i="6" l="1"/>
  <c r="D42" i="6"/>
  <c r="K25" i="6"/>
  <c r="J25" i="6"/>
  <c r="C33" i="6" s="1"/>
  <c r="G33" i="6" s="1"/>
  <c r="E25" i="6"/>
  <c r="C29" i="6" s="1"/>
  <c r="D25" i="6"/>
  <c r="C32" i="6" s="1"/>
  <c r="C25" i="6"/>
  <c r="C31" i="6" s="1"/>
  <c r="H25" i="6"/>
  <c r="H6" i="5"/>
  <c r="C34" i="6" l="1"/>
  <c r="G34" i="6" s="1"/>
  <c r="G29" i="6"/>
  <c r="D35" i="6"/>
  <c r="H35" i="6" s="1"/>
  <c r="H42" i="5" l="1"/>
  <c r="D42" i="5"/>
  <c r="K25" i="5"/>
  <c r="C34" i="5" s="1"/>
  <c r="G34" i="5" s="1"/>
  <c r="J25" i="5"/>
  <c r="C33" i="5" s="1"/>
  <c r="G33" i="5" s="1"/>
  <c r="H25" i="5"/>
  <c r="E25" i="5"/>
  <c r="C29" i="5" s="1"/>
  <c r="D25" i="5"/>
  <c r="C32" i="5" s="1"/>
  <c r="G32" i="5" s="1"/>
  <c r="C25" i="5"/>
  <c r="C31" i="5" s="1"/>
  <c r="G29" i="5" l="1"/>
  <c r="G19" i="6"/>
  <c r="I19" i="6" s="1"/>
  <c r="F19" i="7" s="1"/>
  <c r="G19" i="7" s="1"/>
  <c r="I19" i="7" s="1"/>
  <c r="F19" i="8" s="1"/>
  <c r="G19" i="8" s="1"/>
  <c r="I19" i="8" s="1"/>
  <c r="F19" i="9" s="1"/>
  <c r="G19" i="9" s="1"/>
  <c r="I19" i="9" s="1"/>
  <c r="F19" i="10" s="1"/>
  <c r="G19" i="10" s="1"/>
  <c r="I19" i="10" s="1"/>
  <c r="F19" i="11" s="1"/>
  <c r="G19" i="11" s="1"/>
  <c r="I19" i="11" s="1"/>
  <c r="F19" i="12" s="1"/>
  <c r="G19" i="12" s="1"/>
  <c r="I19" i="12" s="1"/>
  <c r="F19" i="13" s="1"/>
  <c r="G19" i="13" s="1"/>
  <c r="I19" i="13" s="1"/>
  <c r="D35" i="5"/>
  <c r="H35" i="5" s="1"/>
  <c r="F19" i="14" l="1"/>
  <c r="G19" i="14" s="1"/>
  <c r="I19" i="14" s="1"/>
  <c r="F19" i="15" s="1"/>
  <c r="G19" i="15" s="1"/>
  <c r="I19" i="15" s="1"/>
  <c r="F19" i="16" s="1"/>
  <c r="G19" i="16" s="1"/>
  <c r="I19" i="16" s="1"/>
  <c r="F19" i="17" s="1"/>
  <c r="G19" i="17" s="1"/>
  <c r="I19" i="17" s="1"/>
  <c r="F19" i="18" s="1"/>
  <c r="G19" i="18" s="1"/>
  <c r="I19" i="18" s="1"/>
  <c r="L5" i="2"/>
  <c r="H42" i="4"/>
  <c r="D42" i="4"/>
  <c r="K25" i="4"/>
  <c r="C34" i="4" s="1"/>
  <c r="J25" i="4"/>
  <c r="C33" i="4" s="1"/>
  <c r="G33" i="4" s="1"/>
  <c r="E25" i="4"/>
  <c r="C29" i="4" s="1"/>
  <c r="D35" i="4" s="1"/>
  <c r="D25" i="4"/>
  <c r="C32" i="4" s="1"/>
  <c r="G32" i="4" s="1"/>
  <c r="C25" i="4"/>
  <c r="H25" i="4"/>
  <c r="G29" i="4" s="1"/>
  <c r="F19" i="19" l="1"/>
  <c r="G19" i="19" s="1"/>
  <c r="I19" i="19" s="1"/>
  <c r="F19" i="20" s="1"/>
  <c r="G19" i="20" s="1"/>
  <c r="I19" i="20" s="1"/>
  <c r="F19" i="21" s="1"/>
  <c r="G19" i="21" s="1"/>
  <c r="I19" i="21" s="1"/>
  <c r="F19" i="22" s="1"/>
  <c r="G19" i="22" s="1"/>
  <c r="I19" i="22" s="1"/>
  <c r="F19" i="23" s="1"/>
  <c r="G19" i="23" s="1"/>
  <c r="I19" i="23" s="1"/>
  <c r="F19" i="24" s="1"/>
  <c r="G19" i="24" s="1"/>
  <c r="I19" i="24" s="1"/>
  <c r="F19" i="25" s="1"/>
  <c r="G19" i="25" s="1"/>
  <c r="I19" i="25" s="1"/>
  <c r="F19" i="26" s="1"/>
  <c r="G19" i="26" s="1"/>
  <c r="I19" i="26" s="1"/>
  <c r="F19" i="27" s="1"/>
  <c r="G19" i="27" s="1"/>
  <c r="I19" i="27" s="1"/>
  <c r="F19" i="28" s="1"/>
  <c r="G19" i="28" s="1"/>
  <c r="I19" i="28" s="1"/>
  <c r="F19" i="29" s="1"/>
  <c r="G19" i="29" s="1"/>
  <c r="I19" i="29" s="1"/>
  <c r="F19" i="30" s="1"/>
  <c r="G19" i="30" s="1"/>
  <c r="I19" i="30" s="1"/>
  <c r="F19" i="31" s="1"/>
  <c r="G19" i="31" s="1"/>
  <c r="I19" i="31" s="1"/>
  <c r="G34" i="4"/>
  <c r="H35" i="4"/>
  <c r="C31" i="4"/>
  <c r="F5" i="3"/>
  <c r="L5" i="3" s="1"/>
  <c r="H7" i="3"/>
  <c r="L7" i="2" l="1"/>
  <c r="F7" i="3" s="1"/>
  <c r="L7" i="3" s="1"/>
  <c r="L6" i="2" l="1"/>
  <c r="F6" i="3" s="1"/>
  <c r="L6" i="3" s="1"/>
  <c r="L8" i="2"/>
  <c r="F8" i="3" s="1"/>
  <c r="L8" i="3" s="1"/>
  <c r="L9" i="2"/>
  <c r="F9" i="3" s="1"/>
  <c r="L9" i="3" s="1"/>
  <c r="L10" i="2"/>
  <c r="F10" i="3" s="1"/>
  <c r="L10" i="3" s="1"/>
  <c r="L11" i="2"/>
  <c r="F11" i="3" s="1"/>
  <c r="L11" i="3" s="1"/>
  <c r="L12" i="2"/>
  <c r="F12" i="3" s="1"/>
  <c r="L12" i="3" s="1"/>
  <c r="L13" i="2"/>
  <c r="F13" i="3" s="1"/>
  <c r="L14" i="2"/>
  <c r="F14" i="3" s="1"/>
  <c r="L14" i="3" s="1"/>
  <c r="L15" i="2"/>
  <c r="F15" i="3" s="1"/>
  <c r="L16" i="2"/>
  <c r="F16" i="3" s="1"/>
  <c r="L16" i="3" s="1"/>
  <c r="L17" i="2"/>
  <c r="F17" i="3" s="1"/>
  <c r="L17" i="3" s="1"/>
  <c r="L18" i="2"/>
  <c r="F18" i="3" s="1"/>
  <c r="L18" i="3" s="1"/>
  <c r="L19" i="2"/>
  <c r="F19" i="3" s="1"/>
  <c r="L19" i="3" s="1"/>
  <c r="L20" i="2"/>
  <c r="F20" i="3" s="1"/>
  <c r="L20" i="3" s="1"/>
  <c r="L21" i="2"/>
  <c r="F21" i="3" s="1"/>
  <c r="L21" i="3" s="1"/>
  <c r="L22" i="2"/>
  <c r="F22" i="3" s="1"/>
  <c r="L22" i="3" s="1"/>
  <c r="L23" i="2"/>
  <c r="F23" i="3" s="1"/>
  <c r="L23" i="3" s="1"/>
  <c r="L24" i="2"/>
  <c r="F24" i="3" s="1"/>
  <c r="L24" i="3" s="1"/>
  <c r="G18" i="3" l="1"/>
  <c r="G20" i="2" l="1"/>
  <c r="I20" i="2" s="1"/>
  <c r="H25" i="3" l="1"/>
  <c r="G29" i="3" s="1"/>
  <c r="J25" i="3"/>
  <c r="C33" i="3" s="1"/>
  <c r="G6" i="3"/>
  <c r="I6" i="3" s="1"/>
  <c r="F6" i="4" s="1"/>
  <c r="G6" i="4" s="1"/>
  <c r="I6" i="4" s="1"/>
  <c r="F6" i="5" s="1"/>
  <c r="G6" i="5" s="1"/>
  <c r="I6" i="5" s="1"/>
  <c r="G9" i="3"/>
  <c r="I9" i="3" s="1"/>
  <c r="F9" i="4" s="1"/>
  <c r="G9" i="4" s="1"/>
  <c r="I9" i="4" s="1"/>
  <c r="F9" i="5" s="1"/>
  <c r="G9" i="5" s="1"/>
  <c r="I9" i="5" s="1"/>
  <c r="F9" i="6" s="1"/>
  <c r="G9" i="6" s="1"/>
  <c r="I9" i="6" s="1"/>
  <c r="F9" i="7" s="1"/>
  <c r="G9" i="7" s="1"/>
  <c r="I9" i="7" s="1"/>
  <c r="F9" i="8" s="1"/>
  <c r="G9" i="8" s="1"/>
  <c r="I9" i="8" s="1"/>
  <c r="F9" i="9" s="1"/>
  <c r="G9" i="9" s="1"/>
  <c r="I9" i="9" s="1"/>
  <c r="F9" i="10" s="1"/>
  <c r="G9" i="10" s="1"/>
  <c r="I9" i="10" s="1"/>
  <c r="F9" i="11" s="1"/>
  <c r="G9" i="11" s="1"/>
  <c r="I9" i="11" s="1"/>
  <c r="F9" i="12" s="1"/>
  <c r="G9" i="12" s="1"/>
  <c r="I9" i="12" s="1"/>
  <c r="G10" i="3"/>
  <c r="I10" i="3" s="1"/>
  <c r="F10" i="4" s="1"/>
  <c r="G10" i="4" s="1"/>
  <c r="I10" i="4" s="1"/>
  <c r="F10" i="5" s="1"/>
  <c r="G10" i="5" s="1"/>
  <c r="I10" i="5" s="1"/>
  <c r="F10" i="6" s="1"/>
  <c r="G10" i="6" s="1"/>
  <c r="I10" i="6" s="1"/>
  <c r="F10" i="7" s="1"/>
  <c r="G10" i="7" s="1"/>
  <c r="I10" i="7" s="1"/>
  <c r="F10" i="8" s="1"/>
  <c r="G10" i="8" s="1"/>
  <c r="I10" i="8" s="1"/>
  <c r="F10" i="9" s="1"/>
  <c r="G10" i="9" s="1"/>
  <c r="I10" i="9" s="1"/>
  <c r="F10" i="10" s="1"/>
  <c r="G10" i="10" s="1"/>
  <c r="G11" i="3"/>
  <c r="I11" i="3" s="1"/>
  <c r="F11" i="4" s="1"/>
  <c r="G11" i="4" s="1"/>
  <c r="I11" i="4" s="1"/>
  <c r="F11" i="5" s="1"/>
  <c r="G11" i="5" s="1"/>
  <c r="I11" i="5" s="1"/>
  <c r="F11" i="6" s="1"/>
  <c r="G11" i="6" s="1"/>
  <c r="I11" i="6" s="1"/>
  <c r="F11" i="7" s="1"/>
  <c r="G11" i="7" s="1"/>
  <c r="I11" i="7" s="1"/>
  <c r="F11" i="8" s="1"/>
  <c r="G11" i="8" s="1"/>
  <c r="I11" i="8" s="1"/>
  <c r="F11" i="9" s="1"/>
  <c r="G11" i="9" s="1"/>
  <c r="I11" i="9" s="1"/>
  <c r="F11" i="10" s="1"/>
  <c r="G11" i="10" s="1"/>
  <c r="I11" i="10" s="1"/>
  <c r="F11" i="11" s="1"/>
  <c r="G11" i="11" s="1"/>
  <c r="I11" i="11" s="1"/>
  <c r="F11" i="12" s="1"/>
  <c r="G11" i="12" s="1"/>
  <c r="I11" i="12" s="1"/>
  <c r="F11" i="13" s="1"/>
  <c r="G11" i="13" s="1"/>
  <c r="I11" i="13" s="1"/>
  <c r="G12" i="3"/>
  <c r="I12" i="3" s="1"/>
  <c r="F12" i="4" s="1"/>
  <c r="G12" i="4" s="1"/>
  <c r="I12" i="4" s="1"/>
  <c r="F12" i="5" s="1"/>
  <c r="G12" i="5" s="1"/>
  <c r="I12" i="5" s="1"/>
  <c r="F12" i="6" s="1"/>
  <c r="G12" i="6" s="1"/>
  <c r="I12" i="6" s="1"/>
  <c r="F12" i="7" s="1"/>
  <c r="G12" i="7" s="1"/>
  <c r="I12" i="7" s="1"/>
  <c r="F12" i="8" s="1"/>
  <c r="G12" i="8" s="1"/>
  <c r="I12" i="8" s="1"/>
  <c r="F12" i="9" s="1"/>
  <c r="G12" i="9" s="1"/>
  <c r="I12" i="9" s="1"/>
  <c r="F12" i="10" s="1"/>
  <c r="G12" i="10" s="1"/>
  <c r="I12" i="10" s="1"/>
  <c r="F12" i="11" s="1"/>
  <c r="G12" i="11" s="1"/>
  <c r="I12" i="11" s="1"/>
  <c r="F12" i="12" s="1"/>
  <c r="G12" i="12" s="1"/>
  <c r="I12" i="12" s="1"/>
  <c r="F12" i="13" s="1"/>
  <c r="G12" i="13" s="1"/>
  <c r="I12" i="13" s="1"/>
  <c r="G13" i="3"/>
  <c r="G14" i="3"/>
  <c r="I14" i="3" s="1"/>
  <c r="F14" i="4" s="1"/>
  <c r="G14" i="4" s="1"/>
  <c r="I14" i="4" s="1"/>
  <c r="F14" i="5" s="1"/>
  <c r="G14" i="5" s="1"/>
  <c r="I14" i="5" s="1"/>
  <c r="F14" i="6" s="1"/>
  <c r="G14" i="6" s="1"/>
  <c r="I14" i="6" s="1"/>
  <c r="F14" i="7" s="1"/>
  <c r="G14" i="7" s="1"/>
  <c r="I14" i="7" s="1"/>
  <c r="F14" i="8" s="1"/>
  <c r="G14" i="8" s="1"/>
  <c r="I14" i="8" s="1"/>
  <c r="F14" i="9" s="1"/>
  <c r="G14" i="9" s="1"/>
  <c r="I14" i="9" s="1"/>
  <c r="F14" i="10" s="1"/>
  <c r="G14" i="10" s="1"/>
  <c r="I14" i="10" s="1"/>
  <c r="F14" i="11" s="1"/>
  <c r="G14" i="11" s="1"/>
  <c r="G15" i="3"/>
  <c r="I15" i="3" s="1"/>
  <c r="F15" i="4" s="1"/>
  <c r="G15" i="4" s="1"/>
  <c r="I15" i="4" s="1"/>
  <c r="F15" i="5" s="1"/>
  <c r="G15" i="5" s="1"/>
  <c r="I15" i="5" s="1"/>
  <c r="F15" i="6" s="1"/>
  <c r="G15" i="6" s="1"/>
  <c r="I15" i="6" s="1"/>
  <c r="F15" i="7" s="1"/>
  <c r="G15" i="7" s="1"/>
  <c r="I15" i="7" s="1"/>
  <c r="F15" i="8" s="1"/>
  <c r="G15" i="8" s="1"/>
  <c r="I15" i="8" s="1"/>
  <c r="F15" i="9" s="1"/>
  <c r="G15" i="9" s="1"/>
  <c r="I15" i="9" s="1"/>
  <c r="F15" i="10" s="1"/>
  <c r="G15" i="10" s="1"/>
  <c r="I15" i="10" s="1"/>
  <c r="F15" i="11" s="1"/>
  <c r="G15" i="11" s="1"/>
  <c r="I15" i="11" s="1"/>
  <c r="F15" i="12" s="1"/>
  <c r="G15" i="12" s="1"/>
  <c r="I15" i="12" s="1"/>
  <c r="F15" i="13" s="1"/>
  <c r="G15" i="13" s="1"/>
  <c r="I15" i="13" s="1"/>
  <c r="G16" i="3"/>
  <c r="I16" i="3" s="1"/>
  <c r="F16" i="4" s="1"/>
  <c r="G16" i="4" s="1"/>
  <c r="I16" i="4" s="1"/>
  <c r="F16" i="5" s="1"/>
  <c r="G16" i="5" s="1"/>
  <c r="I16" i="5" s="1"/>
  <c r="F16" i="6" s="1"/>
  <c r="G16" i="6" s="1"/>
  <c r="I16" i="6" s="1"/>
  <c r="F16" i="7" s="1"/>
  <c r="G16" i="7" s="1"/>
  <c r="I16" i="7" s="1"/>
  <c r="F16" i="8" s="1"/>
  <c r="G16" i="8" s="1"/>
  <c r="I16" i="8" s="1"/>
  <c r="F16" i="9" s="1"/>
  <c r="G16" i="9" s="1"/>
  <c r="I16" i="9" s="1"/>
  <c r="F16" i="10" s="1"/>
  <c r="G16" i="10" s="1"/>
  <c r="I16" i="10" s="1"/>
  <c r="F16" i="11" s="1"/>
  <c r="G16" i="11" s="1"/>
  <c r="I16" i="11" s="1"/>
  <c r="F16" i="12" s="1"/>
  <c r="G16" i="12" s="1"/>
  <c r="I16" i="12" s="1"/>
  <c r="F16" i="13" s="1"/>
  <c r="G16" i="13" s="1"/>
  <c r="I16" i="13" s="1"/>
  <c r="G17" i="3"/>
  <c r="I18" i="3"/>
  <c r="F18" i="4" s="1"/>
  <c r="G18" i="4" s="1"/>
  <c r="I18" i="4" s="1"/>
  <c r="F18" i="5" s="1"/>
  <c r="G18" i="5" s="1"/>
  <c r="I18" i="5" s="1"/>
  <c r="F18" i="6" s="1"/>
  <c r="G18" i="6" s="1"/>
  <c r="I18" i="6" s="1"/>
  <c r="F18" i="7" s="1"/>
  <c r="G18" i="7" s="1"/>
  <c r="I18" i="7" s="1"/>
  <c r="F18" i="8" s="1"/>
  <c r="G18" i="8" s="1"/>
  <c r="I18" i="8" s="1"/>
  <c r="F18" i="9" s="1"/>
  <c r="G18" i="9" s="1"/>
  <c r="I18" i="9" s="1"/>
  <c r="F18" i="10" s="1"/>
  <c r="G18" i="10" s="1"/>
  <c r="I18" i="10" s="1"/>
  <c r="F18" i="11" s="1"/>
  <c r="G18" i="11" s="1"/>
  <c r="I18" i="11" s="1"/>
  <c r="F18" i="12" s="1"/>
  <c r="G18" i="12" s="1"/>
  <c r="I18" i="12" s="1"/>
  <c r="F18" i="13" s="1"/>
  <c r="G18" i="13" s="1"/>
  <c r="I18" i="13" s="1"/>
  <c r="G19" i="3"/>
  <c r="I19" i="3" s="1"/>
  <c r="F19" i="4" s="1"/>
  <c r="G19" i="4" s="1"/>
  <c r="I19" i="4" s="1"/>
  <c r="F19" i="5" s="1"/>
  <c r="G19" i="5" s="1"/>
  <c r="I19" i="5" s="1"/>
  <c r="G21" i="3"/>
  <c r="I21" i="3" s="1"/>
  <c r="F21" i="4" s="1"/>
  <c r="G21" i="4" s="1"/>
  <c r="I21" i="4" s="1"/>
  <c r="F21" i="5" s="1"/>
  <c r="G21" i="5" s="1"/>
  <c r="I21" i="5" s="1"/>
  <c r="F21" i="6" s="1"/>
  <c r="G21" i="6" s="1"/>
  <c r="I21" i="6" s="1"/>
  <c r="F21" i="7" s="1"/>
  <c r="G21" i="7" s="1"/>
  <c r="I21" i="7" s="1"/>
  <c r="F21" i="8" s="1"/>
  <c r="G21" i="8" s="1"/>
  <c r="I21" i="8" s="1"/>
  <c r="F21" i="9" s="1"/>
  <c r="G21" i="9" s="1"/>
  <c r="I21" i="9" s="1"/>
  <c r="F21" i="10" s="1"/>
  <c r="G21" i="10" s="1"/>
  <c r="I21" i="10" s="1"/>
  <c r="F21" i="11" s="1"/>
  <c r="G21" i="11" s="1"/>
  <c r="I21" i="11" s="1"/>
  <c r="F21" i="12" s="1"/>
  <c r="G21" i="12" s="1"/>
  <c r="I21" i="12" s="1"/>
  <c r="F21" i="13" s="1"/>
  <c r="G21" i="13" s="1"/>
  <c r="I21" i="13" s="1"/>
  <c r="G22" i="3"/>
  <c r="I22" i="3" s="1"/>
  <c r="F22" i="4" s="1"/>
  <c r="G22" i="4" s="1"/>
  <c r="I22" i="4" s="1"/>
  <c r="F22" i="5" s="1"/>
  <c r="G22" i="5" s="1"/>
  <c r="I22" i="5" s="1"/>
  <c r="F22" i="6" s="1"/>
  <c r="G22" i="6" s="1"/>
  <c r="I22" i="6" s="1"/>
  <c r="F22" i="7" s="1"/>
  <c r="G22" i="7" s="1"/>
  <c r="I22" i="7" s="1"/>
  <c r="F22" i="8" s="1"/>
  <c r="G22" i="8" s="1"/>
  <c r="I22" i="8" s="1"/>
  <c r="F22" i="9" s="1"/>
  <c r="G22" i="9" s="1"/>
  <c r="I22" i="9" s="1"/>
  <c r="F22" i="10" s="1"/>
  <c r="G22" i="10" s="1"/>
  <c r="I22" i="10" s="1"/>
  <c r="F22" i="11" s="1"/>
  <c r="G22" i="11" s="1"/>
  <c r="I22" i="11" s="1"/>
  <c r="F22" i="12" s="1"/>
  <c r="G22" i="12" s="1"/>
  <c r="I22" i="12" s="1"/>
  <c r="F22" i="13" s="1"/>
  <c r="G22" i="13" s="1"/>
  <c r="I22" i="13" s="1"/>
  <c r="F22" i="14" s="1"/>
  <c r="G22" i="14" s="1"/>
  <c r="I22" i="14" s="1"/>
  <c r="G23" i="3"/>
  <c r="I23" i="3" s="1"/>
  <c r="F23" i="4" s="1"/>
  <c r="G23" i="4" s="1"/>
  <c r="I23" i="4" s="1"/>
  <c r="F23" i="5" s="1"/>
  <c r="G23" i="5" s="1"/>
  <c r="I23" i="5" s="1"/>
  <c r="F23" i="6" s="1"/>
  <c r="G23" i="6" s="1"/>
  <c r="I23" i="6" s="1"/>
  <c r="F23" i="7" s="1"/>
  <c r="G23" i="7" s="1"/>
  <c r="I23" i="7" s="1"/>
  <c r="F23" i="8" s="1"/>
  <c r="G23" i="8" s="1"/>
  <c r="I23" i="8" s="1"/>
  <c r="F23" i="9" s="1"/>
  <c r="G23" i="9" s="1"/>
  <c r="I23" i="9" s="1"/>
  <c r="F23" i="10" s="1"/>
  <c r="G23" i="10" s="1"/>
  <c r="I23" i="10" s="1"/>
  <c r="F23" i="11" s="1"/>
  <c r="G23" i="11" s="1"/>
  <c r="I23" i="11" s="1"/>
  <c r="F23" i="12" s="1"/>
  <c r="G23" i="12" s="1"/>
  <c r="I23" i="12" s="1"/>
  <c r="F23" i="13" s="1"/>
  <c r="G23" i="13" s="1"/>
  <c r="I23" i="13" s="1"/>
  <c r="G24" i="3"/>
  <c r="I24" i="3" s="1"/>
  <c r="F24" i="4" s="1"/>
  <c r="G24" i="4" s="1"/>
  <c r="I24" i="4" s="1"/>
  <c r="F24" i="5" s="1"/>
  <c r="G24" i="5" s="1"/>
  <c r="I24" i="5" s="1"/>
  <c r="F24" i="6" s="1"/>
  <c r="G24" i="6" s="1"/>
  <c r="I24" i="6" s="1"/>
  <c r="F24" i="7" s="1"/>
  <c r="G24" i="7" s="1"/>
  <c r="I24" i="7" s="1"/>
  <c r="F24" i="8" s="1"/>
  <c r="G24" i="8" s="1"/>
  <c r="I24" i="8" s="1"/>
  <c r="F24" i="9" s="1"/>
  <c r="G24" i="9" s="1"/>
  <c r="I24" i="9" s="1"/>
  <c r="F24" i="10" s="1"/>
  <c r="G24" i="10" s="1"/>
  <c r="I24" i="10" s="1"/>
  <c r="F24" i="11" s="1"/>
  <c r="G24" i="11" s="1"/>
  <c r="I24" i="11" s="1"/>
  <c r="F24" i="12" s="1"/>
  <c r="G24" i="12" s="1"/>
  <c r="I24" i="12" s="1"/>
  <c r="F24" i="13" s="1"/>
  <c r="G24" i="13" s="1"/>
  <c r="I24" i="13" s="1"/>
  <c r="H42" i="3"/>
  <c r="D42" i="3"/>
  <c r="K25" i="3"/>
  <c r="E25" i="3"/>
  <c r="C29" i="3" s="1"/>
  <c r="D35" i="3" s="1"/>
  <c r="D25" i="3"/>
  <c r="C32" i="3" s="1"/>
  <c r="G32" i="3" s="1"/>
  <c r="C25" i="3"/>
  <c r="C31" i="3" s="1"/>
  <c r="I17" i="3"/>
  <c r="F17" i="4" s="1"/>
  <c r="G17" i="4" s="1"/>
  <c r="I17" i="4" s="1"/>
  <c r="F17" i="5" s="1"/>
  <c r="G17" i="5" s="1"/>
  <c r="I17" i="5" s="1"/>
  <c r="F17" i="6" s="1"/>
  <c r="G17" i="6" s="1"/>
  <c r="I17" i="6" s="1"/>
  <c r="F17" i="7" s="1"/>
  <c r="G17" i="7" s="1"/>
  <c r="I17" i="7" s="1"/>
  <c r="F17" i="8" s="1"/>
  <c r="G17" i="8" s="1"/>
  <c r="I17" i="8" s="1"/>
  <c r="F17" i="9" s="1"/>
  <c r="G17" i="9" s="1"/>
  <c r="I17" i="9" s="1"/>
  <c r="F17" i="10" s="1"/>
  <c r="G17" i="10" s="1"/>
  <c r="I17" i="10" s="1"/>
  <c r="F17" i="11" s="1"/>
  <c r="G17" i="11" s="1"/>
  <c r="I17" i="11" s="1"/>
  <c r="F17" i="12" s="1"/>
  <c r="G17" i="12" s="1"/>
  <c r="I17" i="12" s="1"/>
  <c r="F17" i="13" s="1"/>
  <c r="G17" i="13" s="1"/>
  <c r="I17" i="13" s="1"/>
  <c r="I13" i="3"/>
  <c r="F13" i="4" s="1"/>
  <c r="G13" i="4" s="1"/>
  <c r="I13" i="4" s="1"/>
  <c r="F13" i="5" s="1"/>
  <c r="G13" i="5" s="1"/>
  <c r="I13" i="5" s="1"/>
  <c r="F13" i="6" s="1"/>
  <c r="G13" i="6" s="1"/>
  <c r="I13" i="6" s="1"/>
  <c r="F13" i="7" s="1"/>
  <c r="G13" i="7" s="1"/>
  <c r="I13" i="7" s="1"/>
  <c r="F13" i="8" s="1"/>
  <c r="G13" i="8" s="1"/>
  <c r="I13" i="8" s="1"/>
  <c r="F13" i="9" s="1"/>
  <c r="G13" i="9" s="1"/>
  <c r="I13" i="9" s="1"/>
  <c r="F13" i="10" s="1"/>
  <c r="G13" i="10" s="1"/>
  <c r="I13" i="10" s="1"/>
  <c r="F13" i="11" s="1"/>
  <c r="G13" i="11" s="1"/>
  <c r="I13" i="11" s="1"/>
  <c r="F13" i="12" s="1"/>
  <c r="G13" i="12" s="1"/>
  <c r="I13" i="12" s="1"/>
  <c r="F13" i="13" s="1"/>
  <c r="G13" i="13" s="1"/>
  <c r="I13" i="13" s="1"/>
  <c r="F15" i="14" l="1"/>
  <c r="G15" i="14" s="1"/>
  <c r="I15" i="14" s="1"/>
  <c r="F15" i="15" s="1"/>
  <c r="G15" i="15" s="1"/>
  <c r="I15" i="15" s="1"/>
  <c r="F15" i="16" s="1"/>
  <c r="G15" i="16" s="1"/>
  <c r="I15" i="16" s="1"/>
  <c r="F15" i="17" s="1"/>
  <c r="G15" i="17" s="1"/>
  <c r="I15" i="17" s="1"/>
  <c r="F15" i="18" s="1"/>
  <c r="G15" i="18" s="1"/>
  <c r="I15" i="18" s="1"/>
  <c r="F23" i="14"/>
  <c r="G23" i="14" s="1"/>
  <c r="I23" i="14" s="1"/>
  <c r="F13" i="14"/>
  <c r="G13" i="14" s="1"/>
  <c r="I13" i="14" s="1"/>
  <c r="F13" i="15" s="1"/>
  <c r="G13" i="15" s="1"/>
  <c r="I13" i="15" s="1"/>
  <c r="F13" i="16" s="1"/>
  <c r="G13" i="16" s="1"/>
  <c r="I13" i="16" s="1"/>
  <c r="F13" i="17" s="1"/>
  <c r="G13" i="17" s="1"/>
  <c r="I13" i="17" s="1"/>
  <c r="F13" i="18" s="1"/>
  <c r="G13" i="18" s="1"/>
  <c r="I13" i="18" s="1"/>
  <c r="F17" i="14"/>
  <c r="G17" i="14" s="1"/>
  <c r="I17" i="14" s="1"/>
  <c r="F17" i="15" s="1"/>
  <c r="G17" i="15" s="1"/>
  <c r="I17" i="15" s="1"/>
  <c r="F17" i="16" s="1"/>
  <c r="G17" i="16" s="1"/>
  <c r="I17" i="16" s="1"/>
  <c r="F17" i="17" s="1"/>
  <c r="G17" i="17" s="1"/>
  <c r="I17" i="17" s="1"/>
  <c r="F17" i="18" s="1"/>
  <c r="G17" i="18" s="1"/>
  <c r="I17" i="18" s="1"/>
  <c r="F22" i="15"/>
  <c r="G22" i="15" s="1"/>
  <c r="I22" i="15" s="1"/>
  <c r="F22" i="16" s="1"/>
  <c r="G22" i="16" s="1"/>
  <c r="I22" i="16" s="1"/>
  <c r="F22" i="17" s="1"/>
  <c r="G22" i="17" s="1"/>
  <c r="I22" i="17" s="1"/>
  <c r="F22" i="18" s="1"/>
  <c r="G22" i="18" s="1"/>
  <c r="F11" i="14"/>
  <c r="G11" i="14" s="1"/>
  <c r="I11" i="14" s="1"/>
  <c r="F11" i="15" s="1"/>
  <c r="G11" i="15" s="1"/>
  <c r="I11" i="15" s="1"/>
  <c r="F11" i="16" s="1"/>
  <c r="G11" i="16" s="1"/>
  <c r="I11" i="16" s="1"/>
  <c r="F11" i="17" s="1"/>
  <c r="G11" i="17" s="1"/>
  <c r="I11" i="17" s="1"/>
  <c r="F11" i="18" s="1"/>
  <c r="G11" i="18" s="1"/>
  <c r="I11" i="18" s="1"/>
  <c r="F21" i="14"/>
  <c r="G21" i="14" s="1"/>
  <c r="I21" i="14" s="1"/>
  <c r="F21" i="15" s="1"/>
  <c r="G21" i="15" s="1"/>
  <c r="I21" i="15" s="1"/>
  <c r="F21" i="16" s="1"/>
  <c r="G21" i="16" s="1"/>
  <c r="I21" i="16" s="1"/>
  <c r="F21" i="17" s="1"/>
  <c r="G21" i="17" s="1"/>
  <c r="I21" i="17" s="1"/>
  <c r="F21" i="18" s="1"/>
  <c r="G21" i="18" s="1"/>
  <c r="I21" i="18" s="1"/>
  <c r="F18" i="14"/>
  <c r="G18" i="14" s="1"/>
  <c r="I18" i="14" s="1"/>
  <c r="F18" i="15" s="1"/>
  <c r="G18" i="15" s="1"/>
  <c r="I18" i="15" s="1"/>
  <c r="F18" i="16" s="1"/>
  <c r="G18" i="16" s="1"/>
  <c r="I18" i="16" s="1"/>
  <c r="F18" i="17" s="1"/>
  <c r="G18" i="17" s="1"/>
  <c r="I18" i="17" s="1"/>
  <c r="F18" i="18" s="1"/>
  <c r="G18" i="18" s="1"/>
  <c r="I18" i="18" s="1"/>
  <c r="F16" i="14"/>
  <c r="G16" i="14" s="1"/>
  <c r="I16" i="14" s="1"/>
  <c r="F16" i="15" s="1"/>
  <c r="G16" i="15" s="1"/>
  <c r="I16" i="15" s="1"/>
  <c r="F16" i="16" s="1"/>
  <c r="G16" i="16" s="1"/>
  <c r="I16" i="16" s="1"/>
  <c r="F16" i="17" s="1"/>
  <c r="G16" i="17" s="1"/>
  <c r="I16" i="17" s="1"/>
  <c r="F16" i="18" s="1"/>
  <c r="G16" i="18" s="1"/>
  <c r="I16" i="18" s="1"/>
  <c r="I14" i="11"/>
  <c r="G14" i="12" s="1"/>
  <c r="I14" i="12" s="1"/>
  <c r="F14" i="13" s="1"/>
  <c r="G14" i="13" s="1"/>
  <c r="I14" i="13" s="1"/>
  <c r="F14" i="14" s="1"/>
  <c r="G14" i="14" s="1"/>
  <c r="I14" i="14" s="1"/>
  <c r="F14" i="15" s="1"/>
  <c r="G14" i="15" s="1"/>
  <c r="I14" i="15" s="1"/>
  <c r="F14" i="16" s="1"/>
  <c r="G14" i="16" s="1"/>
  <c r="I14" i="16" s="1"/>
  <c r="F14" i="17" s="1"/>
  <c r="G14" i="17" s="1"/>
  <c r="I14" i="17" s="1"/>
  <c r="F14" i="18" s="1"/>
  <c r="G14" i="18" s="1"/>
  <c r="I14" i="18" s="1"/>
  <c r="D39" i="11"/>
  <c r="I26" i="13"/>
  <c r="F12" i="14"/>
  <c r="G12" i="14" s="1"/>
  <c r="I12" i="14" s="1"/>
  <c r="F12" i="15" s="1"/>
  <c r="G12" i="15" s="1"/>
  <c r="I12" i="15" s="1"/>
  <c r="F12" i="16" s="1"/>
  <c r="G12" i="16" s="1"/>
  <c r="I12" i="16" s="1"/>
  <c r="F12" i="17" s="1"/>
  <c r="G12" i="17" s="1"/>
  <c r="I12" i="17" s="1"/>
  <c r="F12" i="18" s="1"/>
  <c r="G12" i="18" s="1"/>
  <c r="I12" i="18" s="1"/>
  <c r="I10" i="10"/>
  <c r="D39" i="10"/>
  <c r="D42" i="10" s="1"/>
  <c r="F6" i="6"/>
  <c r="S33" i="3"/>
  <c r="C34" i="3"/>
  <c r="G34" i="3" s="1"/>
  <c r="H35" i="3"/>
  <c r="K25" i="2"/>
  <c r="C34" i="2" s="1"/>
  <c r="G34" i="2" s="1"/>
  <c r="J25" i="2"/>
  <c r="C33" i="2" s="1"/>
  <c r="D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1" i="2"/>
  <c r="G22" i="2"/>
  <c r="G23" i="2"/>
  <c r="G24" i="2"/>
  <c r="G5" i="2"/>
  <c r="F14" i="19" l="1"/>
  <c r="G14" i="19" s="1"/>
  <c r="I14" i="19" s="1"/>
  <c r="F14" i="20" s="1"/>
  <c r="G14" i="20" s="1"/>
  <c r="I14" i="20" s="1"/>
  <c r="F14" i="21" s="1"/>
  <c r="G14" i="21" s="1"/>
  <c r="I14" i="21" s="1"/>
  <c r="F14" i="22" s="1"/>
  <c r="G14" i="22" s="1"/>
  <c r="I14" i="22" s="1"/>
  <c r="F14" i="23" s="1"/>
  <c r="G14" i="23" s="1"/>
  <c r="I14" i="23" s="1"/>
  <c r="F14" i="24" s="1"/>
  <c r="G14" i="24" s="1"/>
  <c r="I14" i="24" s="1"/>
  <c r="F14" i="25" s="1"/>
  <c r="G14" i="25" s="1"/>
  <c r="I14" i="25" s="1"/>
  <c r="F14" i="26" s="1"/>
  <c r="G14" i="26" s="1"/>
  <c r="I14" i="26" s="1"/>
  <c r="F18" i="19"/>
  <c r="G18" i="19" s="1"/>
  <c r="I18" i="19" s="1"/>
  <c r="F18" i="20" s="1"/>
  <c r="G18" i="20" s="1"/>
  <c r="I18" i="20" s="1"/>
  <c r="F18" i="21" s="1"/>
  <c r="F11" i="19"/>
  <c r="G11" i="19" s="1"/>
  <c r="I11" i="19" s="1"/>
  <c r="F11" i="20" s="1"/>
  <c r="G11" i="20" s="1"/>
  <c r="I11" i="20" s="1"/>
  <c r="F11" i="21" s="1"/>
  <c r="G11" i="21" s="1"/>
  <c r="I11" i="21" s="1"/>
  <c r="F11" i="22" s="1"/>
  <c r="G11" i="22" s="1"/>
  <c r="I11" i="22" s="1"/>
  <c r="F11" i="23" s="1"/>
  <c r="G11" i="23" s="1"/>
  <c r="I11" i="23" s="1"/>
  <c r="F11" i="24" s="1"/>
  <c r="G11" i="24" s="1"/>
  <c r="I11" i="24" s="1"/>
  <c r="F11" i="25" s="1"/>
  <c r="G11" i="25" s="1"/>
  <c r="I11" i="25" s="1"/>
  <c r="F11" i="26" s="1"/>
  <c r="G11" i="26" s="1"/>
  <c r="I11" i="26" s="1"/>
  <c r="F11" i="27" s="1"/>
  <c r="G11" i="27" s="1"/>
  <c r="I11" i="27" s="1"/>
  <c r="F11" i="28" s="1"/>
  <c r="G11" i="28" s="1"/>
  <c r="I11" i="28" s="1"/>
  <c r="F11" i="29" s="1"/>
  <c r="G11" i="29" s="1"/>
  <c r="I11" i="29" s="1"/>
  <c r="F11" i="30" s="1"/>
  <c r="G11" i="30" s="1"/>
  <c r="I11" i="30" s="1"/>
  <c r="F11" i="31" s="1"/>
  <c r="G11" i="31" s="1"/>
  <c r="I11" i="31" s="1"/>
  <c r="F17" i="19"/>
  <c r="G17" i="19" s="1"/>
  <c r="I17" i="19" s="1"/>
  <c r="F17" i="20" s="1"/>
  <c r="G17" i="20" s="1"/>
  <c r="I17" i="20" s="1"/>
  <c r="F17" i="21" s="1"/>
  <c r="G17" i="21" s="1"/>
  <c r="I17" i="21" s="1"/>
  <c r="F17" i="22" s="1"/>
  <c r="G17" i="22" s="1"/>
  <c r="I17" i="22" s="1"/>
  <c r="F17" i="23" s="1"/>
  <c r="G17" i="23" s="1"/>
  <c r="I17" i="23" s="1"/>
  <c r="F17" i="24" s="1"/>
  <c r="G17" i="24" s="1"/>
  <c r="I17" i="24" s="1"/>
  <c r="F17" i="25" s="1"/>
  <c r="G17" i="25" s="1"/>
  <c r="I17" i="25" s="1"/>
  <c r="F17" i="26" s="1"/>
  <c r="G17" i="26" s="1"/>
  <c r="I17" i="26" s="1"/>
  <c r="F17" i="27" s="1"/>
  <c r="G17" i="27" s="1"/>
  <c r="I17" i="27" s="1"/>
  <c r="F17" i="28" s="1"/>
  <c r="G17" i="28" s="1"/>
  <c r="I17" i="28" s="1"/>
  <c r="F17" i="29" s="1"/>
  <c r="G17" i="29" s="1"/>
  <c r="I17" i="29" s="1"/>
  <c r="F17" i="30" s="1"/>
  <c r="G17" i="30" s="1"/>
  <c r="I17" i="30" s="1"/>
  <c r="F17" i="31" s="1"/>
  <c r="G17" i="31" s="1"/>
  <c r="I17" i="31" s="1"/>
  <c r="F12" i="19"/>
  <c r="G12" i="19" s="1"/>
  <c r="I12" i="19" s="1"/>
  <c r="F12" i="20" s="1"/>
  <c r="G12" i="20" s="1"/>
  <c r="I12" i="20" s="1"/>
  <c r="F12" i="21" s="1"/>
  <c r="G12" i="21" s="1"/>
  <c r="I12" i="21" s="1"/>
  <c r="F12" i="22" s="1"/>
  <c r="G12" i="22" s="1"/>
  <c r="I12" i="22" s="1"/>
  <c r="F12" i="23" s="1"/>
  <c r="G12" i="23" s="1"/>
  <c r="I12" i="23" s="1"/>
  <c r="F12" i="24" s="1"/>
  <c r="G12" i="24" s="1"/>
  <c r="I12" i="24" s="1"/>
  <c r="F12" i="25" s="1"/>
  <c r="G12" i="25" s="1"/>
  <c r="I12" i="25" s="1"/>
  <c r="F12" i="26" s="1"/>
  <c r="G12" i="26" s="1"/>
  <c r="I12" i="26" s="1"/>
  <c r="F12" i="27" s="1"/>
  <c r="G12" i="27" s="1"/>
  <c r="I12" i="27" s="1"/>
  <c r="F12" i="28" s="1"/>
  <c r="G12" i="28" s="1"/>
  <c r="I12" i="28" s="1"/>
  <c r="F12" i="29" s="1"/>
  <c r="G12" i="29" s="1"/>
  <c r="I12" i="29" s="1"/>
  <c r="F12" i="30" s="1"/>
  <c r="G12" i="30" s="1"/>
  <c r="I12" i="30" s="1"/>
  <c r="F12" i="31" s="1"/>
  <c r="G12" i="31" s="1"/>
  <c r="I12" i="31" s="1"/>
  <c r="F16" i="19"/>
  <c r="G16" i="19" s="1"/>
  <c r="I16" i="19" s="1"/>
  <c r="F16" i="20" s="1"/>
  <c r="G16" i="20" s="1"/>
  <c r="I16" i="20" s="1"/>
  <c r="F16" i="21" s="1"/>
  <c r="G16" i="21" s="1"/>
  <c r="I16" i="21" s="1"/>
  <c r="F16" i="22" s="1"/>
  <c r="G16" i="22" s="1"/>
  <c r="I16" i="22" s="1"/>
  <c r="F16" i="23" s="1"/>
  <c r="G16" i="23" s="1"/>
  <c r="I16" i="23" s="1"/>
  <c r="F16" i="24" s="1"/>
  <c r="G16" i="24" s="1"/>
  <c r="I16" i="24" s="1"/>
  <c r="F16" i="25" s="1"/>
  <c r="G16" i="25" s="1"/>
  <c r="I16" i="25" s="1"/>
  <c r="F16" i="26" s="1"/>
  <c r="G16" i="26" s="1"/>
  <c r="I16" i="26" s="1"/>
  <c r="F16" i="27" s="1"/>
  <c r="G16" i="27" s="1"/>
  <c r="I16" i="27" s="1"/>
  <c r="F16" i="28" s="1"/>
  <c r="G16" i="28" s="1"/>
  <c r="I16" i="28" s="1"/>
  <c r="F16" i="29" s="1"/>
  <c r="G16" i="29" s="1"/>
  <c r="I16" i="29" s="1"/>
  <c r="F16" i="30" s="1"/>
  <c r="G16" i="30" s="1"/>
  <c r="I16" i="30" s="1"/>
  <c r="F16" i="31" s="1"/>
  <c r="G16" i="31" s="1"/>
  <c r="I16" i="31" s="1"/>
  <c r="F21" i="19"/>
  <c r="G21" i="19" s="1"/>
  <c r="I21" i="19" s="1"/>
  <c r="F21" i="20" s="1"/>
  <c r="G21" i="20" s="1"/>
  <c r="I21" i="20" s="1"/>
  <c r="F21" i="21" s="1"/>
  <c r="G21" i="21" s="1"/>
  <c r="I21" i="21" s="1"/>
  <c r="F21" i="22" s="1"/>
  <c r="G21" i="22" s="1"/>
  <c r="I21" i="22" s="1"/>
  <c r="F13" i="19"/>
  <c r="G13" i="19" s="1"/>
  <c r="I13" i="19" s="1"/>
  <c r="F13" i="20" s="1"/>
  <c r="G13" i="20" s="1"/>
  <c r="I13" i="20" s="1"/>
  <c r="F13" i="21" s="1"/>
  <c r="G13" i="21" s="1"/>
  <c r="I13" i="21" s="1"/>
  <c r="F13" i="22" s="1"/>
  <c r="G13" i="22" s="1"/>
  <c r="I13" i="22" s="1"/>
  <c r="F13" i="23" s="1"/>
  <c r="G13" i="23" s="1"/>
  <c r="I13" i="23" s="1"/>
  <c r="F13" i="24" s="1"/>
  <c r="G13" i="24" s="1"/>
  <c r="I13" i="24" s="1"/>
  <c r="F13" i="25" s="1"/>
  <c r="G13" i="25" s="1"/>
  <c r="I13" i="25" s="1"/>
  <c r="F13" i="26" s="1"/>
  <c r="G13" i="26" s="1"/>
  <c r="I13" i="26" s="1"/>
  <c r="F13" i="27" s="1"/>
  <c r="G13" i="27" s="1"/>
  <c r="I13" i="27" s="1"/>
  <c r="F13" i="28" s="1"/>
  <c r="G13" i="28" s="1"/>
  <c r="I13" i="28" s="1"/>
  <c r="F13" i="29" s="1"/>
  <c r="G13" i="29" s="1"/>
  <c r="I13" i="29" s="1"/>
  <c r="F13" i="30" s="1"/>
  <c r="G13" i="30" s="1"/>
  <c r="I13" i="30" s="1"/>
  <c r="F13" i="31" s="1"/>
  <c r="G13" i="31" s="1"/>
  <c r="I13" i="31" s="1"/>
  <c r="F15" i="19"/>
  <c r="G15" i="19" s="1"/>
  <c r="I15" i="19" s="1"/>
  <c r="F15" i="20" s="1"/>
  <c r="G15" i="20" s="1"/>
  <c r="I15" i="20" s="1"/>
  <c r="F15" i="21" s="1"/>
  <c r="G15" i="21" s="1"/>
  <c r="I15" i="21" s="1"/>
  <c r="F15" i="22" s="1"/>
  <c r="G15" i="22" s="1"/>
  <c r="I15" i="22" s="1"/>
  <c r="F15" i="23" s="1"/>
  <c r="G15" i="23" s="1"/>
  <c r="I15" i="23" s="1"/>
  <c r="F15" i="24" s="1"/>
  <c r="G15" i="24" s="1"/>
  <c r="I15" i="24" s="1"/>
  <c r="F15" i="25" s="1"/>
  <c r="G15" i="25" s="1"/>
  <c r="I15" i="25" s="1"/>
  <c r="F15" i="26" s="1"/>
  <c r="G15" i="26" s="1"/>
  <c r="I15" i="26" s="1"/>
  <c r="F15" i="27" s="1"/>
  <c r="G15" i="27" s="1"/>
  <c r="I15" i="27" s="1"/>
  <c r="F15" i="28" s="1"/>
  <c r="G15" i="28" s="1"/>
  <c r="I15" i="28" s="1"/>
  <c r="F23" i="15"/>
  <c r="G23" i="15" s="1"/>
  <c r="I23" i="15" s="1"/>
  <c r="F23" i="16" s="1"/>
  <c r="G23" i="16" s="1"/>
  <c r="I23" i="16" s="1"/>
  <c r="F23" i="17" s="1"/>
  <c r="G23" i="17" s="1"/>
  <c r="F23" i="18" s="1"/>
  <c r="G23" i="18" s="1"/>
  <c r="I23" i="18" s="1"/>
  <c r="G6" i="6"/>
  <c r="I6" i="6" s="1"/>
  <c r="F6" i="7" s="1"/>
  <c r="F21" i="1"/>
  <c r="F14" i="27" l="1"/>
  <c r="G14" i="27" s="1"/>
  <c r="I14" i="27" s="1"/>
  <c r="F14" i="28" s="1"/>
  <c r="G14" i="28" s="1"/>
  <c r="I14" i="28" s="1"/>
  <c r="F14" i="29" s="1"/>
  <c r="G14" i="29" s="1"/>
  <c r="I14" i="29" s="1"/>
  <c r="F14" i="30" s="1"/>
  <c r="G14" i="30" s="1"/>
  <c r="I14" i="30" s="1"/>
  <c r="F14" i="31" s="1"/>
  <c r="G14" i="31" s="1"/>
  <c r="I14" i="31" s="1"/>
  <c r="G18" i="21"/>
  <c r="I18" i="21" s="1"/>
  <c r="F23" i="19"/>
  <c r="G23" i="19" s="1"/>
  <c r="I23" i="19" s="1"/>
  <c r="F23" i="20" s="1"/>
  <c r="G23" i="20" s="1"/>
  <c r="I23" i="20" s="1"/>
  <c r="F23" i="21" s="1"/>
  <c r="G23" i="21" s="1"/>
  <c r="I23" i="21" s="1"/>
  <c r="F23" i="22" s="1"/>
  <c r="G23" i="22" s="1"/>
  <c r="I23" i="22" s="1"/>
  <c r="F23" i="23" s="1"/>
  <c r="G23" i="23" s="1"/>
  <c r="I23" i="23" s="1"/>
  <c r="F23" i="24" s="1"/>
  <c r="G23" i="24" s="1"/>
  <c r="I23" i="24" s="1"/>
  <c r="F23" i="25" s="1"/>
  <c r="G23" i="25" s="1"/>
  <c r="I23" i="25" s="1"/>
  <c r="F23" i="26" s="1"/>
  <c r="G23" i="26" s="1"/>
  <c r="I23" i="26" s="1"/>
  <c r="F23" i="27" s="1"/>
  <c r="G23" i="27" s="1"/>
  <c r="I23" i="27" s="1"/>
  <c r="G6" i="7"/>
  <c r="I6" i="7" s="1"/>
  <c r="F6" i="8" s="1"/>
  <c r="G6" i="8" s="1"/>
  <c r="I6" i="8" s="1"/>
  <c r="F6" i="9" s="1"/>
  <c r="G6" i="9" s="1"/>
  <c r="I6" i="9" s="1"/>
  <c r="F6" i="10" s="1"/>
  <c r="G6" i="10" s="1"/>
  <c r="I6" i="10" s="1"/>
  <c r="F6" i="11" s="1"/>
  <c r="G6" i="11" s="1"/>
  <c r="I6" i="11" s="1"/>
  <c r="F6" i="12" s="1"/>
  <c r="G6" i="12" s="1"/>
  <c r="I6" i="12" s="1"/>
  <c r="F6" i="13" s="1"/>
  <c r="G6" i="13" s="1"/>
  <c r="I6" i="13" s="1"/>
  <c r="H42" i="2"/>
  <c r="D42" i="2"/>
  <c r="H25" i="2"/>
  <c r="G29" i="2" s="1"/>
  <c r="F25" i="2"/>
  <c r="L25" i="2" s="1"/>
  <c r="F25" i="3" s="1"/>
  <c r="L25" i="3" s="1"/>
  <c r="E25" i="2"/>
  <c r="C29" i="2" s="1"/>
  <c r="D35" i="2" s="1"/>
  <c r="H35" i="2" s="1"/>
  <c r="C25" i="2"/>
  <c r="C31" i="2" s="1"/>
  <c r="I24" i="2"/>
  <c r="I23" i="2"/>
  <c r="I22" i="2"/>
  <c r="I21" i="2"/>
  <c r="G20" i="3"/>
  <c r="I20" i="3" s="1"/>
  <c r="F20" i="4" s="1"/>
  <c r="G20" i="4" s="1"/>
  <c r="I20" i="4" s="1"/>
  <c r="F20" i="5" s="1"/>
  <c r="G20" i="5" s="1"/>
  <c r="I20" i="5" s="1"/>
  <c r="F20" i="6" s="1"/>
  <c r="G20" i="6" s="1"/>
  <c r="I20" i="6" s="1"/>
  <c r="F20" i="7" s="1"/>
  <c r="G20" i="7" s="1"/>
  <c r="I20" i="7" s="1"/>
  <c r="F20" i="8" s="1"/>
  <c r="G20" i="8" s="1"/>
  <c r="I20" i="8" s="1"/>
  <c r="F20" i="9" s="1"/>
  <c r="G20" i="9" s="1"/>
  <c r="I20" i="9" s="1"/>
  <c r="F20" i="10" s="1"/>
  <c r="G20" i="10" s="1"/>
  <c r="I20" i="10" s="1"/>
  <c r="I19" i="2"/>
  <c r="I18" i="2"/>
  <c r="I17" i="2"/>
  <c r="I16" i="2"/>
  <c r="I15" i="2"/>
  <c r="I14" i="2"/>
  <c r="I13" i="2"/>
  <c r="I12" i="2"/>
  <c r="I11" i="2"/>
  <c r="I10" i="2"/>
  <c r="I9" i="2"/>
  <c r="I8" i="2"/>
  <c r="G8" i="3" s="1"/>
  <c r="I8" i="3" s="1"/>
  <c r="F8" i="4" s="1"/>
  <c r="G8" i="4" s="1"/>
  <c r="I8" i="4" s="1"/>
  <c r="F8" i="5" s="1"/>
  <c r="G8" i="5" s="1"/>
  <c r="I8" i="5" s="1"/>
  <c r="F8" i="6" s="1"/>
  <c r="G8" i="6" s="1"/>
  <c r="I8" i="6" s="1"/>
  <c r="F8" i="7" s="1"/>
  <c r="G8" i="7" s="1"/>
  <c r="I8" i="7" s="1"/>
  <c r="F8" i="8" s="1"/>
  <c r="G8" i="8" s="1"/>
  <c r="I8" i="8" s="1"/>
  <c r="F8" i="9" s="1"/>
  <c r="G8" i="9" s="1"/>
  <c r="I8" i="9" s="1"/>
  <c r="F8" i="10" s="1"/>
  <c r="G8" i="10" s="1"/>
  <c r="I8" i="10" s="1"/>
  <c r="F8" i="11" s="1"/>
  <c r="G8" i="11" s="1"/>
  <c r="I8" i="11" s="1"/>
  <c r="F8" i="12" s="1"/>
  <c r="G8" i="12" s="1"/>
  <c r="I8" i="12" s="1"/>
  <c r="F8" i="13" s="1"/>
  <c r="G8" i="13" s="1"/>
  <c r="I8" i="13" s="1"/>
  <c r="I7" i="2"/>
  <c r="G7" i="3" s="1"/>
  <c r="I7" i="3" s="1"/>
  <c r="F7" i="4" s="1"/>
  <c r="G7" i="4" s="1"/>
  <c r="I7" i="4" s="1"/>
  <c r="F7" i="5" s="1"/>
  <c r="G7" i="5" s="1"/>
  <c r="I7" i="5" s="1"/>
  <c r="I6" i="2"/>
  <c r="F23" i="28" l="1"/>
  <c r="G23" i="28" s="1"/>
  <c r="I23" i="28" s="1"/>
  <c r="F23" i="29" s="1"/>
  <c r="G23" i="29" s="1"/>
  <c r="I23" i="29" s="1"/>
  <c r="F23" i="30" s="1"/>
  <c r="G23" i="30" s="1"/>
  <c r="I23" i="30" s="1"/>
  <c r="F23" i="31" s="1"/>
  <c r="G23" i="31" s="1"/>
  <c r="I23" i="31" s="1"/>
  <c r="F18" i="22"/>
  <c r="G18" i="22" s="1"/>
  <c r="I18" i="22" s="1"/>
  <c r="F18" i="23" s="1"/>
  <c r="G18" i="23" s="1"/>
  <c r="I18" i="23" s="1"/>
  <c r="F18" i="24" s="1"/>
  <c r="G18" i="24" s="1"/>
  <c r="I18" i="24" s="1"/>
  <c r="F18" i="25" s="1"/>
  <c r="G18" i="25" s="1"/>
  <c r="I18" i="25" s="1"/>
  <c r="F18" i="26" s="1"/>
  <c r="G18" i="26" s="1"/>
  <c r="I18" i="26" s="1"/>
  <c r="F18" i="27" s="1"/>
  <c r="G18" i="27" s="1"/>
  <c r="I18" i="27" s="1"/>
  <c r="F18" i="28" s="1"/>
  <c r="G18" i="28" s="1"/>
  <c r="I18" i="28" s="1"/>
  <c r="F18" i="29" s="1"/>
  <c r="G18" i="29" s="1"/>
  <c r="I18" i="29" s="1"/>
  <c r="F18" i="30" s="1"/>
  <c r="G18" i="30" s="1"/>
  <c r="I18" i="30" s="1"/>
  <c r="F18" i="31" s="1"/>
  <c r="G18" i="31" s="1"/>
  <c r="I18" i="31" s="1"/>
  <c r="F8" i="14"/>
  <c r="G8" i="14" s="1"/>
  <c r="I8" i="14" s="1"/>
  <c r="F8" i="15" s="1"/>
  <c r="G8" i="15" s="1"/>
  <c r="I8" i="15" s="1"/>
  <c r="F8" i="16" s="1"/>
  <c r="G8" i="16" s="1"/>
  <c r="I8" i="16" s="1"/>
  <c r="F8" i="17" s="1"/>
  <c r="G8" i="17" s="1"/>
  <c r="I8" i="17" s="1"/>
  <c r="F8" i="18" s="1"/>
  <c r="G8" i="18" s="1"/>
  <c r="I8" i="18" s="1"/>
  <c r="F6" i="14"/>
  <c r="G6" i="14" s="1"/>
  <c r="I6" i="14" s="1"/>
  <c r="F6" i="15" s="1"/>
  <c r="G6" i="15" s="1"/>
  <c r="I6" i="15" s="1"/>
  <c r="F6" i="16" s="1"/>
  <c r="G6" i="16" s="1"/>
  <c r="I6" i="16" s="1"/>
  <c r="F6" i="17" s="1"/>
  <c r="G6" i="17" s="1"/>
  <c r="I6" i="17" s="1"/>
  <c r="F6" i="18" s="1"/>
  <c r="G6" i="18" s="1"/>
  <c r="I6" i="18" s="1"/>
  <c r="F6" i="19" s="1"/>
  <c r="F7" i="6"/>
  <c r="G25" i="2"/>
  <c r="I5" i="2"/>
  <c r="I25" i="2" s="1"/>
  <c r="D40" i="1"/>
  <c r="H40" i="1"/>
  <c r="F8" i="19" l="1"/>
  <c r="G8" i="19" s="1"/>
  <c r="I8" i="19" s="1"/>
  <c r="F8" i="20" s="1"/>
  <c r="G8" i="20" s="1"/>
  <c r="I8" i="20" s="1"/>
  <c r="F8" i="21" s="1"/>
  <c r="G8" i="21" s="1"/>
  <c r="I8" i="21" s="1"/>
  <c r="F8" i="22" s="1"/>
  <c r="G8" i="22" s="1"/>
  <c r="I8" i="22" s="1"/>
  <c r="F8" i="23" s="1"/>
  <c r="G8" i="23" s="1"/>
  <c r="I8" i="23" s="1"/>
  <c r="G6" i="19"/>
  <c r="I6" i="19" s="1"/>
  <c r="F6" i="20" s="1"/>
  <c r="G7" i="6"/>
  <c r="I7" i="6" s="1"/>
  <c r="G25" i="3"/>
  <c r="G5" i="3"/>
  <c r="I5" i="3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5" i="1"/>
  <c r="F8" i="24" l="1"/>
  <c r="G8" i="24" s="1"/>
  <c r="I8" i="24" s="1"/>
  <c r="F8" i="25" s="1"/>
  <c r="G8" i="25" s="1"/>
  <c r="I8" i="25" s="1"/>
  <c r="F8" i="26" s="1"/>
  <c r="G8" i="26" s="1"/>
  <c r="I8" i="26" s="1"/>
  <c r="F8" i="27" s="1"/>
  <c r="G8" i="27" s="1"/>
  <c r="I8" i="27" s="1"/>
  <c r="F8" i="28" s="1"/>
  <c r="G8" i="28" s="1"/>
  <c r="I8" i="28" s="1"/>
  <c r="F8" i="29" s="1"/>
  <c r="G8" i="29" s="1"/>
  <c r="I8" i="29" s="1"/>
  <c r="F8" i="30" s="1"/>
  <c r="G8" i="30" s="1"/>
  <c r="I8" i="30" s="1"/>
  <c r="F8" i="31" s="1"/>
  <c r="G6" i="20"/>
  <c r="I6" i="20" s="1"/>
  <c r="F6" i="21" s="1"/>
  <c r="G6" i="21" s="1"/>
  <c r="I6" i="21" s="1"/>
  <c r="F6" i="22" s="1"/>
  <c r="G6" i="22" s="1"/>
  <c r="I6" i="22" s="1"/>
  <c r="F6" i="23" s="1"/>
  <c r="G6" i="23" s="1"/>
  <c r="I6" i="23" s="1"/>
  <c r="F6" i="24" s="1"/>
  <c r="G6" i="24" s="1"/>
  <c r="I6" i="24" s="1"/>
  <c r="F6" i="25" s="1"/>
  <c r="G6" i="25" s="1"/>
  <c r="I6" i="25" s="1"/>
  <c r="I25" i="3"/>
  <c r="F25" i="4" s="1"/>
  <c r="G25" i="4" s="1"/>
  <c r="F5" i="4"/>
  <c r="G5" i="4" s="1"/>
  <c r="I5" i="4" s="1"/>
  <c r="F7" i="7"/>
  <c r="C2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5" i="1"/>
  <c r="H8" i="1"/>
  <c r="H22" i="1"/>
  <c r="F24" i="1"/>
  <c r="H24" i="1" s="1"/>
  <c r="G25" i="1"/>
  <c r="G29" i="1" s="1"/>
  <c r="E25" i="1"/>
  <c r="D25" i="1"/>
  <c r="C29" i="1" s="1"/>
  <c r="G8" i="31" l="1"/>
  <c r="I8" i="31" s="1"/>
  <c r="F5" i="5"/>
  <c r="G5" i="5" s="1"/>
  <c r="I5" i="5" s="1"/>
  <c r="I25" i="4"/>
  <c r="F25" i="5" s="1"/>
  <c r="G25" i="5" s="1"/>
  <c r="G7" i="7"/>
  <c r="I7" i="7" s="1"/>
  <c r="C32" i="1"/>
  <c r="D33" i="1"/>
  <c r="F25" i="1"/>
  <c r="H25" i="1"/>
  <c r="C40" i="1" l="1"/>
  <c r="E40" i="1" s="1"/>
  <c r="C30" i="2" s="1"/>
  <c r="C42" i="2" s="1"/>
  <c r="E42" i="2" s="1"/>
  <c r="F5" i="6"/>
  <c r="I25" i="5"/>
  <c r="I26" i="5" s="1"/>
  <c r="F7" i="8"/>
  <c r="H33" i="1"/>
  <c r="G40" i="1" s="1"/>
  <c r="I40" i="1" s="1"/>
  <c r="G30" i="2" s="1"/>
  <c r="G42" i="2" s="1"/>
  <c r="I42" i="2" s="1"/>
  <c r="G30" i="3" s="1"/>
  <c r="G42" i="3" s="1"/>
  <c r="I42" i="3" s="1"/>
  <c r="G30" i="4" l="1"/>
  <c r="G42" i="4" s="1"/>
  <c r="I42" i="4" s="1"/>
  <c r="G30" i="5" s="1"/>
  <c r="G42" i="5" s="1"/>
  <c r="I42" i="5" s="1"/>
  <c r="G5" i="6"/>
  <c r="I5" i="6" s="1"/>
  <c r="F25" i="6"/>
  <c r="G25" i="6" s="1"/>
  <c r="C30" i="3"/>
  <c r="C42" i="3" s="1"/>
  <c r="E42" i="3" s="1"/>
  <c r="J45" i="3" s="1"/>
  <c r="I45" i="2"/>
  <c r="G7" i="8"/>
  <c r="I7" i="8" s="1"/>
  <c r="G30" i="6"/>
  <c r="G42" i="6" s="1"/>
  <c r="F5" i="7" l="1"/>
  <c r="I25" i="6"/>
  <c r="I26" i="6" s="1"/>
  <c r="C30" i="4"/>
  <c r="C42" i="4" s="1"/>
  <c r="E42" i="4" s="1"/>
  <c r="C30" i="5" s="1"/>
  <c r="C42" i="5" s="1"/>
  <c r="E42" i="5" s="1"/>
  <c r="C30" i="6" s="1"/>
  <c r="C42" i="6" s="1"/>
  <c r="E42" i="6" s="1"/>
  <c r="C30" i="7" s="1"/>
  <c r="C42" i="7" s="1"/>
  <c r="E42" i="7" s="1"/>
  <c r="C30" i="8" s="1"/>
  <c r="C42" i="8" s="1"/>
  <c r="E42" i="8" s="1"/>
  <c r="C30" i="9" s="1"/>
  <c r="C42" i="9" s="1"/>
  <c r="E42" i="9" s="1"/>
  <c r="C30" i="10" s="1"/>
  <c r="C42" i="10" s="1"/>
  <c r="E42" i="10" s="1"/>
  <c r="C30" i="11" s="1"/>
  <c r="C42" i="11" s="1"/>
  <c r="F7" i="9"/>
  <c r="I42" i="6"/>
  <c r="G30" i="7" s="1"/>
  <c r="G42" i="7" s="1"/>
  <c r="I42" i="7" s="1"/>
  <c r="G30" i="8" s="1"/>
  <c r="G42" i="8" s="1"/>
  <c r="I42" i="8" s="1"/>
  <c r="G30" i="9" s="1"/>
  <c r="G42" i="9" s="1"/>
  <c r="I42" i="9" s="1"/>
  <c r="G30" i="10" s="1"/>
  <c r="G42" i="10" s="1"/>
  <c r="I42" i="10" s="1"/>
  <c r="G30" i="11" s="1"/>
  <c r="G5" i="7" l="1"/>
  <c r="I5" i="7" s="1"/>
  <c r="F25" i="7"/>
  <c r="G25" i="7" s="1"/>
  <c r="G7" i="9"/>
  <c r="I7" i="9" s="1"/>
  <c r="F5" i="8" l="1"/>
  <c r="I25" i="7"/>
  <c r="I26" i="7" s="1"/>
  <c r="F7" i="10"/>
  <c r="G5" i="8" l="1"/>
  <c r="I5" i="8" s="1"/>
  <c r="F25" i="8"/>
  <c r="G25" i="8" s="1"/>
  <c r="G7" i="10"/>
  <c r="I7" i="10" s="1"/>
  <c r="F5" i="9" l="1"/>
  <c r="I25" i="8"/>
  <c r="I26" i="8" s="1"/>
  <c r="F7" i="11"/>
  <c r="G5" i="9" l="1"/>
  <c r="I5" i="9" s="1"/>
  <c r="F25" i="9"/>
  <c r="G25" i="9" s="1"/>
  <c r="G7" i="11"/>
  <c r="F5" i="10" l="1"/>
  <c r="I25" i="9"/>
  <c r="I26" i="9" s="1"/>
  <c r="I7" i="11"/>
  <c r="D42" i="11"/>
  <c r="E42" i="11" s="1"/>
  <c r="C30" i="12" s="1"/>
  <c r="C42" i="12" s="1"/>
  <c r="E42" i="12" s="1"/>
  <c r="C30" i="13" s="1"/>
  <c r="G5" i="10" l="1"/>
  <c r="I5" i="10" s="1"/>
  <c r="F25" i="10"/>
  <c r="G25" i="10" s="1"/>
  <c r="C42" i="13"/>
  <c r="E42" i="13" s="1"/>
  <c r="I25" i="10" l="1"/>
  <c r="I26" i="10" s="1"/>
  <c r="F5" i="11"/>
  <c r="C30" i="14"/>
  <c r="C43" i="14" s="1"/>
  <c r="E43" i="14" s="1"/>
  <c r="C30" i="15" s="1"/>
  <c r="C42" i="15" s="1"/>
  <c r="E42" i="15" s="1"/>
  <c r="C30" i="16" s="1"/>
  <c r="C42" i="16" s="1"/>
  <c r="E42" i="16" s="1"/>
  <c r="G7" i="12"/>
  <c r="I7" i="12" s="1"/>
  <c r="G5" i="11" l="1"/>
  <c r="I5" i="11" s="1"/>
  <c r="F25" i="11"/>
  <c r="G25" i="11" s="1"/>
  <c r="C30" i="17"/>
  <c r="C42" i="17" s="1"/>
  <c r="F7" i="13"/>
  <c r="C43" i="17" l="1"/>
  <c r="E42" i="17"/>
  <c r="C30" i="18" s="1"/>
  <c r="C42" i="18" s="1"/>
  <c r="E42" i="18" s="1"/>
  <c r="C30" i="19" s="1"/>
  <c r="F5" i="12"/>
  <c r="I25" i="11"/>
  <c r="G7" i="13"/>
  <c r="I7" i="13" s="1"/>
  <c r="C42" i="19" l="1"/>
  <c r="E42" i="19" s="1"/>
  <c r="C30" i="20" s="1"/>
  <c r="G42" i="11"/>
  <c r="I42" i="11" s="1"/>
  <c r="G30" i="12" s="1"/>
  <c r="G42" i="12" s="1"/>
  <c r="I42" i="12" s="1"/>
  <c r="G30" i="13" s="1"/>
  <c r="G42" i="13" s="1"/>
  <c r="I42" i="13" s="1"/>
  <c r="I26" i="11"/>
  <c r="G5" i="12"/>
  <c r="I5" i="12" s="1"/>
  <c r="F25" i="12"/>
  <c r="G25" i="12" s="1"/>
  <c r="F7" i="14"/>
  <c r="C42" i="20" l="1"/>
  <c r="E42" i="20" s="1"/>
  <c r="C30" i="21" s="1"/>
  <c r="C42" i="21" s="1"/>
  <c r="E42" i="21" s="1"/>
  <c r="C30" i="22" s="1"/>
  <c r="C42" i="22" s="1"/>
  <c r="E42" i="22" s="1"/>
  <c r="C30" i="23" s="1"/>
  <c r="C42" i="23" s="1"/>
  <c r="E42" i="23" s="1"/>
  <c r="C30" i="24" s="1"/>
  <c r="F5" i="13"/>
  <c r="I25" i="12"/>
  <c r="I26" i="12" s="1"/>
  <c r="I46" i="13"/>
  <c r="G30" i="14"/>
  <c r="G43" i="14" s="1"/>
  <c r="I43" i="14" s="1"/>
  <c r="G30" i="15" s="1"/>
  <c r="G42" i="15" s="1"/>
  <c r="I42" i="15" s="1"/>
  <c r="G30" i="16" s="1"/>
  <c r="G42" i="16" s="1"/>
  <c r="I42" i="16" s="1"/>
  <c r="G30" i="17" s="1"/>
  <c r="G42" i="17" s="1"/>
  <c r="I42" i="17" s="1"/>
  <c r="G30" i="18" s="1"/>
  <c r="G42" i="18" s="1"/>
  <c r="I42" i="18" s="1"/>
  <c r="G30" i="19" s="1"/>
  <c r="G7" i="14"/>
  <c r="I7" i="14" s="1"/>
  <c r="C42" i="24" l="1"/>
  <c r="E42" i="24" s="1"/>
  <c r="C30" i="25" s="1"/>
  <c r="C42" i="25" s="1"/>
  <c r="E42" i="25" s="1"/>
  <c r="C30" i="26" s="1"/>
  <c r="C42" i="26" s="1"/>
  <c r="E42" i="26" s="1"/>
  <c r="C30" i="27" s="1"/>
  <c r="C42" i="27" s="1"/>
  <c r="E42" i="27" s="1"/>
  <c r="C30" i="28" s="1"/>
  <c r="C42" i="28" s="1"/>
  <c r="E42" i="28" s="1"/>
  <c r="C30" i="29" s="1"/>
  <c r="C42" i="29" s="1"/>
  <c r="E42" i="29" s="1"/>
  <c r="C30" i="30" s="1"/>
  <c r="C42" i="30" s="1"/>
  <c r="E42" i="30" s="1"/>
  <c r="C30" i="31" s="1"/>
  <c r="C42" i="31" s="1"/>
  <c r="E42" i="31" s="1"/>
  <c r="G5" i="13"/>
  <c r="I5" i="13" s="1"/>
  <c r="F25" i="13"/>
  <c r="G25" i="13" s="1"/>
  <c r="F7" i="15"/>
  <c r="F5" i="14" l="1"/>
  <c r="I25" i="13"/>
  <c r="G7" i="15"/>
  <c r="I7" i="15" s="1"/>
  <c r="G5" i="14" l="1"/>
  <c r="I5" i="14" s="1"/>
  <c r="F25" i="14"/>
  <c r="G25" i="14" s="1"/>
  <c r="F7" i="16"/>
  <c r="F5" i="15" l="1"/>
  <c r="I25" i="14"/>
  <c r="G7" i="16"/>
  <c r="I7" i="16" s="1"/>
  <c r="G5" i="15" l="1"/>
  <c r="I5" i="15" s="1"/>
  <c r="F25" i="15"/>
  <c r="G25" i="15" s="1"/>
  <c r="F7" i="17"/>
  <c r="G7" i="17" s="1"/>
  <c r="I7" i="17" s="1"/>
  <c r="F7" i="18" l="1"/>
  <c r="G7" i="18" s="1"/>
  <c r="I7" i="18" s="1"/>
  <c r="F5" i="16"/>
  <c r="I25" i="15"/>
  <c r="F7" i="19" l="1"/>
  <c r="G7" i="19" s="1"/>
  <c r="I7" i="19" s="1"/>
  <c r="F7" i="20" s="1"/>
  <c r="G7" i="20" s="1"/>
  <c r="I7" i="20" s="1"/>
  <c r="F7" i="21" s="1"/>
  <c r="G7" i="21" s="1"/>
  <c r="I7" i="21" s="1"/>
  <c r="F7" i="22" s="1"/>
  <c r="G7" i="22" s="1"/>
  <c r="I7" i="22" s="1"/>
  <c r="F7" i="23" s="1"/>
  <c r="G7" i="23" s="1"/>
  <c r="I7" i="23" s="1"/>
  <c r="F7" i="24" s="1"/>
  <c r="G7" i="24" s="1"/>
  <c r="I7" i="24" s="1"/>
  <c r="F7" i="25" s="1"/>
  <c r="G7" i="25" s="1"/>
  <c r="I7" i="25" s="1"/>
  <c r="F7" i="26" s="1"/>
  <c r="G7" i="26" s="1"/>
  <c r="I7" i="26" s="1"/>
  <c r="F7" i="27" s="1"/>
  <c r="G7" i="27" s="1"/>
  <c r="I7" i="27" s="1"/>
  <c r="F7" i="28" s="1"/>
  <c r="G7" i="28" s="1"/>
  <c r="I7" i="28" s="1"/>
  <c r="F7" i="29" s="1"/>
  <c r="G7" i="29" s="1"/>
  <c r="I7" i="29" s="1"/>
  <c r="F7" i="30" s="1"/>
  <c r="G7" i="30" s="1"/>
  <c r="I7" i="30" s="1"/>
  <c r="F7" i="31" s="1"/>
  <c r="G7" i="31" s="1"/>
  <c r="I7" i="31" s="1"/>
  <c r="G5" i="16"/>
  <c r="I5" i="16" s="1"/>
  <c r="F25" i="16"/>
  <c r="G25" i="16" s="1"/>
  <c r="F5" i="17" l="1"/>
  <c r="G5" i="17" s="1"/>
  <c r="I5" i="17" s="1"/>
  <c r="I25" i="16"/>
  <c r="F25" i="17" s="1"/>
  <c r="G25" i="17" s="1"/>
  <c r="F5" i="18" l="1"/>
  <c r="G5" i="18" s="1"/>
  <c r="I5" i="18" s="1"/>
  <c r="F5" i="19" s="1"/>
  <c r="F25" i="19" s="1"/>
  <c r="I25" i="17"/>
  <c r="F25" i="18" s="1"/>
  <c r="G25" i="18" s="1"/>
  <c r="I25" i="18" l="1"/>
  <c r="I26" i="18" s="1"/>
  <c r="G25" i="19" l="1"/>
  <c r="G5" i="19"/>
  <c r="I5" i="19" s="1"/>
  <c r="I25" i="19" l="1"/>
  <c r="G42" i="19" s="1"/>
  <c r="I42" i="19" s="1"/>
  <c r="G30" i="20" s="1"/>
  <c r="G42" i="20" s="1"/>
  <c r="I42" i="20" s="1"/>
  <c r="G30" i="21" s="1"/>
  <c r="G42" i="21" s="1"/>
  <c r="I42" i="21" s="1"/>
  <c r="G30" i="22" s="1"/>
  <c r="G42" i="22" s="1"/>
  <c r="I42" i="22" s="1"/>
  <c r="G30" i="23" s="1"/>
  <c r="G42" i="23" s="1"/>
  <c r="I42" i="23" s="1"/>
  <c r="G30" i="24" s="1"/>
  <c r="G42" i="24" s="1"/>
  <c r="I42" i="24" s="1"/>
  <c r="G30" i="25" s="1"/>
  <c r="G42" i="25" s="1"/>
  <c r="I42" i="25" s="1"/>
  <c r="G30" i="26" s="1"/>
  <c r="G42" i="26" s="1"/>
  <c r="I42" i="26" s="1"/>
  <c r="G30" i="27" s="1"/>
  <c r="G42" i="27" s="1"/>
  <c r="I42" i="27" s="1"/>
  <c r="G30" i="28" s="1"/>
  <c r="G42" i="28" s="1"/>
  <c r="I42" i="28" s="1"/>
  <c r="G30" i="29" s="1"/>
  <c r="G42" i="29" s="1"/>
  <c r="I42" i="29" s="1"/>
  <c r="G30" i="30" s="1"/>
  <c r="G42" i="30" s="1"/>
  <c r="I42" i="30" s="1"/>
  <c r="G30" i="31" s="1"/>
  <c r="G42" i="31" s="1"/>
  <c r="I42" i="31" s="1"/>
  <c r="F5" i="20"/>
  <c r="G5" i="20" l="1"/>
  <c r="I5" i="20" s="1"/>
  <c r="F25" i="20"/>
  <c r="G25" i="20" s="1"/>
  <c r="I25" i="20" l="1"/>
  <c r="F5" i="21"/>
  <c r="G5" i="21" l="1"/>
  <c r="I5" i="21" s="1"/>
  <c r="F25" i="21"/>
  <c r="G25" i="21" s="1"/>
  <c r="F5" i="22" l="1"/>
  <c r="I25" i="21"/>
  <c r="G5" i="22" l="1"/>
  <c r="I5" i="22" s="1"/>
  <c r="F25" i="22"/>
  <c r="G25" i="22" s="1"/>
  <c r="F5" i="23" l="1"/>
  <c r="G5" i="23" s="1"/>
  <c r="I5" i="23" s="1"/>
  <c r="I25" i="22"/>
  <c r="F25" i="23" l="1"/>
  <c r="G25" i="23" s="1"/>
  <c r="I26" i="22"/>
  <c r="F5" i="24"/>
  <c r="I25" i="23"/>
  <c r="G5" i="24" l="1"/>
  <c r="I5" i="24" s="1"/>
  <c r="F25" i="24"/>
  <c r="G25" i="24" s="1"/>
  <c r="F5" i="25" l="1"/>
  <c r="G5" i="25" s="1"/>
  <c r="I5" i="25" s="1"/>
  <c r="I25" i="24"/>
  <c r="F25" i="25" s="1"/>
  <c r="G25" i="25" s="1"/>
  <c r="F5" i="26" l="1"/>
  <c r="I25" i="25"/>
  <c r="G5" i="26" l="1"/>
  <c r="I5" i="26" s="1"/>
  <c r="F25" i="26"/>
  <c r="G25" i="26" s="1"/>
  <c r="F5" i="27" l="1"/>
  <c r="I25" i="26"/>
  <c r="F25" i="27" l="1"/>
  <c r="G25" i="27" s="1"/>
  <c r="G5" i="27"/>
  <c r="I5" i="27" s="1"/>
  <c r="F5" i="28" l="1"/>
  <c r="I25" i="27"/>
  <c r="F25" i="28" l="1"/>
  <c r="G25" i="28" s="1"/>
  <c r="G5" i="28"/>
  <c r="I5" i="28" s="1"/>
  <c r="F5" i="29" l="1"/>
  <c r="G5" i="29" s="1"/>
  <c r="I5" i="29" s="1"/>
  <c r="I25" i="28"/>
  <c r="F25" i="29" l="1"/>
  <c r="G25" i="29" s="1"/>
  <c r="F25" i="30"/>
  <c r="G25" i="30" s="1"/>
  <c r="I25" i="29"/>
  <c r="F5" i="30"/>
  <c r="G5" i="30" s="1"/>
  <c r="I5" i="30" s="1"/>
  <c r="I25" i="30" l="1"/>
  <c r="F5" i="31"/>
  <c r="G5" i="31" l="1"/>
  <c r="I5" i="31" s="1"/>
  <c r="I25" i="31" s="1"/>
  <c r="F25" i="31"/>
  <c r="G25" i="31" s="1"/>
</calcChain>
</file>

<file path=xl/sharedStrings.xml><?xml version="1.0" encoding="utf-8"?>
<sst xmlns="http://schemas.openxmlformats.org/spreadsheetml/2006/main" count="2109" uniqueCount="199">
  <si>
    <t>RENT STATEMENT</t>
  </si>
  <si>
    <t>FOR THE MONTH OF JUNE 2019</t>
  </si>
  <si>
    <t>NO.</t>
  </si>
  <si>
    <t>NAME</t>
  </si>
  <si>
    <t>RENT</t>
  </si>
  <si>
    <t>B/F</t>
  </si>
  <si>
    <t>TOTAL DUE</t>
  </si>
  <si>
    <t xml:space="preserve">PAID </t>
  </si>
  <si>
    <t>BALANCE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</si>
  <si>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</si>
  <si>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</si>
  <si>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</si>
  <si>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</si>
  <si>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</si>
  <si>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</si>
  <si>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</si>
  <si>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JUNE</t>
  </si>
  <si>
    <t xml:space="preserve">JUNE </t>
  </si>
  <si>
    <t>BF</t>
  </si>
  <si>
    <t>COMMISION</t>
  </si>
  <si>
    <t>PAYMENTS</t>
  </si>
  <si>
    <t>Prepared BY</t>
  </si>
  <si>
    <t>Approved By</t>
  </si>
  <si>
    <t>Received By</t>
  </si>
  <si>
    <t>RUTH</t>
  </si>
  <si>
    <t>GRACE</t>
  </si>
  <si>
    <t>PATRICK GITHU</t>
  </si>
  <si>
    <t xml:space="preserve">GEORGE OCHIENG </t>
  </si>
  <si>
    <t>SAMUEL PASI</t>
  </si>
  <si>
    <t>BRAVIN LYAMBIRE</t>
  </si>
  <si>
    <t>SAMUEL CHARO</t>
  </si>
  <si>
    <t>JOHN OKOTH</t>
  </si>
  <si>
    <t>ONESMUS KIOKO</t>
  </si>
  <si>
    <t>SAMUEL LUMUMBA</t>
  </si>
  <si>
    <t>AMOS KASEMBILI</t>
  </si>
  <si>
    <t>DENIS ONYANGO</t>
  </si>
  <si>
    <t>KELVIN MACHARIA</t>
  </si>
  <si>
    <t xml:space="preserve">GODFREY NJOROGE </t>
  </si>
  <si>
    <t xml:space="preserve">KELVIN KWENA </t>
  </si>
  <si>
    <t>SAFARI NGUU</t>
  </si>
  <si>
    <t>GEORGE MWAURA</t>
  </si>
  <si>
    <t>SAMUEL MUINDI</t>
  </si>
  <si>
    <t xml:space="preserve">DENIS ADAMBWA </t>
  </si>
  <si>
    <t>ALBERT KHISA</t>
  </si>
  <si>
    <t>DAVID MAUCHA</t>
  </si>
  <si>
    <t>GARBAGE</t>
  </si>
  <si>
    <t>PATRICK</t>
  </si>
  <si>
    <t>PAID ON 12/6/19</t>
  </si>
  <si>
    <t>PAID ON 17/6/19</t>
  </si>
  <si>
    <t>FOR THE MONTH OF JULY 2019</t>
  </si>
  <si>
    <t>JULY</t>
  </si>
  <si>
    <t>ISACK ODHIAMBO</t>
  </si>
  <si>
    <t xml:space="preserve">LETTING FEE </t>
  </si>
  <si>
    <t>DEPOSIT</t>
  </si>
  <si>
    <t>ARREARS PAID</t>
  </si>
  <si>
    <t>WATER</t>
  </si>
  <si>
    <t>ARREARS</t>
  </si>
  <si>
    <t>PAID ON 10/7/19</t>
  </si>
  <si>
    <t>AUG</t>
  </si>
  <si>
    <t>paid on 13/8</t>
  </si>
  <si>
    <t xml:space="preserve"> </t>
  </si>
  <si>
    <t>FLORENCE</t>
  </si>
  <si>
    <t>FOR THE MONTH OFAUGUST 2019</t>
  </si>
  <si>
    <t>FOR THE MONTH OF SEPT 2019</t>
  </si>
  <si>
    <t>SEPT</t>
  </si>
  <si>
    <t>PAID ON 11/9</t>
  </si>
  <si>
    <t>OCT</t>
  </si>
  <si>
    <t>FOR THE MONTH OF OCTOBER 2019</t>
  </si>
  <si>
    <t>WELDING DOOR LUMUMBA</t>
  </si>
  <si>
    <t>JOAN OKOTH</t>
  </si>
  <si>
    <t>NOVEMBER</t>
  </si>
  <si>
    <t>FOR THE MONTH OF NOVEMBER  2019</t>
  </si>
  <si>
    <t>SAMUL LUMUMBA</t>
  </si>
  <si>
    <t>FRANCIS LOVOGA</t>
  </si>
  <si>
    <t>PAID ON 13/11</t>
  </si>
  <si>
    <t>DECEMBER</t>
  </si>
  <si>
    <t>FOR THE MONTH OF DECEMBER  2019</t>
  </si>
  <si>
    <t>ELIVIS MUNYAO</t>
  </si>
  <si>
    <t>PAID ON 11/12</t>
  </si>
  <si>
    <t>LETTING FEE</t>
  </si>
  <si>
    <t>FOR THE MONTH OF JANUARY  2020</t>
  </si>
  <si>
    <t>JANUARY</t>
  </si>
  <si>
    <t>PAID ON 17/1</t>
  </si>
  <si>
    <t>FEBRUARY</t>
  </si>
  <si>
    <t>FOR THE MONTH OF FEBRUARY  2020</t>
  </si>
  <si>
    <t>PAID ON 13/2</t>
  </si>
  <si>
    <t>MARCH</t>
  </si>
  <si>
    <t>FOR THE MONTH OF MARCH  2020</t>
  </si>
  <si>
    <t>PAID ON 11/3</t>
  </si>
  <si>
    <t>APRIL</t>
  </si>
  <si>
    <t>FOR THE MOTH OF APRIL 2020</t>
  </si>
  <si>
    <t>VACCATED</t>
  </si>
  <si>
    <t>JOAN 6</t>
  </si>
  <si>
    <t>VACCTED</t>
  </si>
  <si>
    <t>VACCANT</t>
  </si>
  <si>
    <t>PAID ON 16/4</t>
  </si>
  <si>
    <t>LL</t>
  </si>
  <si>
    <t>ALBERT KISHA</t>
  </si>
  <si>
    <t>MAY</t>
  </si>
  <si>
    <t>FOR THE MOTH OF MAY  2020</t>
  </si>
  <si>
    <t>BRAVIN</t>
  </si>
  <si>
    <t>MERCLINE OGOLLA</t>
  </si>
  <si>
    <t>AWAY</t>
  </si>
  <si>
    <t>AT HOME</t>
  </si>
  <si>
    <t xml:space="preserve">TO CLEAR TOGETHER WITH MAY </t>
  </si>
  <si>
    <t>DENNIS 10</t>
  </si>
  <si>
    <t>ON DEPOSIT</t>
  </si>
  <si>
    <t>PAID ON 14/5</t>
  </si>
  <si>
    <t>PAID ON 21/5</t>
  </si>
  <si>
    <t>FOR THE MONTH OF JUNE 2020</t>
  </si>
  <si>
    <t>VINCENT MUTUKU</t>
  </si>
  <si>
    <t>NAOMI ODHIAMBO</t>
  </si>
  <si>
    <t>PAID ON 13/6</t>
  </si>
  <si>
    <t>paid on 19/6</t>
  </si>
  <si>
    <t>FOR THE MONTH OF JULY 2020</t>
  </si>
  <si>
    <t>KEVIN ONGAKI</t>
  </si>
  <si>
    <t>ERICK OCHIENG</t>
  </si>
  <si>
    <t>PAID ON 1/7</t>
  </si>
  <si>
    <t>PAID ON 16/7</t>
  </si>
  <si>
    <t>PAID ON 18/7</t>
  </si>
  <si>
    <t>FOR THE MONTH OF AUGUST 2020</t>
  </si>
  <si>
    <t>AUGUST</t>
  </si>
  <si>
    <t>DAVID NAMWEA</t>
  </si>
  <si>
    <t>DAVID NAMWEA PAID LL</t>
  </si>
  <si>
    <t>PETER KAMONDE</t>
  </si>
  <si>
    <t>E</t>
  </si>
  <si>
    <t>PAID ON 15/8</t>
  </si>
  <si>
    <t>FOR THE MONTH OF SEPTEMBER 2020</t>
  </si>
  <si>
    <t>SEPTEMBER</t>
  </si>
  <si>
    <t>BEATRICE ORENGE</t>
  </si>
  <si>
    <t>DEPOSIT NO.18&amp;5</t>
  </si>
  <si>
    <t>PAID ON 17/9</t>
  </si>
  <si>
    <t>FOR THE MONTH OF OCTOBER 2020</t>
  </si>
  <si>
    <t>OCTOBER</t>
  </si>
  <si>
    <t>0CTOBER</t>
  </si>
  <si>
    <t>PAID  ON 14/10</t>
  </si>
  <si>
    <t>SAMUEL CHARO VACCATED</t>
  </si>
  <si>
    <t>ELVIS EVICTED</t>
  </si>
  <si>
    <t>EVICTED</t>
  </si>
  <si>
    <t>FOR THE MONTH OF NOVEMBER 2020</t>
  </si>
  <si>
    <t>PAID ON 28/10</t>
  </si>
  <si>
    <t xml:space="preserve">DAVID </t>
  </si>
  <si>
    <t>PAID ON 12/11</t>
  </si>
  <si>
    <t>FOR THE MONTH OF DECEMBER 2020</t>
  </si>
  <si>
    <t>PETER ON DEPOSIT</t>
  </si>
  <si>
    <t>CARREN NDUNDE</t>
  </si>
  <si>
    <t>FOR THE MONTH OF JANUARY 2021</t>
  </si>
  <si>
    <t>CARREN PAID LL</t>
  </si>
  <si>
    <t>WINFRED MATILDA</t>
  </si>
  <si>
    <t>PAID ON 13/1</t>
  </si>
  <si>
    <t>FOR THE MONTH OF FEBRUARY 2021</t>
  </si>
  <si>
    <t>MARGARET KARUE</t>
  </si>
  <si>
    <t>PAID ON 11/2</t>
  </si>
  <si>
    <t>KEVIN NO 11DEP REFUND</t>
  </si>
  <si>
    <t>FOR THE MONTH OF MARCH 2021</t>
  </si>
  <si>
    <t>PAID ON 10/3</t>
  </si>
  <si>
    <t>MARGARET NO.6 VACCATED</t>
  </si>
  <si>
    <t>FOR THE MONTH OF APRIL 2021</t>
  </si>
  <si>
    <t>DENNIS 17 ON DEP VACCATED</t>
  </si>
  <si>
    <t>FRIDON MACHONI</t>
  </si>
  <si>
    <t>PAID ON 13/4</t>
  </si>
  <si>
    <t>FOR THE MONTH OF MAY 2021</t>
  </si>
  <si>
    <t>WILFRED VACCATED ON DEP</t>
  </si>
  <si>
    <t>ANASTATIA SYOMBUA</t>
  </si>
  <si>
    <t>PAID ON 11/5</t>
  </si>
  <si>
    <t>MARY</t>
  </si>
  <si>
    <t>FOR THE MONTH OF JUNE 2021</t>
  </si>
  <si>
    <t>FRED OTIENO</t>
  </si>
  <si>
    <t>DEPOSIT REFUND ERICK NO 20</t>
  </si>
  <si>
    <t>ERICK</t>
  </si>
  <si>
    <t>PAID ON 14/6</t>
  </si>
  <si>
    <t>PAID ON 15/6</t>
  </si>
  <si>
    <t>DENNIS</t>
  </si>
  <si>
    <t>MARY WANJIRU</t>
  </si>
  <si>
    <t>BRIAN</t>
  </si>
  <si>
    <t>JULT</t>
  </si>
  <si>
    <t>FOR THE MONTH OF JULY 2021</t>
  </si>
  <si>
    <t>SAMUEL VACCATED</t>
  </si>
  <si>
    <t>\</t>
  </si>
  <si>
    <t>PAID ON 12/7</t>
  </si>
  <si>
    <t>SAMWEL KAMAU</t>
  </si>
  <si>
    <t>ELLY ODHIAMBO</t>
  </si>
  <si>
    <t>FOR THE MONTH OF AUGUST 2021</t>
  </si>
  <si>
    <t>PAID ON11/8</t>
  </si>
  <si>
    <t>FOR THE MONTH OF SEPTEMBER 2021</t>
  </si>
  <si>
    <t>SAMUEL EBOLE</t>
  </si>
  <si>
    <t>BRIAN KHAMALI</t>
  </si>
  <si>
    <t>PAID ON 14/9</t>
  </si>
  <si>
    <t>FOR THE MONTH OF OCTOBER 2021</t>
  </si>
  <si>
    <t>BEATRICE VACCATED</t>
  </si>
  <si>
    <t>PAID ON 13/10</t>
  </si>
  <si>
    <t>FOR THE MONTH OF NOVEMBER 2021</t>
  </si>
  <si>
    <t>NOV</t>
  </si>
  <si>
    <t>DANIEL ODHIAMBO</t>
  </si>
  <si>
    <t>DEPOSIT REFUND BEATRICE</t>
  </si>
  <si>
    <t>PAID ON12/11</t>
  </si>
  <si>
    <t>FOR THE MONTH OF DECEMBER 2021</t>
  </si>
  <si>
    <t>peter</t>
  </si>
  <si>
    <t>PAID ON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</si>
</sst>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92D05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4" fontId="8" fillId="0" borderId="1" xfId="0" applyNumberFormat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8" fillId="0" borderId="1" xfId="0" applyFont="1" applyFill="1" applyBorder="1"/>
    <xf numFmtId="14" fontId="6" fillId="0" borderId="1" xfId="0" applyNumberFormat="1" applyFont="1" applyBorder="1"/>
    <xf numFmtId="3" fontId="8" fillId="0" borderId="1" xfId="0" applyNumberFormat="1" applyFont="1" applyBorder="1"/>
    <xf numFmtId="0" fontId="0" fillId="0" borderId="2" xfId="0" applyFill="1" applyBorder="1"/>
    <xf numFmtId="3" fontId="0" fillId="0" borderId="0" xfId="0" applyNumberFormat="1"/>
    <xf numFmtId="0" fontId="1" fillId="0" borderId="0" xfId="0" applyFont="1" applyBorder="1"/>
    <xf numFmtId="9" fontId="0" fillId="0" borderId="1" xfId="0" applyNumberFormat="1" applyBorder="1"/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8" fillId="0" borderId="1" xfId="0" applyNumberFormat="1" applyFont="1" applyBorder="1"/>
    <xf numFmtId="9" fontId="1" fillId="0" borderId="1" xfId="0" applyNumberFormat="1" applyFont="1" applyBorder="1"/>
    <xf numFmtId="0" fontId="8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zoomScaleNormal="100" workbookViewId="0">
      <selection activeCell="C41" sqref="C41"/>
    </sheetView>
  </sheetViews>
  <sheetFormatPr defaultRowHeight="15" x14ac:dyDescent="0.25"/>
  <cols>
    <col min="1" max="1" width="4" customWidth="1"/>
    <col min="2" max="2" width="23.5703125" customWidth="1"/>
    <col min="3" max="3" width="9.85546875" customWidth="1"/>
    <col min="4" max="4" width="8.85546875" customWidth="1"/>
    <col min="5" max="5" width="7.42578125" customWidth="1"/>
    <col min="6" max="6" width="10.5703125" customWidth="1"/>
    <col min="7" max="7" width="11.5703125" customWidth="1"/>
  </cols>
  <sheetData>
    <row r="1" spans="1:10" ht="18.75" x14ac:dyDescent="0.25">
      <c r="D1" s="1" t="s">
        <v>26</v>
      </c>
      <c r="E1" s="2"/>
      <c r="F1" s="3"/>
      <c r="G1" s="4"/>
    </row>
    <row r="2" spans="1:10" ht="18.75" x14ac:dyDescent="0.25">
      <c r="D2" s="1" t="s">
        <v>0</v>
      </c>
      <c r="E2" s="1"/>
      <c r="F2" s="5"/>
      <c r="G2" s="5"/>
    </row>
    <row r="3" spans="1:10" ht="18.75" x14ac:dyDescent="0.25">
      <c r="D3" s="1" t="s">
        <v>1</v>
      </c>
      <c r="E3" s="1"/>
      <c r="F3" s="5"/>
      <c r="G3" s="5"/>
    </row>
    <row r="4" spans="1:10" x14ac:dyDescent="0.25">
      <c r="A4" s="6" t="s">
        <v>2</v>
      </c>
      <c r="B4" s="6" t="s">
        <v>3</v>
      </c>
      <c r="C4" s="6" t="s">
        <v>45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/>
      <c r="J4" s="7"/>
    </row>
    <row r="5" spans="1:10" x14ac:dyDescent="0.25">
      <c r="A5" s="8">
        <v>1</v>
      </c>
      <c r="B5" s="8" t="s">
        <v>27</v>
      </c>
      <c r="C5" s="8">
        <v>100</v>
      </c>
      <c r="D5" s="8">
        <v>3500</v>
      </c>
      <c r="E5" s="8"/>
      <c r="F5" s="8">
        <f>D5+C5+E5</f>
        <v>3600</v>
      </c>
      <c r="G5" s="8">
        <v>3600</v>
      </c>
      <c r="H5" s="8">
        <f>F5-G5</f>
        <v>0</v>
      </c>
      <c r="I5" s="8"/>
    </row>
    <row r="6" spans="1:10" x14ac:dyDescent="0.25">
      <c r="A6" s="8">
        <v>2</v>
      </c>
      <c r="B6" s="8" t="s">
        <v>28</v>
      </c>
      <c r="C6" s="8">
        <v>100</v>
      </c>
      <c r="D6" s="8">
        <v>3500</v>
      </c>
      <c r="E6" s="8">
        <v>2200</v>
      </c>
      <c r="F6" s="8">
        <f t="shared" ref="F6:F23" si="0">D6+C6+E6</f>
        <v>5800</v>
      </c>
      <c r="G6" s="8">
        <v>3600</v>
      </c>
      <c r="H6" s="8">
        <f t="shared" ref="H6:H24" si="1">F6-G6</f>
        <v>2200</v>
      </c>
      <c r="I6" s="8"/>
    </row>
    <row r="7" spans="1:10" x14ac:dyDescent="0.25">
      <c r="A7" s="8">
        <v>3</v>
      </c>
      <c r="B7" s="8" t="s">
        <v>29</v>
      </c>
      <c r="C7" s="8">
        <v>100</v>
      </c>
      <c r="D7" s="8">
        <v>3500</v>
      </c>
      <c r="E7" s="8">
        <v>3600</v>
      </c>
      <c r="F7" s="8">
        <f t="shared" si="0"/>
        <v>7200</v>
      </c>
      <c r="G7" s="8">
        <v>3600</v>
      </c>
      <c r="H7" s="8">
        <f t="shared" si="1"/>
        <v>3600</v>
      </c>
      <c r="I7" s="8"/>
    </row>
    <row r="8" spans="1:10" x14ac:dyDescent="0.25">
      <c r="A8" s="8">
        <v>4</v>
      </c>
      <c r="B8" s="8"/>
      <c r="C8" s="8"/>
      <c r="D8" s="8"/>
      <c r="E8" s="8"/>
      <c r="F8" s="8">
        <f t="shared" si="0"/>
        <v>0</v>
      </c>
      <c r="G8" s="8"/>
      <c r="H8" s="8">
        <f t="shared" si="1"/>
        <v>0</v>
      </c>
      <c r="I8" s="8"/>
    </row>
    <row r="9" spans="1:10" x14ac:dyDescent="0.25">
      <c r="A9" s="8">
        <v>5</v>
      </c>
      <c r="B9" s="8" t="s">
        <v>30</v>
      </c>
      <c r="C9" s="8">
        <v>100</v>
      </c>
      <c r="D9" s="8">
        <v>3500</v>
      </c>
      <c r="E9" s="8">
        <v>3600</v>
      </c>
      <c r="F9" s="8">
        <f t="shared" si="0"/>
        <v>7200</v>
      </c>
      <c r="G9" s="8">
        <v>3600</v>
      </c>
      <c r="H9" s="8">
        <f t="shared" si="1"/>
        <v>3600</v>
      </c>
      <c r="I9" s="8"/>
    </row>
    <row r="10" spans="1:10" x14ac:dyDescent="0.25">
      <c r="A10" s="8">
        <v>6</v>
      </c>
      <c r="B10" s="8" t="s">
        <v>31</v>
      </c>
      <c r="C10" s="8">
        <v>100</v>
      </c>
      <c r="D10" s="8">
        <v>3500</v>
      </c>
      <c r="E10" s="8">
        <v>3600</v>
      </c>
      <c r="F10" s="8">
        <f t="shared" si="0"/>
        <v>7200</v>
      </c>
      <c r="G10" s="8">
        <v>3600</v>
      </c>
      <c r="H10" s="8">
        <f t="shared" si="1"/>
        <v>3600</v>
      </c>
      <c r="I10" s="8"/>
    </row>
    <row r="11" spans="1:10" x14ac:dyDescent="0.25">
      <c r="A11" s="8">
        <v>7</v>
      </c>
      <c r="B11" s="8" t="s">
        <v>32</v>
      </c>
      <c r="C11" s="8">
        <v>100</v>
      </c>
      <c r="D11" s="8">
        <v>3500</v>
      </c>
      <c r="E11" s="8"/>
      <c r="F11" s="8">
        <f t="shared" si="0"/>
        <v>3600</v>
      </c>
      <c r="G11" s="8">
        <v>3600</v>
      </c>
      <c r="H11" s="8">
        <f t="shared" si="1"/>
        <v>0</v>
      </c>
      <c r="I11" s="8"/>
    </row>
    <row r="12" spans="1:10" x14ac:dyDescent="0.25">
      <c r="A12" s="8">
        <v>8</v>
      </c>
      <c r="B12" s="24" t="s">
        <v>40</v>
      </c>
      <c r="C12" s="8">
        <v>100</v>
      </c>
      <c r="D12" s="8">
        <v>3500</v>
      </c>
      <c r="E12" s="8"/>
      <c r="F12" s="8">
        <f t="shared" si="0"/>
        <v>3600</v>
      </c>
      <c r="G12" s="8">
        <v>3600</v>
      </c>
      <c r="H12" s="8">
        <f t="shared" si="1"/>
        <v>0</v>
      </c>
      <c r="I12" s="8"/>
    </row>
    <row r="13" spans="1:10" x14ac:dyDescent="0.25">
      <c r="A13" s="8">
        <v>9</v>
      </c>
      <c r="B13" s="8" t="s">
        <v>34</v>
      </c>
      <c r="C13" s="8">
        <v>100</v>
      </c>
      <c r="D13" s="8">
        <v>3500</v>
      </c>
      <c r="E13" s="8"/>
      <c r="F13" s="8">
        <f t="shared" si="0"/>
        <v>3600</v>
      </c>
      <c r="G13" s="8">
        <v>3600</v>
      </c>
      <c r="H13" s="8">
        <f t="shared" si="1"/>
        <v>0</v>
      </c>
      <c r="I13" s="8"/>
    </row>
    <row r="14" spans="1:10" x14ac:dyDescent="0.25">
      <c r="A14" s="8">
        <v>10</v>
      </c>
      <c r="B14" s="8" t="s">
        <v>35</v>
      </c>
      <c r="C14" s="8">
        <v>100</v>
      </c>
      <c r="D14" s="8">
        <v>3500</v>
      </c>
      <c r="E14" s="8"/>
      <c r="F14" s="8">
        <f t="shared" si="0"/>
        <v>3600</v>
      </c>
      <c r="G14" s="8">
        <v>3600</v>
      </c>
      <c r="H14" s="8">
        <f t="shared" si="1"/>
        <v>0</v>
      </c>
      <c r="I14" s="8"/>
    </row>
    <row r="15" spans="1:10" x14ac:dyDescent="0.25">
      <c r="A15" s="8">
        <v>11</v>
      </c>
      <c r="B15" s="8" t="s">
        <v>36</v>
      </c>
      <c r="C15" s="8">
        <v>100</v>
      </c>
      <c r="D15" s="8">
        <v>3500</v>
      </c>
      <c r="E15" s="8">
        <v>3600</v>
      </c>
      <c r="F15" s="8">
        <f t="shared" si="0"/>
        <v>7200</v>
      </c>
      <c r="G15" s="8">
        <v>3600</v>
      </c>
      <c r="H15" s="8">
        <f t="shared" si="1"/>
        <v>3600</v>
      </c>
      <c r="I15" s="8"/>
    </row>
    <row r="16" spans="1:10" x14ac:dyDescent="0.25">
      <c r="A16" s="8">
        <v>12</v>
      </c>
      <c r="B16" s="8" t="s">
        <v>37</v>
      </c>
      <c r="C16" s="8">
        <v>100</v>
      </c>
      <c r="D16" s="8">
        <v>3500</v>
      </c>
      <c r="E16" s="8"/>
      <c r="F16" s="8">
        <f t="shared" si="0"/>
        <v>3600</v>
      </c>
      <c r="G16" s="8">
        <v>3600</v>
      </c>
      <c r="H16" s="8">
        <f t="shared" si="1"/>
        <v>0</v>
      </c>
      <c r="I16" s="8"/>
    </row>
    <row r="17" spans="1:11" x14ac:dyDescent="0.25">
      <c r="A17" s="8">
        <v>13</v>
      </c>
      <c r="B17" s="8" t="s">
        <v>38</v>
      </c>
      <c r="C17" s="8">
        <v>100</v>
      </c>
      <c r="D17" s="8">
        <v>3500</v>
      </c>
      <c r="E17" s="8"/>
      <c r="F17" s="8">
        <f t="shared" si="0"/>
        <v>3600</v>
      </c>
      <c r="G17" s="8">
        <v>3600</v>
      </c>
      <c r="H17" s="8">
        <f t="shared" si="1"/>
        <v>0</v>
      </c>
      <c r="I17" s="8"/>
    </row>
    <row r="18" spans="1:11" x14ac:dyDescent="0.25">
      <c r="A18" s="8">
        <v>14</v>
      </c>
      <c r="B18" s="8" t="s">
        <v>39</v>
      </c>
      <c r="C18" s="8">
        <v>100</v>
      </c>
      <c r="D18" s="8">
        <v>3500</v>
      </c>
      <c r="E18" s="8"/>
      <c r="F18" s="8">
        <f t="shared" si="0"/>
        <v>3600</v>
      </c>
      <c r="G18" s="8">
        <v>3600</v>
      </c>
      <c r="H18" s="8">
        <f t="shared" si="1"/>
        <v>0</v>
      </c>
      <c r="I18" s="8"/>
    </row>
    <row r="19" spans="1:11" x14ac:dyDescent="0.25">
      <c r="A19" s="8">
        <v>15</v>
      </c>
      <c r="B19" s="8" t="s">
        <v>33</v>
      </c>
      <c r="C19" s="8">
        <v>100</v>
      </c>
      <c r="D19" s="8">
        <v>3500</v>
      </c>
      <c r="E19" s="8">
        <v>8800</v>
      </c>
      <c r="F19" s="8">
        <f t="shared" si="0"/>
        <v>12400</v>
      </c>
      <c r="G19" s="8">
        <v>5000</v>
      </c>
      <c r="H19" s="8">
        <f t="shared" si="1"/>
        <v>7400</v>
      </c>
      <c r="I19" s="8">
        <v>1400</v>
      </c>
    </row>
    <row r="20" spans="1:11" x14ac:dyDescent="0.25">
      <c r="A20" s="8">
        <v>16</v>
      </c>
      <c r="B20" s="8" t="s">
        <v>41</v>
      </c>
      <c r="C20" s="8">
        <v>100</v>
      </c>
      <c r="D20" s="8">
        <v>3500</v>
      </c>
      <c r="E20" s="8">
        <v>3600</v>
      </c>
      <c r="F20" s="8">
        <f t="shared" si="0"/>
        <v>7200</v>
      </c>
      <c r="G20" s="8">
        <v>3600</v>
      </c>
      <c r="H20" s="8">
        <f t="shared" si="1"/>
        <v>3600</v>
      </c>
      <c r="I20" s="8"/>
    </row>
    <row r="21" spans="1:11" x14ac:dyDescent="0.25">
      <c r="A21" s="8">
        <v>17</v>
      </c>
      <c r="B21" s="8" t="s">
        <v>42</v>
      </c>
      <c r="C21" s="8">
        <v>100</v>
      </c>
      <c r="D21" s="8">
        <v>3500</v>
      </c>
      <c r="E21" s="8">
        <v>3600</v>
      </c>
      <c r="F21" s="8">
        <f>D21+C21+E21</f>
        <v>7200</v>
      </c>
      <c r="G21" s="8">
        <v>3600</v>
      </c>
      <c r="H21" s="8">
        <f t="shared" si="1"/>
        <v>3600</v>
      </c>
      <c r="I21" s="8"/>
      <c r="K21">
        <f>G19-D19-C19</f>
        <v>1400</v>
      </c>
    </row>
    <row r="22" spans="1:11" x14ac:dyDescent="0.25">
      <c r="A22" s="8">
        <v>18</v>
      </c>
      <c r="B22" s="8"/>
      <c r="C22" s="8"/>
      <c r="D22" s="8"/>
      <c r="E22" s="8"/>
      <c r="F22" s="8">
        <f t="shared" si="0"/>
        <v>0</v>
      </c>
      <c r="G22" s="8"/>
      <c r="H22" s="8">
        <f t="shared" si="1"/>
        <v>0</v>
      </c>
      <c r="I22" s="8"/>
    </row>
    <row r="23" spans="1:11" x14ac:dyDescent="0.25">
      <c r="A23" s="8">
        <v>19</v>
      </c>
      <c r="B23" s="8" t="s">
        <v>43</v>
      </c>
      <c r="C23" s="8">
        <v>100</v>
      </c>
      <c r="D23" s="8">
        <v>3500</v>
      </c>
      <c r="E23" s="8"/>
      <c r="F23" s="8">
        <f t="shared" si="0"/>
        <v>3600</v>
      </c>
      <c r="G23" s="8">
        <v>3600</v>
      </c>
      <c r="H23" s="8">
        <f t="shared" si="1"/>
        <v>0</v>
      </c>
      <c r="I23" s="8"/>
    </row>
    <row r="24" spans="1:11" x14ac:dyDescent="0.25">
      <c r="A24" s="8">
        <v>20</v>
      </c>
      <c r="B24" s="8" t="s">
        <v>44</v>
      </c>
      <c r="C24" s="8">
        <v>100</v>
      </c>
      <c r="D24" s="8">
        <v>3500</v>
      </c>
      <c r="E24" s="8"/>
      <c r="F24" s="8">
        <f>D24+C24</f>
        <v>3600</v>
      </c>
      <c r="G24" s="8">
        <v>3600</v>
      </c>
      <c r="H24" s="8">
        <f t="shared" si="1"/>
        <v>0</v>
      </c>
      <c r="I24" s="8"/>
      <c r="K24">
        <f>E19-K21</f>
        <v>7400</v>
      </c>
    </row>
    <row r="25" spans="1:11" x14ac:dyDescent="0.25">
      <c r="A25" s="6"/>
      <c r="B25" s="9" t="s">
        <v>9</v>
      </c>
      <c r="C25" s="9">
        <f t="shared" ref="C25:H25" si="2">SUM(C5:C24)</f>
        <v>1800</v>
      </c>
      <c r="D25" s="6">
        <f t="shared" si="2"/>
        <v>63000</v>
      </c>
      <c r="E25" s="6">
        <f t="shared" si="2"/>
        <v>32600</v>
      </c>
      <c r="F25" s="6">
        <f t="shared" si="2"/>
        <v>97400</v>
      </c>
      <c r="G25" s="6">
        <f t="shared" si="2"/>
        <v>66200</v>
      </c>
      <c r="H25" s="6">
        <f t="shared" si="2"/>
        <v>31200</v>
      </c>
      <c r="I25" s="6">
        <f>SUM(I5:I24)</f>
        <v>1400</v>
      </c>
      <c r="J25" s="7"/>
    </row>
    <row r="26" spans="1:11" x14ac:dyDescent="0.25">
      <c r="A26" s="10"/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16</v>
      </c>
      <c r="C29" s="16">
        <f>D25</f>
        <v>63000</v>
      </c>
      <c r="D29" s="17">
        <v>0.1</v>
      </c>
      <c r="E29" s="16"/>
      <c r="F29" s="20" t="s">
        <v>17</v>
      </c>
      <c r="G29" s="16">
        <f>G25</f>
        <v>66200</v>
      </c>
      <c r="H29" s="17">
        <v>0.1</v>
      </c>
      <c r="I29" s="19"/>
    </row>
    <row r="30" spans="1:11" x14ac:dyDescent="0.25">
      <c r="B30" s="19" t="s">
        <v>18</v>
      </c>
      <c r="C30" s="16">
        <v>0</v>
      </c>
      <c r="D30" s="19"/>
      <c r="E30" s="19"/>
      <c r="F30" s="19" t="s">
        <v>18</v>
      </c>
      <c r="G30" s="16">
        <v>0</v>
      </c>
      <c r="H30" s="19"/>
      <c r="I30" s="19"/>
    </row>
    <row r="31" spans="1:11" x14ac:dyDescent="0.25">
      <c r="B31" s="19" t="s">
        <v>56</v>
      </c>
      <c r="C31" s="16">
        <f>I25</f>
        <v>1400</v>
      </c>
      <c r="D31" s="19"/>
      <c r="E31" s="19"/>
      <c r="F31" s="19"/>
      <c r="G31" s="16"/>
      <c r="H31" s="19"/>
      <c r="I31" s="19"/>
    </row>
    <row r="32" spans="1:11" x14ac:dyDescent="0.25">
      <c r="B32" s="19" t="s">
        <v>45</v>
      </c>
      <c r="C32" s="16">
        <f>C25</f>
        <v>1800</v>
      </c>
      <c r="D32" s="19"/>
      <c r="E32" s="19"/>
      <c r="F32" s="19"/>
      <c r="G32" s="19"/>
      <c r="H32" s="16"/>
      <c r="I32" s="19"/>
    </row>
    <row r="33" spans="2:9" x14ac:dyDescent="0.25">
      <c r="B33" s="19" t="s">
        <v>19</v>
      </c>
      <c r="C33" s="20"/>
      <c r="D33" s="19">
        <f>C29*D29</f>
        <v>6300</v>
      </c>
      <c r="E33" s="19"/>
      <c r="F33" s="19"/>
      <c r="G33" s="20"/>
      <c r="H33" s="19">
        <f>D33</f>
        <v>6300</v>
      </c>
      <c r="I33" s="19"/>
    </row>
    <row r="34" spans="2:9" x14ac:dyDescent="0.25">
      <c r="B34" s="21" t="s">
        <v>20</v>
      </c>
      <c r="C34" s="19"/>
      <c r="D34" s="19"/>
      <c r="E34" s="19"/>
      <c r="F34" s="21" t="s">
        <v>20</v>
      </c>
      <c r="G34" s="19"/>
      <c r="H34" s="19"/>
      <c r="I34" s="19"/>
    </row>
    <row r="35" spans="2:9" x14ac:dyDescent="0.25">
      <c r="B35" s="22" t="s">
        <v>47</v>
      </c>
      <c r="C35" s="19"/>
      <c r="D35" s="19">
        <v>56000</v>
      </c>
      <c r="E35" s="19"/>
      <c r="F35" s="22" t="s">
        <v>47</v>
      </c>
      <c r="G35" s="19"/>
      <c r="H35" s="19">
        <v>56000</v>
      </c>
      <c r="I35" s="19"/>
    </row>
    <row r="36" spans="2:9" x14ac:dyDescent="0.25">
      <c r="B36" s="8" t="s">
        <v>48</v>
      </c>
      <c r="C36" s="8"/>
      <c r="D36" s="8">
        <v>2541</v>
      </c>
      <c r="E36" s="8"/>
      <c r="F36" s="8" t="s">
        <v>48</v>
      </c>
      <c r="G36" s="8"/>
      <c r="H36" s="8">
        <v>2541</v>
      </c>
      <c r="I36" s="19"/>
    </row>
    <row r="37" spans="2:9" x14ac:dyDescent="0.25">
      <c r="B37" s="22"/>
      <c r="C37" s="19"/>
      <c r="D37" s="19"/>
      <c r="E37" s="19"/>
      <c r="F37" s="22"/>
      <c r="G37" s="19"/>
      <c r="H37" s="19"/>
      <c r="I37" s="19"/>
    </row>
    <row r="38" spans="2:9" x14ac:dyDescent="0.25">
      <c r="B38" s="22"/>
      <c r="C38" s="19"/>
      <c r="D38" s="19"/>
      <c r="E38" s="19"/>
      <c r="F38" s="22"/>
      <c r="G38" s="19"/>
      <c r="H38" s="19"/>
      <c r="I38" s="19"/>
    </row>
    <row r="39" spans="2:9" x14ac:dyDescent="0.25">
      <c r="B39" s="22"/>
      <c r="C39" s="16"/>
      <c r="D39" s="16"/>
      <c r="E39" s="16"/>
      <c r="F39" s="22"/>
      <c r="G39" s="19"/>
      <c r="H39" s="16"/>
      <c r="I39" s="19"/>
    </row>
    <row r="40" spans="2:9" x14ac:dyDescent="0.25">
      <c r="B40" s="15" t="s">
        <v>9</v>
      </c>
      <c r="C40" s="23">
        <f>C29+C30+C32+C31-D33</f>
        <v>59900</v>
      </c>
      <c r="D40" s="15">
        <f>SUM(D35:D39)</f>
        <v>58541</v>
      </c>
      <c r="E40" s="23">
        <f>C40-D40</f>
        <v>1359</v>
      </c>
      <c r="F40" s="18"/>
      <c r="G40" s="23">
        <f>G29+G30+H32-H33</f>
        <v>59900</v>
      </c>
      <c r="H40" s="23">
        <f>SUM(H35:H39)</f>
        <v>58541</v>
      </c>
      <c r="I40" s="23">
        <f>G40-H40</f>
        <v>1359</v>
      </c>
    </row>
    <row r="43" spans="2:9" x14ac:dyDescent="0.25">
      <c r="B43" s="10" t="s">
        <v>21</v>
      </c>
      <c r="D43" s="10" t="s">
        <v>22</v>
      </c>
      <c r="F43" s="10"/>
      <c r="G43" s="10" t="s">
        <v>23</v>
      </c>
    </row>
    <row r="44" spans="2:9" x14ac:dyDescent="0.25">
      <c r="D44" s="10"/>
      <c r="F44" s="10"/>
      <c r="G44" s="10"/>
    </row>
    <row r="45" spans="2:9" x14ac:dyDescent="0.25">
      <c r="B45" t="s">
        <v>24</v>
      </c>
      <c r="D45" t="s">
        <v>25</v>
      </c>
      <c r="G45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7" workbookViewId="0">
      <selection activeCell="I27" sqref="I27"/>
    </sheetView>
  </sheetViews>
  <sheetFormatPr defaultRowHeight="15" x14ac:dyDescent="0.25"/>
  <cols>
    <col min="2" max="2" width="18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87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'FEBRUARY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'FEBRUARY 20'!I6:I25</f>
        <v>0</v>
      </c>
      <c r="G6" s="8">
        <f t="shared" ref="G6:G24" si="0">C6+D6+E6+F6</f>
        <v>3600</v>
      </c>
      <c r="H6" s="8">
        <f>1490+310</f>
        <v>1800</v>
      </c>
      <c r="I6" s="8">
        <f t="shared" ref="I6:I24" si="1">G6-H6</f>
        <v>1800</v>
      </c>
      <c r="J6" s="8"/>
      <c r="K6" s="8"/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'FEBRUARY 20'!I7:I26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'FEBRUARY 20'!I8:I27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'FEBRUARY 20'!I9:I28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2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'FEBRUARY 20'!I10:I29</f>
        <v>430</v>
      </c>
      <c r="G10" s="8">
        <f t="shared" si="0"/>
        <v>4030</v>
      </c>
      <c r="H10" s="8"/>
      <c r="I10" s="8">
        <f>G10-H10</f>
        <v>4030</v>
      </c>
      <c r="J10" s="8"/>
      <c r="K10" s="8"/>
      <c r="L10" t="s">
        <v>93</v>
      </c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'FEBRUARY 20'!I11:I30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'FEBRUARY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'FEBRUARY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240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'FEBRUARY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240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'FEBRUARY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'FEBRUARY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'FEBRUARY 20'!I17:I36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'FEBRUARY 20'!I18:I37</f>
        <v>600</v>
      </c>
      <c r="G18" s="8">
        <f t="shared" si="0"/>
        <v>4200</v>
      </c>
      <c r="H18" s="8">
        <v>4200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'FEBRUARY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/>
      <c r="D20" s="8"/>
      <c r="E20" s="8">
        <v>3500</v>
      </c>
      <c r="F20" s="8">
        <f>'FEBRUARY 20'!I20:I39</f>
        <v>3700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'FEBRUARY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'FEBRUARY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'FEBRUARY 20'!I23:I42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'FEBRUARY 20'!I24:I43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240</v>
      </c>
    </row>
    <row r="25" spans="1:11" x14ac:dyDescent="0.25">
      <c r="A25" s="6"/>
      <c r="B25" s="9" t="s">
        <v>9</v>
      </c>
      <c r="C25" s="9">
        <f>SUM(C5:C24)</f>
        <v>1800</v>
      </c>
      <c r="D25" s="9">
        <f>SUM(D5:D24)</f>
        <v>0</v>
      </c>
      <c r="E25" s="6">
        <f>SUM(E5:E24)</f>
        <v>66500</v>
      </c>
      <c r="F25" s="8">
        <f>SUM(F5:F24)</f>
        <v>6130</v>
      </c>
      <c r="G25" s="8">
        <f>C25+D25+E25+F25</f>
        <v>74430</v>
      </c>
      <c r="H25" s="6">
        <f>SUM(H5:H24)</f>
        <v>63600</v>
      </c>
      <c r="I25" s="6">
        <f>SUM(I5:I24)</f>
        <v>10830</v>
      </c>
      <c r="J25" s="6">
        <f>SUM(J5:J24)</f>
        <v>0</v>
      </c>
      <c r="K25" s="6">
        <f>SUM(K5:K24)</f>
        <v>1920</v>
      </c>
    </row>
    <row r="26" spans="1:11" x14ac:dyDescent="0.25">
      <c r="A26" s="10"/>
      <c r="I26" s="24">
        <f>I25-I7-I20-I10</f>
        <v>1800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86</v>
      </c>
      <c r="C29" s="16">
        <f>E25</f>
        <v>66500</v>
      </c>
      <c r="D29" s="17">
        <v>0.1</v>
      </c>
      <c r="E29" s="16"/>
      <c r="F29" s="20" t="s">
        <v>86</v>
      </c>
      <c r="G29" s="16">
        <f>H25</f>
        <v>63600</v>
      </c>
      <c r="H29" s="17">
        <v>0.1</v>
      </c>
      <c r="I29" s="19"/>
    </row>
    <row r="30" spans="1:11" x14ac:dyDescent="0.25">
      <c r="B30" s="19" t="s">
        <v>18</v>
      </c>
      <c r="C30" s="16">
        <f>'FEBRUARY 20'!E42</f>
        <v>-151</v>
      </c>
      <c r="D30" s="19"/>
      <c r="E30" s="19"/>
      <c r="F30" s="19" t="s">
        <v>18</v>
      </c>
      <c r="G30" s="16">
        <f>'FEBRUARY 20'!I42</f>
        <v>-1281</v>
      </c>
      <c r="H30" s="19"/>
      <c r="I30" s="19"/>
    </row>
    <row r="31" spans="1:11" x14ac:dyDescent="0.25">
      <c r="B31" s="19" t="s">
        <v>45</v>
      </c>
      <c r="C31" s="16">
        <f>C25</f>
        <v>1800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1920</v>
      </c>
      <c r="D34" s="19"/>
      <c r="E34" s="19"/>
      <c r="F34" s="19" t="s">
        <v>55</v>
      </c>
      <c r="G34" s="16">
        <f>C34</f>
        <v>1920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/>
      <c r="C37" s="19"/>
      <c r="D37" s="19"/>
      <c r="E37" s="19"/>
      <c r="F37" s="22"/>
      <c r="G37" s="19"/>
      <c r="H37" s="19"/>
      <c r="I37" s="19"/>
    </row>
    <row r="38" spans="2:9" x14ac:dyDescent="0.25">
      <c r="B38" s="8" t="s">
        <v>88</v>
      </c>
      <c r="C38" s="27"/>
      <c r="D38" s="8">
        <v>64100</v>
      </c>
      <c r="E38" s="8"/>
      <c r="F38" s="8" t="s">
        <v>88</v>
      </c>
      <c r="G38" s="27"/>
      <c r="H38" s="8">
        <v>64100</v>
      </c>
      <c r="I38" s="19"/>
    </row>
    <row r="39" spans="2:9" x14ac:dyDescent="0.25">
      <c r="B39" s="22" t="s">
        <v>92</v>
      </c>
      <c r="C39" s="19"/>
      <c r="D39" s="19">
        <f>G10</f>
        <v>4030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63419</v>
      </c>
      <c r="D42" s="15">
        <f>SUM(D37:D41)</f>
        <v>68130</v>
      </c>
      <c r="E42" s="23">
        <f>C42-D42</f>
        <v>-4711</v>
      </c>
      <c r="F42" s="18"/>
      <c r="G42" s="23">
        <f>G29+G30+G34+G31+G33-H35</f>
        <v>57589</v>
      </c>
      <c r="H42" s="23">
        <f>SUM(H37:H41)</f>
        <v>64100</v>
      </c>
      <c r="I42" s="23">
        <f>G42-H42</f>
        <v>-6511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G30" sqref="G30"/>
    </sheetView>
  </sheetViews>
  <sheetFormatPr defaultRowHeight="15" x14ac:dyDescent="0.25"/>
  <cols>
    <col min="2" max="2" width="18.140625" customWidth="1"/>
    <col min="11" max="11" width="10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90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'MARCH 20'!I5:I24</f>
        <v>0</v>
      </c>
      <c r="G5" s="8">
        <f>C5+D5+E5+F5</f>
        <v>3600</v>
      </c>
      <c r="H5" s="8">
        <f>3000+600</f>
        <v>3600</v>
      </c>
      <c r="I5" s="8">
        <f>G5-H5</f>
        <v>0</v>
      </c>
      <c r="J5" s="8"/>
      <c r="K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'MARCH 20'!I6:I25</f>
        <v>1800</v>
      </c>
      <c r="G6" s="8">
        <f>C6+D6+E6+F6</f>
        <v>5400</v>
      </c>
      <c r="H6" s="8">
        <f>1800+2000+1000</f>
        <v>4800</v>
      </c>
      <c r="I6" s="8">
        <f t="shared" ref="I6:I24" si="0">G6-H6</f>
        <v>600</v>
      </c>
      <c r="J6" s="8"/>
      <c r="K6" s="8">
        <v>300</v>
      </c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'MARCH 20'!I7:I26</f>
        <v>1400</v>
      </c>
      <c r="G7" s="8">
        <f t="shared" ref="G7:G24" si="1">C7+D7+E7+F7</f>
        <v>5000</v>
      </c>
      <c r="H7" s="8"/>
      <c r="I7" s="8">
        <f t="shared" si="0"/>
        <v>5000</v>
      </c>
      <c r="J7" s="8"/>
      <c r="K7" s="8"/>
      <c r="L7" t="s">
        <v>91</v>
      </c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'MARCH 20'!I8:I27</f>
        <v>0</v>
      </c>
      <c r="G8" s="8">
        <f>C8+D8+E8+F8</f>
        <v>3600</v>
      </c>
      <c r="H8" s="8"/>
      <c r="I8" s="8">
        <f t="shared" si="0"/>
        <v>3600</v>
      </c>
      <c r="J8" s="8"/>
      <c r="K8" s="8">
        <v>480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'MARCH 20'!I9:I28</f>
        <v>0</v>
      </c>
      <c r="G9" s="8">
        <f t="shared" si="1"/>
        <v>3600</v>
      </c>
      <c r="H9" s="8"/>
      <c r="I9" s="8">
        <f t="shared" si="0"/>
        <v>3600</v>
      </c>
      <c r="J9" s="8"/>
      <c r="K9" s="8"/>
      <c r="L9" t="s">
        <v>102</v>
      </c>
    </row>
    <row r="10" spans="1:12" x14ac:dyDescent="0.25">
      <c r="A10" s="8">
        <v>6</v>
      </c>
      <c r="B10" s="8" t="s">
        <v>94</v>
      </c>
      <c r="C10" s="8"/>
      <c r="D10" s="8"/>
      <c r="E10" s="8"/>
      <c r="F10" s="8"/>
      <c r="G10" s="8">
        <f t="shared" si="1"/>
        <v>0</v>
      </c>
      <c r="H10" s="8"/>
      <c r="I10" s="8">
        <f>G10-H10</f>
        <v>0</v>
      </c>
      <c r="J10" s="8"/>
      <c r="K10" s="8"/>
    </row>
    <row r="11" spans="1:12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'MARCH 20'!I11:I30</f>
        <v>0</v>
      </c>
      <c r="G11" s="8">
        <f t="shared" si="1"/>
        <v>3600</v>
      </c>
      <c r="H11" s="28">
        <v>3600</v>
      </c>
      <c r="I11" s="8">
        <f t="shared" si="0"/>
        <v>0</v>
      </c>
      <c r="J11" s="8"/>
      <c r="K11" s="28">
        <v>240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'MARCH 20'!I12:I31</f>
        <v>0</v>
      </c>
      <c r="G12" s="8">
        <f t="shared" si="1"/>
        <v>3600</v>
      </c>
      <c r="H12" s="8">
        <v>3600</v>
      </c>
      <c r="I12" s="8">
        <f>G12-H12</f>
        <v>0</v>
      </c>
      <c r="J12" s="8"/>
      <c r="K12" s="8"/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'MARCH 20'!I13:I32</f>
        <v>0</v>
      </c>
      <c r="G13" s="8">
        <f t="shared" si="1"/>
        <v>3600</v>
      </c>
      <c r="H13" s="8">
        <v>3600</v>
      </c>
      <c r="I13" s="8">
        <f t="shared" si="0"/>
        <v>0</v>
      </c>
      <c r="J13" s="8"/>
      <c r="K13" s="8">
        <v>120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'MARCH 20'!I14:I33</f>
        <v>0</v>
      </c>
      <c r="G14" s="8">
        <f t="shared" si="1"/>
        <v>3600</v>
      </c>
      <c r="H14" s="8"/>
      <c r="I14" s="8">
        <f t="shared" si="0"/>
        <v>3600</v>
      </c>
      <c r="J14" s="8"/>
      <c r="K14" s="8"/>
      <c r="L14" t="s">
        <v>106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'MARCH 20'!I15:I34</f>
        <v>0</v>
      </c>
      <c r="G15" s="8">
        <f t="shared" si="1"/>
        <v>3600</v>
      </c>
      <c r="H15" s="8">
        <v>3600</v>
      </c>
      <c r="I15" s="8">
        <f t="shared" si="0"/>
        <v>0</v>
      </c>
      <c r="J15" s="8"/>
      <c r="K15" s="8">
        <v>120</v>
      </c>
    </row>
    <row r="16" spans="1:12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'MARCH 20'!I16:I35</f>
        <v>0</v>
      </c>
      <c r="G16" s="8">
        <f t="shared" si="1"/>
        <v>3600</v>
      </c>
      <c r="H16" s="8">
        <v>3200</v>
      </c>
      <c r="I16" s="8">
        <f t="shared" si="0"/>
        <v>400</v>
      </c>
      <c r="J16" s="8"/>
      <c r="K16" s="8"/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'MARCH 20'!I17:I36</f>
        <v>0</v>
      </c>
      <c r="G17" s="8">
        <f t="shared" si="1"/>
        <v>3600</v>
      </c>
      <c r="H17" s="8">
        <v>3600</v>
      </c>
      <c r="I17" s="8">
        <f t="shared" si="0"/>
        <v>0</v>
      </c>
      <c r="J17" s="8"/>
      <c r="K17" s="8">
        <v>230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'MARCH 20'!I18:I37</f>
        <v>0</v>
      </c>
      <c r="G18" s="8">
        <f t="shared" si="1"/>
        <v>3600</v>
      </c>
      <c r="H18" s="8">
        <v>1500</v>
      </c>
      <c r="I18" s="8">
        <f t="shared" si="0"/>
        <v>2100</v>
      </c>
      <c r="J18" s="8"/>
      <c r="K18" s="8"/>
      <c r="L18" t="s">
        <v>104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'MARCH 20'!I19:I38</f>
        <v>0</v>
      </c>
      <c r="G19" s="8">
        <f t="shared" si="1"/>
        <v>3600</v>
      </c>
      <c r="H19" s="8">
        <v>3600</v>
      </c>
      <c r="I19" s="8">
        <f t="shared" si="0"/>
        <v>0</v>
      </c>
      <c r="J19" s="8"/>
      <c r="K19" s="8"/>
    </row>
    <row r="20" spans="1:12" x14ac:dyDescent="0.25">
      <c r="A20" s="8">
        <v>16</v>
      </c>
      <c r="B20" s="8" t="s">
        <v>94</v>
      </c>
      <c r="C20" s="8"/>
      <c r="D20" s="8"/>
      <c r="E20" s="8"/>
      <c r="F20" s="8"/>
      <c r="G20" s="8">
        <f t="shared" si="1"/>
        <v>0</v>
      </c>
      <c r="H20" s="8"/>
      <c r="I20" s="8">
        <f t="shared" si="0"/>
        <v>0</v>
      </c>
      <c r="J20" s="8"/>
      <c r="K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'MARCH 20'!I21:I40</f>
        <v>0</v>
      </c>
      <c r="G21" s="8">
        <f t="shared" si="1"/>
        <v>3600</v>
      </c>
      <c r="H21" s="8">
        <v>3600</v>
      </c>
      <c r="I21" s="8">
        <f t="shared" si="0"/>
        <v>0</v>
      </c>
      <c r="J21" s="8"/>
      <c r="K21" s="8"/>
    </row>
    <row r="22" spans="1:12" x14ac:dyDescent="0.25">
      <c r="A22" s="8">
        <v>18</v>
      </c>
      <c r="B22" s="8" t="s">
        <v>96</v>
      </c>
      <c r="C22" s="8"/>
      <c r="D22" s="8"/>
      <c r="E22" s="8"/>
      <c r="F22" s="8">
        <f>'MARCH 20'!I22:I41</f>
        <v>0</v>
      </c>
      <c r="G22" s="8">
        <f t="shared" si="1"/>
        <v>0</v>
      </c>
      <c r="H22" s="8"/>
      <c r="I22" s="8">
        <f t="shared" si="0"/>
        <v>0</v>
      </c>
      <c r="J22" s="8"/>
      <c r="K22" s="8"/>
    </row>
    <row r="23" spans="1:12" x14ac:dyDescent="0.25">
      <c r="A23" s="8">
        <v>19</v>
      </c>
      <c r="B23" s="8" t="s">
        <v>94</v>
      </c>
      <c r="C23" s="8"/>
      <c r="D23" s="8"/>
      <c r="E23" s="8"/>
      <c r="F23" s="8">
        <f>'MARCH 20'!I23:I42</f>
        <v>0</v>
      </c>
      <c r="G23" s="8">
        <f t="shared" si="1"/>
        <v>0</v>
      </c>
      <c r="H23" s="8"/>
      <c r="I23" s="8">
        <f t="shared" si="0"/>
        <v>0</v>
      </c>
      <c r="J23" s="8"/>
      <c r="K23" s="8"/>
    </row>
    <row r="24" spans="1:12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'MARCH 20'!I24:I43</f>
        <v>0</v>
      </c>
      <c r="G24" s="8">
        <f t="shared" si="1"/>
        <v>3600</v>
      </c>
      <c r="H24" s="8"/>
      <c r="I24" s="8">
        <f t="shared" si="0"/>
        <v>3600</v>
      </c>
      <c r="J24" s="8"/>
      <c r="K24" s="8"/>
      <c r="L24" t="s">
        <v>103</v>
      </c>
    </row>
    <row r="25" spans="1:12" x14ac:dyDescent="0.25">
      <c r="A25" s="6"/>
      <c r="B25" s="9" t="s">
        <v>9</v>
      </c>
      <c r="C25" s="9">
        <f>SUM(C5:C24)</f>
        <v>1600</v>
      </c>
      <c r="D25" s="9">
        <f>SUM(D5:D24)</f>
        <v>0</v>
      </c>
      <c r="E25" s="6">
        <f>SUM(E5:E24)</f>
        <v>56000</v>
      </c>
      <c r="F25" s="8">
        <f>SUM(F5:F24)</f>
        <v>3200</v>
      </c>
      <c r="G25" s="8">
        <f>C25+D25+E25+F25</f>
        <v>60800</v>
      </c>
      <c r="H25" s="6">
        <f>SUM(H5:H24)</f>
        <v>38300</v>
      </c>
      <c r="I25" s="6">
        <f>SUM(I5:I24)</f>
        <v>22500</v>
      </c>
      <c r="J25" s="6">
        <f>SUM(J5:J24)</f>
        <v>0</v>
      </c>
      <c r="K25" s="6">
        <f>SUM(K5:K24)</f>
        <v>1490</v>
      </c>
    </row>
    <row r="26" spans="1:12" x14ac:dyDescent="0.25">
      <c r="A26" s="10"/>
      <c r="I26" s="24">
        <f>I25-I7-I14</f>
        <v>13900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89</v>
      </c>
      <c r="C29" s="16">
        <f>E25</f>
        <v>56000</v>
      </c>
      <c r="D29" s="17">
        <v>0.1</v>
      </c>
      <c r="E29" s="16"/>
      <c r="F29" s="20" t="s">
        <v>89</v>
      </c>
      <c r="G29" s="16">
        <f>H25</f>
        <v>38300</v>
      </c>
      <c r="H29" s="17">
        <v>0.1</v>
      </c>
      <c r="I29" s="19"/>
    </row>
    <row r="30" spans="1:12" x14ac:dyDescent="0.25">
      <c r="B30" s="19" t="s">
        <v>18</v>
      </c>
      <c r="C30" s="16">
        <f>'MARCH 20'!E42</f>
        <v>-4711</v>
      </c>
      <c r="D30" s="19"/>
      <c r="E30" s="19"/>
      <c r="F30" s="19" t="s">
        <v>18</v>
      </c>
      <c r="G30" s="16">
        <f>'MARCH 20'!I42</f>
        <v>-6511</v>
      </c>
      <c r="H30" s="19"/>
      <c r="I30" s="19"/>
    </row>
    <row r="31" spans="1:12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1490</v>
      </c>
      <c r="D34" s="19"/>
      <c r="E34" s="19"/>
      <c r="F34" s="19" t="s">
        <v>55</v>
      </c>
      <c r="G34" s="16">
        <f>C34</f>
        <v>1490</v>
      </c>
      <c r="H34" s="16"/>
      <c r="I34" s="19"/>
    </row>
    <row r="35" spans="2:9" x14ac:dyDescent="0.25">
      <c r="B35" s="19" t="s">
        <v>19</v>
      </c>
      <c r="C35" s="20"/>
      <c r="D35" s="19">
        <f>C29*D29</f>
        <v>5600</v>
      </c>
      <c r="E35" s="19"/>
      <c r="F35" s="19"/>
      <c r="G35" s="20"/>
      <c r="H35" s="19">
        <f>H29*C29</f>
        <v>5600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95</v>
      </c>
      <c r="C37" s="19"/>
      <c r="D37" s="19">
        <v>33000</v>
      </c>
      <c r="E37" s="19"/>
      <c r="F37" s="22" t="s">
        <v>95</v>
      </c>
      <c r="G37" s="19"/>
      <c r="H37" s="19">
        <v>33000</v>
      </c>
      <c r="I37" s="19"/>
    </row>
    <row r="38" spans="2:9" x14ac:dyDescent="0.25">
      <c r="B38" s="8" t="s">
        <v>100</v>
      </c>
      <c r="C38" s="27"/>
      <c r="D38" s="8">
        <v>3600</v>
      </c>
      <c r="E38" s="8"/>
      <c r="F38" s="8"/>
      <c r="G38" s="27"/>
      <c r="H38" s="8"/>
      <c r="I38" s="19"/>
    </row>
    <row r="39" spans="2:9" x14ac:dyDescent="0.25">
      <c r="B39" s="22" t="s">
        <v>105</v>
      </c>
      <c r="C39" s="19"/>
      <c r="D39" s="19">
        <f>G14</f>
        <v>3600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48779</v>
      </c>
      <c r="D42" s="15">
        <f>SUM(D37:D41)</f>
        <v>40200</v>
      </c>
      <c r="E42" s="23">
        <f>C42-D42</f>
        <v>8579</v>
      </c>
      <c r="F42" s="18"/>
      <c r="G42" s="23">
        <f>G29+G30+G34+G31+G33-H35</f>
        <v>27679</v>
      </c>
      <c r="H42" s="23">
        <f>SUM(H37:H41)</f>
        <v>33000</v>
      </c>
      <c r="I42" s="23">
        <f>G42-H42</f>
        <v>-5321</v>
      </c>
    </row>
    <row r="44" spans="2:9" x14ac:dyDescent="0.25">
      <c r="I44" s="25"/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G30" sqref="G30"/>
    </sheetView>
  </sheetViews>
  <sheetFormatPr defaultRowHeight="15" x14ac:dyDescent="0.25"/>
  <cols>
    <col min="1" max="1" width="4.5703125" customWidth="1"/>
    <col min="2" max="2" width="18.285156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99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'APRIL 20'!I5:I24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>
        <v>360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'APRIL 20'!I6:I25</f>
        <v>600</v>
      </c>
      <c r="G6" s="8">
        <f t="shared" ref="G6:G24" si="0">C6+D6+E6+F6</f>
        <v>4200</v>
      </c>
      <c r="H6" s="8">
        <f>1000+600+1000+1000</f>
        <v>3600</v>
      </c>
      <c r="I6" s="8">
        <f t="shared" ref="I6:I24" si="1">G6-H6</f>
        <v>600</v>
      </c>
      <c r="J6" s="8"/>
      <c r="K6" s="8">
        <v>120</v>
      </c>
    </row>
    <row r="7" spans="1:11" x14ac:dyDescent="0.25">
      <c r="A7" s="8">
        <v>3</v>
      </c>
      <c r="B7" s="8" t="s">
        <v>101</v>
      </c>
      <c r="C7" s="8">
        <v>100</v>
      </c>
      <c r="D7" s="8">
        <v>3500</v>
      </c>
      <c r="E7" s="8">
        <v>3500</v>
      </c>
      <c r="F7" s="8"/>
      <c r="G7" s="8">
        <f t="shared" si="0"/>
        <v>7100</v>
      </c>
      <c r="H7" s="8">
        <v>7000</v>
      </c>
      <c r="I7" s="8">
        <f>G7-H7</f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'APRIL 20'!I8:I27</f>
        <v>3600</v>
      </c>
      <c r="G8" s="8">
        <f>C8+D8+E8+F8</f>
        <v>7200</v>
      </c>
      <c r="H8" s="8">
        <f>3000+4200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'APRIL 20'!I9:I28</f>
        <v>3600</v>
      </c>
      <c r="G9" s="8">
        <f t="shared" si="0"/>
        <v>7200</v>
      </c>
      <c r="H9" s="8">
        <v>5000</v>
      </c>
      <c r="I9" s="8">
        <f t="shared" si="1"/>
        <v>2200</v>
      </c>
      <c r="J9" s="8"/>
      <c r="K9" s="8"/>
    </row>
    <row r="10" spans="1:11" x14ac:dyDescent="0.25">
      <c r="A10" s="8">
        <v>6</v>
      </c>
      <c r="B10" s="8" t="s">
        <v>94</v>
      </c>
      <c r="C10" s="8"/>
      <c r="D10" s="8"/>
      <c r="E10" s="8"/>
      <c r="F10" s="8">
        <f>'APRIL 20'!I10:I29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'APRIL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'APRIL 20'!I12:I31</f>
        <v>0</v>
      </c>
      <c r="G12" s="8">
        <f t="shared" si="0"/>
        <v>3600</v>
      </c>
      <c r="H12" s="8">
        <f>3000</f>
        <v>3000</v>
      </c>
      <c r="I12" s="8">
        <f>G12-H12</f>
        <v>600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'APRIL 20'!I13:I32</f>
        <v>0</v>
      </c>
      <c r="G13" s="8">
        <f t="shared" si="0"/>
        <v>3600</v>
      </c>
      <c r="H13" s="8">
        <v>3500</v>
      </c>
      <c r="I13" s="8">
        <f t="shared" si="1"/>
        <v>100</v>
      </c>
      <c r="J13" s="8"/>
      <c r="K13" s="8"/>
    </row>
    <row r="14" spans="1:11" x14ac:dyDescent="0.25">
      <c r="A14" s="8">
        <v>10</v>
      </c>
      <c r="B14" s="8"/>
      <c r="C14" s="8"/>
      <c r="D14" s="8"/>
      <c r="E14" s="8"/>
      <c r="F14" s="8"/>
      <c r="G14" s="8">
        <f t="shared" si="0"/>
        <v>0</v>
      </c>
      <c r="H14" s="8"/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'APRIL 20'!I15:I34</f>
        <v>0</v>
      </c>
      <c r="G15" s="8">
        <f t="shared" si="0"/>
        <v>3600</v>
      </c>
      <c r="H15" s="8">
        <f>3000+600</f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'APRIL 20'!I16:I35</f>
        <v>400</v>
      </c>
      <c r="G16" s="8">
        <f t="shared" si="0"/>
        <v>4000</v>
      </c>
      <c r="H16" s="8">
        <f>2680+1030+290</f>
        <v>4000</v>
      </c>
      <c r="I16" s="8">
        <f t="shared" si="1"/>
        <v>0</v>
      </c>
      <c r="J16" s="8"/>
      <c r="K16" s="8">
        <f>120+250</f>
        <v>370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'APRIL 20'!I17:I36</f>
        <v>0</v>
      </c>
      <c r="G17" s="8">
        <f t="shared" si="0"/>
        <v>3600</v>
      </c>
      <c r="H17" s="8">
        <f>3500</f>
        <v>3500</v>
      </c>
      <c r="I17" s="8">
        <f t="shared" si="1"/>
        <v>100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'APRIL 20'!I18:I37</f>
        <v>2100</v>
      </c>
      <c r="G18" s="8">
        <f t="shared" si="0"/>
        <v>5700</v>
      </c>
      <c r="H18" s="8">
        <f>3830+1870</f>
        <v>5700</v>
      </c>
      <c r="I18" s="8">
        <f t="shared" si="1"/>
        <v>0</v>
      </c>
      <c r="J18" s="8"/>
      <c r="K18" s="8">
        <f>120+120</f>
        <v>240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'APRIL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94</v>
      </c>
      <c r="C20" s="8"/>
      <c r="D20" s="8"/>
      <c r="E20" s="8"/>
      <c r="F20" s="8">
        <f>'APRIL 20'!I20:I39</f>
        <v>0</v>
      </c>
      <c r="G20" s="8">
        <f t="shared" si="0"/>
        <v>0</v>
      </c>
      <c r="H20" s="8"/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'APRIL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'APRIL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94</v>
      </c>
      <c r="C23" s="8"/>
      <c r="D23" s="8"/>
      <c r="E23" s="8"/>
      <c r="F23" s="8">
        <f>'APRIL 20'!I23:I42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'APRIL 20'!I24:I43</f>
        <v>3600</v>
      </c>
      <c r="G24" s="8">
        <f t="shared" si="0"/>
        <v>7200</v>
      </c>
      <c r="H24" s="8"/>
      <c r="I24" s="8">
        <f t="shared" si="1"/>
        <v>7200</v>
      </c>
      <c r="J24" s="8"/>
      <c r="K24" s="8"/>
    </row>
    <row r="25" spans="1:11" x14ac:dyDescent="0.25">
      <c r="A25" s="6"/>
      <c r="B25" s="9" t="s">
        <v>9</v>
      </c>
      <c r="C25" s="9">
        <f>SUM(C5:C24)</f>
        <v>1500</v>
      </c>
      <c r="D25" s="9">
        <f>SUM(D5:D24)</f>
        <v>3500</v>
      </c>
      <c r="E25" s="6">
        <f>SUM(E5:E24)</f>
        <v>52500</v>
      </c>
      <c r="F25" s="8">
        <f>SUM(F5:F24)</f>
        <v>13900</v>
      </c>
      <c r="G25" s="8">
        <f>C25+D25+E25+F25</f>
        <v>71400</v>
      </c>
      <c r="H25" s="6">
        <f>SUM(H5:H24)</f>
        <v>60500</v>
      </c>
      <c r="I25" s="6">
        <f>SUM(I5:I24)</f>
        <v>10900</v>
      </c>
      <c r="J25" s="6">
        <f>SUM(J5:J24)</f>
        <v>0</v>
      </c>
      <c r="K25" s="6">
        <f>SUM(K5:K24)</f>
        <v>1330</v>
      </c>
    </row>
    <row r="26" spans="1:11" x14ac:dyDescent="0.25">
      <c r="A26" s="10"/>
      <c r="I26" s="24">
        <f>I25-I9</f>
        <v>8700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98</v>
      </c>
      <c r="C29" s="16">
        <f>E25</f>
        <v>52500</v>
      </c>
      <c r="D29" s="17">
        <v>0.1</v>
      </c>
      <c r="E29" s="16"/>
      <c r="F29" s="20" t="s">
        <v>98</v>
      </c>
      <c r="G29" s="16">
        <f>H25</f>
        <v>60500</v>
      </c>
      <c r="H29" s="17">
        <v>0.1</v>
      </c>
      <c r="I29" s="19"/>
    </row>
    <row r="30" spans="1:11" x14ac:dyDescent="0.25">
      <c r="B30" s="19" t="s">
        <v>18</v>
      </c>
      <c r="C30" s="16">
        <f>'APRIL 20'!E42</f>
        <v>8579</v>
      </c>
      <c r="D30" s="19"/>
      <c r="E30" s="19"/>
      <c r="F30" s="19" t="s">
        <v>18</v>
      </c>
      <c r="G30" s="16">
        <f>'APRIL 20'!I42</f>
        <v>-5321</v>
      </c>
      <c r="H30" s="19"/>
      <c r="I30" s="19"/>
    </row>
    <row r="31" spans="1:11" x14ac:dyDescent="0.25">
      <c r="B31" s="19" t="s">
        <v>45</v>
      </c>
      <c r="C31" s="16">
        <f>C25</f>
        <v>1500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1330</v>
      </c>
      <c r="D34" s="19"/>
      <c r="E34" s="19"/>
      <c r="F34" s="19" t="s">
        <v>55</v>
      </c>
      <c r="G34" s="16">
        <f>C34</f>
        <v>1330</v>
      </c>
      <c r="H34" s="16"/>
      <c r="I34" s="19"/>
    </row>
    <row r="35" spans="2:9" x14ac:dyDescent="0.25">
      <c r="B35" s="19" t="s">
        <v>19</v>
      </c>
      <c r="C35" s="20"/>
      <c r="D35" s="19">
        <f>C29*D29</f>
        <v>5250</v>
      </c>
      <c r="E35" s="19"/>
      <c r="F35" s="19"/>
      <c r="G35" s="20"/>
      <c r="H35" s="19">
        <f>H29*C29</f>
        <v>5250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107</v>
      </c>
      <c r="C37" s="19"/>
      <c r="D37" s="19">
        <v>48700</v>
      </c>
      <c r="E37" s="19"/>
      <c r="F37" s="22" t="s">
        <v>107</v>
      </c>
      <c r="G37" s="19"/>
      <c r="H37" s="19">
        <v>48700</v>
      </c>
      <c r="I37" s="19"/>
    </row>
    <row r="38" spans="2:9" x14ac:dyDescent="0.25">
      <c r="B38" s="8" t="s">
        <v>108</v>
      </c>
      <c r="C38" s="27"/>
      <c r="D38" s="8">
        <v>8000</v>
      </c>
      <c r="E38" s="8"/>
      <c r="F38" s="8" t="s">
        <v>108</v>
      </c>
      <c r="G38" s="27"/>
      <c r="H38" s="8">
        <v>8000</v>
      </c>
      <c r="I38" s="19"/>
    </row>
    <row r="39" spans="2:9" x14ac:dyDescent="0.25">
      <c r="B39" s="22" t="s">
        <v>136</v>
      </c>
      <c r="C39" s="19"/>
      <c r="D39" s="19">
        <v>2200</v>
      </c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62159</v>
      </c>
      <c r="D42" s="15">
        <f>SUM(D37:D41)</f>
        <v>58900</v>
      </c>
      <c r="E42" s="23">
        <f>C42-D42</f>
        <v>3259</v>
      </c>
      <c r="F42" s="18"/>
      <c r="G42" s="23">
        <f>G29+G30+G34+G31+G33-H35</f>
        <v>51259</v>
      </c>
      <c r="H42" s="23">
        <f>SUM(H37:H41)</f>
        <v>56700</v>
      </c>
      <c r="I42" s="23">
        <f>G42-H42</f>
        <v>-5441</v>
      </c>
    </row>
    <row r="43" spans="2:9" x14ac:dyDescent="0.25">
      <c r="I43" s="25"/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3" workbookViewId="0">
      <selection activeCell="L37" sqref="L37"/>
    </sheetView>
  </sheetViews>
  <sheetFormatPr defaultRowHeight="15" x14ac:dyDescent="0.25"/>
  <cols>
    <col min="2" max="2" width="18.42578125" customWidth="1"/>
    <col min="3" max="3" width="12.140625" customWidth="1"/>
    <col min="5" max="5" width="9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109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/>
      <c r="B5" s="8" t="s">
        <v>27</v>
      </c>
      <c r="C5" s="8">
        <v>100</v>
      </c>
      <c r="D5" s="8"/>
      <c r="E5" s="8">
        <v>3500</v>
      </c>
      <c r="F5" s="8">
        <f>'MAY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/>
      <c r="B6" s="8" t="s">
        <v>28</v>
      </c>
      <c r="C6" s="8">
        <v>100</v>
      </c>
      <c r="D6" s="8"/>
      <c r="E6" s="8">
        <v>3500</v>
      </c>
      <c r="F6" s="8">
        <f>'MAY 20'!I6:I25</f>
        <v>600</v>
      </c>
      <c r="G6" s="8">
        <f t="shared" ref="G6:G24" si="0">C6+D6+E6+F6</f>
        <v>4200</v>
      </c>
      <c r="H6" s="8">
        <f>600+600+3000</f>
        <v>4200</v>
      </c>
      <c r="I6" s="8">
        <f t="shared" ref="I6:I24" si="1">G6-H6</f>
        <v>0</v>
      </c>
      <c r="J6" s="8"/>
      <c r="K6" s="8">
        <v>120</v>
      </c>
    </row>
    <row r="7" spans="1:11" x14ac:dyDescent="0.25">
      <c r="A7" s="8"/>
      <c r="B7" s="8" t="s">
        <v>101</v>
      </c>
      <c r="C7" s="8">
        <v>100</v>
      </c>
      <c r="D7" s="8"/>
      <c r="E7" s="8">
        <v>3500</v>
      </c>
      <c r="F7" s="8">
        <f>'MAY 20'!I7:I26</f>
        <v>100</v>
      </c>
      <c r="G7" s="8">
        <f t="shared" si="0"/>
        <v>3700</v>
      </c>
      <c r="H7" s="8">
        <v>3700</v>
      </c>
      <c r="I7" s="8">
        <f t="shared" si="1"/>
        <v>0</v>
      </c>
      <c r="J7" s="8"/>
      <c r="K7" s="8">
        <v>120</v>
      </c>
    </row>
    <row r="8" spans="1:11" x14ac:dyDescent="0.25">
      <c r="A8" s="8"/>
      <c r="B8" s="8" t="s">
        <v>51</v>
      </c>
      <c r="C8" s="8">
        <v>100</v>
      </c>
      <c r="D8" s="8"/>
      <c r="E8" s="8">
        <v>3500</v>
      </c>
      <c r="F8" s="8">
        <f>'MAY 20'!I8:I27</f>
        <v>0</v>
      </c>
      <c r="G8" s="8">
        <f>C8+D8+E8+F8</f>
        <v>3600</v>
      </c>
      <c r="H8" s="8">
        <f>330+3270</f>
        <v>3600</v>
      </c>
      <c r="I8" s="8">
        <f t="shared" si="1"/>
        <v>0</v>
      </c>
      <c r="J8" s="8"/>
      <c r="K8" s="8">
        <v>240</v>
      </c>
    </row>
    <row r="9" spans="1:11" x14ac:dyDescent="0.25">
      <c r="A9" s="8"/>
      <c r="B9" s="8" t="s">
        <v>94</v>
      </c>
      <c r="C9" s="8"/>
      <c r="D9" s="8"/>
      <c r="E9" s="8"/>
      <c r="F9" s="8"/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/>
      <c r="B10" s="8" t="s">
        <v>94</v>
      </c>
      <c r="C10" s="8"/>
      <c r="D10" s="8"/>
      <c r="E10" s="8"/>
      <c r="F10" s="8">
        <f>'MAY 20'!I10:I29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/>
      <c r="B11" s="8" t="s">
        <v>32</v>
      </c>
      <c r="C11" s="28">
        <v>100</v>
      </c>
      <c r="D11" s="8"/>
      <c r="E11" s="8">
        <v>3500</v>
      </c>
      <c r="F11" s="8">
        <f>'MAY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/>
      <c r="B12" s="24" t="s">
        <v>40</v>
      </c>
      <c r="C12" s="8">
        <v>100</v>
      </c>
      <c r="D12" s="8"/>
      <c r="E12" s="8">
        <v>3500</v>
      </c>
      <c r="F12" s="8">
        <f>'MAY 20'!I12:I31</f>
        <v>600</v>
      </c>
      <c r="G12" s="8">
        <f t="shared" si="0"/>
        <v>4200</v>
      </c>
      <c r="H12" s="8">
        <f>1500+500+2000</f>
        <v>4000</v>
      </c>
      <c r="I12" s="8">
        <f>G12-H12</f>
        <v>200</v>
      </c>
      <c r="J12" s="8"/>
      <c r="K12" s="8"/>
    </row>
    <row r="13" spans="1:11" x14ac:dyDescent="0.25">
      <c r="A13" s="8"/>
      <c r="B13" s="8" t="s">
        <v>39</v>
      </c>
      <c r="C13" s="8">
        <v>100</v>
      </c>
      <c r="D13" s="8"/>
      <c r="E13" s="8">
        <v>3500</v>
      </c>
      <c r="F13" s="8">
        <f>'MAY 20'!I13:I32</f>
        <v>100</v>
      </c>
      <c r="G13" s="8">
        <f t="shared" si="0"/>
        <v>3700</v>
      </c>
      <c r="H13" s="8">
        <f>3500</f>
        <v>3500</v>
      </c>
      <c r="I13" s="8">
        <f t="shared" si="1"/>
        <v>200</v>
      </c>
      <c r="J13" s="8"/>
      <c r="K13" s="8"/>
    </row>
    <row r="14" spans="1:11" x14ac:dyDescent="0.25">
      <c r="A14" s="8"/>
      <c r="B14" s="8" t="s">
        <v>110</v>
      </c>
      <c r="C14" s="8">
        <v>100</v>
      </c>
      <c r="D14" s="8">
        <v>3500</v>
      </c>
      <c r="E14" s="8">
        <v>3500</v>
      </c>
      <c r="F14" s="8">
        <f>'MAY 20'!I14:I33</f>
        <v>0</v>
      </c>
      <c r="G14" s="8">
        <f t="shared" si="0"/>
        <v>7100</v>
      </c>
      <c r="H14" s="8">
        <v>7100</v>
      </c>
      <c r="I14" s="8">
        <f t="shared" si="1"/>
        <v>0</v>
      </c>
      <c r="J14" s="8"/>
      <c r="K14" s="8"/>
    </row>
    <row r="15" spans="1:11" x14ac:dyDescent="0.25">
      <c r="A15" s="8"/>
      <c r="B15" s="8" t="s">
        <v>36</v>
      </c>
      <c r="C15" s="8">
        <v>100</v>
      </c>
      <c r="D15" s="8"/>
      <c r="E15" s="8">
        <v>3500</v>
      </c>
      <c r="F15" s="8">
        <f>'MAY 20'!I15:I34</f>
        <v>0</v>
      </c>
      <c r="G15" s="8">
        <f t="shared" si="0"/>
        <v>3600</v>
      </c>
      <c r="H15" s="8">
        <f>2200+1400</f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/>
      <c r="B16" s="8" t="s">
        <v>97</v>
      </c>
      <c r="C16" s="8">
        <v>100</v>
      </c>
      <c r="D16" s="8"/>
      <c r="E16" s="8">
        <v>3500</v>
      </c>
      <c r="F16" s="8">
        <f>'MAY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300</v>
      </c>
    </row>
    <row r="17" spans="1:12" x14ac:dyDescent="0.25">
      <c r="A17" s="8"/>
      <c r="B17" s="8" t="s">
        <v>38</v>
      </c>
      <c r="C17" s="8">
        <v>100</v>
      </c>
      <c r="D17" s="8"/>
      <c r="E17" s="8">
        <v>3500</v>
      </c>
      <c r="F17" s="8">
        <f>'MAY 20'!I17:I36</f>
        <v>100</v>
      </c>
      <c r="G17" s="8">
        <f t="shared" si="0"/>
        <v>3700</v>
      </c>
      <c r="H17" s="8">
        <f>3600</f>
        <v>3600</v>
      </c>
      <c r="I17" s="8">
        <f t="shared" si="1"/>
        <v>100</v>
      </c>
      <c r="J17" s="8"/>
      <c r="K17" s="8">
        <v>120</v>
      </c>
    </row>
    <row r="18" spans="1:12" x14ac:dyDescent="0.25">
      <c r="A18" s="8"/>
      <c r="B18" s="8" t="s">
        <v>34</v>
      </c>
      <c r="C18" s="8">
        <v>100</v>
      </c>
      <c r="D18" s="8"/>
      <c r="E18" s="8">
        <v>3500</v>
      </c>
      <c r="F18" s="8">
        <f>'MAY 20'!I18:I37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2" x14ac:dyDescent="0.25">
      <c r="A19" s="8"/>
      <c r="B19" s="19" t="s">
        <v>73</v>
      </c>
      <c r="C19" s="8">
        <v>100</v>
      </c>
      <c r="D19" s="8"/>
      <c r="E19" s="8">
        <v>3500</v>
      </c>
      <c r="F19" s="8">
        <f>'MAY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2" x14ac:dyDescent="0.25">
      <c r="A20" s="8"/>
      <c r="B20" s="8" t="s">
        <v>111</v>
      </c>
      <c r="C20" s="8">
        <v>100</v>
      </c>
      <c r="D20" s="8"/>
      <c r="E20" s="8">
        <v>3500</v>
      </c>
      <c r="F20" s="8">
        <f>'MAY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/>
      <c r="B21" s="8" t="s">
        <v>42</v>
      </c>
      <c r="C21" s="8">
        <v>100</v>
      </c>
      <c r="D21" s="8"/>
      <c r="E21" s="8">
        <v>3500</v>
      </c>
      <c r="F21" s="8">
        <f>'MAY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2" x14ac:dyDescent="0.25">
      <c r="A22" s="8"/>
      <c r="B22" s="8" t="s">
        <v>122</v>
      </c>
      <c r="C22" s="8">
        <v>100</v>
      </c>
      <c r="D22" s="8"/>
      <c r="E22" s="8">
        <v>3500</v>
      </c>
      <c r="F22" s="8">
        <f>'MAY 20'!I22:I41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/>
      <c r="L22" t="s">
        <v>96</v>
      </c>
    </row>
    <row r="23" spans="1:12" x14ac:dyDescent="0.25">
      <c r="A23" s="8"/>
      <c r="B23" s="8" t="s">
        <v>94</v>
      </c>
      <c r="C23" s="8"/>
      <c r="D23" s="8"/>
      <c r="E23" s="8"/>
      <c r="F23" s="8">
        <f>'MAY 20'!I23:I42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2" x14ac:dyDescent="0.25">
      <c r="A24" s="8"/>
      <c r="B24" s="8" t="s">
        <v>77</v>
      </c>
      <c r="C24" s="8"/>
      <c r="D24" s="8"/>
      <c r="E24" s="8"/>
      <c r="F24" s="8">
        <f>'MAY 20'!I24:I43</f>
        <v>7200</v>
      </c>
      <c r="G24" s="8">
        <f t="shared" si="0"/>
        <v>7200</v>
      </c>
      <c r="H24" s="8"/>
      <c r="I24" s="8">
        <f t="shared" si="1"/>
        <v>7200</v>
      </c>
      <c r="J24" s="8"/>
      <c r="K24" s="8"/>
      <c r="L24" t="s">
        <v>138</v>
      </c>
    </row>
    <row r="25" spans="1:12" x14ac:dyDescent="0.25">
      <c r="B25" s="9" t="s">
        <v>9</v>
      </c>
      <c r="C25" s="9">
        <f>SUM(C5:C24)</f>
        <v>1600</v>
      </c>
      <c r="D25" s="9">
        <f>SUM(D5:D24)</f>
        <v>3500</v>
      </c>
      <c r="E25" s="6">
        <f>SUM(E5:E24)</f>
        <v>56000</v>
      </c>
      <c r="F25" s="8">
        <f>SUM(F5:F24)</f>
        <v>8700</v>
      </c>
      <c r="G25" s="8">
        <f>C25+D25+E25+F25</f>
        <v>69800</v>
      </c>
      <c r="H25" s="6">
        <f>SUM(H5:H24)</f>
        <v>62100</v>
      </c>
      <c r="I25" s="6">
        <f>SUM(I5:I24)</f>
        <v>7700</v>
      </c>
      <c r="J25" s="6">
        <f>SUM(J5:J24)</f>
        <v>0</v>
      </c>
      <c r="K25" s="6">
        <f>SUM(K5:K24)</f>
        <v>1260</v>
      </c>
    </row>
    <row r="26" spans="1:12" x14ac:dyDescent="0.25">
      <c r="I26" s="24">
        <f>I12+I13+I17</f>
        <v>500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16</v>
      </c>
      <c r="C29" s="16">
        <f>E25</f>
        <v>56000</v>
      </c>
      <c r="D29" s="17">
        <v>0.1</v>
      </c>
      <c r="E29" s="16"/>
      <c r="F29" s="20" t="s">
        <v>16</v>
      </c>
      <c r="G29" s="16">
        <f>H25</f>
        <v>62100</v>
      </c>
      <c r="H29" s="17">
        <v>0.1</v>
      </c>
      <c r="I29" s="19"/>
    </row>
    <row r="30" spans="1:12" x14ac:dyDescent="0.25">
      <c r="B30" s="19" t="s">
        <v>18</v>
      </c>
      <c r="C30" s="16">
        <f>'MAY 20'!E42</f>
        <v>3259</v>
      </c>
      <c r="D30" s="19"/>
      <c r="E30" s="19"/>
      <c r="F30" s="19" t="s">
        <v>18</v>
      </c>
      <c r="G30" s="16">
        <f>'MAY 20'!I42</f>
        <v>-5441</v>
      </c>
      <c r="H30" s="19"/>
      <c r="I30" s="19"/>
    </row>
    <row r="31" spans="1:12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1260</v>
      </c>
      <c r="D34" s="19"/>
      <c r="E34" s="19"/>
      <c r="F34" s="19" t="s">
        <v>55</v>
      </c>
      <c r="G34" s="16">
        <f>K25</f>
        <v>1260</v>
      </c>
      <c r="H34" s="16"/>
      <c r="I34" s="19"/>
    </row>
    <row r="35" spans="2:12" x14ac:dyDescent="0.25">
      <c r="B35" s="19" t="s">
        <v>19</v>
      </c>
      <c r="C35" s="20"/>
      <c r="D35" s="19">
        <f>C29*D29</f>
        <v>5600</v>
      </c>
      <c r="E35" s="19"/>
      <c r="F35" s="19"/>
      <c r="G35" s="20"/>
      <c r="H35" s="19">
        <f>H29*C29</f>
        <v>5600</v>
      </c>
      <c r="I35" s="19"/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C37*E14</f>
        <v>1050</v>
      </c>
      <c r="E37" s="19"/>
      <c r="F37" s="22" t="s">
        <v>79</v>
      </c>
      <c r="G37" s="17">
        <v>0.3</v>
      </c>
      <c r="H37" s="19">
        <f>G37*E14</f>
        <v>1050</v>
      </c>
      <c r="I37" s="19"/>
      <c r="L37" s="25"/>
    </row>
    <row r="38" spans="2:12" x14ac:dyDescent="0.25">
      <c r="B38" s="8" t="s">
        <v>112</v>
      </c>
      <c r="C38" s="27"/>
      <c r="D38" s="8">
        <v>44300</v>
      </c>
      <c r="E38" s="8"/>
      <c r="F38" s="8" t="s">
        <v>112</v>
      </c>
      <c r="G38" s="27"/>
      <c r="H38" s="8">
        <v>44300</v>
      </c>
      <c r="I38" s="19"/>
    </row>
    <row r="39" spans="2:12" x14ac:dyDescent="0.25">
      <c r="B39" s="22" t="s">
        <v>113</v>
      </c>
      <c r="C39" s="19"/>
      <c r="D39" s="19">
        <v>2700</v>
      </c>
      <c r="E39" s="19"/>
      <c r="F39" s="22" t="s">
        <v>113</v>
      </c>
      <c r="G39" s="19"/>
      <c r="H39" s="19">
        <v>2700</v>
      </c>
      <c r="I39" s="19"/>
      <c r="K39" s="25"/>
    </row>
    <row r="40" spans="2:12" x14ac:dyDescent="0.25">
      <c r="B40" s="22" t="s">
        <v>123</v>
      </c>
      <c r="C40" s="19"/>
      <c r="D40" s="19">
        <v>3600</v>
      </c>
      <c r="E40" s="19"/>
      <c r="F40" s="22" t="s">
        <v>123</v>
      </c>
      <c r="G40" s="19"/>
      <c r="H40" s="19">
        <v>3600</v>
      </c>
      <c r="I40" s="19"/>
    </row>
    <row r="41" spans="2:12" x14ac:dyDescent="0.25">
      <c r="B41" s="22" t="s">
        <v>137</v>
      </c>
      <c r="C41" s="16"/>
      <c r="D41" s="16">
        <v>7200</v>
      </c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60019</v>
      </c>
      <c r="D42" s="15">
        <f>SUM(D37:D41)</f>
        <v>58850</v>
      </c>
      <c r="E42" s="23">
        <f>C42-D42</f>
        <v>1169</v>
      </c>
      <c r="F42" s="18"/>
      <c r="G42" s="23">
        <f>G29+G30+G34+G31+G33-H35</f>
        <v>52319</v>
      </c>
      <c r="H42" s="23">
        <f>SUM(H37:H41)</f>
        <v>51650</v>
      </c>
      <c r="I42" s="23">
        <f>G42-H42</f>
        <v>669</v>
      </c>
    </row>
    <row r="44" spans="2:12" x14ac:dyDescent="0.25">
      <c r="I44" s="25"/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>
        <f>I42-E42</f>
        <v>-500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L34" sqref="L34"/>
    </sheetView>
  </sheetViews>
  <sheetFormatPr defaultRowHeight="15" x14ac:dyDescent="0.25"/>
  <cols>
    <col min="2" max="2" width="1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114</v>
      </c>
      <c r="F3" s="1"/>
      <c r="G3" s="5"/>
      <c r="H3" s="5"/>
    </row>
    <row r="4" spans="1:11" ht="16.5" customHeight="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ht="14.25" customHeight="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'JUNE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600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'JUNE 20'!I6:I25</f>
        <v>0</v>
      </c>
      <c r="G6" s="8">
        <f t="shared" ref="G6:G24" si="0">C6+D6+E6+F6</f>
        <v>3600</v>
      </c>
      <c r="H6" s="8">
        <f>2500+1000</f>
        <v>3500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'JUNE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'JUNE 20'!I8:I27</f>
        <v>0</v>
      </c>
      <c r="G8" s="8">
        <f>C8+D8+E8+F8</f>
        <v>3600</v>
      </c>
      <c r="H8" s="8">
        <f>3500</f>
        <v>3500</v>
      </c>
      <c r="I8" s="8">
        <f t="shared" si="1"/>
        <v>100</v>
      </c>
      <c r="J8" s="8"/>
      <c r="K8" s="8"/>
    </row>
    <row r="9" spans="1:11" x14ac:dyDescent="0.25">
      <c r="A9" s="8">
        <v>5</v>
      </c>
      <c r="B9" s="8" t="s">
        <v>94</v>
      </c>
      <c r="C9" s="8"/>
      <c r="D9" s="8"/>
      <c r="E9" s="8"/>
      <c r="F9" s="8">
        <f>'JUNE 20'!I9:I28</f>
        <v>0</v>
      </c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>
        <v>3500</v>
      </c>
      <c r="E10" s="8">
        <v>3500</v>
      </c>
      <c r="F10" s="8">
        <f>'JUNE 20'!I10:I29</f>
        <v>0</v>
      </c>
      <c r="G10" s="8">
        <f t="shared" si="0"/>
        <v>7100</v>
      </c>
      <c r="H10" s="8">
        <f>3500+3600</f>
        <v>7100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'JUNE 20'!I11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400</v>
      </c>
      <c r="D12" s="8"/>
      <c r="E12" s="8">
        <v>3500</v>
      </c>
      <c r="F12" s="8">
        <f>'JUNE 20'!I12:I31</f>
        <v>200</v>
      </c>
      <c r="G12" s="8">
        <f t="shared" si="0"/>
        <v>4100</v>
      </c>
      <c r="H12" s="8">
        <f>1800+2000+300</f>
        <v>4100</v>
      </c>
      <c r="I12" s="8">
        <f>G12-H12</f>
        <v>0</v>
      </c>
      <c r="J12" s="8"/>
      <c r="K12" s="8">
        <v>600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'JUNE 20'!I13</f>
        <v>200</v>
      </c>
      <c r="G13" s="8">
        <f t="shared" si="0"/>
        <v>3800</v>
      </c>
      <c r="H13" s="8">
        <v>3500</v>
      </c>
      <c r="I13" s="8">
        <f t="shared" si="1"/>
        <v>300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'JUNE 20'!I14:I33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'JUNE 20'!I15:I34</f>
        <v>0</v>
      </c>
      <c r="G15" s="8">
        <f t="shared" si="0"/>
        <v>3600</v>
      </c>
      <c r="H15" s="8">
        <v>3500</v>
      </c>
      <c r="I15" s="8">
        <f t="shared" si="1"/>
        <v>100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'JUNE 20'!I16</f>
        <v>0</v>
      </c>
      <c r="G16" s="8">
        <f t="shared" si="0"/>
        <v>3600</v>
      </c>
      <c r="H16" s="8">
        <f>500+3100</f>
        <v>3600</v>
      </c>
      <c r="I16" s="8">
        <f t="shared" si="1"/>
        <v>0</v>
      </c>
      <c r="J16" s="8"/>
      <c r="K16" s="8">
        <v>60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'JUNE 20'!I17</f>
        <v>100</v>
      </c>
      <c r="G17" s="8">
        <f t="shared" si="0"/>
        <v>3700</v>
      </c>
      <c r="H17" s="8">
        <v>3600</v>
      </c>
      <c r="I17" s="8">
        <f t="shared" si="1"/>
        <v>100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'JUNE 20'!I18:I37</f>
        <v>0</v>
      </c>
      <c r="G18" s="8">
        <f t="shared" si="0"/>
        <v>3600</v>
      </c>
      <c r="H18" s="8">
        <f>2000+1600</f>
        <v>3600</v>
      </c>
      <c r="I18" s="8">
        <f t="shared" si="1"/>
        <v>0</v>
      </c>
      <c r="J18" s="8"/>
      <c r="K18" s="8">
        <v>100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'JUNE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520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'JUNE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'JUNE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'JUNE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'JUNE 20'!I23:I42</f>
        <v>0</v>
      </c>
      <c r="G23" s="8">
        <f t="shared" si="0"/>
        <v>3600</v>
      </c>
      <c r="H23" s="8"/>
      <c r="I23" s="8">
        <f t="shared" si="1"/>
        <v>3600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>
        <v>3500</v>
      </c>
      <c r="E24" s="8">
        <v>3500</v>
      </c>
      <c r="F24" s="8"/>
      <c r="G24" s="8">
        <f t="shared" si="0"/>
        <v>7100</v>
      </c>
      <c r="H24" s="8">
        <f>3500+3600</f>
        <v>7100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2100</v>
      </c>
      <c r="D25" s="9">
        <f>SUM(D5:D24)</f>
        <v>7000</v>
      </c>
      <c r="E25" s="6">
        <f>SUM(E5:E24)</f>
        <v>63000</v>
      </c>
      <c r="F25" s="8">
        <f>SUM(F5:F24)</f>
        <v>500</v>
      </c>
      <c r="G25" s="8">
        <f>C25+D25+E25+F25</f>
        <v>72600</v>
      </c>
      <c r="H25" s="6">
        <f>SUM(H5:H24)</f>
        <v>68300</v>
      </c>
      <c r="I25" s="6">
        <f>SUM(I5:I24)</f>
        <v>4300</v>
      </c>
      <c r="J25" s="6">
        <f>SUM(J5:J24)</f>
        <v>0</v>
      </c>
      <c r="K25" s="6">
        <f>SUM(K5:K24)</f>
        <v>2340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50</v>
      </c>
      <c r="C29" s="16">
        <f>E25</f>
        <v>63000</v>
      </c>
      <c r="D29" s="17">
        <v>0.1</v>
      </c>
      <c r="E29" s="16"/>
      <c r="F29" s="20" t="s">
        <v>50</v>
      </c>
      <c r="G29" s="16">
        <f>H25</f>
        <v>68300</v>
      </c>
      <c r="H29" s="17">
        <v>0.1</v>
      </c>
      <c r="I29" s="19"/>
    </row>
    <row r="30" spans="1:11" x14ac:dyDescent="0.25">
      <c r="B30" s="19" t="s">
        <v>18</v>
      </c>
      <c r="C30" s="16">
        <f>'JUNE 20'!E42</f>
        <v>1169</v>
      </c>
      <c r="D30" s="19"/>
      <c r="E30" s="19"/>
      <c r="F30" s="19" t="s">
        <v>18</v>
      </c>
      <c r="G30" s="16">
        <f>'JUNE 20'!I42</f>
        <v>669</v>
      </c>
      <c r="H30" s="19"/>
      <c r="I30" s="19"/>
    </row>
    <row r="31" spans="1:11" x14ac:dyDescent="0.25">
      <c r="B31" s="19" t="s">
        <v>45</v>
      </c>
      <c r="C31" s="16">
        <f>C25</f>
        <v>2100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9" x14ac:dyDescent="0.25">
      <c r="B34" s="19" t="s">
        <v>55</v>
      </c>
      <c r="C34" s="16">
        <f>K25</f>
        <v>2340</v>
      </c>
      <c r="D34" s="19"/>
      <c r="E34" s="19"/>
      <c r="F34" s="19" t="s">
        <v>55</v>
      </c>
      <c r="G34" s="16">
        <f>K25</f>
        <v>2340</v>
      </c>
      <c r="H34" s="16"/>
      <c r="I34" s="19"/>
    </row>
    <row r="35" spans="2:9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79</v>
      </c>
      <c r="C37" s="17">
        <v>0.3</v>
      </c>
      <c r="D37" s="19">
        <f>C37*E24+(C37*E10)</f>
        <v>2100</v>
      </c>
      <c r="E37" s="19"/>
      <c r="F37" s="22" t="s">
        <v>79</v>
      </c>
      <c r="G37" s="17">
        <v>0.3</v>
      </c>
      <c r="H37" s="19">
        <f>D37</f>
        <v>2100</v>
      </c>
      <c r="I37" s="19"/>
    </row>
    <row r="38" spans="2:9" x14ac:dyDescent="0.25">
      <c r="B38" s="8" t="s">
        <v>117</v>
      </c>
      <c r="C38" s="27"/>
      <c r="D38" s="8">
        <v>9000</v>
      </c>
      <c r="E38" s="8"/>
      <c r="F38" s="8" t="s">
        <v>117</v>
      </c>
      <c r="G38" s="27"/>
      <c r="H38" s="8">
        <v>9000</v>
      </c>
      <c r="I38" s="19"/>
    </row>
    <row r="39" spans="2:9" x14ac:dyDescent="0.25">
      <c r="B39" s="22" t="s">
        <v>118</v>
      </c>
      <c r="C39" s="19"/>
      <c r="D39" s="19">
        <v>23000</v>
      </c>
      <c r="E39" s="19"/>
      <c r="F39" s="22" t="s">
        <v>118</v>
      </c>
      <c r="G39" s="19"/>
      <c r="H39" s="19">
        <v>23000</v>
      </c>
      <c r="I39" s="19"/>
    </row>
    <row r="40" spans="2:9" x14ac:dyDescent="0.25">
      <c r="B40" s="22" t="s">
        <v>119</v>
      </c>
      <c r="C40" s="19"/>
      <c r="D40" s="19">
        <v>30000</v>
      </c>
      <c r="E40" s="19"/>
      <c r="F40" s="22" t="s">
        <v>119</v>
      </c>
      <c r="G40" s="19"/>
      <c r="H40" s="19">
        <v>30000</v>
      </c>
      <c r="I40" s="19"/>
    </row>
    <row r="41" spans="2:9" x14ac:dyDescent="0.25">
      <c r="B41" s="22"/>
      <c r="C41" s="19"/>
      <c r="D41" s="19"/>
      <c r="E41" s="19"/>
      <c r="F41" s="22"/>
      <c r="G41" s="19"/>
      <c r="H41" s="19"/>
      <c r="I41" s="19"/>
    </row>
    <row r="42" spans="2:9" x14ac:dyDescent="0.25">
      <c r="B42" s="22"/>
      <c r="C42" s="16"/>
      <c r="D42" s="16"/>
      <c r="E42" s="16"/>
      <c r="F42" s="22"/>
      <c r="G42" s="19"/>
      <c r="H42" s="16"/>
      <c r="I42" s="19"/>
    </row>
    <row r="43" spans="2:9" x14ac:dyDescent="0.25">
      <c r="B43" s="15" t="s">
        <v>9</v>
      </c>
      <c r="C43" s="23">
        <f>C29+C30+C31+C32+C33+C34-D35</f>
        <v>69309</v>
      </c>
      <c r="D43" s="15">
        <f>SUM(D37:D42)</f>
        <v>64100</v>
      </c>
      <c r="E43" s="23">
        <f>C43-D43</f>
        <v>5209</v>
      </c>
      <c r="F43" s="18"/>
      <c r="G43" s="23">
        <f>G29+G30+G34+G31+G33-H35</f>
        <v>65009</v>
      </c>
      <c r="H43" s="23">
        <f>SUM(H37:H42)</f>
        <v>64100</v>
      </c>
      <c r="I43" s="23">
        <f>G43-H43</f>
        <v>909</v>
      </c>
    </row>
    <row r="46" spans="2:9" x14ac:dyDescent="0.25">
      <c r="B46" s="10" t="s">
        <v>21</v>
      </c>
      <c r="D46" s="10" t="s">
        <v>22</v>
      </c>
      <c r="F46" s="10"/>
      <c r="G46" s="10" t="s">
        <v>23</v>
      </c>
    </row>
    <row r="47" spans="2:9" x14ac:dyDescent="0.25">
      <c r="B47" t="s">
        <v>61</v>
      </c>
      <c r="D47" s="10" t="s">
        <v>25</v>
      </c>
      <c r="F47" s="10"/>
      <c r="G47" s="10" t="s">
        <v>46</v>
      </c>
      <c r="I47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G30" sqref="G30"/>
    </sheetView>
  </sheetViews>
  <sheetFormatPr defaultRowHeight="15" x14ac:dyDescent="0.25"/>
  <cols>
    <col min="1" max="1" width="4.28515625" customWidth="1"/>
    <col min="2" max="2" width="18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120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'JULY 20'!I5:I24</f>
        <v>0</v>
      </c>
      <c r="G5" s="8">
        <f>C5+D5+E5+F5</f>
        <v>3600</v>
      </c>
      <c r="H5" s="8">
        <v>3500</v>
      </c>
      <c r="I5" s="8">
        <f>G5-H5</f>
        <v>100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'JULY 20'!I6:I25</f>
        <v>100</v>
      </c>
      <c r="G6" s="8">
        <f t="shared" ref="G6:G24" si="0">C6+D6+E6+F6</f>
        <v>3700</v>
      </c>
      <c r="H6" s="8">
        <f>3000+600</f>
        <v>3600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'JULY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'JULY 20'!I8:I27</f>
        <v>100</v>
      </c>
      <c r="G8" s="8">
        <f>C8+D8+E8+F8</f>
        <v>3700</v>
      </c>
      <c r="H8" s="8">
        <f>2000+1700</f>
        <v>3700</v>
      </c>
      <c r="I8" s="8">
        <f t="shared" si="1"/>
        <v>0</v>
      </c>
      <c r="J8" s="8"/>
      <c r="K8" s="8">
        <v>360</v>
      </c>
    </row>
    <row r="9" spans="1:11" x14ac:dyDescent="0.25">
      <c r="A9" s="8">
        <v>5</v>
      </c>
      <c r="B9" s="8"/>
      <c r="C9" s="8"/>
      <c r="D9" s="8"/>
      <c r="E9" s="8"/>
      <c r="F9" s="8">
        <f>'JULY 20'!I9:I28</f>
        <v>0</v>
      </c>
      <c r="G9" s="8">
        <f t="shared" si="0"/>
        <v>0</v>
      </c>
      <c r="H9" s="8"/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'JULY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'JULY 20'!I11:I30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'JULY 20'!I12:I31</f>
        <v>0</v>
      </c>
      <c r="G12" s="8">
        <f t="shared" si="0"/>
        <v>3600</v>
      </c>
      <c r="H12" s="8">
        <f>1700+1900</f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'JULY 20'!I13:I32</f>
        <v>300</v>
      </c>
      <c r="G13" s="8">
        <f t="shared" si="0"/>
        <v>3900</v>
      </c>
      <c r="H13" s="8">
        <f>3500</f>
        <v>3500</v>
      </c>
      <c r="I13" s="8">
        <f t="shared" si="1"/>
        <v>400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'JULY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100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'JULY 20'!I15:I34</f>
        <v>100</v>
      </c>
      <c r="G15" s="8">
        <f t="shared" si="0"/>
        <v>3700</v>
      </c>
      <c r="H15" s="8">
        <f>500+2500+600</f>
        <v>3600</v>
      </c>
      <c r="I15" s="8">
        <f t="shared" si="1"/>
        <v>100</v>
      </c>
      <c r="J15" s="8"/>
      <c r="K15" s="8">
        <f>240</f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'JULY 20'!I16:I35</f>
        <v>0</v>
      </c>
      <c r="G16" s="8">
        <f t="shared" si="0"/>
        <v>3600</v>
      </c>
      <c r="H16" s="8">
        <f>3500+100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'JULY 20'!I17:I36</f>
        <v>100</v>
      </c>
      <c r="G17" s="8">
        <f t="shared" si="0"/>
        <v>3700</v>
      </c>
      <c r="H17" s="8">
        <f>3500+100</f>
        <v>3600</v>
      </c>
      <c r="I17" s="8">
        <f t="shared" si="1"/>
        <v>100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'JULY 20'!I18:I37</f>
        <v>0</v>
      </c>
      <c r="G18" s="8">
        <f t="shared" si="0"/>
        <v>3600</v>
      </c>
      <c r="H18" s="8">
        <f>3500</f>
        <v>3500</v>
      </c>
      <c r="I18" s="8">
        <f t="shared" si="1"/>
        <v>100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'JULY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320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'JULY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'JULY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96</v>
      </c>
      <c r="C22" s="8"/>
      <c r="D22" s="8"/>
      <c r="E22" s="8"/>
      <c r="F22" s="8">
        <f>'JULY 20'!I22:I42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'JULY 20'!I23:I43</f>
        <v>3600</v>
      </c>
      <c r="G23" s="8">
        <f t="shared" si="0"/>
        <v>7200</v>
      </c>
      <c r="H23" s="8">
        <f>3500+3600</f>
        <v>7100</v>
      </c>
      <c r="I23" s="8">
        <f t="shared" si="1"/>
        <v>100</v>
      </c>
      <c r="J23" s="8"/>
      <c r="K23" s="8">
        <f>240</f>
        <v>240</v>
      </c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'JULY 20'!I24:I44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120</v>
      </c>
    </row>
    <row r="25" spans="1:11" x14ac:dyDescent="0.25">
      <c r="A25" s="8"/>
      <c r="B25" s="9" t="s">
        <v>9</v>
      </c>
      <c r="C25" s="9">
        <f>SUM(C5:C24)</f>
        <v>1800</v>
      </c>
      <c r="D25" s="9">
        <f>SUM(D5:D24)</f>
        <v>0</v>
      </c>
      <c r="E25" s="6">
        <f>SUM(E5:E24)</f>
        <v>63000</v>
      </c>
      <c r="F25" s="8">
        <f>SUM(F5:F24)</f>
        <v>4300</v>
      </c>
      <c r="G25" s="8">
        <f>C25+D25+E25+F25</f>
        <v>69100</v>
      </c>
      <c r="H25" s="6">
        <f>SUM(H5:H24)</f>
        <v>68100</v>
      </c>
      <c r="I25" s="6">
        <f>SUM(I5:I24)</f>
        <v>1000</v>
      </c>
      <c r="J25" s="6">
        <f>SUM(J5:J24)</f>
        <v>0</v>
      </c>
      <c r="K25" s="6">
        <f>SUM(K5:K24)</f>
        <v>2440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121</v>
      </c>
      <c r="C29" s="16">
        <f>E25</f>
        <v>63000</v>
      </c>
      <c r="D29" s="17">
        <v>0.1</v>
      </c>
      <c r="E29" s="16"/>
      <c r="F29" s="20" t="s">
        <v>121</v>
      </c>
      <c r="G29" s="16">
        <f>H25</f>
        <v>68100</v>
      </c>
      <c r="H29" s="17">
        <v>0.1</v>
      </c>
      <c r="I29" s="19" t="s">
        <v>125</v>
      </c>
    </row>
    <row r="30" spans="1:11" x14ac:dyDescent="0.25">
      <c r="B30" s="19" t="s">
        <v>18</v>
      </c>
      <c r="C30" s="16">
        <f>'JULY 20'!E43</f>
        <v>5209</v>
      </c>
      <c r="D30" s="19"/>
      <c r="E30" s="19"/>
      <c r="F30" s="19" t="s">
        <v>18</v>
      </c>
      <c r="G30" s="16">
        <f>'JULY 20'!I43</f>
        <v>909</v>
      </c>
      <c r="H30" s="19"/>
      <c r="I30" s="19"/>
    </row>
    <row r="31" spans="1:11" x14ac:dyDescent="0.25">
      <c r="B31" s="19" t="s">
        <v>45</v>
      </c>
      <c r="C31" s="16">
        <f>C25</f>
        <v>1800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2440</v>
      </c>
      <c r="D34" s="19"/>
      <c r="E34" s="19"/>
      <c r="F34" s="19" t="s">
        <v>55</v>
      </c>
      <c r="G34" s="16">
        <f>K25</f>
        <v>2440</v>
      </c>
      <c r="H34" s="16"/>
      <c r="I34" s="19"/>
    </row>
    <row r="35" spans="2:11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C37*E9</f>
        <v>0</v>
      </c>
      <c r="E37" s="19"/>
      <c r="F37" s="22" t="s">
        <v>79</v>
      </c>
      <c r="G37" s="17">
        <v>0.3</v>
      </c>
      <c r="H37" s="19">
        <f>G37*E9</f>
        <v>0</v>
      </c>
      <c r="I37" s="19"/>
    </row>
    <row r="38" spans="2:11" x14ac:dyDescent="0.25">
      <c r="B38" s="8" t="s">
        <v>126</v>
      </c>
      <c r="C38" s="27"/>
      <c r="D38" s="8">
        <v>72000</v>
      </c>
      <c r="E38" s="8"/>
      <c r="F38" s="8" t="s">
        <v>126</v>
      </c>
      <c r="G38" s="27"/>
      <c r="H38" s="8">
        <v>72000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66149</v>
      </c>
      <c r="D42" s="15">
        <f>SUM(D37:D41)</f>
        <v>72000</v>
      </c>
      <c r="E42" s="23">
        <f>C42-D42</f>
        <v>-5851</v>
      </c>
      <c r="F42" s="18"/>
      <c r="G42" s="23">
        <f>G29+G30+G34+G31+G33-H35</f>
        <v>65149</v>
      </c>
      <c r="H42" s="23">
        <f>SUM(H37:H41)</f>
        <v>72000</v>
      </c>
      <c r="I42" s="23">
        <f>G42-H42</f>
        <v>-6851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0" workbookViewId="0">
      <selection activeCell="G30" sqref="G30"/>
    </sheetView>
  </sheetViews>
  <sheetFormatPr defaultRowHeight="15" x14ac:dyDescent="0.25"/>
  <cols>
    <col min="1" max="1" width="5.5703125" customWidth="1"/>
    <col min="2" max="2" width="22.42578125" customWidth="1"/>
    <col min="7" max="7" width="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127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'AUGUST 20'!I5:I24</f>
        <v>100</v>
      </c>
      <c r="G5" s="8">
        <f>C5+D5+E5+F5</f>
        <v>3700</v>
      </c>
      <c r="H5" s="8">
        <f>3500+200</f>
        <v>3700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'AUGUST 20'!I6:I25</f>
        <v>100</v>
      </c>
      <c r="G6" s="8">
        <f t="shared" ref="G6:G24" si="0">C6+D6+E6+F6</f>
        <v>3700</v>
      </c>
      <c r="H6" s="8">
        <f>501+1999+1000</f>
        <v>3500</v>
      </c>
      <c r="I6" s="8">
        <f t="shared" ref="I6:I24" si="1">G6-H6</f>
        <v>200</v>
      </c>
      <c r="J6" s="8"/>
      <c r="K6" s="8">
        <v>20</v>
      </c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'AUGUST 20'!I7:I26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'AUGUST 20'!I8:I27</f>
        <v>0</v>
      </c>
      <c r="G8" s="8">
        <f>C8+D8+E8+F8</f>
        <v>3600</v>
      </c>
      <c r="H8" s="8">
        <v>430</v>
      </c>
      <c r="I8" s="8">
        <f t="shared" si="1"/>
        <v>3170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>
        <v>3500</v>
      </c>
      <c r="E9" s="8">
        <v>3500</v>
      </c>
      <c r="F9" s="8">
        <f>'AUGUST 20'!I9:I28</f>
        <v>0</v>
      </c>
      <c r="G9" s="8">
        <f t="shared" si="0"/>
        <v>7100</v>
      </c>
      <c r="H9" s="8">
        <f>4000</f>
        <v>4000</v>
      </c>
      <c r="I9" s="8">
        <f t="shared" si="1"/>
        <v>3100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'AUGUST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360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'AUGUST 20'!I11:I30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'AUGUST 20'!I12:I31</f>
        <v>0</v>
      </c>
      <c r="G12" s="8">
        <f t="shared" si="0"/>
        <v>3600</v>
      </c>
      <c r="H12" s="8">
        <f>3500</f>
        <v>3500</v>
      </c>
      <c r="I12" s="8">
        <f>G12-H12</f>
        <v>100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'AUGUST 20'!I13:I32</f>
        <v>400</v>
      </c>
      <c r="G13" s="8">
        <f t="shared" si="0"/>
        <v>4000</v>
      </c>
      <c r="H13" s="8">
        <f>3500+100</f>
        <v>3600</v>
      </c>
      <c r="I13" s="8">
        <f t="shared" si="1"/>
        <v>400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'AUGUST 20'!I14:I33</f>
        <v>0</v>
      </c>
      <c r="G14" s="8">
        <f t="shared" si="0"/>
        <v>3600</v>
      </c>
      <c r="H14" s="8">
        <f>2000+1600</f>
        <v>3600</v>
      </c>
      <c r="I14" s="8">
        <f t="shared" si="1"/>
        <v>0</v>
      </c>
      <c r="J14" s="8"/>
      <c r="K14" s="8">
        <v>240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'AUGUST 20'!I15:I34</f>
        <v>100</v>
      </c>
      <c r="G15" s="8">
        <f t="shared" si="0"/>
        <v>3700</v>
      </c>
      <c r="H15" s="8">
        <f>500+2500+700</f>
        <v>3700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'AUGUST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'AUGUST 20'!I17:I36</f>
        <v>100</v>
      </c>
      <c r="G17" s="8">
        <f t="shared" si="0"/>
        <v>3700</v>
      </c>
      <c r="H17" s="8">
        <v>3700</v>
      </c>
      <c r="I17" s="8">
        <f t="shared" si="1"/>
        <v>0</v>
      </c>
      <c r="J17" s="8"/>
      <c r="K17" s="8">
        <v>120</v>
      </c>
    </row>
    <row r="18" spans="1:17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'AUGUST 20'!I18:I37</f>
        <v>100</v>
      </c>
      <c r="G18" s="8">
        <f t="shared" si="0"/>
        <v>3700</v>
      </c>
      <c r="H18" s="8">
        <f>2500+500</f>
        <v>3000</v>
      </c>
      <c r="I18" s="8">
        <f t="shared" si="1"/>
        <v>700</v>
      </c>
      <c r="J18" s="8"/>
      <c r="K18" s="8"/>
    </row>
    <row r="19" spans="1:17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'AUGUST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7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'AUGUST 20'!I20:I39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'AUGUST 20'!I21:I40</f>
        <v>0</v>
      </c>
      <c r="G21" s="8">
        <f t="shared" si="0"/>
        <v>3600</v>
      </c>
      <c r="H21" s="8">
        <f>3500+100</f>
        <v>3600</v>
      </c>
      <c r="I21" s="8">
        <f t="shared" si="1"/>
        <v>0</v>
      </c>
      <c r="J21" s="8"/>
      <c r="K21" s="8"/>
    </row>
    <row r="22" spans="1:17" x14ac:dyDescent="0.25">
      <c r="A22" s="8">
        <v>18</v>
      </c>
      <c r="B22" s="8" t="s">
        <v>124</v>
      </c>
      <c r="C22" s="8">
        <v>100</v>
      </c>
      <c r="D22" s="8">
        <v>3500</v>
      </c>
      <c r="E22" s="8">
        <v>3500</v>
      </c>
      <c r="F22" s="8">
        <f>'AUGUST 20'!I22:I41</f>
        <v>0</v>
      </c>
      <c r="G22" s="8">
        <f t="shared" si="0"/>
        <v>7100</v>
      </c>
      <c r="H22" s="8">
        <v>7100</v>
      </c>
      <c r="I22" s="8">
        <f t="shared" si="1"/>
        <v>0</v>
      </c>
      <c r="J22" s="8"/>
      <c r="K22" s="8"/>
    </row>
    <row r="23" spans="1:17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'AUGUST 20'!I23:I42</f>
        <v>100</v>
      </c>
      <c r="G23" s="8">
        <f t="shared" si="0"/>
        <v>3700</v>
      </c>
      <c r="H23" s="8"/>
      <c r="I23" s="8">
        <f t="shared" si="1"/>
        <v>3700</v>
      </c>
      <c r="J23" s="8"/>
      <c r="K23" s="8"/>
    </row>
    <row r="24" spans="1:17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'AUGUST 20'!I24:I43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>
        <v>120</v>
      </c>
    </row>
    <row r="25" spans="1:17" x14ac:dyDescent="0.25">
      <c r="A25" s="8"/>
      <c r="B25" s="9" t="s">
        <v>9</v>
      </c>
      <c r="C25" s="9">
        <f>SUM(C5:C24)</f>
        <v>2000</v>
      </c>
      <c r="D25" s="9">
        <f>SUM(D5:D24)</f>
        <v>7000</v>
      </c>
      <c r="E25" s="6">
        <f>SUM(E5:E24)</f>
        <v>70000</v>
      </c>
      <c r="F25" s="8">
        <f>SUM(F5:F24)</f>
        <v>1000</v>
      </c>
      <c r="G25" s="8">
        <f>C25+D25+E25+F25</f>
        <v>80000</v>
      </c>
      <c r="H25" s="6">
        <f>SUM(H5:H24)</f>
        <v>68630</v>
      </c>
      <c r="I25" s="6">
        <f>SUM(I5:I24)</f>
        <v>11370</v>
      </c>
      <c r="J25" s="6">
        <f>SUM(J5:J24)</f>
        <v>0</v>
      </c>
      <c r="K25" s="6">
        <f>SUM(K5:K24)</f>
        <v>2060</v>
      </c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7" x14ac:dyDescent="0.25">
      <c r="B29" s="19" t="s">
        <v>128</v>
      </c>
      <c r="C29" s="16">
        <f>E25</f>
        <v>70000</v>
      </c>
      <c r="D29" s="17">
        <v>0.1</v>
      </c>
      <c r="E29" s="16"/>
      <c r="F29" s="20" t="s">
        <v>128</v>
      </c>
      <c r="G29" s="16">
        <f>H25</f>
        <v>68630</v>
      </c>
      <c r="H29" s="17">
        <v>0.1</v>
      </c>
      <c r="I29" s="19"/>
    </row>
    <row r="30" spans="1:17" x14ac:dyDescent="0.25">
      <c r="B30" s="19" t="s">
        <v>18</v>
      </c>
      <c r="C30" s="16">
        <f>'AUGUST 20'!E42</f>
        <v>-5851</v>
      </c>
      <c r="D30" s="19"/>
      <c r="E30" s="19"/>
      <c r="F30" s="19" t="s">
        <v>18</v>
      </c>
      <c r="G30" s="16">
        <f>'AUGUST 20'!I42</f>
        <v>-6851</v>
      </c>
      <c r="H30" s="19"/>
      <c r="I30" s="19"/>
      <c r="Q30">
        <f>1000-340</f>
        <v>660</v>
      </c>
    </row>
    <row r="31" spans="1:17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7" x14ac:dyDescent="0.25">
      <c r="B32" s="19" t="s">
        <v>130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2060</v>
      </c>
      <c r="D34" s="19"/>
      <c r="E34" s="19"/>
      <c r="F34" s="19" t="s">
        <v>55</v>
      </c>
      <c r="G34" s="16">
        <f>K25</f>
        <v>2060</v>
      </c>
      <c r="H34" s="16"/>
      <c r="I34" s="19"/>
    </row>
    <row r="35" spans="2:12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C37*E9+(C37*E22)</f>
        <v>2100</v>
      </c>
      <c r="E37" s="19"/>
      <c r="F37" s="22" t="s">
        <v>79</v>
      </c>
      <c r="G37" s="17">
        <v>0.3</v>
      </c>
      <c r="H37" s="19">
        <f>G37*E9+(G37*E22)</f>
        <v>2100</v>
      </c>
      <c r="I37" s="19"/>
    </row>
    <row r="38" spans="2:12" x14ac:dyDescent="0.25">
      <c r="B38" s="8" t="s">
        <v>131</v>
      </c>
      <c r="C38" s="27"/>
      <c r="D38" s="8">
        <v>60000</v>
      </c>
      <c r="E38" s="8"/>
      <c r="F38" s="8" t="s">
        <v>131</v>
      </c>
      <c r="G38" s="27"/>
      <c r="H38" s="8">
        <v>60000</v>
      </c>
      <c r="I38" s="19"/>
    </row>
    <row r="39" spans="2:12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68209</v>
      </c>
      <c r="D42" s="15">
        <f>SUM(D37:D41)</f>
        <v>62100</v>
      </c>
      <c r="E42" s="23">
        <f>C42-D42</f>
        <v>6109</v>
      </c>
      <c r="F42" s="18"/>
      <c r="G42" s="23">
        <f>G29+G30+G34+G31+G33-H35</f>
        <v>56839</v>
      </c>
      <c r="H42" s="23">
        <f>SUM(H37:H41)</f>
        <v>62100</v>
      </c>
      <c r="I42" s="23">
        <f>G42-H42</f>
        <v>-5261</v>
      </c>
      <c r="L42">
        <f>450000+231640+531460</f>
        <v>1213100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7" sqref="H7"/>
    </sheetView>
  </sheetViews>
  <sheetFormatPr defaultRowHeight="15" x14ac:dyDescent="0.25"/>
  <cols>
    <col min="1" max="1" width="4.42578125" customWidth="1"/>
    <col min="2" max="2" width="17.5703125" customWidth="1"/>
    <col min="4" max="4" width="7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132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SEPTEMBER20!I5:I25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SEPTEMBER20!I6:I26</f>
        <v>200</v>
      </c>
      <c r="G6" s="8">
        <f t="shared" ref="G6:G24" si="0">C6+D6+E6+F6</f>
        <v>3800</v>
      </c>
      <c r="H6" s="8">
        <f>2500+840</f>
        <v>3340</v>
      </c>
      <c r="I6" s="8">
        <f t="shared" ref="I6:I24" si="1">G6-H6</f>
        <v>460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SEPTEMBER20!I7:I27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SEPTEMBER20!I8:I28</f>
        <v>3170</v>
      </c>
      <c r="G8" s="8">
        <f>C8+D8+E8+F8</f>
        <v>6770</v>
      </c>
      <c r="H8" s="8">
        <f>3340</f>
        <v>3340</v>
      </c>
      <c r="I8" s="8">
        <f>G8-H8</f>
        <v>3430</v>
      </c>
      <c r="J8" s="8"/>
      <c r="K8" s="8">
        <f>360</f>
        <v>360</v>
      </c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SEPTEMBER20!I9:I29</f>
        <v>3100</v>
      </c>
      <c r="G9" s="8">
        <f t="shared" si="0"/>
        <v>6700</v>
      </c>
      <c r="H9" s="8">
        <f>4600+500</f>
        <v>5100</v>
      </c>
      <c r="I9" s="8">
        <f t="shared" si="1"/>
        <v>1600</v>
      </c>
      <c r="J9" s="8"/>
      <c r="K9" s="8">
        <v>360</v>
      </c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SEPTEMBER20!I10:I30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SEPTEMBER20!I11:I31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360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SEPTEMBER20!I12:I32</f>
        <v>100</v>
      </c>
      <c r="G12" s="8">
        <f t="shared" si="0"/>
        <v>3700</v>
      </c>
      <c r="H12" s="8">
        <v>3600</v>
      </c>
      <c r="I12" s="8">
        <f>G12-H12</f>
        <v>100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SEPTEMBER20!I13:I33</f>
        <v>400</v>
      </c>
      <c r="G13" s="8">
        <f t="shared" si="0"/>
        <v>4000</v>
      </c>
      <c r="H13" s="8">
        <v>3600</v>
      </c>
      <c r="I13" s="8">
        <f t="shared" si="1"/>
        <v>400</v>
      </c>
      <c r="J13" s="8"/>
      <c r="K13" s="8">
        <v>360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SEPTEMBER20!I14:I34</f>
        <v>0</v>
      </c>
      <c r="G14" s="8">
        <f t="shared" si="0"/>
        <v>3600</v>
      </c>
      <c r="H14" s="8">
        <f>2500+1100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SEPTEMBER20!I15:I35</f>
        <v>0</v>
      </c>
      <c r="G15" s="8">
        <f t="shared" si="0"/>
        <v>3600</v>
      </c>
      <c r="H15" s="8">
        <f>2500+1100</f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SEPTEMBER20!I16:I36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240</v>
      </c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SEPTEMBER20!I17:I37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170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SEPTEMBER20!I18:I38</f>
        <v>700</v>
      </c>
      <c r="G18" s="8">
        <f t="shared" si="0"/>
        <v>4300</v>
      </c>
      <c r="H18" s="8">
        <v>4300</v>
      </c>
      <c r="I18" s="8">
        <f t="shared" si="1"/>
        <v>0</v>
      </c>
      <c r="J18" s="8"/>
      <c r="K18" s="8">
        <v>240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SEPTEMBER20!I19:I39</f>
        <v>0</v>
      </c>
      <c r="G19" s="8">
        <f t="shared" si="0"/>
        <v>3600</v>
      </c>
      <c r="H19" s="8">
        <f>3480+120</f>
        <v>3600</v>
      </c>
      <c r="I19" s="8">
        <f t="shared" si="1"/>
        <v>0</v>
      </c>
      <c r="J19" s="8"/>
      <c r="K19" s="8">
        <v>120</v>
      </c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SEPTEMBER20!I20:I40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SEPTEMBER20!I21:I41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2" x14ac:dyDescent="0.25">
      <c r="A22" s="8">
        <v>18</v>
      </c>
      <c r="B22" s="8" t="s">
        <v>124</v>
      </c>
      <c r="C22" s="8">
        <v>100</v>
      </c>
      <c r="D22" s="8"/>
      <c r="E22" s="8">
        <v>3500</v>
      </c>
      <c r="F22" s="8">
        <f>SEPTEMBER20!I22:I42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>
        <v>240</v>
      </c>
    </row>
    <row r="23" spans="1:12" x14ac:dyDescent="0.25">
      <c r="A23" s="8">
        <v>19</v>
      </c>
      <c r="B23" s="8" t="s">
        <v>122</v>
      </c>
      <c r="C23" s="8">
        <v>100</v>
      </c>
      <c r="D23" s="8"/>
      <c r="E23" s="8">
        <v>3500</v>
      </c>
      <c r="F23" s="8">
        <f>SEPTEMBER20!I23:I43</f>
        <v>3700</v>
      </c>
      <c r="G23" s="8">
        <f t="shared" si="0"/>
        <v>7300</v>
      </c>
      <c r="H23" s="8"/>
      <c r="I23" s="8"/>
      <c r="J23" s="8"/>
      <c r="K23" s="8"/>
      <c r="L23" t="s">
        <v>91</v>
      </c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SEPTEMBER20!I24:I44</f>
        <v>0</v>
      </c>
      <c r="G24" s="8">
        <f t="shared" si="0"/>
        <v>3600</v>
      </c>
      <c r="H24" s="8">
        <f>3500</f>
        <v>3500</v>
      </c>
      <c r="I24" s="8">
        <f t="shared" si="1"/>
        <v>100</v>
      </c>
      <c r="J24" s="8"/>
      <c r="K24" s="8"/>
    </row>
    <row r="25" spans="1:12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SEPTEMBER20!I25:I45</f>
        <v>11370</v>
      </c>
      <c r="G25" s="8">
        <f>C25+D25+E25+F25</f>
        <v>83370</v>
      </c>
      <c r="H25" s="6">
        <f>SUM(H5:H24)</f>
        <v>69980</v>
      </c>
      <c r="I25" s="6">
        <f>SUM(I5:I24)</f>
        <v>6090</v>
      </c>
      <c r="J25" s="6">
        <f>SUM(J5:J24)</f>
        <v>0</v>
      </c>
      <c r="K25" s="6">
        <f>SUM(K5:K24)</f>
        <v>3530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133</v>
      </c>
      <c r="C29" s="16">
        <f>E25</f>
        <v>70000</v>
      </c>
      <c r="D29" s="17">
        <v>0.1</v>
      </c>
      <c r="E29" s="16"/>
      <c r="F29" s="20" t="s">
        <v>134</v>
      </c>
      <c r="G29" s="16">
        <f>H25</f>
        <v>69980</v>
      </c>
      <c r="H29" s="17">
        <v>0.1</v>
      </c>
      <c r="I29" s="19"/>
    </row>
    <row r="30" spans="1:12" x14ac:dyDescent="0.25">
      <c r="B30" s="19" t="s">
        <v>18</v>
      </c>
      <c r="C30" s="16">
        <f>SEPTEMBER20!E42</f>
        <v>6109</v>
      </c>
      <c r="D30" s="19"/>
      <c r="E30" s="19"/>
      <c r="F30" s="19" t="s">
        <v>18</v>
      </c>
      <c r="G30" s="16">
        <f>SEPTEMBER20!I42</f>
        <v>-5261</v>
      </c>
      <c r="H30" s="19"/>
      <c r="I30" s="19"/>
    </row>
    <row r="31" spans="1:12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130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3530</v>
      </c>
      <c r="D34" s="19"/>
      <c r="E34" s="19"/>
      <c r="F34" s="19" t="s">
        <v>55</v>
      </c>
      <c r="G34" s="16">
        <f>K25</f>
        <v>3530</v>
      </c>
      <c r="H34" s="16"/>
      <c r="I34" s="19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/>
      <c r="C38" s="27"/>
      <c r="D38" s="8"/>
      <c r="E38" s="8"/>
      <c r="F38" s="8"/>
      <c r="G38" s="27"/>
      <c r="H38" s="8"/>
      <c r="I38" s="19"/>
    </row>
    <row r="39" spans="2:11" x14ac:dyDescent="0.25">
      <c r="B39" s="22" t="s">
        <v>135</v>
      </c>
      <c r="C39" s="19"/>
      <c r="D39" s="19">
        <v>50000</v>
      </c>
      <c r="E39" s="19"/>
      <c r="F39" s="22" t="s">
        <v>135</v>
      </c>
      <c r="G39" s="19"/>
      <c r="H39" s="19">
        <v>50000</v>
      </c>
      <c r="I39" s="19"/>
      <c r="K39" s="25"/>
    </row>
    <row r="40" spans="2:11" x14ac:dyDescent="0.25">
      <c r="B40" s="22" t="s">
        <v>140</v>
      </c>
      <c r="C40" s="19"/>
      <c r="D40" s="19">
        <v>10000</v>
      </c>
      <c r="E40" s="19"/>
      <c r="F40" s="22" t="s">
        <v>140</v>
      </c>
      <c r="G40" s="19"/>
      <c r="H40" s="19">
        <v>10000</v>
      </c>
      <c r="I40" s="19"/>
    </row>
    <row r="41" spans="2:11" x14ac:dyDescent="0.25">
      <c r="B41" s="22" t="s">
        <v>141</v>
      </c>
      <c r="C41" s="16"/>
      <c r="D41" s="16">
        <v>7300</v>
      </c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74639</v>
      </c>
      <c r="D42" s="15">
        <f>SUM(D37:D41)</f>
        <v>67300</v>
      </c>
      <c r="E42" s="23">
        <f>C42-D42</f>
        <v>7339</v>
      </c>
      <c r="F42" s="18"/>
      <c r="G42" s="23">
        <f>G29+G30+G34+G31+G33-H35</f>
        <v>61249</v>
      </c>
      <c r="H42" s="23">
        <f>SUM(H37:H41)</f>
        <v>60000</v>
      </c>
      <c r="I42" s="23">
        <f>G42-H42</f>
        <v>1249</v>
      </c>
    </row>
    <row r="43" spans="2:11" x14ac:dyDescent="0.25">
      <c r="C43" s="25">
        <f>C42+D35</f>
        <v>81639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" right="0" top="0" bottom="0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37" sqref="K37"/>
    </sheetView>
  </sheetViews>
  <sheetFormatPr defaultRowHeight="15" x14ac:dyDescent="0.25"/>
  <cols>
    <col min="1" max="1" width="3.5703125" customWidth="1"/>
    <col min="2" max="2" width="17.7109375" customWidth="1"/>
    <col min="4" max="4" width="7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139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'OCTOBER 20'!I5:I25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'OCTOBER 20'!I6:I26</f>
        <v>460</v>
      </c>
      <c r="G6" s="8">
        <f t="shared" ref="G6:G24" si="0">C6+D6+E6+F6</f>
        <v>4060</v>
      </c>
      <c r="H6" s="8">
        <f>420+400+3200</f>
        <v>4020</v>
      </c>
      <c r="I6" s="8">
        <f t="shared" ref="I6:I24" si="1">G6-H6</f>
        <v>40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'OCTOBER 20'!I7:I27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200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'OCTOBER 20'!I8:I28</f>
        <v>3430</v>
      </c>
      <c r="G8" s="8">
        <f>C8+D8+E8+F8</f>
        <v>7030</v>
      </c>
      <c r="H8" s="8">
        <f>4000</f>
        <v>4000</v>
      </c>
      <c r="I8" s="8">
        <f t="shared" si="1"/>
        <v>3030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'OCTOBER 20'!I9:I29</f>
        <v>1600</v>
      </c>
      <c r="G9" s="8">
        <f t="shared" si="0"/>
        <v>5200</v>
      </c>
      <c r="H9" s="8">
        <v>3600</v>
      </c>
      <c r="I9" s="8">
        <f t="shared" si="1"/>
        <v>1600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'OCTOBER 20'!I10:I30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'OCTOBER 20'!I11:I31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'OCTOBER 20'!I12:I32</f>
        <v>100</v>
      </c>
      <c r="G12" s="8">
        <f t="shared" si="0"/>
        <v>3700</v>
      </c>
      <c r="H12" s="8">
        <f>3700</f>
        <v>3700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'OCTOBER 20'!I13:I33</f>
        <v>400</v>
      </c>
      <c r="G13" s="8">
        <f t="shared" si="0"/>
        <v>4000</v>
      </c>
      <c r="H13" s="8">
        <f>3500+380</f>
        <v>3880</v>
      </c>
      <c r="I13" s="8">
        <f t="shared" si="1"/>
        <v>120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'OCTOBER 20'!I14:I34</f>
        <v>0</v>
      </c>
      <c r="G14" s="8">
        <f t="shared" si="0"/>
        <v>3600</v>
      </c>
      <c r="H14" s="8">
        <f>2000</f>
        <v>2000</v>
      </c>
      <c r="I14" s="8">
        <f t="shared" si="1"/>
        <v>1600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'OCTOBER 20'!I15:I35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'OCTOBER 20'!I16:I36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120</v>
      </c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'OCTOBER 20'!I17:I37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'OCTOBER 20'!I18:I38</f>
        <v>0</v>
      </c>
      <c r="G18" s="8">
        <f t="shared" si="0"/>
        <v>3600</v>
      </c>
      <c r="H18" s="8">
        <f>3600</f>
        <v>3600</v>
      </c>
      <c r="I18" s="8">
        <f t="shared" si="1"/>
        <v>0</v>
      </c>
      <c r="J18" s="8"/>
      <c r="K18" s="8">
        <v>100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'OCTOBER 20'!I19:I39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'OCTOBER 20'!I20:I40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'OCTOBER 20'!I21:I41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2" x14ac:dyDescent="0.25">
      <c r="A22" s="8">
        <v>18</v>
      </c>
      <c r="B22" s="8" t="s">
        <v>124</v>
      </c>
      <c r="C22" s="8">
        <v>100</v>
      </c>
      <c r="D22" s="8"/>
      <c r="E22" s="8">
        <v>3500</v>
      </c>
      <c r="F22" s="8">
        <f>'OCTOBER 20'!I22:I42</f>
        <v>0</v>
      </c>
      <c r="G22" s="8">
        <f t="shared" si="0"/>
        <v>3600</v>
      </c>
      <c r="H22" s="8"/>
      <c r="I22" s="8"/>
      <c r="J22" s="8"/>
      <c r="K22" s="8"/>
      <c r="L22" t="s">
        <v>106</v>
      </c>
    </row>
    <row r="23" spans="1:12" x14ac:dyDescent="0.25">
      <c r="A23" s="8">
        <v>19</v>
      </c>
      <c r="B23" s="8"/>
      <c r="C23" s="8"/>
      <c r="D23" s="8"/>
      <c r="E23" s="8"/>
      <c r="F23" s="8">
        <f>'OCTOBER 20'!I23:I43</f>
        <v>0</v>
      </c>
      <c r="G23" s="8">
        <f t="shared" si="0"/>
        <v>0</v>
      </c>
      <c r="H23" s="8"/>
      <c r="I23" s="8">
        <f t="shared" si="1"/>
        <v>0</v>
      </c>
      <c r="J23" s="8"/>
      <c r="K23" s="8"/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'OCTOBER 20'!I24:I44</f>
        <v>100</v>
      </c>
      <c r="G24" s="8">
        <f t="shared" si="0"/>
        <v>3700</v>
      </c>
      <c r="H24" s="8">
        <f>3700</f>
        <v>3700</v>
      </c>
      <c r="I24" s="8">
        <f t="shared" si="1"/>
        <v>0</v>
      </c>
      <c r="J24" s="8"/>
      <c r="K24" s="8">
        <v>120</v>
      </c>
    </row>
    <row r="25" spans="1:12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'OCTOBER 20'!I25:I45</f>
        <v>6090</v>
      </c>
      <c r="G25" s="8">
        <f>C25+D25+E25+F25</f>
        <v>74490</v>
      </c>
      <c r="H25" s="6">
        <f>SUM(H5:H24)</f>
        <v>64500</v>
      </c>
      <c r="I25" s="6">
        <f>SUM(I5:I24)</f>
        <v>6390</v>
      </c>
      <c r="J25" s="6">
        <f>SUM(J5:J24)</f>
        <v>0</v>
      </c>
      <c r="K25" s="6">
        <f>SUM(K5:K24)</f>
        <v>1620</v>
      </c>
    </row>
    <row r="26" spans="1:12" x14ac:dyDescent="0.25">
      <c r="I26">
        <f>I25-I9</f>
        <v>4790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70</v>
      </c>
      <c r="C29" s="16">
        <f>E25</f>
        <v>66500</v>
      </c>
      <c r="D29" s="17">
        <v>0.1</v>
      </c>
      <c r="E29" s="16"/>
      <c r="F29" s="20" t="s">
        <v>70</v>
      </c>
      <c r="G29" s="16">
        <f>H25</f>
        <v>64500</v>
      </c>
      <c r="H29" s="17">
        <v>0.1</v>
      </c>
      <c r="I29" s="19"/>
    </row>
    <row r="30" spans="1:12" x14ac:dyDescent="0.25">
      <c r="B30" s="19" t="s">
        <v>18</v>
      </c>
      <c r="C30" s="16">
        <f>'OCTOBER 20'!E42</f>
        <v>7339</v>
      </c>
      <c r="D30" s="19"/>
      <c r="E30" s="19"/>
      <c r="F30" s="19" t="s">
        <v>18</v>
      </c>
      <c r="G30" s="16">
        <f>'OCTOBER 20'!I42</f>
        <v>1249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1620</v>
      </c>
      <c r="D34" s="19"/>
      <c r="E34" s="19"/>
      <c r="F34" s="19" t="s">
        <v>55</v>
      </c>
      <c r="G34" s="16">
        <f>K25</f>
        <v>1620</v>
      </c>
      <c r="H34" s="16"/>
      <c r="I34" s="19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142</v>
      </c>
      <c r="C38" s="27"/>
      <c r="D38" s="8">
        <v>62700</v>
      </c>
      <c r="E38" s="8"/>
      <c r="F38" s="8" t="s">
        <v>142</v>
      </c>
      <c r="G38" s="27"/>
      <c r="H38" s="8">
        <v>62700</v>
      </c>
      <c r="I38" s="19"/>
    </row>
    <row r="39" spans="2:11" x14ac:dyDescent="0.25">
      <c r="B39" s="22" t="s">
        <v>144</v>
      </c>
      <c r="C39" s="19"/>
      <c r="D39" s="19">
        <v>3600</v>
      </c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  <c r="K41" s="25"/>
    </row>
    <row r="42" spans="2:11" x14ac:dyDescent="0.25">
      <c r="B42" s="15" t="s">
        <v>9</v>
      </c>
      <c r="C42" s="23">
        <f>C29+C30+C31+C32+C33+C34-D35</f>
        <v>70709</v>
      </c>
      <c r="D42" s="15">
        <f>SUM(D37:D41)</f>
        <v>66300</v>
      </c>
      <c r="E42" s="23">
        <f>C42-D42</f>
        <v>4409</v>
      </c>
      <c r="F42" s="18"/>
      <c r="G42" s="23">
        <f>G29+G30+G34+G31+G33-H35</f>
        <v>60719</v>
      </c>
      <c r="H42" s="23">
        <f>SUM(H37:H41)</f>
        <v>62700</v>
      </c>
      <c r="I42" s="23">
        <f>G42-H42</f>
        <v>-1981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" right="0" top="0" bottom="0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0" workbookViewId="0">
      <selection activeCell="M38" sqref="M38"/>
    </sheetView>
  </sheetViews>
  <sheetFormatPr defaultRowHeight="15" x14ac:dyDescent="0.25"/>
  <cols>
    <col min="1" max="1" width="5" customWidth="1"/>
    <col min="2" max="2" width="18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143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NOVEMBER20!I5:I24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NOVEMBER20!I6:I25</f>
        <v>40</v>
      </c>
      <c r="G6" s="8">
        <f t="shared" ref="G6:G24" si="0">C6+D6+E6+F6</f>
        <v>3640</v>
      </c>
      <c r="H6" s="8">
        <f>1000+2640</f>
        <v>3640</v>
      </c>
      <c r="I6" s="8">
        <f t="shared" ref="I6:I24" si="1">G6-H6</f>
        <v>0</v>
      </c>
      <c r="J6" s="8"/>
      <c r="K6" s="8">
        <v>120</v>
      </c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NOVEMBER20!I7:I26</f>
        <v>0</v>
      </c>
      <c r="G7" s="8">
        <f t="shared" si="0"/>
        <v>3600</v>
      </c>
      <c r="H7" s="8">
        <f>1000+2300+300</f>
        <v>3600</v>
      </c>
      <c r="I7" s="8">
        <f t="shared" si="1"/>
        <v>0</v>
      </c>
      <c r="J7" s="8"/>
      <c r="K7" s="8">
        <v>200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NOVEMBER20!I8:I27</f>
        <v>3030</v>
      </c>
      <c r="G8" s="8">
        <f>C8+D8+E8+F8</f>
        <v>6630</v>
      </c>
      <c r="H8" s="8">
        <f>3620+3010</f>
        <v>6630</v>
      </c>
      <c r="I8" s="8">
        <f t="shared" si="1"/>
        <v>0</v>
      </c>
      <c r="J8" s="8"/>
      <c r="K8" s="8">
        <v>240</v>
      </c>
    </row>
    <row r="9" spans="1:11" x14ac:dyDescent="0.25">
      <c r="A9" s="8">
        <v>5</v>
      </c>
      <c r="B9" s="8" t="s">
        <v>129</v>
      </c>
      <c r="C9" s="8">
        <v>100</v>
      </c>
      <c r="D9" s="8">
        <v>1600</v>
      </c>
      <c r="E9" s="8">
        <v>3500</v>
      </c>
      <c r="F9" s="8"/>
      <c r="G9" s="8">
        <f t="shared" si="0"/>
        <v>5200</v>
      </c>
      <c r="H9" s="8">
        <f>2000+3200</f>
        <v>5200</v>
      </c>
      <c r="I9" s="8">
        <f t="shared" si="1"/>
        <v>0</v>
      </c>
      <c r="J9" s="8"/>
      <c r="K9" s="8">
        <v>440</v>
      </c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NOVEMBER20!I10:I29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120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NOVEMBER20!I11:I30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NOVEMBER20!I12:I31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NOVEMBER20!I13:I32</f>
        <v>120</v>
      </c>
      <c r="G13" s="8">
        <f t="shared" si="0"/>
        <v>3720</v>
      </c>
      <c r="H13" s="8">
        <v>3720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NOVEMBER20!I14:I33</f>
        <v>1600</v>
      </c>
      <c r="G14" s="8">
        <f t="shared" si="0"/>
        <v>5200</v>
      </c>
      <c r="H14" s="8">
        <f>4000</f>
        <v>4000</v>
      </c>
      <c r="I14" s="8">
        <f t="shared" si="1"/>
        <v>1200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NOVEMBER20!I15:I34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NOVEMBER20!I16:I35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240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NOVEMBER20!I17:I36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NOVEMBER20!I18:I37</f>
        <v>0</v>
      </c>
      <c r="G18" s="8">
        <f t="shared" si="0"/>
        <v>3600</v>
      </c>
      <c r="H18" s="8">
        <f>3000+500+100</f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NOVEMBER20!I19:I38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NOVEMBER20!I20:I39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NOVEMBER20!I21:I40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94</v>
      </c>
      <c r="C22" s="8"/>
      <c r="D22" s="8"/>
      <c r="E22" s="8"/>
      <c r="F22" s="8">
        <f>NOVEMBER20!I22:I41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NOVEMBER20!I23:I42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NOVEMBER20!I24:I43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120</v>
      </c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1600</v>
      </c>
      <c r="E25" s="6">
        <f>SUM(E5:E24)</f>
        <v>66500</v>
      </c>
      <c r="F25" s="8">
        <f>SUM(F5:F24)</f>
        <v>4790</v>
      </c>
      <c r="G25" s="8">
        <f>C25+D25+E25+F25</f>
        <v>74790</v>
      </c>
      <c r="H25" s="6">
        <f>SUM(H5:H24)</f>
        <v>73590</v>
      </c>
      <c r="I25" s="6">
        <f>SUM(I5:I24)</f>
        <v>1200</v>
      </c>
      <c r="J25" s="6">
        <f>SUM(J5:J24)</f>
        <v>0</v>
      </c>
      <c r="K25" s="6">
        <f>SUM(K5:K24)</f>
        <v>2560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75</v>
      </c>
      <c r="C29" s="16">
        <f>E25</f>
        <v>66500</v>
      </c>
      <c r="D29" s="17">
        <v>0.1</v>
      </c>
      <c r="E29" s="16"/>
      <c r="F29" s="20" t="s">
        <v>75</v>
      </c>
      <c r="G29" s="16">
        <f>H25</f>
        <v>73590</v>
      </c>
      <c r="H29" s="17">
        <v>0.1</v>
      </c>
      <c r="I29" s="19"/>
    </row>
    <row r="30" spans="1:11" x14ac:dyDescent="0.25">
      <c r="B30" s="19" t="s">
        <v>18</v>
      </c>
      <c r="C30" s="16">
        <f>NOVEMBER20!E42</f>
        <v>4409</v>
      </c>
      <c r="D30" s="19"/>
      <c r="E30" s="19"/>
      <c r="F30" s="19" t="s">
        <v>18</v>
      </c>
      <c r="G30" s="16">
        <f>NOVEMBER20!I42</f>
        <v>-1981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2560</v>
      </c>
      <c r="D34" s="19"/>
      <c r="E34" s="19"/>
      <c r="F34" s="19" t="s">
        <v>55</v>
      </c>
      <c r="G34" s="16">
        <f>K25</f>
        <v>2560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78</v>
      </c>
      <c r="C38" s="27"/>
      <c r="D38" s="8">
        <v>67010</v>
      </c>
      <c r="E38" s="8"/>
      <c r="F38" s="8" t="s">
        <v>78</v>
      </c>
      <c r="G38" s="27"/>
      <c r="H38" s="8">
        <v>67010</v>
      </c>
      <c r="I38" s="19"/>
    </row>
    <row r="39" spans="2:11" x14ac:dyDescent="0.25">
      <c r="B39" s="22" t="s">
        <v>147</v>
      </c>
      <c r="C39" s="19"/>
      <c r="D39" s="19">
        <v>900</v>
      </c>
      <c r="E39" s="19"/>
      <c r="F39" s="22" t="s">
        <v>147</v>
      </c>
      <c r="G39" s="19"/>
      <c r="H39" s="19">
        <v>900</v>
      </c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68719</v>
      </c>
      <c r="D42" s="15">
        <f>SUM(D37:D41)</f>
        <v>67910</v>
      </c>
      <c r="E42" s="23">
        <f>C42-D42</f>
        <v>809</v>
      </c>
      <c r="F42" s="18"/>
      <c r="G42" s="23">
        <f>G29+G30+G34+G31+G33-H35</f>
        <v>67519</v>
      </c>
      <c r="H42" s="23">
        <f>SUM(H37:H41)</f>
        <v>67910</v>
      </c>
      <c r="I42" s="23">
        <f>G42-H42</f>
        <v>-391</v>
      </c>
    </row>
    <row r="44" spans="2:11" x14ac:dyDescent="0.25">
      <c r="K44" s="25"/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B1" workbookViewId="0">
      <selection activeCell="J7" sqref="J7"/>
    </sheetView>
  </sheetViews>
  <sheetFormatPr defaultRowHeight="15" x14ac:dyDescent="0.25"/>
  <cols>
    <col min="1" max="1" width="4" customWidth="1"/>
    <col min="2" max="2" width="23.5703125" customWidth="1"/>
    <col min="3" max="4" width="9.85546875" customWidth="1"/>
    <col min="5" max="5" width="8.85546875" customWidth="1"/>
    <col min="6" max="6" width="11.7109375" customWidth="1"/>
    <col min="7" max="7" width="10.5703125" customWidth="1"/>
    <col min="8" max="8" width="11.5703125" customWidth="1"/>
    <col min="10" max="10" width="13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49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L4" s="8"/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/>
      <c r="G5" s="8">
        <f>C5+D5+E5+F5</f>
        <v>3600</v>
      </c>
      <c r="H5" s="8">
        <v>3600</v>
      </c>
      <c r="I5" s="8">
        <f>G5-H5</f>
        <v>0</v>
      </c>
      <c r="J5" s="8"/>
      <c r="K5" s="8"/>
      <c r="L5" s="8">
        <f>F5-J5</f>
        <v>0</v>
      </c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/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  <c r="L6" s="8">
        <f t="shared" ref="L6:L25" si="2">F6-J6</f>
        <v>0</v>
      </c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v>3600</v>
      </c>
      <c r="G7" s="8">
        <f t="shared" si="0"/>
        <v>7200</v>
      </c>
      <c r="H7" s="8">
        <v>3600</v>
      </c>
      <c r="I7" s="8">
        <f t="shared" si="1"/>
        <v>3600</v>
      </c>
      <c r="J7" s="8"/>
      <c r="K7" s="8"/>
      <c r="L7" s="8">
        <f>F7-J7</f>
        <v>3600</v>
      </c>
    </row>
    <row r="8" spans="1:12" x14ac:dyDescent="0.25">
      <c r="A8" s="8">
        <v>4</v>
      </c>
      <c r="B8" s="8" t="s">
        <v>51</v>
      </c>
      <c r="C8" s="8"/>
      <c r="D8" s="8">
        <v>3500</v>
      </c>
      <c r="E8" s="8">
        <v>3500</v>
      </c>
      <c r="F8" s="8"/>
      <c r="G8" s="8">
        <f t="shared" si="0"/>
        <v>7000</v>
      </c>
      <c r="H8" s="8">
        <v>7000</v>
      </c>
      <c r="I8" s="8">
        <f t="shared" si="1"/>
        <v>0</v>
      </c>
      <c r="J8" s="8"/>
      <c r="K8" s="8"/>
      <c r="L8" s="8">
        <f t="shared" si="2"/>
        <v>0</v>
      </c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v>3600</v>
      </c>
      <c r="G9" s="8">
        <f t="shared" si="0"/>
        <v>7200</v>
      </c>
      <c r="H9" s="8">
        <v>7200</v>
      </c>
      <c r="I9" s="8">
        <f t="shared" si="1"/>
        <v>0</v>
      </c>
      <c r="J9" s="8">
        <v>3600</v>
      </c>
      <c r="K9" s="8"/>
      <c r="L9" s="8">
        <f t="shared" si="2"/>
        <v>0</v>
      </c>
    </row>
    <row r="10" spans="1:12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/>
      <c r="G10" s="8">
        <f t="shared" si="0"/>
        <v>3600</v>
      </c>
      <c r="H10" s="8">
        <v>3600</v>
      </c>
      <c r="I10" s="8">
        <f t="shared" si="1"/>
        <v>0</v>
      </c>
      <c r="J10" s="8"/>
      <c r="K10" s="8"/>
      <c r="L10" s="8">
        <f t="shared" si="2"/>
        <v>0</v>
      </c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/>
      <c r="G11" s="8">
        <f t="shared" si="0"/>
        <v>3600</v>
      </c>
      <c r="H11" s="8">
        <v>3600</v>
      </c>
      <c r="I11" s="8">
        <f t="shared" si="1"/>
        <v>0</v>
      </c>
      <c r="J11" s="8"/>
      <c r="K11" s="8"/>
      <c r="L11" s="8">
        <f t="shared" si="2"/>
        <v>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/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 s="8">
        <f t="shared" si="2"/>
        <v>0</v>
      </c>
    </row>
    <row r="13" spans="1:12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/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L13" s="8">
        <f t="shared" si="2"/>
        <v>0</v>
      </c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/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  <c r="L14" s="8">
        <f t="shared" si="2"/>
        <v>0</v>
      </c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v>3600</v>
      </c>
      <c r="G15" s="8">
        <f t="shared" si="0"/>
        <v>7200</v>
      </c>
      <c r="H15" s="8">
        <v>3600</v>
      </c>
      <c r="I15" s="8">
        <f t="shared" si="1"/>
        <v>3600</v>
      </c>
      <c r="J15" s="8"/>
      <c r="K15" s="8" t="s">
        <v>60</v>
      </c>
      <c r="L15" s="8">
        <f t="shared" si="2"/>
        <v>3600</v>
      </c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/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 s="8">
        <f t="shared" si="2"/>
        <v>0</v>
      </c>
    </row>
    <row r="17" spans="1:13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/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  <c r="L17" s="8">
        <f t="shared" si="2"/>
        <v>0</v>
      </c>
    </row>
    <row r="18" spans="1:13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/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100</v>
      </c>
      <c r="L18" s="8">
        <f t="shared" si="2"/>
        <v>0</v>
      </c>
    </row>
    <row r="19" spans="1:13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v>7400</v>
      </c>
      <c r="G19" s="8">
        <f t="shared" si="0"/>
        <v>11000</v>
      </c>
      <c r="H19" s="8">
        <v>4000</v>
      </c>
      <c r="I19" s="8">
        <f t="shared" si="1"/>
        <v>7000</v>
      </c>
      <c r="J19" s="8">
        <v>400</v>
      </c>
      <c r="K19" s="8"/>
      <c r="L19" s="8">
        <f t="shared" si="2"/>
        <v>7000</v>
      </c>
    </row>
    <row r="20" spans="1:13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v>3600</v>
      </c>
      <c r="G20" s="8">
        <f>C20+D20+E20+F20</f>
        <v>7200</v>
      </c>
      <c r="H20" s="8">
        <v>3600</v>
      </c>
      <c r="I20" s="8">
        <f>G20-H20</f>
        <v>3600</v>
      </c>
      <c r="J20" s="8"/>
      <c r="K20" s="8"/>
      <c r="L20" s="8">
        <f t="shared" si="2"/>
        <v>3600</v>
      </c>
    </row>
    <row r="21" spans="1:13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/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  <c r="L21" s="8">
        <f t="shared" si="2"/>
        <v>0</v>
      </c>
    </row>
    <row r="22" spans="1:13" x14ac:dyDescent="0.25">
      <c r="A22" s="8">
        <v>18</v>
      </c>
      <c r="B22" s="8"/>
      <c r="C22" s="8"/>
      <c r="D22" s="8"/>
      <c r="E22" s="8"/>
      <c r="F22" s="8"/>
      <c r="G22" s="8">
        <f t="shared" si="0"/>
        <v>0</v>
      </c>
      <c r="H22" s="8"/>
      <c r="I22" s="8">
        <f t="shared" si="1"/>
        <v>0</v>
      </c>
      <c r="J22" s="8"/>
      <c r="K22" s="8"/>
      <c r="L22" s="8">
        <f t="shared" si="2"/>
        <v>0</v>
      </c>
    </row>
    <row r="23" spans="1:13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/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  <c r="L23" s="8">
        <f t="shared" si="2"/>
        <v>0</v>
      </c>
    </row>
    <row r="24" spans="1:13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/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  <c r="L24" s="8">
        <f t="shared" si="2"/>
        <v>0</v>
      </c>
    </row>
    <row r="25" spans="1:13" x14ac:dyDescent="0.25">
      <c r="A25" s="6"/>
      <c r="B25" s="9" t="s">
        <v>9</v>
      </c>
      <c r="C25" s="9">
        <f t="shared" ref="C25:H25" si="3">SUM(C5:C24)</f>
        <v>1800</v>
      </c>
      <c r="D25" s="9">
        <f>SUM(D5:D24)</f>
        <v>3500</v>
      </c>
      <c r="E25" s="6">
        <f t="shared" si="3"/>
        <v>66500</v>
      </c>
      <c r="F25" s="6">
        <f t="shared" si="3"/>
        <v>21800</v>
      </c>
      <c r="G25" s="6">
        <f t="shared" si="3"/>
        <v>93600</v>
      </c>
      <c r="H25" s="6">
        <f t="shared" si="3"/>
        <v>75800</v>
      </c>
      <c r="I25" s="6">
        <f>SUM(I5:I24)</f>
        <v>17800</v>
      </c>
      <c r="J25" s="6">
        <f>SUM(J5:J24)</f>
        <v>4000</v>
      </c>
      <c r="K25" s="6">
        <f>SUM(K5:K24)</f>
        <v>220</v>
      </c>
      <c r="L25" s="8">
        <f t="shared" si="2"/>
        <v>17800</v>
      </c>
      <c r="M25" s="25"/>
    </row>
    <row r="26" spans="1:13" x14ac:dyDescent="0.25">
      <c r="A26" s="10"/>
    </row>
    <row r="27" spans="1:13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3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3" x14ac:dyDescent="0.25">
      <c r="B29" s="19" t="s">
        <v>50</v>
      </c>
      <c r="C29" s="16">
        <f>E25</f>
        <v>66500</v>
      </c>
      <c r="D29" s="17">
        <v>0.1</v>
      </c>
      <c r="E29" s="16"/>
      <c r="F29" s="20" t="s">
        <v>50</v>
      </c>
      <c r="G29" s="16">
        <f>H25</f>
        <v>75800</v>
      </c>
      <c r="H29" s="17">
        <v>0.1</v>
      </c>
      <c r="I29" s="19"/>
    </row>
    <row r="30" spans="1:13" x14ac:dyDescent="0.25">
      <c r="B30" s="19" t="s">
        <v>18</v>
      </c>
      <c r="C30" s="16">
        <f>'JUNE '!E40</f>
        <v>1359</v>
      </c>
      <c r="D30" s="19"/>
      <c r="E30" s="19"/>
      <c r="F30" s="19" t="s">
        <v>18</v>
      </c>
      <c r="G30" s="16">
        <f>'JUNE '!I40</f>
        <v>1359</v>
      </c>
      <c r="H30" s="19"/>
      <c r="I30" s="19"/>
    </row>
    <row r="31" spans="1:13" x14ac:dyDescent="0.25">
      <c r="B31" s="19" t="s">
        <v>45</v>
      </c>
      <c r="C31" s="16">
        <f>C25</f>
        <v>1800</v>
      </c>
      <c r="D31" s="19"/>
      <c r="E31" s="19"/>
      <c r="F31" s="19"/>
      <c r="G31" s="19"/>
      <c r="H31" s="16"/>
      <c r="I31" s="19"/>
    </row>
    <row r="32" spans="1:13" x14ac:dyDescent="0.25">
      <c r="B32" s="19" t="s">
        <v>53</v>
      </c>
      <c r="C32" s="16"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4000</v>
      </c>
      <c r="D33" s="19"/>
      <c r="E33" s="19"/>
      <c r="F33" s="19" t="s">
        <v>56</v>
      </c>
      <c r="G33" s="16"/>
      <c r="H33" s="16"/>
      <c r="I33" s="19"/>
    </row>
    <row r="34" spans="2:9" x14ac:dyDescent="0.25">
      <c r="B34" s="19" t="s">
        <v>55</v>
      </c>
      <c r="C34" s="16">
        <f>K25</f>
        <v>220</v>
      </c>
      <c r="D34" s="19"/>
      <c r="E34" s="19"/>
      <c r="F34" s="19" t="s">
        <v>55</v>
      </c>
      <c r="G34" s="16">
        <f>C34</f>
        <v>220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52</v>
      </c>
      <c r="C37" s="19"/>
      <c r="D37" s="19">
        <v>1050</v>
      </c>
      <c r="E37" s="19"/>
      <c r="F37" s="22" t="s">
        <v>52</v>
      </c>
      <c r="G37" s="19"/>
      <c r="H37" s="19">
        <v>1050</v>
      </c>
      <c r="I37" s="19"/>
    </row>
    <row r="38" spans="2:9" x14ac:dyDescent="0.25">
      <c r="B38" s="8" t="s">
        <v>57</v>
      </c>
      <c r="C38" s="8"/>
      <c r="D38" s="8">
        <v>69550</v>
      </c>
      <c r="E38" s="8"/>
      <c r="F38" s="8" t="s">
        <v>57</v>
      </c>
      <c r="G38" s="8"/>
      <c r="H38" s="8">
        <v>69550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70729</v>
      </c>
      <c r="D42" s="15">
        <f>SUM(D37:D41)</f>
        <v>70600</v>
      </c>
      <c r="E42" s="23">
        <f>C42-D42</f>
        <v>129</v>
      </c>
      <c r="F42" s="18"/>
      <c r="G42" s="23">
        <f>G29+G30+G33+G34-H35</f>
        <v>70729</v>
      </c>
      <c r="H42" s="23">
        <f>SUM(H37:H41)</f>
        <v>70600</v>
      </c>
      <c r="I42" s="23">
        <f>G42-H42</f>
        <v>129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  <c r="I45" s="25">
        <f>E42-I42</f>
        <v>0</v>
      </c>
    </row>
    <row r="46" spans="2:9" x14ac:dyDescent="0.25">
      <c r="D46" s="10"/>
      <c r="F46" s="10"/>
      <c r="G46" s="10"/>
    </row>
    <row r="47" spans="2:9" x14ac:dyDescent="0.25">
      <c r="B47" t="s">
        <v>24</v>
      </c>
      <c r="D47" t="s">
        <v>25</v>
      </c>
      <c r="G47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46" sqref="K46"/>
    </sheetView>
  </sheetViews>
  <sheetFormatPr defaultRowHeight="15" x14ac:dyDescent="0.25"/>
  <cols>
    <col min="2" max="2" width="17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146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'DECEMBER 20'!I5:I24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'DECEMBER 20'!I6:I25</f>
        <v>0</v>
      </c>
      <c r="G6" s="8">
        <f t="shared" ref="G6:G24" si="0">C6+D6+E6+F6</f>
        <v>3600</v>
      </c>
      <c r="H6" s="8">
        <f>3600</f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'DECEMBER 20'!I7:I26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'DECEMBER 20'!I8:I27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8" t="s">
        <v>129</v>
      </c>
      <c r="C9" s="8">
        <v>100</v>
      </c>
      <c r="D9" s="8"/>
      <c r="E9" s="8">
        <v>3500</v>
      </c>
      <c r="F9" s="8">
        <f>'DECEMBER 20'!I9:I28</f>
        <v>0</v>
      </c>
      <c r="G9" s="8">
        <f t="shared" si="0"/>
        <v>3600</v>
      </c>
      <c r="H9" s="8">
        <f>1100+2500</f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'DECEMBER 20'!I10:I29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480</v>
      </c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'DECEMBER 20'!I11:I30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'DECEMBER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'DECEMBER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'DECEMBER 20'!I14:I33</f>
        <v>1200</v>
      </c>
      <c r="G14" s="8">
        <f t="shared" si="0"/>
        <v>4800</v>
      </c>
      <c r="H14" s="8">
        <f>3700</f>
        <v>3700</v>
      </c>
      <c r="I14" s="8">
        <f t="shared" si="1"/>
        <v>1100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'DECEMBER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'DECEMBER 20'!I16:I35</f>
        <v>0</v>
      </c>
      <c r="G16" s="8">
        <f t="shared" si="0"/>
        <v>3600</v>
      </c>
      <c r="H16" s="8">
        <f>3500+100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'DECEMBER 20'!I17:I36</f>
        <v>0</v>
      </c>
      <c r="G17" s="8">
        <f t="shared" si="0"/>
        <v>3600</v>
      </c>
      <c r="H17" s="8">
        <f>3600</f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'DECEMBER 20'!I18:I37</f>
        <v>0</v>
      </c>
      <c r="G18" s="8">
        <f t="shared" si="0"/>
        <v>3600</v>
      </c>
      <c r="H18" s="8">
        <f>2800+800</f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'DECEMBER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'DECEMBER 20'!I20:I39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'DECEMBER 20'!I21:I40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'DECEMBER 20'!I22:I41</f>
        <v>0</v>
      </c>
      <c r="G22" s="8">
        <f t="shared" si="0"/>
        <v>3600</v>
      </c>
      <c r="H22" s="8">
        <f>3500</f>
        <v>3500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'DECEMBER 20'!I23:I42</f>
        <v>0</v>
      </c>
      <c r="G23" s="8">
        <f t="shared" si="0"/>
        <v>3600</v>
      </c>
      <c r="H23" s="8">
        <f>1400+2200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'DECEMBER 20'!I24:I43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SUM(F5:F24)</f>
        <v>1200</v>
      </c>
      <c r="G25" s="8">
        <f>C25+D25+E25+F25</f>
        <v>73200</v>
      </c>
      <c r="H25" s="6">
        <f>SUM(H5:H24)</f>
        <v>68400</v>
      </c>
      <c r="I25" s="6">
        <f>SUM(I5:I24)</f>
        <v>4800</v>
      </c>
      <c r="J25" s="6">
        <f>SUM(J5:J24)</f>
        <v>0</v>
      </c>
      <c r="K25" s="6">
        <f>SUM(K5:K24)</f>
        <v>1920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81</v>
      </c>
      <c r="C29" s="16">
        <f>E25</f>
        <v>70000</v>
      </c>
      <c r="D29" s="17">
        <v>0.1</v>
      </c>
      <c r="E29" s="16"/>
      <c r="F29" s="20" t="s">
        <v>81</v>
      </c>
      <c r="G29" s="16">
        <f>H25</f>
        <v>68400</v>
      </c>
      <c r="H29" s="17">
        <v>0.1</v>
      </c>
      <c r="I29" s="19"/>
    </row>
    <row r="30" spans="1:11" x14ac:dyDescent="0.25">
      <c r="B30" s="19" t="s">
        <v>18</v>
      </c>
      <c r="C30" s="16">
        <f>'DECEMBER 20'!E42</f>
        <v>809</v>
      </c>
      <c r="D30" s="19"/>
      <c r="E30" s="19"/>
      <c r="F30" s="19" t="s">
        <v>18</v>
      </c>
      <c r="G30" s="16">
        <f>'DECEMBER 20'!I42</f>
        <v>-391</v>
      </c>
      <c r="H30" s="19"/>
      <c r="I30" s="19"/>
    </row>
    <row r="31" spans="1:11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1920</v>
      </c>
      <c r="D34" s="19"/>
      <c r="E34" s="19"/>
      <c r="F34" s="19" t="s">
        <v>55</v>
      </c>
      <c r="G34" s="16">
        <f>K25</f>
        <v>1920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149</v>
      </c>
      <c r="C38" s="27"/>
      <c r="D38" s="8">
        <v>67700</v>
      </c>
      <c r="E38" s="8"/>
      <c r="F38" s="8" t="s">
        <v>149</v>
      </c>
      <c r="G38" s="27"/>
      <c r="H38" s="8">
        <v>67700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67729</v>
      </c>
      <c r="D42" s="15">
        <f>SUM(D37:D41)</f>
        <v>67700</v>
      </c>
      <c r="E42" s="23">
        <f>C42-D42</f>
        <v>29</v>
      </c>
      <c r="F42" s="18"/>
      <c r="G42" s="23">
        <f>G29+G30+G34+G31+G33-H35</f>
        <v>62929</v>
      </c>
      <c r="H42" s="23">
        <f>SUM(H37:H41)</f>
        <v>67700</v>
      </c>
      <c r="I42" s="23">
        <f>G42-H42</f>
        <v>-4771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0" workbookViewId="0">
      <selection activeCell="D9" sqref="D9"/>
    </sheetView>
  </sheetViews>
  <sheetFormatPr defaultRowHeight="15" x14ac:dyDescent="0.25"/>
  <cols>
    <col min="1" max="1" width="5.85546875" customWidth="1"/>
    <col min="2" max="2" width="17.855468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150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'JANUARY 21'!I5:I24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'JANUARY 21'!I6:I25</f>
        <v>0</v>
      </c>
      <c r="G6" s="8">
        <f t="shared" ref="G6:G24" si="0">C6+D6+E6+F6</f>
        <v>3600</v>
      </c>
      <c r="H6" s="8">
        <f>3000</f>
        <v>3000</v>
      </c>
      <c r="I6" s="8">
        <f t="shared" ref="I6:I24" si="1">G6-H6</f>
        <v>600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'JANUARY 21'!I7:I26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'JANUARY 21'!I8:I27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>
        <v>240</v>
      </c>
    </row>
    <row r="9" spans="1:11" x14ac:dyDescent="0.25">
      <c r="A9" s="8">
        <v>5</v>
      </c>
      <c r="B9" s="8" t="s">
        <v>151</v>
      </c>
      <c r="C9" s="8">
        <v>100</v>
      </c>
      <c r="D9" s="8"/>
      <c r="E9" s="8">
        <v>3500</v>
      </c>
      <c r="F9" s="8">
        <f>'JANUARY 21'!I9:I28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'JANUARY 21'!I10:I29</f>
        <v>0</v>
      </c>
      <c r="G10" s="8">
        <f t="shared" si="0"/>
        <v>3600</v>
      </c>
      <c r="H10" s="8">
        <f>3600</f>
        <v>3600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'JANUARY 21'!I11:I30</f>
        <v>0</v>
      </c>
      <c r="G11" s="8">
        <f t="shared" si="0"/>
        <v>3600</v>
      </c>
      <c r="H11" s="28">
        <f>3600</f>
        <v>3600</v>
      </c>
      <c r="I11" s="8">
        <f t="shared" si="1"/>
        <v>0</v>
      </c>
      <c r="J11" s="8"/>
      <c r="K11" s="28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'JANUARY 21'!I12:I31</f>
        <v>0</v>
      </c>
      <c r="G12" s="8">
        <f t="shared" si="0"/>
        <v>3600</v>
      </c>
      <c r="H12" s="8">
        <f>3600</f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'JANUARY 21'!I13:I32</f>
        <v>0</v>
      </c>
      <c r="G13" s="8">
        <f t="shared" si="0"/>
        <v>3600</v>
      </c>
      <c r="H13" s="8">
        <f>3540+60</f>
        <v>3600</v>
      </c>
      <c r="I13" s="8">
        <f t="shared" si="1"/>
        <v>0</v>
      </c>
      <c r="J13" s="8"/>
      <c r="K13" s="8"/>
    </row>
    <row r="14" spans="1:11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'JANUARY 21'!I14:I33</f>
        <v>1100</v>
      </c>
      <c r="G14" s="8">
        <f t="shared" si="0"/>
        <v>4700</v>
      </c>
      <c r="H14" s="8">
        <f>4000</f>
        <v>4000</v>
      </c>
      <c r="I14" s="8">
        <f t="shared" si="1"/>
        <v>700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'JANUARY 21'!I15:I34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'JANUARY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'JANUARY 21'!I17:I36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</row>
    <row r="18" spans="1:17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'JANUARY 21'!I18:I37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/>
    </row>
    <row r="19" spans="1:17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'JANUARY 21'!I19:I38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7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'JANUARY 21'!I20:I39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/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'JANUARY 21'!I21:I40</f>
        <v>0</v>
      </c>
      <c r="G21" s="8">
        <f t="shared" si="0"/>
        <v>3600</v>
      </c>
      <c r="H21" s="8">
        <f>3600</f>
        <v>3600</v>
      </c>
      <c r="I21" s="8">
        <f t="shared" si="1"/>
        <v>0</v>
      </c>
      <c r="J21" s="8"/>
      <c r="K21" s="8"/>
    </row>
    <row r="22" spans="1:17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'JANUARY 21'!I22:I41</f>
        <v>100</v>
      </c>
      <c r="G22" s="8">
        <f t="shared" si="0"/>
        <v>3700</v>
      </c>
      <c r="H22" s="8">
        <f>3500+200</f>
        <v>3700</v>
      </c>
      <c r="I22" s="8">
        <f t="shared" si="1"/>
        <v>0</v>
      </c>
      <c r="J22" s="8"/>
      <c r="K22" s="8"/>
    </row>
    <row r="23" spans="1:17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'JANUARY 21'!I23:I42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7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'JANUARY 21'!I24:I43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7" x14ac:dyDescent="0.25">
      <c r="A25" s="8"/>
      <c r="B25" s="9" t="s">
        <v>9</v>
      </c>
      <c r="C25" s="9">
        <f>SUM(C5:C24)</f>
        <v>2000</v>
      </c>
      <c r="D25" s="9">
        <f>SUM(D5:D24)</f>
        <v>0</v>
      </c>
      <c r="E25" s="6">
        <f>SUM(E5:E24)</f>
        <v>70000</v>
      </c>
      <c r="F25" s="8">
        <f>SUM(F5:F24)</f>
        <v>4800</v>
      </c>
      <c r="G25" s="8">
        <f>C25+D25+E25+F25</f>
        <v>76800</v>
      </c>
      <c r="H25" s="6">
        <f>SUM(H5:H24)</f>
        <v>75500</v>
      </c>
      <c r="I25" s="6">
        <f>SUM(I5:I24)</f>
        <v>1300</v>
      </c>
      <c r="J25" s="6">
        <f>SUM(J5:J24)</f>
        <v>0</v>
      </c>
      <c r="K25" s="6">
        <f>SUM(K5:K24)</f>
        <v>480</v>
      </c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  <c r="P28">
        <f>850+450</f>
        <v>1300</v>
      </c>
      <c r="Q28">
        <f>850+1000</f>
        <v>1850</v>
      </c>
    </row>
    <row r="29" spans="1:17" x14ac:dyDescent="0.25">
      <c r="B29" s="19" t="s">
        <v>83</v>
      </c>
      <c r="C29" s="16">
        <f>E25</f>
        <v>70000</v>
      </c>
      <c r="D29" s="17">
        <v>0.1</v>
      </c>
      <c r="E29" s="16"/>
      <c r="F29" s="20" t="s">
        <v>83</v>
      </c>
      <c r="G29" s="16">
        <f>H25</f>
        <v>75500</v>
      </c>
      <c r="H29" s="17">
        <v>0.1</v>
      </c>
      <c r="I29" s="19"/>
      <c r="P29">
        <f>1570-850</f>
        <v>720</v>
      </c>
      <c r="Q29">
        <f>Q28-1570</f>
        <v>280</v>
      </c>
    </row>
    <row r="30" spans="1:17" x14ac:dyDescent="0.25">
      <c r="B30" s="19" t="s">
        <v>18</v>
      </c>
      <c r="C30" s="16">
        <f>'JANUARY 21'!E42</f>
        <v>29</v>
      </c>
      <c r="D30" s="19"/>
      <c r="E30" s="19"/>
      <c r="F30" s="19" t="s">
        <v>18</v>
      </c>
      <c r="G30" s="16">
        <f>'JANUARY 21'!I42</f>
        <v>-4771</v>
      </c>
      <c r="H30" s="19"/>
      <c r="I30" s="19"/>
    </row>
    <row r="31" spans="1:17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7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480</v>
      </c>
      <c r="D34" s="19"/>
      <c r="E34" s="19"/>
      <c r="F34" s="19" t="s">
        <v>55</v>
      </c>
      <c r="G34" s="16">
        <f>K25</f>
        <v>480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/>
      <c r="E37" s="19"/>
      <c r="F37" s="22" t="s">
        <v>79</v>
      </c>
      <c r="G37" s="17">
        <v>0.3</v>
      </c>
      <c r="H37" s="19"/>
      <c r="I37" s="19"/>
    </row>
    <row r="38" spans="2:11" x14ac:dyDescent="0.25">
      <c r="B38" s="8" t="s">
        <v>152</v>
      </c>
      <c r="C38" s="27"/>
      <c r="D38" s="8">
        <v>65200</v>
      </c>
      <c r="E38" s="8"/>
      <c r="F38" s="8" t="s">
        <v>152</v>
      </c>
      <c r="G38" s="27"/>
      <c r="H38" s="8">
        <v>65200</v>
      </c>
      <c r="I38" s="19"/>
    </row>
    <row r="39" spans="2:11" x14ac:dyDescent="0.25">
      <c r="B39" s="22" t="s">
        <v>153</v>
      </c>
      <c r="C39" s="19"/>
      <c r="D39" s="19">
        <v>3500</v>
      </c>
      <c r="E39" s="19"/>
      <c r="F39" s="22" t="s">
        <v>153</v>
      </c>
      <c r="G39" s="19"/>
      <c r="H39" s="19">
        <v>3500</v>
      </c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65509</v>
      </c>
      <c r="D42" s="15">
        <f>SUM(D37:D41)</f>
        <v>68700</v>
      </c>
      <c r="E42" s="23">
        <f>C42-D42</f>
        <v>-3191</v>
      </c>
      <c r="F42" s="18"/>
      <c r="G42" s="23">
        <f>G29+G30+G34+G31+G33-H35</f>
        <v>64209</v>
      </c>
      <c r="H42" s="23">
        <f>SUM(H37:H41)</f>
        <v>68700</v>
      </c>
      <c r="I42" s="23">
        <f>G42-H42</f>
        <v>-4491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G44" sqref="G44"/>
    </sheetView>
  </sheetViews>
  <sheetFormatPr defaultRowHeight="15" x14ac:dyDescent="0.25"/>
  <cols>
    <col min="2" max="2" width="17.8554687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154</v>
      </c>
      <c r="F3" s="1"/>
      <c r="G3" s="5"/>
      <c r="H3" s="5"/>
    </row>
    <row r="4" spans="1:12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'FEBRUARY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'FEBRUARY 21'!I6:I26</f>
        <v>600</v>
      </c>
      <c r="G6" s="8">
        <f t="shared" ref="G6:G24" si="0">C6+D6+E6+F6</f>
        <v>4200</v>
      </c>
      <c r="H6" s="8">
        <f>3000+600</f>
        <v>3600</v>
      </c>
      <c r="I6" s="8">
        <f t="shared" ref="I6:I24" si="1">G6-H6</f>
        <v>600</v>
      </c>
      <c r="J6" s="8"/>
      <c r="K6" s="8"/>
    </row>
    <row r="7" spans="1:12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'FEBRUARY 21'!I7:I27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120</v>
      </c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'FEBRUARY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2" x14ac:dyDescent="0.25">
      <c r="A9" s="8">
        <v>5</v>
      </c>
      <c r="B9" s="8" t="s">
        <v>151</v>
      </c>
      <c r="C9" s="8"/>
      <c r="D9" s="8"/>
      <c r="E9" s="8">
        <v>3500</v>
      </c>
      <c r="F9" s="8">
        <f>'FEBRUARY 21'!I9:I29</f>
        <v>0</v>
      </c>
      <c r="G9" s="8">
        <f t="shared" si="0"/>
        <v>3500</v>
      </c>
      <c r="H9" s="8"/>
      <c r="I9" s="8">
        <f>G9-H9</f>
        <v>3500</v>
      </c>
      <c r="J9" s="8"/>
      <c r="K9" s="8"/>
      <c r="L9" t="s">
        <v>91</v>
      </c>
    </row>
    <row r="10" spans="1:12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'FEBRUARY 21'!I10:I30</f>
        <v>0</v>
      </c>
      <c r="G10" s="8">
        <f t="shared" si="0"/>
        <v>3600</v>
      </c>
      <c r="H10" s="8">
        <f>3600</f>
        <v>3600</v>
      </c>
      <c r="I10" s="8">
        <f>G10-H10</f>
        <v>0</v>
      </c>
      <c r="J10" s="8"/>
      <c r="K10" s="8">
        <v>340</v>
      </c>
    </row>
    <row r="11" spans="1:12" x14ac:dyDescent="0.25">
      <c r="A11" s="8">
        <v>7</v>
      </c>
      <c r="B11" s="8" t="s">
        <v>32</v>
      </c>
      <c r="C11" s="28">
        <v>100</v>
      </c>
      <c r="D11" s="8"/>
      <c r="E11" s="8">
        <v>3500</v>
      </c>
      <c r="F11" s="8">
        <f>'FEBRUARY 21'!I11:I31</f>
        <v>0</v>
      </c>
      <c r="G11" s="8">
        <f t="shared" si="0"/>
        <v>3600</v>
      </c>
      <c r="H11" s="28">
        <v>3600</v>
      </c>
      <c r="I11" s="8">
        <f t="shared" si="1"/>
        <v>0</v>
      </c>
      <c r="J11" s="8"/>
      <c r="K11" s="28">
        <v>240</v>
      </c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'FEBRUARY 21'!I12:I32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</row>
    <row r="13" spans="1:12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'FEBRUARY 21'!I13:I33</f>
        <v>0</v>
      </c>
      <c r="G13" s="8">
        <f t="shared" si="0"/>
        <v>3600</v>
      </c>
      <c r="H13" s="8">
        <f>3500+100</f>
        <v>3600</v>
      </c>
      <c r="I13" s="8">
        <f>G13-H13</f>
        <v>0</v>
      </c>
      <c r="J13" s="8"/>
      <c r="K13" s="8">
        <v>220</v>
      </c>
    </row>
    <row r="14" spans="1:12" x14ac:dyDescent="0.25">
      <c r="A14" s="8">
        <v>10</v>
      </c>
      <c r="B14" s="8" t="s">
        <v>110</v>
      </c>
      <c r="C14" s="8">
        <v>100</v>
      </c>
      <c r="D14" s="8"/>
      <c r="E14" s="8">
        <v>3500</v>
      </c>
      <c r="F14" s="8">
        <f>'FEBRUARY 21'!I14:I34</f>
        <v>700</v>
      </c>
      <c r="G14" s="8">
        <f t="shared" si="0"/>
        <v>4300</v>
      </c>
      <c r="H14" s="8">
        <v>4300</v>
      </c>
      <c r="I14" s="8">
        <f t="shared" si="1"/>
        <v>0</v>
      </c>
      <c r="J14" s="8"/>
      <c r="K14" s="8">
        <v>120</v>
      </c>
    </row>
    <row r="15" spans="1:12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'FEBRUARY 21'!I15:I35</f>
        <v>0</v>
      </c>
      <c r="G15" s="8">
        <f t="shared" si="0"/>
        <v>3600</v>
      </c>
      <c r="H15" s="8">
        <f>3600</f>
        <v>3600</v>
      </c>
      <c r="I15" s="8">
        <f t="shared" si="1"/>
        <v>0</v>
      </c>
      <c r="J15" s="8"/>
      <c r="K15" s="8"/>
    </row>
    <row r="16" spans="1:12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'FEBRUARY 21'!I16:I36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'FEBRUARY 21'!I17:I37</f>
        <v>0</v>
      </c>
      <c r="G17" s="8">
        <f t="shared" si="0"/>
        <v>3600</v>
      </c>
      <c r="H17" s="8">
        <f>3600</f>
        <v>3600</v>
      </c>
      <c r="I17" s="8">
        <f t="shared" si="1"/>
        <v>0</v>
      </c>
      <c r="J17" s="8"/>
      <c r="K17" s="8">
        <v>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'FEBRUARY 21'!I18:I38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'FEBRUARY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'FEBRUARY 21'!I20:I40</f>
        <v>0</v>
      </c>
      <c r="G20" s="8">
        <f t="shared" si="0"/>
        <v>3600</v>
      </c>
      <c r="H20" s="8">
        <f>3600</f>
        <v>3600</v>
      </c>
      <c r="I20" s="8">
        <f t="shared" si="1"/>
        <v>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'FEBRUARY 21'!I21:I41</f>
        <v>0</v>
      </c>
      <c r="G21" s="8">
        <f t="shared" si="0"/>
        <v>3600</v>
      </c>
      <c r="H21" s="8"/>
      <c r="I21" s="8">
        <f t="shared" si="1"/>
        <v>3600</v>
      </c>
      <c r="J21" s="8"/>
      <c r="K21" s="8"/>
    </row>
    <row r="22" spans="1:11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'FEBRUARY 21'!I22:I42</f>
        <v>0</v>
      </c>
      <c r="G22" s="8">
        <f t="shared" si="0"/>
        <v>3600</v>
      </c>
      <c r="H22" s="8">
        <v>3600</v>
      </c>
      <c r="I22" s="8">
        <f t="shared" si="1"/>
        <v>0</v>
      </c>
      <c r="J22" s="8"/>
      <c r="K22" s="8">
        <v>120</v>
      </c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'FEBRUARY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'FEBRUARY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70000</v>
      </c>
      <c r="F25" s="8">
        <f>SUM(F5:F24)</f>
        <v>1300</v>
      </c>
      <c r="G25" s="8">
        <f>C25+D25+E25+F25</f>
        <v>73200</v>
      </c>
      <c r="H25" s="6">
        <f>SUM(H5:H24)</f>
        <v>61900</v>
      </c>
      <c r="I25" s="6">
        <f>SUM(I5:I24)</f>
        <v>11300</v>
      </c>
      <c r="J25" s="6">
        <f>SUM(J5:J24)</f>
        <v>0</v>
      </c>
      <c r="K25" s="6">
        <f>SUM(K5:K24)</f>
        <v>1780</v>
      </c>
    </row>
    <row r="26" spans="1:11" x14ac:dyDescent="0.25">
      <c r="I26" s="24">
        <f>I25-I9-I21</f>
        <v>4200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86</v>
      </c>
      <c r="C29" s="16">
        <f>E25</f>
        <v>70000</v>
      </c>
      <c r="D29" s="17">
        <v>0.1</v>
      </c>
      <c r="E29" s="16"/>
      <c r="F29" s="20" t="s">
        <v>86</v>
      </c>
      <c r="G29" s="16">
        <f>H25</f>
        <v>61900</v>
      </c>
      <c r="H29" s="17">
        <v>0.1</v>
      </c>
      <c r="I29" s="19"/>
    </row>
    <row r="30" spans="1:11" x14ac:dyDescent="0.25">
      <c r="B30" s="19" t="s">
        <v>18</v>
      </c>
      <c r="C30" s="16">
        <f>'FEBRUARY 21'!E42</f>
        <v>-3191</v>
      </c>
      <c r="D30" s="19"/>
      <c r="E30" s="19"/>
      <c r="F30" s="19" t="s">
        <v>18</v>
      </c>
      <c r="G30" s="16">
        <f>'FEBRUARY 21'!I42</f>
        <v>-4491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/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1780</v>
      </c>
      <c r="D34" s="19"/>
      <c r="E34" s="19"/>
      <c r="F34" s="19" t="s">
        <v>55</v>
      </c>
      <c r="G34" s="16">
        <f>K25</f>
        <v>1780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C37*D9</f>
        <v>0</v>
      </c>
      <c r="E37" s="19"/>
      <c r="F37" s="22" t="s">
        <v>79</v>
      </c>
      <c r="G37" s="17">
        <v>0.3</v>
      </c>
      <c r="H37" s="19">
        <f>G37*D9</f>
        <v>0</v>
      </c>
      <c r="I37" s="19"/>
    </row>
    <row r="38" spans="2:11" x14ac:dyDescent="0.25">
      <c r="B38" s="8" t="s">
        <v>155</v>
      </c>
      <c r="C38" s="27"/>
      <c r="D38" s="8">
        <v>62000</v>
      </c>
      <c r="E38" s="8"/>
      <c r="F38" s="8" t="s">
        <v>155</v>
      </c>
      <c r="G38" s="27"/>
      <c r="H38" s="8">
        <v>62000</v>
      </c>
      <c r="I38" s="19"/>
    </row>
    <row r="39" spans="2:11" x14ac:dyDescent="0.25">
      <c r="B39" s="22" t="s">
        <v>156</v>
      </c>
      <c r="C39" s="19"/>
      <c r="D39" s="19">
        <v>3500</v>
      </c>
      <c r="E39" s="19"/>
      <c r="F39" s="22"/>
      <c r="G39" s="19"/>
      <c r="H39" s="19"/>
      <c r="I39" s="19"/>
      <c r="K39" s="25"/>
    </row>
    <row r="40" spans="2:11" x14ac:dyDescent="0.25">
      <c r="B40" s="22" t="s">
        <v>158</v>
      </c>
      <c r="C40" s="19"/>
      <c r="D40" s="19">
        <v>3600</v>
      </c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63489</v>
      </c>
      <c r="D42" s="15">
        <f>SUM(D37:D41)</f>
        <v>69100</v>
      </c>
      <c r="E42" s="23">
        <f>C42-D42</f>
        <v>-5611</v>
      </c>
      <c r="F42" s="18"/>
      <c r="G42" s="23">
        <f>G29+G30+G34+G31+G33-H35</f>
        <v>52189</v>
      </c>
      <c r="H42" s="23">
        <f>SUM(H37:H41)</f>
        <v>62000</v>
      </c>
      <c r="I42" s="23">
        <f>G42-H42</f>
        <v>-9811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22" sqref="H22"/>
    </sheetView>
  </sheetViews>
  <sheetFormatPr defaultRowHeight="15" x14ac:dyDescent="0.25"/>
  <cols>
    <col min="1" max="1" width="5.28515625" customWidth="1"/>
    <col min="2" max="2" width="18.285156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157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'MARCH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'MARCH 21'!I6:I26</f>
        <v>600</v>
      </c>
      <c r="G6" s="8">
        <f t="shared" ref="G6:G24" si="0">C6+D6+E6+F6</f>
        <v>4200</v>
      </c>
      <c r="H6" s="8">
        <f>4200</f>
        <v>4200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'MARCH 21'!I7:I27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>
        <v>220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'MARCH 21'!I8:I28</f>
        <v>3600</v>
      </c>
      <c r="G8" s="8">
        <f>C8+D8+E8+F8</f>
        <v>7200</v>
      </c>
      <c r="H8" s="8">
        <v>3600</v>
      </c>
      <c r="I8" s="8">
        <f t="shared" si="1"/>
        <v>3600</v>
      </c>
      <c r="J8" s="8"/>
      <c r="K8" s="8">
        <v>120</v>
      </c>
    </row>
    <row r="9" spans="1:11" x14ac:dyDescent="0.25">
      <c r="A9" s="8">
        <v>5</v>
      </c>
      <c r="B9" s="28" t="s">
        <v>94</v>
      </c>
      <c r="C9" s="8">
        <v>0</v>
      </c>
      <c r="D9" s="8"/>
      <c r="E9" s="8">
        <v>0</v>
      </c>
      <c r="F9" s="8"/>
      <c r="G9" s="8">
        <f>C9+D9+E9+F9</f>
        <v>0</v>
      </c>
      <c r="H9" s="8"/>
      <c r="I9" s="8">
        <f>G9-H9</f>
        <v>0</v>
      </c>
      <c r="J9" s="8"/>
      <c r="K9" s="8"/>
    </row>
    <row r="10" spans="1:11" x14ac:dyDescent="0.25">
      <c r="A10" s="8">
        <v>6</v>
      </c>
      <c r="B10" s="8" t="s">
        <v>115</v>
      </c>
      <c r="C10" s="8">
        <v>100</v>
      </c>
      <c r="D10" s="8"/>
      <c r="E10" s="8">
        <v>3500</v>
      </c>
      <c r="F10" s="8">
        <f>'MARCH 21'!I10:I30</f>
        <v>0</v>
      </c>
      <c r="G10" s="8">
        <f t="shared" si="0"/>
        <v>3600</v>
      </c>
      <c r="H10" s="8">
        <v>3600</v>
      </c>
      <c r="I10" s="8">
        <f>G10-H10</f>
        <v>0</v>
      </c>
      <c r="J10" s="8"/>
      <c r="K10" s="8">
        <v>240</v>
      </c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'MARCH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'MARCH 21'!I12:I32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'MARCH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200</v>
      </c>
      <c r="D14" s="8">
        <v>3500</v>
      </c>
      <c r="E14" s="8">
        <v>3500</v>
      </c>
      <c r="F14" s="8">
        <f>'MARCH 21'!I14:I34</f>
        <v>0</v>
      </c>
      <c r="G14" s="8">
        <f t="shared" si="0"/>
        <v>7200</v>
      </c>
      <c r="H14" s="8">
        <v>7200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'MARCH 21'!I15:I35</f>
        <v>0</v>
      </c>
      <c r="G15" s="8">
        <f t="shared" si="0"/>
        <v>3600</v>
      </c>
      <c r="H15" s="8">
        <f>2990+510+100</f>
        <v>3600</v>
      </c>
      <c r="I15" s="8">
        <f t="shared" si="1"/>
        <v>0</v>
      </c>
      <c r="J15" s="8"/>
      <c r="K15" s="8">
        <v>490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'MARCH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f>240</f>
        <v>240</v>
      </c>
    </row>
    <row r="17" spans="1:12" x14ac:dyDescent="0.25">
      <c r="A17" s="8">
        <v>13</v>
      </c>
      <c r="B17" s="28" t="s">
        <v>94</v>
      </c>
      <c r="C17" s="8"/>
      <c r="D17" s="8"/>
      <c r="E17" s="8"/>
      <c r="F17" s="8">
        <f>'MARCH 21'!I17:I37</f>
        <v>0</v>
      </c>
      <c r="G17" s="8">
        <f t="shared" si="0"/>
        <v>0</v>
      </c>
      <c r="H17" s="8"/>
      <c r="I17" s="8">
        <f t="shared" si="1"/>
        <v>0</v>
      </c>
      <c r="J17" s="8"/>
      <c r="K17" s="8"/>
    </row>
    <row r="18" spans="1:12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'MARCH 21'!I18:I38</f>
        <v>0</v>
      </c>
      <c r="G18" s="8">
        <f t="shared" si="0"/>
        <v>3600</v>
      </c>
      <c r="H18" s="8">
        <f>2200+1400</f>
        <v>3600</v>
      </c>
      <c r="I18" s="8">
        <f t="shared" si="1"/>
        <v>0</v>
      </c>
      <c r="J18" s="8"/>
      <c r="K18" s="8">
        <v>120</v>
      </c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'MARCH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2" x14ac:dyDescent="0.25">
      <c r="A20" s="8">
        <v>16</v>
      </c>
      <c r="B20" s="8" t="s">
        <v>111</v>
      </c>
      <c r="C20" s="8">
        <v>100</v>
      </c>
      <c r="D20" s="8"/>
      <c r="E20" s="8">
        <v>3500</v>
      </c>
      <c r="F20" s="8">
        <f>'MARCH 21'!I20:I40</f>
        <v>0</v>
      </c>
      <c r="G20" s="8">
        <f t="shared" si="0"/>
        <v>3600</v>
      </c>
      <c r="H20" s="8">
        <v>3600</v>
      </c>
      <c r="I20" s="8">
        <f t="shared" si="1"/>
        <v>0</v>
      </c>
      <c r="J20" s="8"/>
      <c r="K20" s="8"/>
    </row>
    <row r="21" spans="1:12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/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2" x14ac:dyDescent="0.25">
      <c r="A22" s="8">
        <v>18</v>
      </c>
      <c r="B22" s="8" t="s">
        <v>148</v>
      </c>
      <c r="C22" s="8">
        <v>100</v>
      </c>
      <c r="D22" s="8"/>
      <c r="E22" s="8">
        <v>3500</v>
      </c>
      <c r="F22" s="8">
        <f>'MARCH 21'!I22:I42</f>
        <v>0</v>
      </c>
      <c r="G22" s="8">
        <f t="shared" si="0"/>
        <v>3600</v>
      </c>
      <c r="H22" s="8"/>
      <c r="I22" s="8">
        <f t="shared" si="1"/>
        <v>3600</v>
      </c>
      <c r="J22" s="8"/>
      <c r="K22" s="8"/>
      <c r="L22" t="s">
        <v>91</v>
      </c>
    </row>
    <row r="23" spans="1:12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'MARCH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2" x14ac:dyDescent="0.25">
      <c r="A24" s="8">
        <v>20</v>
      </c>
      <c r="B24" s="8" t="s">
        <v>116</v>
      </c>
      <c r="C24" s="8">
        <v>100</v>
      </c>
      <c r="D24" s="8"/>
      <c r="E24" s="8">
        <v>3500</v>
      </c>
      <c r="F24" s="8">
        <f>'MARCH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2" x14ac:dyDescent="0.25">
      <c r="A25" s="8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63000</v>
      </c>
      <c r="F25" s="8">
        <f>'MARCH 21'!I25:I45</f>
        <v>11300</v>
      </c>
      <c r="G25" s="8">
        <f>C25+D25+E25+F25</f>
        <v>79700</v>
      </c>
      <c r="H25" s="6">
        <f>SUM(H5:H24)</f>
        <v>65400</v>
      </c>
      <c r="I25" s="6">
        <f>SUM(I5:I24)</f>
        <v>7200</v>
      </c>
      <c r="J25" s="6">
        <f>SUM(J5:J24)</f>
        <v>0</v>
      </c>
      <c r="K25" s="6">
        <f>SUM(K5:K24)</f>
        <v>2390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89</v>
      </c>
      <c r="C29" s="16">
        <f>E25</f>
        <v>63000</v>
      </c>
      <c r="D29" s="17">
        <v>0.1</v>
      </c>
      <c r="E29" s="16"/>
      <c r="F29" s="20" t="s">
        <v>89</v>
      </c>
      <c r="G29" s="16">
        <f>H25</f>
        <v>65400</v>
      </c>
      <c r="H29" s="17">
        <v>0.1</v>
      </c>
      <c r="I29" s="19"/>
    </row>
    <row r="30" spans="1:12" x14ac:dyDescent="0.25">
      <c r="B30" s="19" t="s">
        <v>18</v>
      </c>
      <c r="C30" s="16">
        <f>'MARCH 21'!E42</f>
        <v>-5611</v>
      </c>
      <c r="D30" s="19"/>
      <c r="E30" s="19"/>
      <c r="F30" s="19" t="s">
        <v>18</v>
      </c>
      <c r="G30" s="16">
        <f>'MARCH 21'!I42</f>
        <v>-9811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2390</v>
      </c>
      <c r="D34" s="19"/>
      <c r="E34" s="19"/>
      <c r="F34" s="19" t="s">
        <v>55</v>
      </c>
      <c r="G34" s="16">
        <f>K25</f>
        <v>2390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6300</v>
      </c>
      <c r="E35" s="19"/>
      <c r="F35" s="19"/>
      <c r="G35" s="20"/>
      <c r="H35" s="19">
        <f>H29*C29</f>
        <v>6300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C37*E14</f>
        <v>1050</v>
      </c>
      <c r="E37" s="19"/>
      <c r="F37" s="22" t="s">
        <v>79</v>
      </c>
      <c r="G37" s="17">
        <v>0.3</v>
      </c>
      <c r="H37" s="19">
        <f>G37*E14</f>
        <v>1050</v>
      </c>
      <c r="I37" s="19"/>
    </row>
    <row r="38" spans="2:11" x14ac:dyDescent="0.25">
      <c r="B38" s="8" t="s">
        <v>160</v>
      </c>
      <c r="C38" s="27"/>
      <c r="D38" s="8">
        <v>60900</v>
      </c>
      <c r="E38" s="8"/>
      <c r="F38" s="8" t="s">
        <v>160</v>
      </c>
      <c r="G38" s="27"/>
      <c r="H38" s="8">
        <v>60900</v>
      </c>
      <c r="I38" s="19"/>
    </row>
    <row r="39" spans="2:11" x14ac:dyDescent="0.25">
      <c r="B39" s="22" t="s">
        <v>162</v>
      </c>
      <c r="C39" s="19"/>
      <c r="D39" s="19">
        <v>3600</v>
      </c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58879</v>
      </c>
      <c r="D42" s="15">
        <f>SUM(D37:D41)</f>
        <v>65550</v>
      </c>
      <c r="E42" s="23">
        <f>C42-D42</f>
        <v>-6671</v>
      </c>
      <c r="F42" s="18"/>
      <c r="G42" s="23">
        <f>G29+G30+G34+G31+G33-H35</f>
        <v>51679</v>
      </c>
      <c r="H42" s="23">
        <f>SUM(H37:H41)</f>
        <v>61950</v>
      </c>
      <c r="I42" s="23">
        <f>G42-H42</f>
        <v>-10271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  <c r="K45" s="25"/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30" sqref="J30"/>
    </sheetView>
  </sheetViews>
  <sheetFormatPr defaultRowHeight="15" x14ac:dyDescent="0.25"/>
  <cols>
    <col min="1" max="1" width="4.140625" customWidth="1"/>
    <col min="2" max="2" width="21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161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APRIL21!I5:I24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APRIL21!I6:I25</f>
        <v>0</v>
      </c>
      <c r="G6" s="8">
        <f t="shared" ref="G6:G24" si="0">C6+D6+E6+F6</f>
        <v>3600</v>
      </c>
      <c r="H6" s="8">
        <f>1000+2000</f>
        <v>3000</v>
      </c>
      <c r="I6" s="8">
        <f t="shared" ref="I6:I24" si="1">G6-H6</f>
        <v>600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APRIL21!I7:I26</f>
        <v>0</v>
      </c>
      <c r="G7" s="8">
        <f t="shared" si="0"/>
        <v>3600</v>
      </c>
      <c r="H7" s="8"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APRIL21!I8:I27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APRIL21!I9:I28</f>
        <v>0</v>
      </c>
      <c r="G9" s="8">
        <f>C9+D9+E9+F9</f>
        <v>3600</v>
      </c>
      <c r="H9" s="8">
        <v>3600</v>
      </c>
      <c r="I9" s="8">
        <f>G9-H9</f>
        <v>0</v>
      </c>
      <c r="J9" s="8"/>
      <c r="K9" s="8">
        <v>120</v>
      </c>
    </row>
    <row r="10" spans="1:11" x14ac:dyDescent="0.25">
      <c r="A10" s="8">
        <v>6</v>
      </c>
      <c r="B10" s="28" t="s">
        <v>94</v>
      </c>
      <c r="C10" s="8"/>
      <c r="D10" s="8"/>
      <c r="E10" s="8"/>
      <c r="F10" s="8">
        <f>APRIL21!I10:I29</f>
        <v>0</v>
      </c>
      <c r="G10" s="8">
        <f t="shared" si="0"/>
        <v>0</v>
      </c>
      <c r="H10" s="8"/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APRIL21!I11:I30</f>
        <v>0</v>
      </c>
      <c r="G11" s="8">
        <f t="shared" si="0"/>
        <v>3600</v>
      </c>
      <c r="H11" s="19"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APRIL21!I12:I31</f>
        <v>0</v>
      </c>
      <c r="G12" s="8">
        <f t="shared" si="0"/>
        <v>3600</v>
      </c>
      <c r="H12" s="8">
        <f>2500</f>
        <v>2500</v>
      </c>
      <c r="I12" s="8">
        <f>G12-H12</f>
        <v>1100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APRIL21!I13:I32</f>
        <v>0</v>
      </c>
      <c r="G13" s="8">
        <f t="shared" si="0"/>
        <v>3600</v>
      </c>
      <c r="H13" s="8">
        <f>3600</f>
        <v>3600</v>
      </c>
      <c r="I13" s="8">
        <f>G13-H13</f>
        <v>0</v>
      </c>
      <c r="J13" s="8"/>
      <c r="K13" s="8">
        <v>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APRIL21!I14:I33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APRIL21!I15:I34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APRIL21!I16:I35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28" t="s">
        <v>94</v>
      </c>
      <c r="C17" s="8"/>
      <c r="D17" s="8"/>
      <c r="E17" s="8"/>
      <c r="F17" s="8">
        <f>APRIL21!I17:I36</f>
        <v>0</v>
      </c>
      <c r="G17" s="8">
        <f t="shared" si="0"/>
        <v>0</v>
      </c>
      <c r="H17" s="8"/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APRIL21!I18:I37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APRIL21!I19:I38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94</v>
      </c>
      <c r="C20" s="8"/>
      <c r="D20" s="8"/>
      <c r="E20" s="8"/>
      <c r="F20" s="8">
        <f>APRIL21!I20:I39</f>
        <v>0</v>
      </c>
      <c r="G20" s="8">
        <f t="shared" si="0"/>
        <v>0</v>
      </c>
      <c r="H20" s="8"/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APRIL21!I21:I40</f>
        <v>0</v>
      </c>
      <c r="G21" s="8">
        <f t="shared" si="0"/>
        <v>3600</v>
      </c>
      <c r="H21" s="8">
        <f>2500+1100</f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19" t="s">
        <v>165</v>
      </c>
      <c r="C22" s="8"/>
      <c r="D22" s="8">
        <v>3500</v>
      </c>
      <c r="E22" s="8">
        <v>1750</v>
      </c>
      <c r="F22" s="8"/>
      <c r="G22" s="8">
        <f t="shared" si="0"/>
        <v>5250</v>
      </c>
      <c r="H22" s="8">
        <v>5250</v>
      </c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APRIL21!I23:I42</f>
        <v>0</v>
      </c>
      <c r="G23" s="8">
        <f t="shared" si="0"/>
        <v>3600</v>
      </c>
      <c r="H23" s="8">
        <f>3600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>
        <v>3500</v>
      </c>
      <c r="E24" s="8">
        <v>3500</v>
      </c>
      <c r="F24" s="8">
        <f>APRIL21!I24:I43</f>
        <v>0</v>
      </c>
      <c r="G24" s="8">
        <f t="shared" si="0"/>
        <v>7100</v>
      </c>
      <c r="H24" s="8">
        <v>7100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1600</v>
      </c>
      <c r="D25" s="9">
        <f>SUM(D5:D24)</f>
        <v>7000</v>
      </c>
      <c r="E25" s="6">
        <f>SUM(E5:E24)</f>
        <v>57750</v>
      </c>
      <c r="F25" s="8">
        <f>SUM(F5:F24)</f>
        <v>3600</v>
      </c>
      <c r="G25" s="8">
        <f>C25+D25+E25+F25</f>
        <v>69950</v>
      </c>
      <c r="H25" s="6">
        <f>SUM(H5:H24)</f>
        <v>68250</v>
      </c>
      <c r="I25" s="6">
        <f>SUM(I5:I24)</f>
        <v>1700</v>
      </c>
      <c r="J25" s="6">
        <f>SUM(J5:J24)</f>
        <v>0</v>
      </c>
      <c r="K25" s="6">
        <f>SUM(K5:K24)</f>
        <v>1100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98</v>
      </c>
      <c r="C29" s="16">
        <f>E25</f>
        <v>57750</v>
      </c>
      <c r="D29" s="17">
        <v>0.1</v>
      </c>
      <c r="E29" s="16"/>
      <c r="F29" s="20" t="s">
        <v>98</v>
      </c>
      <c r="G29" s="16">
        <f>H25</f>
        <v>68250</v>
      </c>
      <c r="H29" s="17">
        <v>0.1</v>
      </c>
      <c r="I29" s="19"/>
    </row>
    <row r="30" spans="1:11" x14ac:dyDescent="0.25">
      <c r="B30" s="19" t="s">
        <v>18</v>
      </c>
      <c r="C30" s="16">
        <f>APRIL21!E42</f>
        <v>-6671</v>
      </c>
      <c r="D30" s="19"/>
      <c r="E30" s="19"/>
      <c r="F30" s="19" t="s">
        <v>18</v>
      </c>
      <c r="G30" s="16">
        <f>APRIL21!I42</f>
        <v>-10271</v>
      </c>
      <c r="H30" s="19"/>
      <c r="I30" s="19"/>
    </row>
    <row r="31" spans="1:11" x14ac:dyDescent="0.25">
      <c r="B31" s="19" t="s">
        <v>45</v>
      </c>
      <c r="C31" s="16">
        <f>C25</f>
        <v>1600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1100</v>
      </c>
      <c r="D34" s="19"/>
      <c r="E34" s="19"/>
      <c r="F34" s="19" t="s">
        <v>55</v>
      </c>
      <c r="G34" s="16">
        <f>K25</f>
        <v>1100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5775</v>
      </c>
      <c r="E35" s="19"/>
      <c r="F35" s="19"/>
      <c r="G35" s="20"/>
      <c r="H35" s="19">
        <f>H29*C29</f>
        <v>5775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C37*D22+(C37*D24)</f>
        <v>2100</v>
      </c>
      <c r="E37" s="19"/>
      <c r="F37" s="22" t="s">
        <v>79</v>
      </c>
      <c r="G37" s="17">
        <v>0.3</v>
      </c>
      <c r="H37" s="19">
        <f>G37*D24+(G37*D22)</f>
        <v>2100</v>
      </c>
      <c r="I37" s="19"/>
    </row>
    <row r="38" spans="2:11" x14ac:dyDescent="0.25">
      <c r="B38" s="8" t="s">
        <v>164</v>
      </c>
      <c r="C38" s="27"/>
      <c r="D38" s="8">
        <v>49600</v>
      </c>
      <c r="E38" s="8"/>
      <c r="F38" s="8" t="s">
        <v>164</v>
      </c>
      <c r="G38" s="27"/>
      <c r="H38" s="8">
        <v>49600</v>
      </c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55004</v>
      </c>
      <c r="D42" s="15">
        <f>SUM(D37:D41)</f>
        <v>51700</v>
      </c>
      <c r="E42" s="23">
        <f>C42-D42</f>
        <v>3304</v>
      </c>
      <c r="F42" s="18"/>
      <c r="G42" s="23">
        <f>G29+G30+G34+G31+G33-H35</f>
        <v>53304</v>
      </c>
      <c r="H42" s="23">
        <f>SUM(H37:H41)</f>
        <v>51700</v>
      </c>
      <c r="I42" s="23">
        <f>G42-H42</f>
        <v>1604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38" sqref="H38"/>
    </sheetView>
  </sheetViews>
  <sheetFormatPr defaultRowHeight="15" x14ac:dyDescent="0.25"/>
  <cols>
    <col min="1" max="1" width="4.85546875" customWidth="1"/>
    <col min="2" max="2" width="22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166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'MAY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'MAY 21'!I6:I26</f>
        <v>600</v>
      </c>
      <c r="G6" s="8">
        <f t="shared" ref="G6:G24" si="0">C6+D6+E6+F6</f>
        <v>4200</v>
      </c>
      <c r="H6" s="8"/>
      <c r="I6" s="8">
        <f t="shared" ref="I6:I24" si="1">G6-H6</f>
        <v>4200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'MAY 21'!I7:I27</f>
        <v>0</v>
      </c>
      <c r="G7" s="8">
        <f t="shared" si="0"/>
        <v>3600</v>
      </c>
      <c r="H7" s="8">
        <f>3600</f>
        <v>3600</v>
      </c>
      <c r="I7" s="8">
        <f t="shared" si="1"/>
        <v>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'MAY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'MAY 21'!I9:I29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28" t="s">
        <v>172</v>
      </c>
      <c r="C10" s="8"/>
      <c r="D10" s="8"/>
      <c r="E10" s="8">
        <v>3500</v>
      </c>
      <c r="F10" s="8">
        <f>'MAY 21'!I10:I30</f>
        <v>0</v>
      </c>
      <c r="G10" s="8">
        <f t="shared" si="0"/>
        <v>3500</v>
      </c>
      <c r="H10" s="8">
        <v>3500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'MAY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'MAY 21'!I12:I32</f>
        <v>1100</v>
      </c>
      <c r="G12" s="8">
        <f t="shared" si="0"/>
        <v>4700</v>
      </c>
      <c r="H12" s="8">
        <f>2720+1000+980</f>
        <v>4700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'MAY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/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'MAY 21'!I14:I34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'MAY 21'!I15:I35</f>
        <v>0</v>
      </c>
      <c r="G15" s="8">
        <f t="shared" si="0"/>
        <v>3600</v>
      </c>
      <c r="H15" s="8">
        <f>3100</f>
        <v>3100</v>
      </c>
      <c r="I15" s="8">
        <f t="shared" si="1"/>
        <v>500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'MAY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28" t="s">
        <v>169</v>
      </c>
      <c r="C17" s="8"/>
      <c r="D17" s="8">
        <v>3500</v>
      </c>
      <c r="E17" s="8">
        <v>3500</v>
      </c>
      <c r="F17" s="8">
        <f>'MAY 21'!I17:I37</f>
        <v>0</v>
      </c>
      <c r="G17" s="8">
        <f t="shared" si="0"/>
        <v>7000</v>
      </c>
      <c r="H17" s="8">
        <f>5000</f>
        <v>5000</v>
      </c>
      <c r="I17" s="8">
        <f t="shared" si="1"/>
        <v>2000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'MAY 21'!I18:I38</f>
        <v>0</v>
      </c>
      <c r="G18" s="8">
        <f t="shared" si="0"/>
        <v>3600</v>
      </c>
      <c r="H18" s="8">
        <f>90+1900</f>
        <v>1990</v>
      </c>
      <c r="I18" s="8">
        <f t="shared" si="1"/>
        <v>1610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'MAY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167</v>
      </c>
      <c r="C20" s="8"/>
      <c r="D20" s="8">
        <v>3500</v>
      </c>
      <c r="E20" s="8">
        <v>3500</v>
      </c>
      <c r="F20" s="8">
        <f>'MAY 21'!I20:I40</f>
        <v>0</v>
      </c>
      <c r="G20" s="8">
        <f t="shared" si="0"/>
        <v>7000</v>
      </c>
      <c r="H20" s="8">
        <v>7000</v>
      </c>
      <c r="I20" s="8">
        <f t="shared" si="1"/>
        <v>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'MAY 21'!I21:I41</f>
        <v>0</v>
      </c>
      <c r="G21" s="8">
        <f t="shared" si="0"/>
        <v>3600</v>
      </c>
      <c r="H21" s="8">
        <f>3500</f>
        <v>3500</v>
      </c>
      <c r="I21" s="8">
        <f t="shared" si="1"/>
        <v>100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'MAY 21'!I22:I42</f>
        <v>0</v>
      </c>
      <c r="G22" s="8">
        <f t="shared" si="0"/>
        <v>3600</v>
      </c>
      <c r="H22" s="8">
        <v>3500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'MAY 21'!I23:I43</f>
        <v>0</v>
      </c>
      <c r="G23" s="8">
        <f t="shared" si="0"/>
        <v>3600</v>
      </c>
      <c r="H23" s="8">
        <f>3600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'MAY 21'!I24:I44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1700</v>
      </c>
      <c r="D25" s="9">
        <f>SUM(D5:D24)</f>
        <v>7000</v>
      </c>
      <c r="E25" s="6">
        <f>SUM(E5:E24)</f>
        <v>70000</v>
      </c>
      <c r="F25" s="8">
        <f>'MAY 21'!I25:I45</f>
        <v>1700</v>
      </c>
      <c r="G25" s="8">
        <f>C25+D25+E25+F25</f>
        <v>80400</v>
      </c>
      <c r="H25" s="6">
        <f>SUM(H5:H24)</f>
        <v>68290</v>
      </c>
      <c r="I25" s="6">
        <f>SUM(I5:I24)</f>
        <v>12110</v>
      </c>
      <c r="J25" s="6">
        <f>SUM(J5:J24)</f>
        <v>0</v>
      </c>
      <c r="K25" s="6">
        <f>SUM(K5:K24)</f>
        <v>120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16</v>
      </c>
      <c r="C29" s="16">
        <f>E25</f>
        <v>70000</v>
      </c>
      <c r="D29" s="17">
        <v>0.1</v>
      </c>
      <c r="E29" s="16"/>
      <c r="F29" s="20" t="s">
        <v>16</v>
      </c>
      <c r="G29" s="16">
        <f>H25</f>
        <v>68290</v>
      </c>
      <c r="H29" s="17">
        <v>0.1</v>
      </c>
      <c r="I29" s="19"/>
    </row>
    <row r="30" spans="1:11" x14ac:dyDescent="0.25">
      <c r="B30" s="19" t="s">
        <v>18</v>
      </c>
      <c r="C30" s="16">
        <f>'MAY 21'!E42</f>
        <v>3304</v>
      </c>
      <c r="D30" s="19"/>
      <c r="E30" s="19"/>
      <c r="F30" s="19" t="s">
        <v>18</v>
      </c>
      <c r="G30" s="16">
        <f>'MAY 21'!I42</f>
        <v>1604</v>
      </c>
      <c r="H30" s="19"/>
      <c r="I30" s="19"/>
    </row>
    <row r="31" spans="1:11" x14ac:dyDescent="0.25">
      <c r="B31" s="19" t="s">
        <v>45</v>
      </c>
      <c r="C31" s="16">
        <f>C25</f>
        <v>1700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7000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1" x14ac:dyDescent="0.25">
      <c r="B34" s="19" t="s">
        <v>55</v>
      </c>
      <c r="C34" s="16">
        <f>K25</f>
        <v>120</v>
      </c>
      <c r="D34" s="19"/>
      <c r="E34" s="19"/>
      <c r="F34" s="19" t="s">
        <v>55</v>
      </c>
      <c r="G34" s="16">
        <f>K25</f>
        <v>120</v>
      </c>
      <c r="H34" s="16"/>
      <c r="I34" s="19"/>
      <c r="K34" s="25"/>
    </row>
    <row r="35" spans="2:11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79</v>
      </c>
      <c r="C37" s="17">
        <v>0.3</v>
      </c>
      <c r="D37" s="19">
        <f>C37*D20</f>
        <v>1050</v>
      </c>
      <c r="E37" s="19"/>
      <c r="F37" s="22" t="s">
        <v>79</v>
      </c>
      <c r="G37" s="17">
        <v>0.3</v>
      </c>
      <c r="H37" s="19">
        <f>G37*D20</f>
        <v>1050</v>
      </c>
      <c r="I37" s="19"/>
    </row>
    <row r="38" spans="2:11" x14ac:dyDescent="0.25">
      <c r="B38" s="8" t="s">
        <v>168</v>
      </c>
      <c r="C38" s="27"/>
      <c r="D38" s="8">
        <v>3500</v>
      </c>
      <c r="E38" s="8"/>
      <c r="F38" s="8" t="s">
        <v>168</v>
      </c>
      <c r="G38" s="27"/>
      <c r="H38" s="8">
        <v>3500</v>
      </c>
      <c r="I38" s="19"/>
    </row>
    <row r="39" spans="2:11" x14ac:dyDescent="0.25">
      <c r="B39" s="22" t="s">
        <v>170</v>
      </c>
      <c r="C39" s="19"/>
      <c r="D39" s="19">
        <v>54020</v>
      </c>
      <c r="E39" s="19"/>
      <c r="F39" s="22" t="s">
        <v>170</v>
      </c>
      <c r="G39" s="19"/>
      <c r="H39" s="19">
        <v>54020</v>
      </c>
      <c r="I39" s="19"/>
      <c r="K39" s="25"/>
    </row>
    <row r="40" spans="2:11" x14ac:dyDescent="0.25">
      <c r="B40" s="22" t="s">
        <v>171</v>
      </c>
      <c r="C40" s="19"/>
      <c r="D40" s="19">
        <v>14400</v>
      </c>
      <c r="E40" s="19"/>
      <c r="F40" s="22" t="s">
        <v>171</v>
      </c>
      <c r="G40" s="19"/>
      <c r="H40" s="19">
        <v>14400</v>
      </c>
      <c r="I40" s="19"/>
    </row>
    <row r="41" spans="2:11" x14ac:dyDescent="0.25">
      <c r="B41" s="22" t="s">
        <v>177</v>
      </c>
      <c r="C41" s="16"/>
      <c r="D41" s="16">
        <v>4200</v>
      </c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75124</v>
      </c>
      <c r="D42" s="15">
        <f>SUM(D37:D41)</f>
        <v>77170</v>
      </c>
      <c r="E42" s="23">
        <f>C42-D42</f>
        <v>-2046</v>
      </c>
      <c r="F42" s="18"/>
      <c r="G42" s="23">
        <f>G29+G30+G34+G31+G33-H35</f>
        <v>63014</v>
      </c>
      <c r="H42" s="23">
        <f>SUM(H37:H41)</f>
        <v>72970</v>
      </c>
      <c r="I42" s="23">
        <f>G42-H42</f>
        <v>-9956</v>
      </c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G44" sqref="G44"/>
    </sheetView>
  </sheetViews>
  <sheetFormatPr defaultRowHeight="15" x14ac:dyDescent="0.25"/>
  <cols>
    <col min="2" max="2" width="20.42578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176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'JUNE 21'!I5:I24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94</v>
      </c>
      <c r="C6" s="8"/>
      <c r="D6" s="8"/>
      <c r="E6" s="8"/>
      <c r="F6" s="8"/>
      <c r="G6" s="8">
        <f t="shared" ref="G6:G24" si="0">C6+D6+E6+F6</f>
        <v>0</v>
      </c>
      <c r="H6" s="8"/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'JUNE 21'!I7:I26</f>
        <v>0</v>
      </c>
      <c r="G7" s="8">
        <f t="shared" si="0"/>
        <v>3600</v>
      </c>
      <c r="H7" s="8">
        <f>3500</f>
        <v>3500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'JUNE 21'!I8:I27</f>
        <v>3600</v>
      </c>
      <c r="G8" s="8">
        <f>C8+D8+E8+F8</f>
        <v>7200</v>
      </c>
      <c r="H8" s="8">
        <v>3600</v>
      </c>
      <c r="I8" s="8">
        <f t="shared" si="1"/>
        <v>3600</v>
      </c>
      <c r="J8" s="8"/>
      <c r="K8" s="8">
        <v>50</v>
      </c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'JUNE 21'!I9:I28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19" t="s">
        <v>180</v>
      </c>
      <c r="C10" s="8">
        <v>100</v>
      </c>
      <c r="D10" s="8">
        <v>3500</v>
      </c>
      <c r="E10" s="8">
        <v>3500</v>
      </c>
      <c r="F10" s="8"/>
      <c r="G10" s="8">
        <f t="shared" si="0"/>
        <v>7100</v>
      </c>
      <c r="H10" s="8">
        <f>6000+1100</f>
        <v>7100</v>
      </c>
      <c r="I10" s="8">
        <f>G10-H10</f>
        <v>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'JUNE 21'!I11:I30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'JUNE 21'!I12:I31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'JUNE 21'!I13:I32</f>
        <v>0</v>
      </c>
      <c r="G13" s="8">
        <f t="shared" si="0"/>
        <v>3600</v>
      </c>
      <c r="H13" s="8">
        <f>3600</f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'JUNE 21'!I14:I33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'JUNE 21'!I15:I34</f>
        <v>500</v>
      </c>
      <c r="G15" s="8">
        <f t="shared" si="0"/>
        <v>4100</v>
      </c>
      <c r="H15" s="8">
        <f>2000</f>
        <v>2000</v>
      </c>
      <c r="I15" s="8">
        <f t="shared" si="1"/>
        <v>2100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'JUNE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'JUNE 21'!I17:I36</f>
        <v>2000</v>
      </c>
      <c r="G17" s="8">
        <f t="shared" si="0"/>
        <v>5600</v>
      </c>
      <c r="H17" s="8">
        <f>5600</f>
        <v>5600</v>
      </c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'JUNE 21'!I18:I37</f>
        <v>1610</v>
      </c>
      <c r="G18" s="8">
        <f t="shared" si="0"/>
        <v>5210</v>
      </c>
      <c r="H18" s="8">
        <v>5210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'JUNE 21'!I19:I38</f>
        <v>0</v>
      </c>
      <c r="G19" s="8">
        <f t="shared" si="0"/>
        <v>3600</v>
      </c>
      <c r="H19" s="8">
        <f>3600</f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28" t="s">
        <v>174</v>
      </c>
      <c r="C20" s="8">
        <v>100</v>
      </c>
      <c r="D20" s="8"/>
      <c r="E20" s="8">
        <v>3500</v>
      </c>
      <c r="F20" s="8">
        <f>'JUNE 21'!I20:I39</f>
        <v>0</v>
      </c>
      <c r="G20" s="8">
        <f t="shared" si="0"/>
        <v>3600</v>
      </c>
      <c r="H20" s="8">
        <f>3000</f>
        <v>3000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'JUNE 21'!I21:I40</f>
        <v>100</v>
      </c>
      <c r="G21" s="8">
        <f t="shared" si="0"/>
        <v>3700</v>
      </c>
      <c r="H21" s="8">
        <f>3600</f>
        <v>3600</v>
      </c>
      <c r="I21" s="8">
        <f t="shared" si="1"/>
        <v>100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'JUNE 21'!I22:I41</f>
        <v>100</v>
      </c>
      <c r="G22" s="8">
        <f t="shared" si="0"/>
        <v>3700</v>
      </c>
      <c r="H22" s="8"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'JUNE 21'!I23:I42</f>
        <v>0</v>
      </c>
      <c r="G23" s="8">
        <f t="shared" si="0"/>
        <v>3600</v>
      </c>
      <c r="H23" s="8">
        <f>400+3200</f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'JUNE 21'!I24:I43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7910</v>
      </c>
      <c r="G25" s="8">
        <f>C25+D25+E25+F25</f>
        <v>79810</v>
      </c>
      <c r="H25" s="6">
        <f>SUM(H5:H24)</f>
        <v>73210</v>
      </c>
      <c r="I25" s="6">
        <f>SUM(I5:I24)</f>
        <v>6600</v>
      </c>
      <c r="J25" s="6">
        <f>SUM(J5:J24)</f>
        <v>0</v>
      </c>
      <c r="K25" s="6">
        <f>SUM(K5:K24)</f>
        <v>290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50</v>
      </c>
      <c r="C29" s="16">
        <f>E25</f>
        <v>66500</v>
      </c>
      <c r="D29" s="17">
        <v>0.1</v>
      </c>
      <c r="E29" s="16"/>
      <c r="F29" s="20" t="s">
        <v>175</v>
      </c>
      <c r="G29" s="16">
        <f>H25</f>
        <v>73210</v>
      </c>
      <c r="H29" s="17">
        <v>0.1</v>
      </c>
      <c r="I29" s="19"/>
    </row>
    <row r="30" spans="1:11" x14ac:dyDescent="0.25">
      <c r="B30" s="19" t="s">
        <v>18</v>
      </c>
      <c r="C30" s="16">
        <f>'JUNE 21'!E42</f>
        <v>-2046</v>
      </c>
      <c r="D30" s="19"/>
      <c r="E30" s="19"/>
      <c r="F30" s="19" t="s">
        <v>18</v>
      </c>
      <c r="G30" s="16">
        <f>'JUNE 21'!I42</f>
        <v>-9956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290</v>
      </c>
      <c r="D34" s="19"/>
      <c r="E34" s="19"/>
      <c r="F34" s="19" t="s">
        <v>55</v>
      </c>
      <c r="G34" s="16">
        <f>K25</f>
        <v>290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1050</v>
      </c>
      <c r="E37" s="19"/>
      <c r="F37" s="22" t="s">
        <v>79</v>
      </c>
      <c r="G37" s="17">
        <v>0.3</v>
      </c>
      <c r="H37" s="19">
        <f>G37*D10</f>
        <v>1050</v>
      </c>
      <c r="I37" s="19"/>
    </row>
    <row r="38" spans="2:12" x14ac:dyDescent="0.25">
      <c r="B38" s="8"/>
      <c r="C38" s="27"/>
      <c r="D38" s="8"/>
      <c r="E38" s="8"/>
      <c r="F38" s="8"/>
      <c r="G38" s="27"/>
      <c r="H38" s="8"/>
      <c r="I38" s="19"/>
    </row>
    <row r="39" spans="2:12" x14ac:dyDescent="0.25">
      <c r="B39" s="22" t="s">
        <v>179</v>
      </c>
      <c r="C39" s="19"/>
      <c r="D39" s="19">
        <v>62700</v>
      </c>
      <c r="E39" s="19"/>
      <c r="F39" s="22" t="s">
        <v>179</v>
      </c>
      <c r="G39" s="19"/>
      <c r="H39" s="19">
        <v>62700</v>
      </c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63494</v>
      </c>
      <c r="D42" s="15">
        <f>SUM(D37:D41)</f>
        <v>63750</v>
      </c>
      <c r="E42" s="23">
        <f>C42-D42</f>
        <v>-256</v>
      </c>
      <c r="F42" s="18"/>
      <c r="G42" s="23">
        <f>G29+G30+G34+G31+G33-H35</f>
        <v>56894</v>
      </c>
      <c r="H42" s="23">
        <f>SUM(H37:H41)</f>
        <v>63750</v>
      </c>
      <c r="I42" s="23">
        <f>G42-H42</f>
        <v>-6856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4" workbookViewId="0">
      <selection activeCell="J43" sqref="J43"/>
    </sheetView>
  </sheetViews>
  <sheetFormatPr defaultRowHeight="15" x14ac:dyDescent="0.25"/>
  <cols>
    <col min="2" max="2" width="19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182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'JULY 21'!I5:I24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28" t="s">
        <v>94</v>
      </c>
      <c r="C6" s="8"/>
      <c r="D6" s="8"/>
      <c r="E6" s="8"/>
      <c r="F6" s="8">
        <f>'JULY 21'!I6:I25</f>
        <v>0</v>
      </c>
      <c r="G6" s="8">
        <f t="shared" ref="G6:G24" si="0">C6+D6+E6+F6</f>
        <v>0</v>
      </c>
      <c r="H6" s="8"/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'JULY 21'!I7:I26</f>
        <v>100</v>
      </c>
      <c r="G7" s="8">
        <f t="shared" si="0"/>
        <v>3700</v>
      </c>
      <c r="H7" s="8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'JULY 21'!I8:I27</f>
        <v>3600</v>
      </c>
      <c r="G8" s="8">
        <f>C8+D8+E8+F8</f>
        <v>7200</v>
      </c>
      <c r="H8" s="8">
        <f>3600+3600</f>
        <v>7200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'JULY 21'!I9:I28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19" t="s">
        <v>180</v>
      </c>
      <c r="C10" s="8">
        <v>100</v>
      </c>
      <c r="D10" s="8"/>
      <c r="E10" s="8">
        <v>3500</v>
      </c>
      <c r="F10" s="8">
        <f>'JULY 21'!I10:I29</f>
        <v>0</v>
      </c>
      <c r="G10" s="8">
        <f t="shared" si="0"/>
        <v>3600</v>
      </c>
      <c r="H10" s="8">
        <f>3500</f>
        <v>3500</v>
      </c>
      <c r="I10" s="8">
        <f>G10-H10</f>
        <v>100</v>
      </c>
      <c r="J10" s="8"/>
      <c r="K10" s="8"/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'JULY 21'!I11:I30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'JULY 21'!I12:I31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'JULY 21'!I13:I32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'JULY 21'!I14:I33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'JULY 21'!I15:I34</f>
        <v>2100</v>
      </c>
      <c r="G15" s="8">
        <f t="shared" si="0"/>
        <v>5700</v>
      </c>
      <c r="H15" s="8">
        <f>1000+4700</f>
        <v>5700</v>
      </c>
      <c r="I15" s="8">
        <f t="shared" si="1"/>
        <v>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'JULY 21'!I16:I35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'JULY 21'!I17:I36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'JULY 21'!I18:I37</f>
        <v>0</v>
      </c>
      <c r="G18" s="8">
        <f t="shared" si="0"/>
        <v>3600</v>
      </c>
      <c r="H18" s="8">
        <v>2300</v>
      </c>
      <c r="I18" s="8">
        <f t="shared" si="1"/>
        <v>1300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'JULY 21'!I19:I38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28" t="s">
        <v>174</v>
      </c>
      <c r="C20" s="8">
        <v>100</v>
      </c>
      <c r="D20" s="8"/>
      <c r="E20" s="8">
        <v>3500</v>
      </c>
      <c r="F20" s="8">
        <f>'JULY 21'!I20:I39</f>
        <v>600</v>
      </c>
      <c r="G20" s="8">
        <f t="shared" si="0"/>
        <v>4200</v>
      </c>
      <c r="H20" s="8">
        <v>3600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'JULY 21'!I21:I40</f>
        <v>100</v>
      </c>
      <c r="G21" s="8">
        <f t="shared" si="0"/>
        <v>3700</v>
      </c>
      <c r="H21" s="8">
        <f>2000</f>
        <v>2000</v>
      </c>
      <c r="I21" s="8">
        <f t="shared" si="1"/>
        <v>1700</v>
      </c>
      <c r="J21" s="8"/>
      <c r="K21" s="8"/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'JULY 21'!I22:I41</f>
        <v>100</v>
      </c>
      <c r="G22" s="8">
        <f t="shared" si="0"/>
        <v>3700</v>
      </c>
      <c r="H22" s="8">
        <f>3600</f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'JULY 21'!I23:I42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'JULY 21'!I24:I43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6600</v>
      </c>
      <c r="G25" s="8">
        <f>C25+D25+E25+F25</f>
        <v>75000</v>
      </c>
      <c r="H25" s="6">
        <f>SUM(H5:H24)</f>
        <v>71100</v>
      </c>
      <c r="I25" s="6">
        <f>SUM(I5:I24)</f>
        <v>3900</v>
      </c>
      <c r="J25" s="6">
        <f>SUM(J5:J24)</f>
        <v>0</v>
      </c>
      <c r="K25" s="6">
        <f>SUM(K5:K24)</f>
        <v>120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121</v>
      </c>
      <c r="C29" s="16">
        <f>E25</f>
        <v>66500</v>
      </c>
      <c r="D29" s="17">
        <v>0.1</v>
      </c>
      <c r="E29" s="16"/>
      <c r="F29" s="19" t="s">
        <v>121</v>
      </c>
      <c r="G29" s="16">
        <f>H25</f>
        <v>71100</v>
      </c>
      <c r="H29" s="17">
        <v>0.1</v>
      </c>
      <c r="I29" s="19"/>
    </row>
    <row r="30" spans="1:11" x14ac:dyDescent="0.25">
      <c r="B30" s="19" t="s">
        <v>18</v>
      </c>
      <c r="C30" s="16">
        <f>'JULY 21'!E42</f>
        <v>-256</v>
      </c>
      <c r="D30" s="19"/>
      <c r="E30" s="19"/>
      <c r="F30" s="19" t="s">
        <v>18</v>
      </c>
      <c r="G30" s="16">
        <f>'JULY 21'!I42</f>
        <v>-6856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120</v>
      </c>
      <c r="D34" s="19"/>
      <c r="E34" s="19"/>
      <c r="F34" s="19" t="s">
        <v>55</v>
      </c>
      <c r="G34" s="16">
        <f>K25</f>
        <v>120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H29*C29</f>
        <v>6650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0</v>
      </c>
      <c r="E37" s="19"/>
      <c r="F37" s="22" t="s">
        <v>79</v>
      </c>
      <c r="G37" s="17">
        <v>0.3</v>
      </c>
      <c r="H37" s="19">
        <f>G37*D10</f>
        <v>0</v>
      </c>
      <c r="I37" s="19"/>
    </row>
    <row r="38" spans="2:12" x14ac:dyDescent="0.25">
      <c r="B38" s="8" t="s">
        <v>183</v>
      </c>
      <c r="C38" s="27"/>
      <c r="D38" s="8">
        <v>61490</v>
      </c>
      <c r="E38" s="8"/>
      <c r="F38" s="8" t="s">
        <v>183</v>
      </c>
      <c r="G38" s="27"/>
      <c r="H38" s="8">
        <v>61490</v>
      </c>
      <c r="I38" s="19"/>
    </row>
    <row r="39" spans="2:12" x14ac:dyDescent="0.25">
      <c r="B39" s="22"/>
      <c r="C39" s="19"/>
      <c r="D39" s="19"/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61614</v>
      </c>
      <c r="D42" s="15">
        <f>SUM(D37:D41)</f>
        <v>61490</v>
      </c>
      <c r="E42" s="23">
        <f>C42-D42</f>
        <v>124</v>
      </c>
      <c r="F42" s="18"/>
      <c r="G42" s="23">
        <f>G29+G30+G34+G31+G33-H35</f>
        <v>57714</v>
      </c>
      <c r="H42" s="23">
        <f>SUM(H37:H41)</f>
        <v>61490</v>
      </c>
      <c r="I42" s="23">
        <f>G42-H42</f>
        <v>-3776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workbookViewId="0">
      <selection activeCell="F47" sqref="F46:F47"/>
    </sheetView>
  </sheetViews>
  <sheetFormatPr defaultRowHeight="15" x14ac:dyDescent="0.25"/>
  <cols>
    <col min="2" max="2" width="21.71093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184</v>
      </c>
      <c r="F3" s="1"/>
      <c r="G3" s="5"/>
      <c r="H3" s="5"/>
    </row>
    <row r="4" spans="1:11" x14ac:dyDescent="0.25">
      <c r="A4" s="8"/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'AUGUST 21'!I5:I25</f>
        <v>0</v>
      </c>
      <c r="G5" s="8">
        <f>C5+D5+E5+F5</f>
        <v>3600</v>
      </c>
      <c r="H5" s="8">
        <f>3600</f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28" t="s">
        <v>185</v>
      </c>
      <c r="C6" s="8">
        <v>100</v>
      </c>
      <c r="D6" s="8">
        <v>3500</v>
      </c>
      <c r="E6" s="8">
        <v>3500</v>
      </c>
      <c r="F6" s="8">
        <f>'AUGUST 21'!I6:I26</f>
        <v>0</v>
      </c>
      <c r="G6" s="8">
        <f t="shared" ref="G6:G24" si="0">C6+D6+E6+F6</f>
        <v>7100</v>
      </c>
      <c r="H6" s="8">
        <v>7100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101</v>
      </c>
      <c r="C7" s="8">
        <v>100</v>
      </c>
      <c r="D7" s="8"/>
      <c r="E7" s="8">
        <v>3500</v>
      </c>
      <c r="F7" s="8">
        <f>'AUGUST 21'!I7:I27</f>
        <v>100</v>
      </c>
      <c r="G7" s="8">
        <f t="shared" si="0"/>
        <v>3700</v>
      </c>
      <c r="H7" s="8">
        <f>3600</f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'AUGUST 21'!I8:I28</f>
        <v>0</v>
      </c>
      <c r="G8" s="8">
        <f>C8+D8+E8+F8</f>
        <v>3600</v>
      </c>
      <c r="H8" s="8"/>
      <c r="I8" s="8">
        <f t="shared" si="1"/>
        <v>3600</v>
      </c>
      <c r="J8" s="8"/>
      <c r="K8" s="8"/>
    </row>
    <row r="9" spans="1:11" x14ac:dyDescent="0.25">
      <c r="A9" s="8">
        <v>5</v>
      </c>
      <c r="B9" s="19" t="s">
        <v>115</v>
      </c>
      <c r="C9" s="8">
        <v>100</v>
      </c>
      <c r="D9" s="8"/>
      <c r="E9" s="8">
        <v>3500</v>
      </c>
      <c r="F9" s="8">
        <f>'AUGUST 21'!I9:I29</f>
        <v>0</v>
      </c>
      <c r="G9" s="8">
        <f>C9+D9+E9+F9</f>
        <v>3600</v>
      </c>
      <c r="H9" s="8">
        <f>3600</f>
        <v>3600</v>
      </c>
      <c r="I9" s="8">
        <f>G9-H9</f>
        <v>0</v>
      </c>
      <c r="J9" s="8"/>
      <c r="K9" s="8">
        <v>200</v>
      </c>
    </row>
    <row r="10" spans="1:11" x14ac:dyDescent="0.25">
      <c r="A10" s="8">
        <v>6</v>
      </c>
      <c r="B10" s="19" t="s">
        <v>180</v>
      </c>
      <c r="C10" s="8">
        <v>100</v>
      </c>
      <c r="D10" s="8"/>
      <c r="E10" s="8">
        <v>3500</v>
      </c>
      <c r="F10" s="8">
        <f>'AUGUST 21'!I10:I30</f>
        <v>100</v>
      </c>
      <c r="G10" s="8">
        <f t="shared" si="0"/>
        <v>3700</v>
      </c>
      <c r="H10" s="8">
        <f>3500+200</f>
        <v>3700</v>
      </c>
      <c r="I10" s="8">
        <f>G10-H10</f>
        <v>0</v>
      </c>
      <c r="J10" s="8"/>
      <c r="K10" s="8">
        <v>120</v>
      </c>
    </row>
    <row r="11" spans="1:11" x14ac:dyDescent="0.25">
      <c r="A11" s="8">
        <v>7</v>
      </c>
      <c r="B11" s="8" t="s">
        <v>32</v>
      </c>
      <c r="C11" s="19">
        <v>100</v>
      </c>
      <c r="D11" s="8"/>
      <c r="E11" s="8">
        <v>3500</v>
      </c>
      <c r="F11" s="8">
        <f>'AUGUST 21'!I11:I31</f>
        <v>0</v>
      </c>
      <c r="G11" s="8">
        <f t="shared" si="0"/>
        <v>3600</v>
      </c>
      <c r="H11" s="19">
        <f>3600</f>
        <v>3600</v>
      </c>
      <c r="I11" s="8">
        <f t="shared" si="1"/>
        <v>0</v>
      </c>
      <c r="J11" s="8"/>
      <c r="K11" s="19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'AUGUST 21'!I12:I32</f>
        <v>0</v>
      </c>
      <c r="G12" s="8">
        <f t="shared" si="0"/>
        <v>3600</v>
      </c>
      <c r="H12" s="8">
        <f>3600</f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'AUGUST 21'!I13:I33</f>
        <v>0</v>
      </c>
      <c r="G13" s="8">
        <f t="shared" si="0"/>
        <v>3600</v>
      </c>
      <c r="H13" s="8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19" t="s">
        <v>159</v>
      </c>
      <c r="C14" s="8">
        <v>100</v>
      </c>
      <c r="D14" s="8"/>
      <c r="E14" s="8">
        <v>3500</v>
      </c>
      <c r="F14" s="8">
        <f>'AUGUST 21'!I14:I34</f>
        <v>0</v>
      </c>
      <c r="G14" s="8">
        <f t="shared" si="0"/>
        <v>3600</v>
      </c>
      <c r="H14" s="8">
        <f>3600</f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129</v>
      </c>
      <c r="C15" s="8">
        <v>100</v>
      </c>
      <c r="D15" s="8"/>
      <c r="E15" s="8">
        <v>3500</v>
      </c>
      <c r="F15" s="8">
        <f>'AUGUST 21'!I15:I35</f>
        <v>0</v>
      </c>
      <c r="G15" s="8">
        <f t="shared" si="0"/>
        <v>3600</v>
      </c>
      <c r="H15" s="8">
        <v>3000</v>
      </c>
      <c r="I15" s="8">
        <f t="shared" si="1"/>
        <v>600</v>
      </c>
      <c r="J15" s="8"/>
      <c r="K15" s="8"/>
    </row>
    <row r="16" spans="1:11" x14ac:dyDescent="0.25">
      <c r="A16" s="8">
        <v>12</v>
      </c>
      <c r="B16" s="8" t="s">
        <v>97</v>
      </c>
      <c r="C16" s="8">
        <v>100</v>
      </c>
      <c r="D16" s="8"/>
      <c r="E16" s="8">
        <v>3500</v>
      </c>
      <c r="F16" s="8">
        <f>'AUGUST 21'!I16:I36</f>
        <v>0</v>
      </c>
      <c r="G16" s="8">
        <f t="shared" si="0"/>
        <v>3600</v>
      </c>
      <c r="H16" s="8">
        <f>3600</f>
        <v>3600</v>
      </c>
      <c r="I16" s="8">
        <f t="shared" si="1"/>
        <v>0</v>
      </c>
      <c r="J16" s="8"/>
      <c r="K16" s="8">
        <v>140</v>
      </c>
    </row>
    <row r="17" spans="1:11" x14ac:dyDescent="0.25">
      <c r="A17" s="8">
        <v>13</v>
      </c>
      <c r="B17" s="19" t="s">
        <v>181</v>
      </c>
      <c r="C17" s="8">
        <v>100</v>
      </c>
      <c r="D17" s="8"/>
      <c r="E17" s="8">
        <v>3500</v>
      </c>
      <c r="F17" s="8">
        <f>'AUGUST 21'!I17:I37</f>
        <v>0</v>
      </c>
      <c r="G17" s="8">
        <f t="shared" si="0"/>
        <v>3600</v>
      </c>
      <c r="H17" s="8">
        <f>3600</f>
        <v>3600</v>
      </c>
      <c r="I17" s="8">
        <f>G17-H17</f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'AUGUST 21'!I18:I38</f>
        <v>1300</v>
      </c>
      <c r="G18" s="8">
        <f t="shared" si="0"/>
        <v>4900</v>
      </c>
      <c r="H18" s="8">
        <f>500+1650+2750</f>
        <v>4900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'AUGUST 21'!I19:I39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28" t="s">
        <v>186</v>
      </c>
      <c r="C20" s="8">
        <v>100</v>
      </c>
      <c r="D20" s="8"/>
      <c r="E20" s="8">
        <v>3500</v>
      </c>
      <c r="F20" s="8">
        <f>'AUGUST 21'!I20:I40</f>
        <v>600</v>
      </c>
      <c r="G20" s="8">
        <f t="shared" si="0"/>
        <v>4200</v>
      </c>
      <c r="H20" s="8">
        <f>3600</f>
        <v>3600</v>
      </c>
      <c r="I20" s="8">
        <f t="shared" si="1"/>
        <v>600</v>
      </c>
      <c r="J20" s="8"/>
      <c r="K20" s="8"/>
    </row>
    <row r="21" spans="1:11" x14ac:dyDescent="0.25">
      <c r="A21" s="8">
        <v>17</v>
      </c>
      <c r="B21" s="8" t="s">
        <v>110</v>
      </c>
      <c r="C21" s="8">
        <v>100</v>
      </c>
      <c r="D21" s="8"/>
      <c r="E21" s="8">
        <v>3500</v>
      </c>
      <c r="F21" s="8">
        <f>'AUGUST 21'!I21:I41</f>
        <v>1700</v>
      </c>
      <c r="G21" s="8">
        <f t="shared" si="0"/>
        <v>5300</v>
      </c>
      <c r="H21" s="8">
        <f>3700+1600</f>
        <v>5300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19" t="s">
        <v>173</v>
      </c>
      <c r="C22" s="8">
        <v>100</v>
      </c>
      <c r="D22" s="8"/>
      <c r="E22" s="8">
        <v>3500</v>
      </c>
      <c r="F22" s="8">
        <f>'AUGUST 21'!I22:I42</f>
        <v>100</v>
      </c>
      <c r="G22" s="8">
        <f t="shared" si="0"/>
        <v>3700</v>
      </c>
      <c r="H22" s="8">
        <f>3600</f>
        <v>3600</v>
      </c>
      <c r="I22" s="8">
        <f t="shared" si="1"/>
        <v>100</v>
      </c>
      <c r="J22" s="8"/>
      <c r="K22" s="8">
        <v>120</v>
      </c>
    </row>
    <row r="23" spans="1:11" x14ac:dyDescent="0.25">
      <c r="A23" s="8">
        <v>19</v>
      </c>
      <c r="B23" s="8" t="s">
        <v>145</v>
      </c>
      <c r="C23" s="8">
        <v>100</v>
      </c>
      <c r="D23" s="8"/>
      <c r="E23" s="8">
        <f>3500</f>
        <v>3500</v>
      </c>
      <c r="F23" s="8">
        <f>'AUGUST 21'!I23:I43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163</v>
      </c>
      <c r="C24" s="8">
        <v>100</v>
      </c>
      <c r="D24" s="8"/>
      <c r="E24" s="8">
        <v>3500</v>
      </c>
      <c r="F24" s="8">
        <f>'AUGUST 21'!I24:I44</f>
        <v>0</v>
      </c>
      <c r="G24" s="8">
        <f t="shared" si="0"/>
        <v>3600</v>
      </c>
      <c r="H24" s="8">
        <f>3600</f>
        <v>3600</v>
      </c>
      <c r="I24" s="8">
        <f t="shared" si="1"/>
        <v>0</v>
      </c>
      <c r="J24" s="8"/>
      <c r="K24" s="8"/>
    </row>
    <row r="25" spans="1:11" x14ac:dyDescent="0.25">
      <c r="A25" s="8"/>
      <c r="B25" s="9" t="s">
        <v>9</v>
      </c>
      <c r="C25" s="9">
        <f>SUM(C5:C24)</f>
        <v>2000</v>
      </c>
      <c r="D25" s="9">
        <f>SUM(D5:D24)</f>
        <v>3500</v>
      </c>
      <c r="E25" s="6">
        <f>SUM(E5:E24)</f>
        <v>70000</v>
      </c>
      <c r="F25" s="8">
        <f>SUM(F5:F24)</f>
        <v>3900</v>
      </c>
      <c r="G25" s="8">
        <f>C25+D25+E25+F25</f>
        <v>79400</v>
      </c>
      <c r="H25" s="6">
        <f>SUM(H5:H24)</f>
        <v>74400</v>
      </c>
      <c r="I25" s="6">
        <f>SUM(I5:I24)</f>
        <v>5000</v>
      </c>
      <c r="J25" s="6">
        <f>SUM(J5:J24)</f>
        <v>0</v>
      </c>
      <c r="K25" s="6">
        <f>SUM(K5:K24)</f>
        <v>1540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128</v>
      </c>
      <c r="C29" s="16">
        <f>E25</f>
        <v>70000</v>
      </c>
      <c r="D29" s="17">
        <v>0.1</v>
      </c>
      <c r="E29" s="16"/>
      <c r="F29" s="19" t="s">
        <v>128</v>
      </c>
      <c r="G29" s="16">
        <f>H25</f>
        <v>74400</v>
      </c>
      <c r="H29" s="17">
        <v>0.1</v>
      </c>
      <c r="I29" s="19"/>
    </row>
    <row r="30" spans="1:11" x14ac:dyDescent="0.25">
      <c r="B30" s="19" t="s">
        <v>18</v>
      </c>
      <c r="C30" s="16">
        <f>'AUGUST 21'!E42</f>
        <v>124</v>
      </c>
      <c r="D30" s="19"/>
      <c r="E30" s="19"/>
      <c r="F30" s="19" t="s">
        <v>18</v>
      </c>
      <c r="G30" s="16">
        <f>'AUGUST 21'!I42</f>
        <v>-3776</v>
      </c>
      <c r="H30" s="19"/>
      <c r="I30" s="19"/>
    </row>
    <row r="31" spans="1:11" x14ac:dyDescent="0.25">
      <c r="B31" s="19" t="s">
        <v>45</v>
      </c>
      <c r="C31" s="16">
        <f>C25</f>
        <v>2000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12" x14ac:dyDescent="0.25">
      <c r="B33" s="19" t="s">
        <v>56</v>
      </c>
      <c r="C33" s="16"/>
      <c r="D33" s="19"/>
      <c r="E33" s="19"/>
      <c r="F33" s="19" t="s">
        <v>56</v>
      </c>
      <c r="G33" s="16"/>
      <c r="H33" s="16"/>
      <c r="I33" s="19"/>
    </row>
    <row r="34" spans="2:12" x14ac:dyDescent="0.25">
      <c r="B34" s="19" t="s">
        <v>55</v>
      </c>
      <c r="C34" s="16">
        <f>K25</f>
        <v>1540</v>
      </c>
      <c r="D34" s="19"/>
      <c r="E34" s="19"/>
      <c r="F34" s="19" t="s">
        <v>55</v>
      </c>
      <c r="G34" s="16">
        <f>K25</f>
        <v>1540</v>
      </c>
      <c r="H34" s="16"/>
      <c r="I34" s="19"/>
      <c r="K34" s="25"/>
    </row>
    <row r="35" spans="2:12" x14ac:dyDescent="0.25">
      <c r="B35" s="19" t="s">
        <v>19</v>
      </c>
      <c r="C35" s="20"/>
      <c r="D35" s="19">
        <f>C29*D29</f>
        <v>7000</v>
      </c>
      <c r="E35" s="19"/>
      <c r="F35" s="19"/>
      <c r="G35" s="20"/>
      <c r="H35" s="19">
        <f>H29*C29</f>
        <v>7000</v>
      </c>
      <c r="I35" s="19"/>
      <c r="K35" s="25"/>
      <c r="L35" t="s">
        <v>178</v>
      </c>
    </row>
    <row r="36" spans="2:12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2" x14ac:dyDescent="0.25">
      <c r="B37" s="22" t="s">
        <v>79</v>
      </c>
      <c r="C37" s="17">
        <v>0.3</v>
      </c>
      <c r="D37" s="19">
        <f>C37*D10</f>
        <v>0</v>
      </c>
      <c r="E37" s="19"/>
      <c r="F37" s="22" t="s">
        <v>79</v>
      </c>
      <c r="G37" s="17">
        <v>0.3</v>
      </c>
      <c r="H37" s="19">
        <f>G37*D10</f>
        <v>0</v>
      </c>
      <c r="I37" s="19"/>
    </row>
    <row r="38" spans="2:12" x14ac:dyDescent="0.25">
      <c r="B38" s="8" t="s">
        <v>187</v>
      </c>
      <c r="C38" s="27"/>
      <c r="D38" s="8">
        <v>69800</v>
      </c>
      <c r="E38" s="8"/>
      <c r="F38" s="8" t="s">
        <v>187</v>
      </c>
      <c r="G38" s="27"/>
      <c r="H38" s="8">
        <v>69800</v>
      </c>
      <c r="I38" s="19"/>
    </row>
    <row r="39" spans="2:12" x14ac:dyDescent="0.25">
      <c r="B39" s="22" t="s">
        <v>189</v>
      </c>
      <c r="C39" s="19"/>
      <c r="D39" s="19">
        <v>600</v>
      </c>
      <c r="E39" s="19"/>
      <c r="F39" s="22"/>
      <c r="G39" s="19"/>
      <c r="H39" s="19"/>
      <c r="I39" s="19"/>
      <c r="K39" s="25"/>
    </row>
    <row r="40" spans="2:12" x14ac:dyDescent="0.25">
      <c r="B40" s="22"/>
      <c r="C40" s="19"/>
      <c r="D40" s="19"/>
      <c r="E40" s="19"/>
      <c r="F40" s="22"/>
      <c r="G40" s="19"/>
      <c r="H40" s="19"/>
      <c r="I40" s="19"/>
    </row>
    <row r="41" spans="2:12" x14ac:dyDescent="0.25">
      <c r="B41" s="22"/>
      <c r="C41" s="16"/>
      <c r="D41" s="16"/>
      <c r="E41" s="16"/>
      <c r="F41" s="22"/>
      <c r="G41" s="19"/>
      <c r="H41" s="16"/>
      <c r="I41" s="19"/>
    </row>
    <row r="42" spans="2:12" x14ac:dyDescent="0.25">
      <c r="B42" s="15" t="s">
        <v>9</v>
      </c>
      <c r="C42" s="23">
        <f>C29+C30+C31+C32+C33+C34-D35</f>
        <v>70164</v>
      </c>
      <c r="D42" s="15">
        <f>SUM(D37:D41)</f>
        <v>70400</v>
      </c>
      <c r="E42" s="23">
        <f>C42-D42</f>
        <v>-236</v>
      </c>
      <c r="F42" s="18"/>
      <c r="G42" s="23">
        <f>G29+G30+G34+G31+G33-H35</f>
        <v>65164</v>
      </c>
      <c r="H42" s="23">
        <f>SUM(H37:H41)</f>
        <v>69800</v>
      </c>
      <c r="I42" s="23">
        <f>G42-H42</f>
        <v>-4636</v>
      </c>
    </row>
    <row r="45" spans="2:12" x14ac:dyDescent="0.25">
      <c r="B45" s="10" t="s">
        <v>21</v>
      </c>
      <c r="D45" s="10" t="s">
        <v>22</v>
      </c>
      <c r="F45" s="10"/>
      <c r="G45" s="10" t="s">
        <v>23</v>
      </c>
    </row>
    <row r="46" spans="2:12" x14ac:dyDescent="0.25">
      <c r="B46" t="s">
        <v>61</v>
      </c>
      <c r="D46" s="10" t="s">
        <v>25</v>
      </c>
      <c r="F46" s="10"/>
      <c r="G46" s="10" t="s">
        <v>46</v>
      </c>
      <c r="I46" s="25"/>
      <c r="J46" s="2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7" sqref="H7"/>
    </sheetView>
  </sheetViews>
  <sheetFormatPr defaultRowHeight="15" x14ac:dyDescent="0.25"/>
  <cols>
    <col min="2" max="2" width="18.85546875" customWidth="1"/>
    <col min="3" max="3" width="10.28515625" customWidth="1"/>
    <col min="4" max="4" width="13.5703125" customWidth="1"/>
    <col min="6" max="6" width="18.85546875" customWidth="1"/>
    <col min="9" max="9" width="11.28515625" customWidth="1"/>
    <col min="10" max="10" width="10.5703125" customWidth="1"/>
  </cols>
  <sheetData>
    <row r="1" spans="1:11" ht="23.25" customHeight="1" x14ac:dyDescent="0.35">
      <c r="D1" s="55" t="s">
        <v>26</v>
      </c>
      <c r="E1" s="56"/>
      <c r="F1" s="56"/>
      <c r="G1" s="56"/>
      <c r="H1" s="57"/>
    </row>
    <row r="2" spans="1:11" ht="25.5" customHeight="1" x14ac:dyDescent="0.35">
      <c r="D2" s="58" t="s">
        <v>0</v>
      </c>
      <c r="E2" s="59"/>
      <c r="F2" s="59"/>
      <c r="G2" s="59"/>
      <c r="H2" s="60"/>
    </row>
    <row r="3" spans="1:11" ht="25.5" customHeight="1" x14ac:dyDescent="0.35">
      <c r="D3" s="61" t="s">
        <v>188</v>
      </c>
      <c r="E3" s="62"/>
      <c r="F3" s="62"/>
      <c r="G3" s="62"/>
      <c r="H3" s="63"/>
    </row>
    <row r="4" spans="1:11" s="34" customFormat="1" ht="32.25" customHeight="1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'SEPT 21'!I5:I25</f>
        <v>0</v>
      </c>
      <c r="G5" s="6">
        <f>C5+D5+E5+F5</f>
        <v>3600</v>
      </c>
      <c r="H5" s="6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'SEPT 21'!I6:I26</f>
        <v>0</v>
      </c>
      <c r="G6" s="6">
        <f t="shared" ref="G6:G24" si="0">C6+D6+E6+F6</f>
        <v>3600</v>
      </c>
      <c r="H6" s="6"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'SEPT 21'!I7:I27</f>
        <v>100</v>
      </c>
      <c r="G7" s="6">
        <f t="shared" si="0"/>
        <v>3700</v>
      </c>
      <c r="H7" s="6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'SEPT 21'!I8:I28</f>
        <v>3600</v>
      </c>
      <c r="G8" s="6">
        <f>C8+D8+E8+F8</f>
        <v>7200</v>
      </c>
      <c r="H8" s="6">
        <f>3600+3600</f>
        <v>7200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'SEPT 21'!I9:I29</f>
        <v>0</v>
      </c>
      <c r="G9" s="6">
        <f>C9+D9+E9+F9</f>
        <v>3600</v>
      </c>
      <c r="H9" s="6">
        <v>3600</v>
      </c>
      <c r="I9" s="8">
        <f>G9-H9</f>
        <v>0</v>
      </c>
      <c r="J9" s="8"/>
      <c r="K9" s="8"/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'SEPT 21'!I10:I30</f>
        <v>0</v>
      </c>
      <c r="G10" s="6">
        <f t="shared" si="0"/>
        <v>3600</v>
      </c>
      <c r="H10" s="6">
        <v>3600</v>
      </c>
      <c r="I10" s="8">
        <f>G10-H10</f>
        <v>0</v>
      </c>
      <c r="J10" s="8"/>
      <c r="K10" s="8"/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'SEPT 21'!I11:I31</f>
        <v>0</v>
      </c>
      <c r="G11" s="6">
        <f t="shared" si="0"/>
        <v>3600</v>
      </c>
      <c r="H11" s="15">
        <v>3600</v>
      </c>
      <c r="I11" s="8">
        <f t="shared" si="1"/>
        <v>0</v>
      </c>
      <c r="J11" s="8"/>
      <c r="K11" s="19"/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'SEPT 21'!I12:I32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'SEPT 21'!I13:I33</f>
        <v>0</v>
      </c>
      <c r="G13" s="6">
        <f t="shared" si="0"/>
        <v>3600</v>
      </c>
      <c r="H13" s="6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'SEPT 21'!I14:I34</f>
        <v>0</v>
      </c>
      <c r="G14" s="6">
        <f t="shared" si="0"/>
        <v>3600</v>
      </c>
      <c r="H14" s="6"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29" t="s">
        <v>94</v>
      </c>
      <c r="C15" s="6"/>
      <c r="D15" s="6"/>
      <c r="E15" s="6"/>
      <c r="F15" s="6"/>
      <c r="G15" s="6">
        <f t="shared" si="0"/>
        <v>0</v>
      </c>
      <c r="H15" s="6"/>
      <c r="I15" s="8">
        <f t="shared" si="1"/>
        <v>0</v>
      </c>
      <c r="J15" s="8"/>
      <c r="K15" s="8"/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'SEPT 21'!I16:I36</f>
        <v>0</v>
      </c>
      <c r="G16" s="6">
        <f t="shared" si="0"/>
        <v>3600</v>
      </c>
      <c r="H16" s="6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'SEPT 21'!I17:I37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'SEPT 21'!I18:I38</f>
        <v>0</v>
      </c>
      <c r="G18" s="6">
        <f t="shared" si="0"/>
        <v>3600</v>
      </c>
      <c r="H18" s="6"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'SEPT 21'!I19:I39</f>
        <v>0</v>
      </c>
      <c r="G19" s="6">
        <f t="shared" si="0"/>
        <v>3600</v>
      </c>
      <c r="H19" s="6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'SEPT 21'!I20:I40</f>
        <v>600</v>
      </c>
      <c r="G20" s="6">
        <f t="shared" si="0"/>
        <v>4200</v>
      </c>
      <c r="H20" s="6">
        <v>3000</v>
      </c>
      <c r="I20" s="8">
        <f t="shared" si="1"/>
        <v>1200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'SEPT 21'!I21:I41</f>
        <v>0</v>
      </c>
      <c r="G21" s="6">
        <f t="shared" si="0"/>
        <v>3600</v>
      </c>
      <c r="H21" s="6">
        <v>3000</v>
      </c>
      <c r="I21" s="8">
        <f t="shared" si="1"/>
        <v>600</v>
      </c>
      <c r="J21" s="8"/>
      <c r="K21" s="8"/>
    </row>
    <row r="22" spans="1:11" x14ac:dyDescent="0.25">
      <c r="A22" s="8">
        <v>18</v>
      </c>
      <c r="B22" s="44" t="s">
        <v>173</v>
      </c>
      <c r="C22" s="6">
        <v>100</v>
      </c>
      <c r="D22" s="6"/>
      <c r="E22" s="6">
        <v>3500</v>
      </c>
      <c r="F22" s="6">
        <f>'SEPT 21'!I22:I42</f>
        <v>100</v>
      </c>
      <c r="G22" s="6">
        <f t="shared" si="0"/>
        <v>3700</v>
      </c>
      <c r="H22" s="6">
        <v>3600</v>
      </c>
      <c r="I22" s="8">
        <f t="shared" si="1"/>
        <v>100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'SEPT 21'!I23:I43</f>
        <v>0</v>
      </c>
      <c r="G23" s="6">
        <f t="shared" si="0"/>
        <v>3600</v>
      </c>
      <c r="H23" s="6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'SEPT 21'!I24:I44</f>
        <v>0</v>
      </c>
      <c r="G24" s="6">
        <f t="shared" si="0"/>
        <v>3600</v>
      </c>
      <c r="H24" s="6">
        <v>3600</v>
      </c>
      <c r="I24" s="8">
        <f t="shared" si="1"/>
        <v>0</v>
      </c>
      <c r="J24" s="8"/>
      <c r="K24" s="8"/>
    </row>
    <row r="25" spans="1:11" s="37" customFormat="1" ht="30" customHeight="1" x14ac:dyDescent="0.25">
      <c r="A25" s="30"/>
      <c r="B25" s="38" t="s">
        <v>9</v>
      </c>
      <c r="C25" s="30">
        <f>SUM(C5:C24)</f>
        <v>1900</v>
      </c>
      <c r="D25" s="30">
        <f>SUM(D5:D24)</f>
        <v>0</v>
      </c>
      <c r="E25" s="30">
        <f>SUM(E5:E24)</f>
        <v>66500</v>
      </c>
      <c r="F25" s="30">
        <f>'SEPT 21'!I25:I45</f>
        <v>5000</v>
      </c>
      <c r="G25" s="30">
        <f>C25+D25+E25+F25</f>
        <v>73400</v>
      </c>
      <c r="H25" s="30">
        <f>SUM(H5:H24)</f>
        <v>70800</v>
      </c>
      <c r="I25" s="30">
        <f>SUM(I5:I24)</f>
        <v>2000</v>
      </c>
      <c r="J25" s="30">
        <f>SUM(J5:J24)</f>
        <v>0</v>
      </c>
      <c r="K25" s="30">
        <f>SUM(K5:K24)</f>
        <v>600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s="34" customFormat="1" ht="27.75" customHeight="1" x14ac:dyDescent="0.25"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</row>
    <row r="29" spans="1:11" x14ac:dyDescent="0.25">
      <c r="B29" s="44" t="s">
        <v>133</v>
      </c>
      <c r="C29" s="23">
        <f>E25</f>
        <v>66500</v>
      </c>
      <c r="D29" s="49">
        <v>0.1</v>
      </c>
      <c r="E29" s="16"/>
      <c r="F29" s="44" t="s">
        <v>133</v>
      </c>
      <c r="G29" s="23">
        <f>H25</f>
        <v>70800</v>
      </c>
      <c r="H29" s="49">
        <v>0.1</v>
      </c>
      <c r="I29" s="19"/>
    </row>
    <row r="30" spans="1:11" x14ac:dyDescent="0.25">
      <c r="B30" s="44" t="s">
        <v>18</v>
      </c>
      <c r="C30" s="23">
        <f>'SEPT 21'!E42</f>
        <v>-236</v>
      </c>
      <c r="D30" s="15"/>
      <c r="E30" s="19"/>
      <c r="F30" s="44" t="s">
        <v>18</v>
      </c>
      <c r="G30" s="23">
        <f>'SEPT 21'!I42</f>
        <v>-4636</v>
      </c>
      <c r="H30" s="15"/>
      <c r="I30" s="19"/>
    </row>
    <row r="31" spans="1:11" x14ac:dyDescent="0.25">
      <c r="B31" s="44" t="s">
        <v>45</v>
      </c>
      <c r="C31" s="23">
        <f>C25</f>
        <v>1900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0</v>
      </c>
      <c r="D32" s="15"/>
      <c r="E32" s="19"/>
      <c r="F32" s="44"/>
      <c r="G32" s="23"/>
      <c r="H32" s="23"/>
      <c r="I32" s="19"/>
    </row>
    <row r="33" spans="2:13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2:13" x14ac:dyDescent="0.25">
      <c r="B34" s="44" t="s">
        <v>55</v>
      </c>
      <c r="C34" s="23">
        <f>K25</f>
        <v>600</v>
      </c>
      <c r="D34" s="15"/>
      <c r="E34" s="19"/>
      <c r="F34" s="44" t="s">
        <v>55</v>
      </c>
      <c r="G34" s="23">
        <f>K25</f>
        <v>600</v>
      </c>
      <c r="H34" s="23"/>
      <c r="I34" s="19"/>
      <c r="K34" s="25"/>
      <c r="M34" s="31"/>
    </row>
    <row r="35" spans="2:13" x14ac:dyDescent="0.25">
      <c r="B35" s="44" t="s">
        <v>19</v>
      </c>
      <c r="C35" s="18"/>
      <c r="D35" s="15">
        <f>C29*D29</f>
        <v>6650</v>
      </c>
      <c r="E35" s="19"/>
      <c r="F35" s="44"/>
      <c r="G35" s="18"/>
      <c r="H35" s="15">
        <f>H29*C29</f>
        <v>6650</v>
      </c>
      <c r="I35" s="19"/>
      <c r="K35" s="47"/>
    </row>
    <row r="36" spans="2:13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2:13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2:13" x14ac:dyDescent="0.25">
      <c r="B38" s="8" t="s">
        <v>190</v>
      </c>
      <c r="C38" s="50"/>
      <c r="D38" s="6">
        <v>61990</v>
      </c>
      <c r="E38" s="8"/>
      <c r="F38" s="8" t="s">
        <v>190</v>
      </c>
      <c r="G38" s="50"/>
      <c r="H38" s="6">
        <v>61990</v>
      </c>
      <c r="I38" s="19"/>
    </row>
    <row r="39" spans="2:13" x14ac:dyDescent="0.25">
      <c r="B39" s="22"/>
      <c r="C39" s="19"/>
      <c r="D39" s="15"/>
      <c r="E39" s="19"/>
      <c r="F39" s="22"/>
      <c r="G39" s="19"/>
      <c r="H39" s="19"/>
      <c r="I39" s="19"/>
      <c r="K39" s="25"/>
    </row>
    <row r="40" spans="2:13" x14ac:dyDescent="0.25">
      <c r="B40" s="22"/>
      <c r="C40" s="19"/>
      <c r="D40" s="19"/>
      <c r="E40" s="19"/>
      <c r="F40" s="22"/>
      <c r="G40" s="19"/>
      <c r="H40" s="19"/>
      <c r="I40" s="19"/>
    </row>
    <row r="41" spans="2:13" x14ac:dyDescent="0.25">
      <c r="B41" s="22"/>
      <c r="C41" s="16"/>
      <c r="D41" s="16"/>
      <c r="E41" s="16"/>
      <c r="F41" s="22"/>
      <c r="G41" s="19"/>
      <c r="H41" s="16"/>
      <c r="I41" s="19"/>
    </row>
    <row r="42" spans="2:13" s="34" customFormat="1" ht="24.75" customHeight="1" x14ac:dyDescent="0.25">
      <c r="B42" s="38" t="s">
        <v>9</v>
      </c>
      <c r="C42" s="39">
        <f>C29+C30+C31+C32+C33+C34-D35</f>
        <v>62114</v>
      </c>
      <c r="D42" s="36">
        <f>SUM(D37:D41)</f>
        <v>61990</v>
      </c>
      <c r="E42" s="39">
        <f>C42-D42</f>
        <v>124</v>
      </c>
      <c r="F42" s="40"/>
      <c r="G42" s="39">
        <f>G29+G30+G34+G31+G33-H35</f>
        <v>60114</v>
      </c>
      <c r="H42" s="39">
        <f>SUM(H37:H41)</f>
        <v>61990</v>
      </c>
      <c r="I42" s="39">
        <f>G42-H42</f>
        <v>-1876</v>
      </c>
      <c r="L42" s="48"/>
    </row>
    <row r="45" spans="2:13" ht="21.75" customHeight="1" x14ac:dyDescent="0.25">
      <c r="B45" s="42" t="s">
        <v>21</v>
      </c>
      <c r="D45" s="42" t="s">
        <v>22</v>
      </c>
      <c r="F45" s="10"/>
      <c r="G45" s="65" t="s">
        <v>23</v>
      </c>
      <c r="H45" s="65"/>
    </row>
    <row r="46" spans="2:13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14" priority="3" operator="containsText" text="VACCANT">
      <formula>NOT(ISERROR(SEARCH("VACCANT",B5)))</formula>
    </cfRule>
    <cfRule type="notContainsText" dxfId="13" priority="4" operator="notContains" text="VACCANT">
      <formula>ISERROR(SEARCH("VACCANT",B5))</formula>
    </cfRule>
    <cfRule type="containsText" dxfId="12" priority="5" operator="containsText" text="VACCANT">
      <formula>NOT(ISERROR(SEARCH("VACCANT",B5)))</formula>
    </cfRule>
  </conditionalFormatting>
  <conditionalFormatting sqref="I5:I24">
    <cfRule type="cellIs" dxfId="11" priority="2" operator="equal">
      <formula>0</formula>
    </cfRule>
    <cfRule type="cellIs" dxfId="1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13" workbookViewId="0">
      <selection activeCell="K38" sqref="K38"/>
    </sheetView>
  </sheetViews>
  <sheetFormatPr defaultRowHeight="15" x14ac:dyDescent="0.25"/>
  <cols>
    <col min="2" max="2" width="17.5703125" customWidth="1"/>
    <col min="7" max="7" width="9.7109375" customWidth="1"/>
  </cols>
  <sheetData>
    <row r="1" spans="1:17" ht="18.75" x14ac:dyDescent="0.25">
      <c r="E1" s="1" t="s">
        <v>26</v>
      </c>
      <c r="F1" s="2"/>
      <c r="G1" s="3"/>
      <c r="H1" s="4"/>
    </row>
    <row r="2" spans="1:17" ht="18.75" x14ac:dyDescent="0.25">
      <c r="E2" s="1" t="s">
        <v>0</v>
      </c>
      <c r="F2" s="1"/>
      <c r="G2" s="5"/>
      <c r="H2" s="5"/>
    </row>
    <row r="3" spans="1:17" ht="18.75" x14ac:dyDescent="0.25">
      <c r="E3" s="1" t="s">
        <v>62</v>
      </c>
      <c r="F3" s="1"/>
      <c r="G3" s="5"/>
      <c r="H3" s="5"/>
    </row>
    <row r="4" spans="1:17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M4" s="26"/>
      <c r="N4" s="26"/>
      <c r="O4" s="26"/>
      <c r="P4" s="26"/>
      <c r="Q4" s="26"/>
    </row>
    <row r="5" spans="1:17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JULY!L5:L25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  <c r="L5">
        <f>F5:F25-J5:J25</f>
        <v>0</v>
      </c>
      <c r="M5" s="10"/>
      <c r="N5" s="26"/>
      <c r="O5" s="10"/>
      <c r="P5" s="10"/>
      <c r="Q5" s="10"/>
    </row>
    <row r="6" spans="1:17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JULY!L6:L26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>
        <v>0</v>
      </c>
      <c r="L6">
        <f t="shared" ref="L6:L25" si="2">F6:F26-J6:J26</f>
        <v>0</v>
      </c>
      <c r="M6" s="10"/>
      <c r="N6" s="26"/>
      <c r="O6" s="10"/>
      <c r="P6" s="10"/>
      <c r="Q6" s="10"/>
    </row>
    <row r="7" spans="1:17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JULY!L7:L27</f>
        <v>3600</v>
      </c>
      <c r="G7" s="8">
        <f t="shared" si="0"/>
        <v>7200</v>
      </c>
      <c r="H7" s="8">
        <f>3600+2200</f>
        <v>5800</v>
      </c>
      <c r="I7" s="8">
        <f t="shared" si="1"/>
        <v>1400</v>
      </c>
      <c r="J7" s="8">
        <v>2200</v>
      </c>
      <c r="K7" s="8">
        <v>0</v>
      </c>
      <c r="L7">
        <f t="shared" si="2"/>
        <v>1400</v>
      </c>
      <c r="M7" s="10"/>
      <c r="N7" s="26"/>
      <c r="O7" s="10"/>
      <c r="P7" s="10"/>
      <c r="Q7" s="10"/>
    </row>
    <row r="8" spans="1:17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JULY!L8:L28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0</v>
      </c>
      <c r="L8">
        <f t="shared" si="2"/>
        <v>0</v>
      </c>
      <c r="M8" s="10"/>
      <c r="N8" s="26"/>
      <c r="O8" s="10"/>
      <c r="P8" s="10"/>
      <c r="Q8" s="10"/>
    </row>
    <row r="9" spans="1:17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JULY!L9:L29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240</v>
      </c>
      <c r="L9">
        <f t="shared" si="2"/>
        <v>0</v>
      </c>
      <c r="M9" s="10"/>
      <c r="N9" s="26"/>
      <c r="O9" s="10"/>
      <c r="P9" s="10"/>
      <c r="Q9" s="10"/>
    </row>
    <row r="10" spans="1:17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>
        <f>JULY!L10:L30</f>
        <v>0</v>
      </c>
      <c r="G10" s="8">
        <f t="shared" si="0"/>
        <v>3600</v>
      </c>
      <c r="H10" s="8">
        <v>3300</v>
      </c>
      <c r="I10" s="8">
        <f t="shared" si="1"/>
        <v>300</v>
      </c>
      <c r="J10" s="8"/>
      <c r="K10" s="8">
        <v>100</v>
      </c>
      <c r="L10">
        <f t="shared" si="2"/>
        <v>0</v>
      </c>
      <c r="M10" s="10"/>
      <c r="N10" s="26"/>
      <c r="O10" s="10"/>
      <c r="P10" s="10"/>
      <c r="Q10" s="10"/>
    </row>
    <row r="11" spans="1:17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JULY!L11:L31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240</v>
      </c>
      <c r="L11">
        <f t="shared" si="2"/>
        <v>0</v>
      </c>
      <c r="M11" s="10"/>
      <c r="N11" s="26"/>
      <c r="O11" s="10"/>
      <c r="P11" s="10"/>
      <c r="Q11" s="10"/>
    </row>
    <row r="12" spans="1:17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JULY!L12:L32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>
        <f t="shared" si="2"/>
        <v>0</v>
      </c>
      <c r="M12" s="10"/>
      <c r="N12" s="26"/>
      <c r="O12" s="10"/>
      <c r="P12" s="10"/>
      <c r="Q12" s="10"/>
    </row>
    <row r="13" spans="1:17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JULY!L13:L33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  <c r="M13" s="10"/>
      <c r="N13" s="26"/>
      <c r="O13" s="10"/>
      <c r="P13" s="10"/>
      <c r="Q13" s="10"/>
    </row>
    <row r="14" spans="1:17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JULY!L14:L34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  <c r="L14">
        <f t="shared" si="2"/>
        <v>0</v>
      </c>
      <c r="M14" s="10"/>
      <c r="N14" s="26"/>
      <c r="O14" s="10"/>
      <c r="P14" s="10"/>
      <c r="Q14" s="10"/>
    </row>
    <row r="15" spans="1:17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JULY!L15:L35</f>
        <v>3600</v>
      </c>
      <c r="G15" s="8">
        <f t="shared" si="0"/>
        <v>7200</v>
      </c>
      <c r="H15" s="8">
        <v>7200</v>
      </c>
      <c r="I15" s="8">
        <f t="shared" si="1"/>
        <v>0</v>
      </c>
      <c r="J15" s="8">
        <v>3600</v>
      </c>
      <c r="K15" s="8">
        <v>120</v>
      </c>
      <c r="M15" s="10"/>
      <c r="N15" s="26"/>
      <c r="O15" s="10"/>
      <c r="P15" s="10"/>
      <c r="Q15" s="10"/>
    </row>
    <row r="16" spans="1:17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JULY!L16:L36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>
        <f t="shared" si="2"/>
        <v>0</v>
      </c>
      <c r="M16" s="10"/>
      <c r="N16" s="26"/>
      <c r="O16" s="10"/>
      <c r="P16" s="10"/>
      <c r="Q16" s="10"/>
    </row>
    <row r="17" spans="1:17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JULY!L17:L37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0</v>
      </c>
      <c r="L17">
        <f t="shared" si="2"/>
        <v>0</v>
      </c>
      <c r="M17" s="10"/>
      <c r="N17" s="26"/>
      <c r="O17" s="10"/>
      <c r="P17" s="10"/>
      <c r="Q17" s="10"/>
    </row>
    <row r="18" spans="1:17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JULY!L18:L38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130</v>
      </c>
      <c r="L18">
        <f t="shared" si="2"/>
        <v>0</v>
      </c>
      <c r="M18" s="10"/>
      <c r="N18" s="26"/>
      <c r="O18" s="10"/>
      <c r="P18" s="10"/>
      <c r="Q18" s="10"/>
    </row>
    <row r="19" spans="1:17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JULY!L19:L39</f>
        <v>7000</v>
      </c>
      <c r="G19" s="8">
        <f t="shared" si="0"/>
        <v>10600</v>
      </c>
      <c r="H19" s="8">
        <v>5000</v>
      </c>
      <c r="I19" s="8">
        <f t="shared" si="1"/>
        <v>5600</v>
      </c>
      <c r="J19" s="8">
        <v>1400</v>
      </c>
      <c r="K19" s="8">
        <v>0</v>
      </c>
      <c r="L19">
        <f t="shared" si="2"/>
        <v>5600</v>
      </c>
      <c r="M19" s="10"/>
      <c r="N19" s="26"/>
      <c r="O19" s="10"/>
      <c r="P19" s="10"/>
      <c r="Q19" s="10"/>
    </row>
    <row r="20" spans="1:17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JULY!L20:L40</f>
        <v>3600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>
        <v>0</v>
      </c>
      <c r="L20">
        <f t="shared" si="2"/>
        <v>3600</v>
      </c>
      <c r="M20" s="10"/>
      <c r="N20" s="26"/>
      <c r="O20" s="10"/>
      <c r="P20" s="10"/>
      <c r="Q20" s="10"/>
    </row>
    <row r="21" spans="1:17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JULY!L21:L41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0</v>
      </c>
      <c r="L21">
        <f t="shared" si="2"/>
        <v>0</v>
      </c>
      <c r="M21" s="10"/>
      <c r="N21" s="26"/>
      <c r="O21" s="10"/>
      <c r="P21" s="10"/>
      <c r="Q21" s="10"/>
    </row>
    <row r="22" spans="1:17" x14ac:dyDescent="0.25">
      <c r="A22" s="8">
        <v>18</v>
      </c>
      <c r="B22" s="8"/>
      <c r="C22" s="8"/>
      <c r="D22" s="8"/>
      <c r="E22" s="8"/>
      <c r="F22" s="8">
        <f>JULY!L22:L42</f>
        <v>0</v>
      </c>
      <c r="G22" s="8">
        <f t="shared" si="0"/>
        <v>0</v>
      </c>
      <c r="H22" s="8"/>
      <c r="I22" s="8">
        <f>G22-H22</f>
        <v>0</v>
      </c>
      <c r="J22" s="8"/>
      <c r="K22" s="8">
        <v>0</v>
      </c>
      <c r="L22">
        <f t="shared" si="2"/>
        <v>0</v>
      </c>
      <c r="M22" s="10"/>
      <c r="N22" s="26"/>
      <c r="O22" s="10"/>
      <c r="P22" s="10"/>
      <c r="Q22" s="10"/>
    </row>
    <row r="23" spans="1:17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JULY!L23:L43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  <c r="L23">
        <f t="shared" si="2"/>
        <v>0</v>
      </c>
      <c r="M23" s="10"/>
      <c r="N23" s="26"/>
      <c r="O23" s="10"/>
      <c r="P23" s="10"/>
      <c r="Q23" s="10"/>
    </row>
    <row r="24" spans="1:17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JULY!L24:L44</f>
        <v>0</v>
      </c>
      <c r="G24" s="8">
        <f t="shared" si="0"/>
        <v>3600</v>
      </c>
      <c r="H24" s="8">
        <v>3530</v>
      </c>
      <c r="I24" s="8">
        <f t="shared" si="1"/>
        <v>70</v>
      </c>
      <c r="J24" s="8"/>
      <c r="K24" s="8">
        <v>120</v>
      </c>
      <c r="L24">
        <f t="shared" si="2"/>
        <v>0</v>
      </c>
      <c r="M24" s="10"/>
      <c r="N24" s="26"/>
      <c r="O24" s="10"/>
      <c r="P24" s="10"/>
      <c r="Q24" s="10"/>
    </row>
    <row r="25" spans="1:17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JULY!L25:L45</f>
        <v>17800</v>
      </c>
      <c r="G25" s="8">
        <f>C25+D25+E25+F25</f>
        <v>86200</v>
      </c>
      <c r="H25" s="6">
        <f>SUM(H5:H24)</f>
        <v>75230</v>
      </c>
      <c r="I25" s="6">
        <f>SUM(I5:I24)</f>
        <v>10970</v>
      </c>
      <c r="J25" s="6">
        <f>SUM(J5:J24)</f>
        <v>7200</v>
      </c>
      <c r="K25" s="6">
        <f>SUM(K5:K24)</f>
        <v>1310</v>
      </c>
      <c r="L25">
        <f t="shared" si="2"/>
        <v>10600</v>
      </c>
      <c r="M25" s="26"/>
      <c r="N25" s="26"/>
      <c r="O25" s="26"/>
      <c r="P25" s="26"/>
      <c r="Q25" s="26"/>
    </row>
    <row r="26" spans="1:17" x14ac:dyDescent="0.25">
      <c r="A26" s="10"/>
    </row>
    <row r="27" spans="1:17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7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7" x14ac:dyDescent="0.25">
      <c r="B29" s="19" t="s">
        <v>58</v>
      </c>
      <c r="C29" s="16">
        <f>E25</f>
        <v>66500</v>
      </c>
      <c r="D29" s="17">
        <v>0.1</v>
      </c>
      <c r="E29" s="16"/>
      <c r="F29" s="20" t="s">
        <v>58</v>
      </c>
      <c r="G29" s="16">
        <f>H25</f>
        <v>75230</v>
      </c>
      <c r="H29" s="17">
        <v>0.1</v>
      </c>
      <c r="I29" s="19"/>
    </row>
    <row r="30" spans="1:17" x14ac:dyDescent="0.25">
      <c r="B30" s="19" t="s">
        <v>18</v>
      </c>
      <c r="C30" s="16">
        <f>JULY!E42</f>
        <v>129</v>
      </c>
      <c r="D30" s="19"/>
      <c r="E30" s="19"/>
      <c r="F30" s="19" t="s">
        <v>18</v>
      </c>
      <c r="G30" s="16">
        <f>JULY!I42</f>
        <v>129</v>
      </c>
      <c r="H30" s="19"/>
      <c r="I30" s="19"/>
    </row>
    <row r="31" spans="1:17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7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19" x14ac:dyDescent="0.25">
      <c r="B33" s="19" t="s">
        <v>56</v>
      </c>
      <c r="C33" s="16">
        <f>J25</f>
        <v>7200</v>
      </c>
      <c r="D33" s="19"/>
      <c r="E33" s="19"/>
      <c r="F33" s="19" t="s">
        <v>56</v>
      </c>
      <c r="G33" s="16"/>
      <c r="H33" s="16"/>
      <c r="I33" s="19"/>
      <c r="S33">
        <f>H25+J25+K25+C25</f>
        <v>85640</v>
      </c>
    </row>
    <row r="34" spans="2:19" x14ac:dyDescent="0.25">
      <c r="B34" s="19" t="s">
        <v>55</v>
      </c>
      <c r="C34" s="16">
        <f>K25</f>
        <v>1310</v>
      </c>
      <c r="D34" s="19"/>
      <c r="E34" s="19"/>
      <c r="F34" s="19" t="s">
        <v>55</v>
      </c>
      <c r="G34" s="16">
        <f>C34</f>
        <v>1310</v>
      </c>
      <c r="H34" s="16"/>
      <c r="I34" s="19"/>
    </row>
    <row r="35" spans="2:1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1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9" x14ac:dyDescent="0.25">
      <c r="B37" s="22" t="s">
        <v>59</v>
      </c>
      <c r="C37" s="19"/>
      <c r="D37" s="19">
        <v>63500</v>
      </c>
      <c r="E37" s="19"/>
      <c r="F37" s="22" t="s">
        <v>59</v>
      </c>
      <c r="G37" s="19"/>
      <c r="H37" s="19">
        <v>63500</v>
      </c>
      <c r="I37" s="19"/>
    </row>
    <row r="38" spans="2:19" x14ac:dyDescent="0.25">
      <c r="B38" s="8"/>
      <c r="C38" s="8"/>
      <c r="D38" s="8"/>
      <c r="E38" s="8"/>
      <c r="F38" s="8"/>
      <c r="G38" s="8"/>
      <c r="H38" s="8"/>
      <c r="I38" s="19"/>
    </row>
    <row r="39" spans="2:19" x14ac:dyDescent="0.25">
      <c r="B39" s="22"/>
      <c r="C39" s="19"/>
      <c r="D39" s="19"/>
      <c r="E39" s="19"/>
      <c r="F39" s="22"/>
      <c r="G39" s="19"/>
      <c r="H39" s="19"/>
      <c r="I39" s="19"/>
    </row>
    <row r="40" spans="2:19" x14ac:dyDescent="0.25">
      <c r="B40" s="22"/>
      <c r="C40" s="19"/>
      <c r="D40" s="19"/>
      <c r="E40" s="19"/>
      <c r="F40" s="22"/>
      <c r="G40" s="19"/>
      <c r="H40" s="19"/>
      <c r="I40" s="19"/>
    </row>
    <row r="41" spans="2:19" x14ac:dyDescent="0.25">
      <c r="B41" s="22"/>
      <c r="C41" s="16"/>
      <c r="D41" s="16"/>
      <c r="E41" s="16"/>
      <c r="F41" s="22"/>
      <c r="G41" s="19"/>
      <c r="H41" s="16"/>
      <c r="I41" s="19"/>
    </row>
    <row r="42" spans="2:19" x14ac:dyDescent="0.25">
      <c r="B42" s="15" t="s">
        <v>9</v>
      </c>
      <c r="C42" s="23">
        <f>C29+C30+C31+C32+C33+C34-D35</f>
        <v>70389</v>
      </c>
      <c r="D42" s="15">
        <f>SUM(D37:D41)</f>
        <v>63500</v>
      </c>
      <c r="E42" s="23">
        <f>C42-D42</f>
        <v>6889</v>
      </c>
      <c r="F42" s="18"/>
      <c r="G42" s="23">
        <f>G29+G30+G34+G31+G33-H35</f>
        <v>70019</v>
      </c>
      <c r="H42" s="23">
        <f>SUM(H37:H41)</f>
        <v>63500</v>
      </c>
      <c r="I42" s="23">
        <f>G42-H42</f>
        <v>6519</v>
      </c>
    </row>
    <row r="45" spans="2:19" x14ac:dyDescent="0.25">
      <c r="B45" s="10" t="s">
        <v>21</v>
      </c>
      <c r="D45" s="10" t="s">
        <v>22</v>
      </c>
      <c r="F45" s="10"/>
      <c r="G45" s="10" t="s">
        <v>23</v>
      </c>
      <c r="J45" s="25">
        <f>I42-E42</f>
        <v>-370</v>
      </c>
    </row>
    <row r="46" spans="2:19" x14ac:dyDescent="0.25">
      <c r="D46" s="10"/>
      <c r="F46" s="10"/>
      <c r="G46" s="10"/>
    </row>
    <row r="47" spans="2:19" x14ac:dyDescent="0.25">
      <c r="B47" t="s">
        <v>24</v>
      </c>
      <c r="D47" t="s">
        <v>25</v>
      </c>
      <c r="G47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workbookViewId="0">
      <selection activeCell="E38" sqref="E38"/>
    </sheetView>
  </sheetViews>
  <sheetFormatPr defaultRowHeight="15" x14ac:dyDescent="0.25"/>
  <cols>
    <col min="2" max="2" width="18.85546875" customWidth="1"/>
    <col min="3" max="3" width="10.28515625" customWidth="1"/>
    <col min="4" max="4" width="13.5703125" customWidth="1"/>
    <col min="6" max="6" width="18.85546875" customWidth="1"/>
    <col min="9" max="9" width="11.28515625" customWidth="1"/>
    <col min="10" max="10" width="10.5703125" customWidth="1"/>
  </cols>
  <sheetData>
    <row r="1" spans="1:11" ht="23.25" customHeight="1" x14ac:dyDescent="0.35">
      <c r="D1" s="55" t="s">
        <v>26</v>
      </c>
      <c r="E1" s="56"/>
      <c r="F1" s="56"/>
      <c r="G1" s="56"/>
      <c r="H1" s="57"/>
    </row>
    <row r="2" spans="1:11" ht="25.5" customHeight="1" x14ac:dyDescent="0.35">
      <c r="D2" s="58" t="s">
        <v>0</v>
      </c>
      <c r="E2" s="59"/>
      <c r="F2" s="59"/>
      <c r="G2" s="59"/>
      <c r="H2" s="60"/>
    </row>
    <row r="3" spans="1:11" ht="25.5" customHeight="1" x14ac:dyDescent="0.35">
      <c r="D3" s="61" t="s">
        <v>191</v>
      </c>
      <c r="E3" s="62"/>
      <c r="F3" s="62"/>
      <c r="G3" s="62"/>
      <c r="H3" s="63"/>
    </row>
    <row r="4" spans="1:11" s="34" customFormat="1" ht="32.25" customHeight="1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'OCTOBER 21'!I5</f>
        <v>0</v>
      </c>
      <c r="G5" s="6">
        <f>C5+D5+E5+F5</f>
        <v>3600</v>
      </c>
      <c r="H5" s="6">
        <v>3600</v>
      </c>
      <c r="I5" s="8">
        <f>G5-H5</f>
        <v>0</v>
      </c>
      <c r="J5" s="8"/>
      <c r="K5" s="8">
        <v>120</v>
      </c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'OCTOBER 21'!I6</f>
        <v>0</v>
      </c>
      <c r="G6" s="6">
        <f t="shared" ref="G6:G24" si="0">C6+D6+E6+F6</f>
        <v>3600</v>
      </c>
      <c r="H6" s="6">
        <v>3500</v>
      </c>
      <c r="I6" s="8">
        <f t="shared" ref="I6:I24" si="1">G6-H6</f>
        <v>100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'OCTOBER 21'!I7</f>
        <v>100</v>
      </c>
      <c r="G7" s="6">
        <f t="shared" si="0"/>
        <v>3700</v>
      </c>
      <c r="H7" s="6">
        <v>3600</v>
      </c>
      <c r="I7" s="8">
        <f t="shared" si="1"/>
        <v>100</v>
      </c>
      <c r="J7" s="8"/>
      <c r="K7" s="8"/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'OCTOBER 21'!I8</f>
        <v>0</v>
      </c>
      <c r="G8" s="6">
        <f>C8+D8+E8+F8</f>
        <v>3600</v>
      </c>
      <c r="H8" s="6">
        <v>3600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'OCTOBER 21'!I9</f>
        <v>0</v>
      </c>
      <c r="G9" s="6">
        <f>C9+D9+E9+F9</f>
        <v>3600</v>
      </c>
      <c r="H9" s="6">
        <v>3500</v>
      </c>
      <c r="I9" s="8">
        <f>G9-H9</f>
        <v>100</v>
      </c>
      <c r="J9" s="8"/>
      <c r="K9" s="8">
        <v>320</v>
      </c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'OCTOBER 21'!I10</f>
        <v>0</v>
      </c>
      <c r="G10" s="6">
        <f t="shared" si="0"/>
        <v>3600</v>
      </c>
      <c r="H10" s="6">
        <v>3500</v>
      </c>
      <c r="I10" s="8">
        <f>G10-H10</f>
        <v>100</v>
      </c>
      <c r="J10" s="8"/>
      <c r="K10" s="8"/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'OCTOBER 21'!I11</f>
        <v>0</v>
      </c>
      <c r="G11" s="6">
        <f t="shared" si="0"/>
        <v>3600</v>
      </c>
      <c r="H11" s="6">
        <v>3600</v>
      </c>
      <c r="I11" s="8">
        <f t="shared" si="1"/>
        <v>0</v>
      </c>
      <c r="J11" s="8"/>
      <c r="K11" s="19">
        <v>120</v>
      </c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'OCTOBER 21'!I12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'OCTOBER 21'!I13</f>
        <v>0</v>
      </c>
      <c r="G13" s="6">
        <f t="shared" si="0"/>
        <v>3600</v>
      </c>
      <c r="H13" s="6">
        <v>3600</v>
      </c>
      <c r="I13" s="8">
        <f>G13-H13</f>
        <v>0</v>
      </c>
      <c r="J13" s="8"/>
      <c r="K13" s="8">
        <v>120</v>
      </c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'OCTOBER 21'!I14</f>
        <v>0</v>
      </c>
      <c r="G14" s="6">
        <f t="shared" si="0"/>
        <v>3600</v>
      </c>
      <c r="H14" s="6">
        <v>3500</v>
      </c>
      <c r="I14" s="8">
        <f t="shared" si="1"/>
        <v>100</v>
      </c>
      <c r="J14" s="8"/>
      <c r="K14" s="8"/>
    </row>
    <row r="15" spans="1:11" x14ac:dyDescent="0.25">
      <c r="A15" s="8">
        <v>3</v>
      </c>
      <c r="B15" s="29" t="s">
        <v>193</v>
      </c>
      <c r="C15" s="6">
        <v>100</v>
      </c>
      <c r="D15" s="6"/>
      <c r="E15" s="6">
        <v>3500</v>
      </c>
      <c r="F15" s="6">
        <f>'OCTOBER 21'!I15</f>
        <v>0</v>
      </c>
      <c r="G15" s="6">
        <f t="shared" si="0"/>
        <v>3600</v>
      </c>
      <c r="H15" s="6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'OCTOBER 21'!I16</f>
        <v>0</v>
      </c>
      <c r="G16" s="6">
        <f t="shared" si="0"/>
        <v>3600</v>
      </c>
      <c r="H16" s="6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'OCTOBER 21'!I17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'OCTOBER 21'!I18</f>
        <v>0</v>
      </c>
      <c r="G18" s="6">
        <f t="shared" si="0"/>
        <v>3600</v>
      </c>
      <c r="H18" s="6">
        <f>1700+1900</f>
        <v>3600</v>
      </c>
      <c r="I18" s="8">
        <f t="shared" si="1"/>
        <v>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'OCTOBER 21'!I19</f>
        <v>0</v>
      </c>
      <c r="G19" s="6">
        <f t="shared" si="0"/>
        <v>3600</v>
      </c>
      <c r="H19" s="6">
        <v>3600</v>
      </c>
      <c r="I19" s="8">
        <f t="shared" si="1"/>
        <v>0</v>
      </c>
      <c r="J19" s="8"/>
      <c r="K19" s="8">
        <v>120</v>
      </c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'OCTOBER 21'!I20</f>
        <v>1200</v>
      </c>
      <c r="G20" s="6">
        <f t="shared" si="0"/>
        <v>4800</v>
      </c>
      <c r="H20" s="6">
        <v>3000</v>
      </c>
      <c r="I20" s="8">
        <f t="shared" si="1"/>
        <v>1800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'OCTOBER 21'!I21</f>
        <v>600</v>
      </c>
      <c r="G21" s="6">
        <f t="shared" si="0"/>
        <v>4200</v>
      </c>
      <c r="H21" s="6">
        <v>4200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44"/>
      <c r="C22" s="6"/>
      <c r="D22" s="6"/>
      <c r="E22" s="6"/>
      <c r="F22" s="6"/>
      <c r="G22" s="6">
        <f t="shared" si="0"/>
        <v>0</v>
      </c>
      <c r="H22" s="6"/>
      <c r="I22" s="8">
        <f t="shared" si="1"/>
        <v>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'OCTOBER 21'!I23</f>
        <v>0</v>
      </c>
      <c r="G23" s="6">
        <f t="shared" si="0"/>
        <v>3600</v>
      </c>
      <c r="H23" s="6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'OCTOBER 21'!I24</f>
        <v>0</v>
      </c>
      <c r="G24" s="6">
        <f t="shared" si="0"/>
        <v>3600</v>
      </c>
      <c r="H24" s="6">
        <v>3600</v>
      </c>
      <c r="I24" s="8">
        <f t="shared" si="1"/>
        <v>0</v>
      </c>
      <c r="J24" s="8"/>
      <c r="K24" s="8"/>
    </row>
    <row r="25" spans="1:11" s="37" customFormat="1" ht="30" customHeight="1" x14ac:dyDescent="0.25">
      <c r="A25" s="30"/>
      <c r="B25" s="38" t="s">
        <v>9</v>
      </c>
      <c r="C25" s="30">
        <f>SUM(C5:C24)</f>
        <v>1900</v>
      </c>
      <c r="D25" s="30">
        <f>SUM(D5:D24)</f>
        <v>0</v>
      </c>
      <c r="E25" s="30">
        <f>SUM(E5:E24)</f>
        <v>66500</v>
      </c>
      <c r="F25" s="30">
        <f>'SEPT 21'!I25:I45</f>
        <v>5000</v>
      </c>
      <c r="G25" s="30">
        <f>C25+D25+E25+F25</f>
        <v>73400</v>
      </c>
      <c r="H25" s="30">
        <f>SUM(H5:H24)</f>
        <v>68000</v>
      </c>
      <c r="I25" s="30">
        <f>SUM(I5:I24)</f>
        <v>2300</v>
      </c>
      <c r="J25" s="30">
        <f>SUM(J5:J24)</f>
        <v>0</v>
      </c>
      <c r="K25" s="30">
        <f>SUM(K5:K24)</f>
        <v>1280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s="34" customFormat="1" ht="27.75" customHeight="1" x14ac:dyDescent="0.25"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</row>
    <row r="29" spans="1:11" x14ac:dyDescent="0.25">
      <c r="B29" s="44" t="s">
        <v>192</v>
      </c>
      <c r="C29" s="23">
        <f>E25</f>
        <v>66500</v>
      </c>
      <c r="D29" s="49">
        <v>0.1</v>
      </c>
      <c r="E29" s="16"/>
      <c r="F29" s="44" t="s">
        <v>192</v>
      </c>
      <c r="G29" s="23">
        <f>H25</f>
        <v>68000</v>
      </c>
      <c r="H29" s="49">
        <v>0.1</v>
      </c>
      <c r="I29" s="19"/>
    </row>
    <row r="30" spans="1:11" x14ac:dyDescent="0.25">
      <c r="B30" s="44" t="s">
        <v>18</v>
      </c>
      <c r="C30" s="23">
        <f>'OCTOBER 21'!E42</f>
        <v>124</v>
      </c>
      <c r="D30" s="15"/>
      <c r="E30" s="19"/>
      <c r="F30" s="44" t="s">
        <v>18</v>
      </c>
      <c r="G30" s="23">
        <f>'OCTOBER 21'!I42</f>
        <v>-1876</v>
      </c>
      <c r="H30" s="15"/>
      <c r="I30" s="19"/>
    </row>
    <row r="31" spans="1:11" x14ac:dyDescent="0.25">
      <c r="B31" s="44" t="s">
        <v>45</v>
      </c>
      <c r="C31" s="23">
        <f>C25</f>
        <v>1900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0</v>
      </c>
      <c r="D32" s="15"/>
      <c r="E32" s="19"/>
      <c r="F32" s="44"/>
      <c r="G32" s="23"/>
      <c r="H32" s="23"/>
      <c r="I32" s="19"/>
    </row>
    <row r="33" spans="2:13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2:13" x14ac:dyDescent="0.25">
      <c r="B34" s="44" t="s">
        <v>55</v>
      </c>
      <c r="C34" s="23">
        <f>K25</f>
        <v>1280</v>
      </c>
      <c r="D34" s="15"/>
      <c r="E34" s="19"/>
      <c r="F34" s="44" t="s">
        <v>55</v>
      </c>
      <c r="G34" s="23">
        <f>K25</f>
        <v>1280</v>
      </c>
      <c r="H34" s="23"/>
      <c r="I34" s="19"/>
      <c r="K34" s="25"/>
      <c r="M34" s="31"/>
    </row>
    <row r="35" spans="2:13" x14ac:dyDescent="0.25">
      <c r="B35" s="44" t="s">
        <v>19</v>
      </c>
      <c r="C35" s="18"/>
      <c r="D35" s="15">
        <f>C29*D29</f>
        <v>6650</v>
      </c>
      <c r="E35" s="19"/>
      <c r="F35" s="44"/>
      <c r="G35" s="18"/>
      <c r="H35" s="15">
        <f>H29*C29</f>
        <v>6650</v>
      </c>
      <c r="I35" s="19"/>
      <c r="K35" s="47"/>
    </row>
    <row r="36" spans="2:13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2:13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2:13" x14ac:dyDescent="0.25">
      <c r="B38" s="8" t="s">
        <v>194</v>
      </c>
      <c r="C38" s="50"/>
      <c r="D38" s="6">
        <v>3500</v>
      </c>
      <c r="E38" s="8"/>
      <c r="F38" s="8"/>
      <c r="G38" s="50"/>
      <c r="H38" s="6"/>
      <c r="I38" s="19"/>
    </row>
    <row r="39" spans="2:13" x14ac:dyDescent="0.25">
      <c r="B39" s="22" t="s">
        <v>195</v>
      </c>
      <c r="C39" s="19"/>
      <c r="D39" s="15">
        <v>59650</v>
      </c>
      <c r="E39" s="19"/>
      <c r="F39" s="22" t="s">
        <v>60</v>
      </c>
      <c r="G39" s="19"/>
      <c r="H39" s="15">
        <v>59650</v>
      </c>
      <c r="I39" s="19"/>
      <c r="K39" s="25"/>
    </row>
    <row r="40" spans="2:13" x14ac:dyDescent="0.25">
      <c r="B40" s="22"/>
      <c r="C40" s="19"/>
      <c r="D40" s="19"/>
      <c r="E40" s="19"/>
      <c r="F40" s="22"/>
      <c r="G40" s="19"/>
      <c r="H40" s="19"/>
      <c r="I40" s="19"/>
    </row>
    <row r="41" spans="2:13" x14ac:dyDescent="0.25">
      <c r="B41" s="22"/>
      <c r="C41" s="16"/>
      <c r="D41" s="16"/>
      <c r="E41" s="16"/>
      <c r="F41" s="22"/>
      <c r="G41" s="19"/>
      <c r="H41" s="16"/>
      <c r="I41" s="19"/>
    </row>
    <row r="42" spans="2:13" s="34" customFormat="1" ht="24.75" customHeight="1" x14ac:dyDescent="0.25">
      <c r="B42" s="38" t="s">
        <v>9</v>
      </c>
      <c r="C42" s="39">
        <f>C29+C30+C31+C32+C33+C34-D35</f>
        <v>63154</v>
      </c>
      <c r="D42" s="36">
        <f>SUM(D37:D41)</f>
        <v>63150</v>
      </c>
      <c r="E42" s="39">
        <f>C42-D42</f>
        <v>4</v>
      </c>
      <c r="F42" s="40"/>
      <c r="G42" s="39">
        <f>G29+G30+G34+G31+G33-H35</f>
        <v>60754</v>
      </c>
      <c r="H42" s="39">
        <f>SUM(H37:H41)</f>
        <v>59650</v>
      </c>
      <c r="I42" s="39">
        <f>G42-H42</f>
        <v>1104</v>
      </c>
      <c r="L42" s="48"/>
    </row>
    <row r="45" spans="2:13" ht="21.75" customHeight="1" x14ac:dyDescent="0.25">
      <c r="B45" s="52" t="s">
        <v>21</v>
      </c>
      <c r="D45" s="52" t="s">
        <v>22</v>
      </c>
      <c r="F45" s="10"/>
      <c r="G45" s="65" t="s">
        <v>23</v>
      </c>
      <c r="H45" s="65"/>
    </row>
    <row r="46" spans="2:13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9" priority="3" operator="containsText" text="VACCANT">
      <formula>NOT(ISERROR(SEARCH("VACCANT",B5)))</formula>
    </cfRule>
    <cfRule type="notContainsText" dxfId="8" priority="4" operator="notContains" text="VACCANT">
      <formula>ISERROR(SEARCH("VACCANT",B5))</formula>
    </cfRule>
    <cfRule type="containsText" dxfId="7" priority="5" operator="containsText" text="VACCANT">
      <formula>NOT(ISERROR(SEARCH("VACCANT",B5)))</formula>
    </cfRule>
  </conditionalFormatting>
  <conditionalFormatting sqref="I5:I24">
    <cfRule type="cellIs" dxfId="6" priority="1" operator="greaterThan">
      <formula>0</formula>
    </cfRule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8" workbookViewId="0">
      <selection activeCell="L32" sqref="L32"/>
    </sheetView>
  </sheetViews>
  <sheetFormatPr defaultRowHeight="15" x14ac:dyDescent="0.25"/>
  <cols>
    <col min="2" max="2" width="19.7109375" customWidth="1"/>
    <col min="3" max="3" width="12.7109375" customWidth="1"/>
    <col min="10" max="10" width="8.85546875" bestFit="1" customWidth="1"/>
  </cols>
  <sheetData>
    <row r="1" spans="1:11" ht="21" x14ac:dyDescent="0.35">
      <c r="D1" s="55" t="s">
        <v>26</v>
      </c>
      <c r="E1" s="56"/>
      <c r="F1" s="56"/>
      <c r="G1" s="56"/>
      <c r="H1" s="57"/>
    </row>
    <row r="2" spans="1:11" ht="21" x14ac:dyDescent="0.35">
      <c r="D2" s="58" t="s">
        <v>0</v>
      </c>
      <c r="E2" s="59"/>
      <c r="F2" s="59"/>
      <c r="G2" s="59"/>
      <c r="H2" s="60"/>
    </row>
    <row r="3" spans="1:11" ht="21" x14ac:dyDescent="0.35">
      <c r="D3" s="61" t="s">
        <v>196</v>
      </c>
      <c r="E3" s="62"/>
      <c r="F3" s="62"/>
      <c r="G3" s="62"/>
      <c r="H3" s="63"/>
    </row>
    <row r="4" spans="1:11" ht="31.5" x14ac:dyDescent="0.25">
      <c r="A4" s="32"/>
      <c r="B4" s="33" t="s">
        <v>3</v>
      </c>
      <c r="C4" s="33" t="s">
        <v>45</v>
      </c>
      <c r="D4" s="33" t="s">
        <v>53</v>
      </c>
      <c r="E4" s="33" t="s">
        <v>4</v>
      </c>
      <c r="F4" s="33" t="s">
        <v>5</v>
      </c>
      <c r="G4" s="35" t="s">
        <v>6</v>
      </c>
      <c r="H4" s="33" t="s">
        <v>7</v>
      </c>
      <c r="I4" s="33" t="s">
        <v>8</v>
      </c>
      <c r="J4" s="35" t="s">
        <v>54</v>
      </c>
      <c r="K4" s="33" t="s">
        <v>55</v>
      </c>
    </row>
    <row r="5" spans="1:11" x14ac:dyDescent="0.25">
      <c r="A5" s="8">
        <v>1</v>
      </c>
      <c r="B5" s="29" t="s">
        <v>27</v>
      </c>
      <c r="C5" s="6">
        <v>100</v>
      </c>
      <c r="D5" s="6"/>
      <c r="E5" s="6">
        <v>3500</v>
      </c>
      <c r="F5" s="6">
        <f>'NOVEMBER 21'!I5:I24</f>
        <v>0</v>
      </c>
      <c r="G5" s="6">
        <f>C5+D5+E5+F5</f>
        <v>3600</v>
      </c>
      <c r="H5" s="6">
        <v>3600</v>
      </c>
      <c r="I5" s="8">
        <f>G5-H5</f>
        <v>0</v>
      </c>
      <c r="J5" s="8"/>
      <c r="K5" s="8">
        <v>220</v>
      </c>
    </row>
    <row r="6" spans="1:11" x14ac:dyDescent="0.25">
      <c r="A6" s="8">
        <v>2</v>
      </c>
      <c r="B6" s="43" t="s">
        <v>185</v>
      </c>
      <c r="C6" s="6">
        <v>100</v>
      </c>
      <c r="D6" s="6"/>
      <c r="E6" s="6">
        <v>3500</v>
      </c>
      <c r="F6" s="6">
        <f>'NOVEMBER 21'!I6:I25</f>
        <v>100</v>
      </c>
      <c r="G6" s="6">
        <f t="shared" ref="G6:G24" si="0">C6+D6+E6+F6</f>
        <v>3700</v>
      </c>
      <c r="H6" s="6">
        <v>3500</v>
      </c>
      <c r="I6" s="8">
        <f t="shared" ref="I6:I24" si="1">G6-H6</f>
        <v>200</v>
      </c>
      <c r="J6" s="8"/>
      <c r="K6" s="8"/>
    </row>
    <row r="7" spans="1:11" x14ac:dyDescent="0.25">
      <c r="A7" s="8">
        <v>3</v>
      </c>
      <c r="B7" s="29" t="s">
        <v>101</v>
      </c>
      <c r="C7" s="6">
        <v>100</v>
      </c>
      <c r="D7" s="6"/>
      <c r="E7" s="6">
        <v>3500</v>
      </c>
      <c r="F7" s="6">
        <f>'NOVEMBER 21'!I7:I26</f>
        <v>100</v>
      </c>
      <c r="G7" s="6">
        <f t="shared" si="0"/>
        <v>3700</v>
      </c>
      <c r="H7" s="6">
        <v>3480</v>
      </c>
      <c r="I7" s="8">
        <f t="shared" si="1"/>
        <v>220</v>
      </c>
      <c r="J7" s="8"/>
      <c r="K7" s="8">
        <v>120</v>
      </c>
    </row>
    <row r="8" spans="1:11" x14ac:dyDescent="0.25">
      <c r="A8" s="8">
        <v>4</v>
      </c>
      <c r="B8" s="29" t="s">
        <v>51</v>
      </c>
      <c r="C8" s="6">
        <v>100</v>
      </c>
      <c r="D8" s="6"/>
      <c r="E8" s="6">
        <v>3500</v>
      </c>
      <c r="F8" s="6">
        <f>'NOVEMBER 21'!I8:I27</f>
        <v>0</v>
      </c>
      <c r="G8" s="6">
        <f>C8+D8+E8+F8</f>
        <v>3600</v>
      </c>
      <c r="H8" s="6"/>
      <c r="I8" s="8">
        <f t="shared" si="1"/>
        <v>3600</v>
      </c>
      <c r="J8" s="8"/>
      <c r="K8" s="8"/>
    </row>
    <row r="9" spans="1:11" x14ac:dyDescent="0.25">
      <c r="A9" s="8">
        <v>5</v>
      </c>
      <c r="B9" s="44" t="s">
        <v>115</v>
      </c>
      <c r="C9" s="6">
        <v>100</v>
      </c>
      <c r="D9" s="6"/>
      <c r="E9" s="6">
        <v>3500</v>
      </c>
      <c r="F9" s="6">
        <f>'NOVEMBER 21'!I9:I28</f>
        <v>100</v>
      </c>
      <c r="G9" s="6">
        <f>C9+D9+E9+F9</f>
        <v>3700</v>
      </c>
      <c r="H9" s="6">
        <v>3600</v>
      </c>
      <c r="I9" s="8">
        <f>G9-H9</f>
        <v>100</v>
      </c>
      <c r="J9" s="8"/>
      <c r="K9" s="8">
        <v>100</v>
      </c>
    </row>
    <row r="10" spans="1:11" x14ac:dyDescent="0.25">
      <c r="A10" s="8">
        <v>6</v>
      </c>
      <c r="B10" s="44" t="s">
        <v>180</v>
      </c>
      <c r="C10" s="6">
        <v>100</v>
      </c>
      <c r="D10" s="6"/>
      <c r="E10" s="6">
        <v>3500</v>
      </c>
      <c r="F10" s="6">
        <f>'NOVEMBER 21'!I10:I29</f>
        <v>100</v>
      </c>
      <c r="G10" s="6">
        <f t="shared" si="0"/>
        <v>3700</v>
      </c>
      <c r="H10" s="6">
        <v>3700</v>
      </c>
      <c r="I10" s="8">
        <f>G10-H10</f>
        <v>0</v>
      </c>
      <c r="J10" s="8"/>
      <c r="K10" s="8">
        <v>220</v>
      </c>
    </row>
    <row r="11" spans="1:11" x14ac:dyDescent="0.25">
      <c r="A11" s="8">
        <v>7</v>
      </c>
      <c r="B11" s="29" t="s">
        <v>32</v>
      </c>
      <c r="C11" s="15">
        <v>100</v>
      </c>
      <c r="D11" s="6"/>
      <c r="E11" s="6">
        <v>3500</v>
      </c>
      <c r="F11" s="6">
        <f>'NOVEMBER 21'!I11:I30</f>
        <v>0</v>
      </c>
      <c r="G11" s="6">
        <f t="shared" si="0"/>
        <v>3600</v>
      </c>
      <c r="H11" s="6"/>
      <c r="I11" s="8">
        <f t="shared" si="1"/>
        <v>3600</v>
      </c>
      <c r="J11" s="8"/>
      <c r="K11" s="19"/>
    </row>
    <row r="12" spans="1:11" x14ac:dyDescent="0.25">
      <c r="A12" s="8">
        <v>8</v>
      </c>
      <c r="B12" s="45" t="s">
        <v>40</v>
      </c>
      <c r="C12" s="6">
        <v>100</v>
      </c>
      <c r="D12" s="6"/>
      <c r="E12" s="6">
        <v>3500</v>
      </c>
      <c r="F12" s="6">
        <f>'NOVEMBER 21'!I12:I31</f>
        <v>0</v>
      </c>
      <c r="G12" s="6">
        <f t="shared" si="0"/>
        <v>3600</v>
      </c>
      <c r="H12" s="6">
        <v>3600</v>
      </c>
      <c r="I12" s="8">
        <f>G12-H12</f>
        <v>0</v>
      </c>
      <c r="J12" s="8"/>
      <c r="K12" s="8">
        <v>120</v>
      </c>
    </row>
    <row r="13" spans="1:11" x14ac:dyDescent="0.25">
      <c r="A13" s="8">
        <v>9</v>
      </c>
      <c r="B13" s="29" t="s">
        <v>39</v>
      </c>
      <c r="C13" s="6">
        <v>100</v>
      </c>
      <c r="D13" s="6"/>
      <c r="E13" s="6">
        <v>3500</v>
      </c>
      <c r="F13" s="6">
        <f>'NOVEMBER 21'!I13:I32</f>
        <v>0</v>
      </c>
      <c r="G13" s="6">
        <f t="shared" si="0"/>
        <v>3600</v>
      </c>
      <c r="H13" s="6"/>
      <c r="I13" s="8">
        <f>G13-H13</f>
        <v>3600</v>
      </c>
      <c r="J13" s="8"/>
      <c r="K13" s="8"/>
    </row>
    <row r="14" spans="1:11" x14ac:dyDescent="0.25">
      <c r="A14" s="8">
        <v>10</v>
      </c>
      <c r="B14" s="44" t="s">
        <v>159</v>
      </c>
      <c r="C14" s="6">
        <v>100</v>
      </c>
      <c r="D14" s="6"/>
      <c r="E14" s="6">
        <v>3500</v>
      </c>
      <c r="F14" s="6">
        <f>'NOVEMBER 21'!I14:I33</f>
        <v>100</v>
      </c>
      <c r="G14" s="6">
        <f t="shared" si="0"/>
        <v>3700</v>
      </c>
      <c r="H14" s="6">
        <v>3600</v>
      </c>
      <c r="I14" s="8">
        <f t="shared" si="1"/>
        <v>100</v>
      </c>
      <c r="J14" s="8"/>
      <c r="K14" s="8"/>
    </row>
    <row r="15" spans="1:11" x14ac:dyDescent="0.25">
      <c r="A15" s="8">
        <v>11</v>
      </c>
      <c r="B15" s="29" t="s">
        <v>193</v>
      </c>
      <c r="C15" s="6">
        <v>100</v>
      </c>
      <c r="D15" s="6"/>
      <c r="E15" s="6">
        <v>3500</v>
      </c>
      <c r="F15" s="6">
        <f>'NOVEMBER 21'!I15:I34</f>
        <v>0</v>
      </c>
      <c r="G15" s="6">
        <f t="shared" si="0"/>
        <v>3600</v>
      </c>
      <c r="H15" s="6">
        <v>3600</v>
      </c>
      <c r="I15" s="8">
        <f t="shared" si="1"/>
        <v>0</v>
      </c>
      <c r="J15" s="8"/>
      <c r="K15" s="8"/>
    </row>
    <row r="16" spans="1:11" x14ac:dyDescent="0.25">
      <c r="A16" s="8">
        <v>12</v>
      </c>
      <c r="B16" s="29" t="s">
        <v>97</v>
      </c>
      <c r="C16" s="6">
        <v>100</v>
      </c>
      <c r="D16" s="6"/>
      <c r="E16" s="6">
        <v>3500</v>
      </c>
      <c r="F16" s="6">
        <f>'NOVEMBER 21'!I16:I35</f>
        <v>0</v>
      </c>
      <c r="G16" s="6">
        <f t="shared" si="0"/>
        <v>3600</v>
      </c>
      <c r="H16" s="6">
        <v>3600</v>
      </c>
      <c r="I16" s="8">
        <f t="shared" si="1"/>
        <v>0</v>
      </c>
      <c r="J16" s="8"/>
      <c r="K16" s="8"/>
    </row>
    <row r="17" spans="1:11" x14ac:dyDescent="0.25">
      <c r="A17" s="8">
        <v>13</v>
      </c>
      <c r="B17" s="44" t="s">
        <v>181</v>
      </c>
      <c r="C17" s="6">
        <v>100</v>
      </c>
      <c r="D17" s="6"/>
      <c r="E17" s="6">
        <v>3500</v>
      </c>
      <c r="F17" s="6">
        <f>'NOVEMBER 21'!I17:I36</f>
        <v>0</v>
      </c>
      <c r="G17" s="6">
        <f t="shared" si="0"/>
        <v>3600</v>
      </c>
      <c r="H17" s="6">
        <v>3600</v>
      </c>
      <c r="I17" s="8">
        <f>G17-H17</f>
        <v>0</v>
      </c>
      <c r="J17" s="8"/>
      <c r="K17" s="8"/>
    </row>
    <row r="18" spans="1:11" x14ac:dyDescent="0.25">
      <c r="A18" s="8">
        <v>14</v>
      </c>
      <c r="B18" s="29" t="s">
        <v>34</v>
      </c>
      <c r="C18" s="6">
        <v>100</v>
      </c>
      <c r="D18" s="6"/>
      <c r="E18" s="6">
        <v>3500</v>
      </c>
      <c r="F18" s="6">
        <f>'NOVEMBER 21'!I18:I37</f>
        <v>0</v>
      </c>
      <c r="G18" s="6">
        <f t="shared" si="0"/>
        <v>3600</v>
      </c>
      <c r="H18" s="6">
        <v>3100</v>
      </c>
      <c r="I18" s="8">
        <f t="shared" si="1"/>
        <v>500</v>
      </c>
      <c r="J18" s="8"/>
      <c r="K18" s="8"/>
    </row>
    <row r="19" spans="1:11" x14ac:dyDescent="0.25">
      <c r="A19" s="8">
        <v>15</v>
      </c>
      <c r="B19" s="44" t="s">
        <v>73</v>
      </c>
      <c r="C19" s="6">
        <v>100</v>
      </c>
      <c r="D19" s="6"/>
      <c r="E19" s="6">
        <v>3500</v>
      </c>
      <c r="F19" s="6">
        <f>'NOVEMBER 21'!I19:I38</f>
        <v>0</v>
      </c>
      <c r="G19" s="6">
        <f t="shared" si="0"/>
        <v>3600</v>
      </c>
      <c r="H19" s="6"/>
      <c r="I19" s="8">
        <f t="shared" si="1"/>
        <v>3600</v>
      </c>
      <c r="J19" s="8"/>
      <c r="K19" s="8"/>
    </row>
    <row r="20" spans="1:11" x14ac:dyDescent="0.25">
      <c r="A20" s="8">
        <v>16</v>
      </c>
      <c r="B20" s="43" t="s">
        <v>186</v>
      </c>
      <c r="C20" s="6">
        <v>100</v>
      </c>
      <c r="D20" s="6"/>
      <c r="E20" s="6">
        <v>3500</v>
      </c>
      <c r="F20" s="6">
        <f>'NOVEMBER 21'!I20:I39</f>
        <v>1800</v>
      </c>
      <c r="G20" s="6">
        <f t="shared" si="0"/>
        <v>5400</v>
      </c>
      <c r="H20" s="6">
        <f>1150+500+1000+2000</f>
        <v>4650</v>
      </c>
      <c r="I20" s="8">
        <f t="shared" si="1"/>
        <v>750</v>
      </c>
      <c r="J20" s="8"/>
      <c r="K20" s="8"/>
    </row>
    <row r="21" spans="1:11" x14ac:dyDescent="0.25">
      <c r="A21" s="8">
        <v>17</v>
      </c>
      <c r="B21" s="29" t="s">
        <v>110</v>
      </c>
      <c r="C21" s="6">
        <v>100</v>
      </c>
      <c r="D21" s="6"/>
      <c r="E21" s="6">
        <v>3500</v>
      </c>
      <c r="F21" s="6">
        <f>'NOVEMBER 21'!I21:I40</f>
        <v>0</v>
      </c>
      <c r="G21" s="6">
        <f t="shared" si="0"/>
        <v>3600</v>
      </c>
      <c r="H21" s="6">
        <v>3600</v>
      </c>
      <c r="I21" s="8">
        <f t="shared" si="1"/>
        <v>0</v>
      </c>
      <c r="J21" s="8"/>
      <c r="K21" s="8">
        <v>240</v>
      </c>
    </row>
    <row r="22" spans="1:11" x14ac:dyDescent="0.25">
      <c r="A22" s="8">
        <v>18</v>
      </c>
      <c r="B22" s="44" t="s">
        <v>197</v>
      </c>
      <c r="C22" s="6">
        <v>100</v>
      </c>
      <c r="D22" s="6">
        <v>3500</v>
      </c>
      <c r="E22" s="6">
        <v>3500</v>
      </c>
      <c r="F22" s="6">
        <f>'NOVEMBER 21'!I22:I41</f>
        <v>0</v>
      </c>
      <c r="G22" s="6">
        <f t="shared" si="0"/>
        <v>7100</v>
      </c>
      <c r="H22" s="6">
        <v>7100</v>
      </c>
      <c r="I22" s="8">
        <f t="shared" si="1"/>
        <v>0</v>
      </c>
      <c r="J22" s="8"/>
      <c r="K22" s="8"/>
    </row>
    <row r="23" spans="1:11" x14ac:dyDescent="0.25">
      <c r="A23" s="8">
        <v>19</v>
      </c>
      <c r="B23" s="29" t="s">
        <v>145</v>
      </c>
      <c r="C23" s="6">
        <v>100</v>
      </c>
      <c r="D23" s="6"/>
      <c r="E23" s="6">
        <f>3500</f>
        <v>3500</v>
      </c>
      <c r="F23" s="6">
        <f>'NOVEMBER 21'!I23:I42</f>
        <v>0</v>
      </c>
      <c r="G23" s="6">
        <f t="shared" si="0"/>
        <v>3600</v>
      </c>
      <c r="H23" s="6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29" t="s">
        <v>163</v>
      </c>
      <c r="C24" s="6">
        <v>100</v>
      </c>
      <c r="D24" s="6"/>
      <c r="E24" s="6">
        <v>3500</v>
      </c>
      <c r="F24" s="6">
        <f>'NOVEMBER 21'!I24:I43</f>
        <v>0</v>
      </c>
      <c r="G24" s="6">
        <f t="shared" si="0"/>
        <v>3600</v>
      </c>
      <c r="H24" s="6">
        <v>3600</v>
      </c>
      <c r="I24" s="8">
        <f t="shared" si="1"/>
        <v>0</v>
      </c>
      <c r="J24" s="8"/>
      <c r="K24" s="8"/>
    </row>
    <row r="25" spans="1:11" ht="15.75" x14ac:dyDescent="0.25">
      <c r="A25" s="30"/>
      <c r="B25" s="38" t="s">
        <v>9</v>
      </c>
      <c r="C25" s="30">
        <f>SUM(C5:C24)</f>
        <v>2000</v>
      </c>
      <c r="D25" s="30">
        <f>SUM(D5:D24)</f>
        <v>3500</v>
      </c>
      <c r="E25" s="30">
        <f>SUM(E5:E24)</f>
        <v>70000</v>
      </c>
      <c r="F25" s="30">
        <f>SUM(F5:F24)</f>
        <v>2300</v>
      </c>
      <c r="G25" s="30">
        <f>C25+D25+E25+F25</f>
        <v>77800</v>
      </c>
      <c r="H25" s="30">
        <f>SUM(H5:H24)</f>
        <v>61530</v>
      </c>
      <c r="I25" s="30">
        <f>SUM(I5:I24)</f>
        <v>16270</v>
      </c>
      <c r="J25" s="30">
        <f>SUM(J5:J24)</f>
        <v>0</v>
      </c>
      <c r="K25" s="30">
        <f>SUM(K5:K24)</f>
        <v>1020</v>
      </c>
    </row>
    <row r="27" spans="1:11" ht="21" x14ac:dyDescent="0.35">
      <c r="B27" s="64" t="s">
        <v>10</v>
      </c>
      <c r="C27" s="64"/>
      <c r="D27" s="64"/>
      <c r="E27" s="64"/>
      <c r="F27" s="64"/>
      <c r="G27" s="64"/>
      <c r="H27" s="64"/>
      <c r="I27" s="64"/>
    </row>
    <row r="28" spans="1:11" ht="15.75" x14ac:dyDescent="0.25">
      <c r="A28" s="34"/>
      <c r="B28" s="36" t="s">
        <v>11</v>
      </c>
      <c r="C28" s="36" t="s">
        <v>12</v>
      </c>
      <c r="D28" s="36" t="s">
        <v>13</v>
      </c>
      <c r="E28" s="36" t="s">
        <v>14</v>
      </c>
      <c r="F28" s="36" t="s">
        <v>15</v>
      </c>
      <c r="G28" s="36" t="s">
        <v>12</v>
      </c>
      <c r="H28" s="36" t="s">
        <v>13</v>
      </c>
      <c r="I28" s="36" t="s">
        <v>14</v>
      </c>
      <c r="J28" s="34"/>
      <c r="K28" s="34"/>
    </row>
    <row r="29" spans="1:11" x14ac:dyDescent="0.25">
      <c r="B29" s="44" t="s">
        <v>192</v>
      </c>
      <c r="C29" s="23">
        <f>E25</f>
        <v>70000</v>
      </c>
      <c r="D29" s="49">
        <v>0.1</v>
      </c>
      <c r="E29" s="16"/>
      <c r="F29" s="44" t="s">
        <v>192</v>
      </c>
      <c r="G29" s="23">
        <f>H25</f>
        <v>61530</v>
      </c>
      <c r="H29" s="49">
        <v>0.1</v>
      </c>
      <c r="I29" s="19"/>
    </row>
    <row r="30" spans="1:11" x14ac:dyDescent="0.25">
      <c r="B30" s="44" t="s">
        <v>18</v>
      </c>
      <c r="C30" s="23">
        <f>'NOVEMBER 21'!E42</f>
        <v>4</v>
      </c>
      <c r="D30" s="15"/>
      <c r="E30" s="19"/>
      <c r="F30" s="44" t="s">
        <v>18</v>
      </c>
      <c r="G30" s="23">
        <f>'NOVEMBER 21'!I42</f>
        <v>1104</v>
      </c>
      <c r="H30" s="15"/>
      <c r="I30" s="19"/>
    </row>
    <row r="31" spans="1:11" x14ac:dyDescent="0.25">
      <c r="B31" s="44" t="s">
        <v>45</v>
      </c>
      <c r="C31" s="23">
        <f>C25</f>
        <v>2000</v>
      </c>
      <c r="D31" s="15"/>
      <c r="E31" s="19"/>
      <c r="F31" s="44"/>
      <c r="G31" s="23"/>
      <c r="H31" s="23"/>
      <c r="I31" s="19"/>
    </row>
    <row r="32" spans="1:11" x14ac:dyDescent="0.25">
      <c r="B32" s="44" t="s">
        <v>53</v>
      </c>
      <c r="C32" s="23">
        <f>D25</f>
        <v>3500</v>
      </c>
      <c r="D32" s="15"/>
      <c r="E32" s="19"/>
      <c r="F32" s="44"/>
      <c r="G32" s="23"/>
      <c r="H32" s="23"/>
      <c r="I32" s="19"/>
    </row>
    <row r="33" spans="1:11" x14ac:dyDescent="0.25">
      <c r="B33" s="44" t="s">
        <v>56</v>
      </c>
      <c r="C33" s="23"/>
      <c r="D33" s="15"/>
      <c r="E33" s="19"/>
      <c r="F33" s="44" t="s">
        <v>56</v>
      </c>
      <c r="G33" s="23"/>
      <c r="H33" s="23"/>
      <c r="I33" s="19"/>
    </row>
    <row r="34" spans="1:11" x14ac:dyDescent="0.25">
      <c r="B34" s="44" t="s">
        <v>55</v>
      </c>
      <c r="C34" s="23">
        <f>K25</f>
        <v>1020</v>
      </c>
      <c r="D34" s="15"/>
      <c r="E34" s="19"/>
      <c r="F34" s="44" t="s">
        <v>55</v>
      </c>
      <c r="G34" s="23">
        <f>K25</f>
        <v>1020</v>
      </c>
      <c r="H34" s="23"/>
      <c r="I34" s="19"/>
      <c r="K34" s="25"/>
    </row>
    <row r="35" spans="1:11" x14ac:dyDescent="0.25">
      <c r="B35" s="44" t="s">
        <v>19</v>
      </c>
      <c r="C35" s="18"/>
      <c r="D35" s="15">
        <f>C29*D29</f>
        <v>7000</v>
      </c>
      <c r="E35" s="19"/>
      <c r="F35" s="44"/>
      <c r="G35" s="18"/>
      <c r="H35" s="15">
        <f>H29*C29</f>
        <v>7000</v>
      </c>
      <c r="I35" s="19"/>
      <c r="K35" s="47"/>
    </row>
    <row r="36" spans="1:11" x14ac:dyDescent="0.25">
      <c r="B36" s="51" t="s">
        <v>20</v>
      </c>
      <c r="C36" s="15"/>
      <c r="D36" s="15"/>
      <c r="E36" s="19"/>
      <c r="F36" s="51" t="s">
        <v>20</v>
      </c>
      <c r="G36" s="15"/>
      <c r="H36" s="15"/>
      <c r="I36" s="19"/>
    </row>
    <row r="37" spans="1:11" x14ac:dyDescent="0.25">
      <c r="B37" s="46" t="s">
        <v>79</v>
      </c>
      <c r="C37" s="49">
        <v>0.3</v>
      </c>
      <c r="D37" s="15">
        <f>C37*D10</f>
        <v>0</v>
      </c>
      <c r="E37" s="19"/>
      <c r="F37" s="46" t="s">
        <v>79</v>
      </c>
      <c r="G37" s="49">
        <v>0.3</v>
      </c>
      <c r="H37" s="15">
        <f>G37*D10</f>
        <v>0</v>
      </c>
      <c r="I37" s="19"/>
    </row>
    <row r="38" spans="1:11" x14ac:dyDescent="0.25">
      <c r="B38" s="8" t="s">
        <v>198</v>
      </c>
      <c r="C38" s="50"/>
      <c r="D38" s="6">
        <v>69640</v>
      </c>
      <c r="E38" s="8"/>
      <c r="F38" s="8" t="s">
        <v>198</v>
      </c>
      <c r="G38" s="50"/>
      <c r="H38" s="6">
        <v>69640</v>
      </c>
      <c r="I38" s="19"/>
    </row>
    <row r="39" spans="1:11" x14ac:dyDescent="0.25">
      <c r="B39" s="22"/>
      <c r="C39" s="19"/>
      <c r="D39" s="15"/>
      <c r="E39" s="19"/>
      <c r="F39" s="22"/>
      <c r="G39" s="19"/>
      <c r="H39" s="15"/>
      <c r="I39" s="19"/>
      <c r="K39" s="25"/>
    </row>
    <row r="40" spans="1:11" x14ac:dyDescent="0.25">
      <c r="B40" s="22"/>
      <c r="C40" s="19"/>
      <c r="D40" s="19"/>
      <c r="E40" s="19"/>
      <c r="F40" s="22"/>
      <c r="G40" s="19"/>
      <c r="H40" s="19"/>
      <c r="I40" s="19"/>
    </row>
    <row r="41" spans="1:11" x14ac:dyDescent="0.25">
      <c r="B41" s="22"/>
      <c r="C41" s="16"/>
      <c r="D41" s="16"/>
      <c r="E41" s="16"/>
      <c r="F41" s="22"/>
      <c r="G41" s="19"/>
      <c r="H41" s="16"/>
      <c r="I41" s="19"/>
    </row>
    <row r="42" spans="1:11" ht="15.75" x14ac:dyDescent="0.25">
      <c r="A42" s="34"/>
      <c r="B42" s="38" t="s">
        <v>9</v>
      </c>
      <c r="C42" s="39">
        <f>C29+C30+C31+C32+C33+C34-D35</f>
        <v>69524</v>
      </c>
      <c r="D42" s="36">
        <f>SUM(D37:D41)</f>
        <v>69640</v>
      </c>
      <c r="E42" s="39">
        <f>C42-D42</f>
        <v>-116</v>
      </c>
      <c r="F42" s="40"/>
      <c r="G42" s="39">
        <f>G29+G30+G34+G31+G33-H35</f>
        <v>56654</v>
      </c>
      <c r="H42" s="39">
        <f>SUM(H37:H41)</f>
        <v>69640</v>
      </c>
      <c r="I42" s="39">
        <f>G42-H42</f>
        <v>-12986</v>
      </c>
      <c r="J42" s="34"/>
      <c r="K42" s="34"/>
    </row>
    <row r="45" spans="1:11" ht="15.75" x14ac:dyDescent="0.25">
      <c r="B45" s="53" t="s">
        <v>21</v>
      </c>
      <c r="D45" s="53" t="s">
        <v>22</v>
      </c>
      <c r="F45" s="10"/>
      <c r="G45" s="65" t="s">
        <v>23</v>
      </c>
      <c r="H45" s="65"/>
    </row>
    <row r="46" spans="1:11" x14ac:dyDescent="0.25">
      <c r="B46" s="31" t="s">
        <v>61</v>
      </c>
      <c r="D46" s="41" t="s">
        <v>25</v>
      </c>
      <c r="F46" s="10"/>
      <c r="G46" s="54" t="s">
        <v>46</v>
      </c>
      <c r="H46" s="54"/>
      <c r="I46" s="25"/>
      <c r="J46" s="25"/>
    </row>
  </sheetData>
  <mergeCells count="6">
    <mergeCell ref="G46:H46"/>
    <mergeCell ref="D1:H1"/>
    <mergeCell ref="D2:H2"/>
    <mergeCell ref="D3:H3"/>
    <mergeCell ref="B27:I27"/>
    <mergeCell ref="G45:H45"/>
  </mergeCells>
  <conditionalFormatting sqref="B5:B24">
    <cfRule type="containsText" dxfId="4" priority="3" operator="containsText" text="VACCANT">
      <formula>NOT(ISERROR(SEARCH("VACCANT",B5)))</formula>
    </cfRule>
    <cfRule type="notContainsText" dxfId="3" priority="4" operator="notContains" text="VACCANT">
      <formula>ISERROR(SEARCH("VACCANT",B5))</formula>
    </cfRule>
    <cfRule type="containsText" dxfId="2" priority="5" operator="containsText" text="VACCANT">
      <formula>NOT(ISERROR(SEARCH("VACCANT",B5)))</formula>
    </cfRule>
  </conditionalFormatting>
  <conditionalFormatting sqref="I5:I24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7" workbookViewId="0">
      <selection activeCell="C45" sqref="C45"/>
    </sheetView>
  </sheetViews>
  <sheetFormatPr defaultRowHeight="15" x14ac:dyDescent="0.25"/>
  <cols>
    <col min="1" max="1" width="4.28515625" customWidth="1"/>
    <col min="2" max="2" width="17.140625" customWidth="1"/>
    <col min="3" max="3" width="8.42578125" customWidth="1"/>
    <col min="4" max="4" width="6.5703125" customWidth="1"/>
    <col min="5" max="5" width="6.85546875" customWidth="1"/>
    <col min="6" max="6" width="6.28515625" customWidth="1"/>
    <col min="7" max="7" width="7.42578125" customWidth="1"/>
    <col min="8" max="8" width="7" customWidth="1"/>
    <col min="9" max="9" width="6.28515625" customWidth="1"/>
  </cols>
  <sheetData>
    <row r="1" spans="1:13" ht="18.75" x14ac:dyDescent="0.25">
      <c r="E1" s="1" t="s">
        <v>26</v>
      </c>
      <c r="F1" s="2"/>
      <c r="G1" s="3"/>
      <c r="H1" s="4"/>
    </row>
    <row r="2" spans="1:13" ht="18.75" x14ac:dyDescent="0.25">
      <c r="E2" s="1" t="s">
        <v>0</v>
      </c>
      <c r="F2" s="1"/>
      <c r="G2" s="5"/>
      <c r="H2" s="5"/>
    </row>
    <row r="3" spans="1:13" ht="18.75" x14ac:dyDescent="0.25">
      <c r="E3" s="1" t="s">
        <v>63</v>
      </c>
      <c r="F3" s="1"/>
      <c r="G3" s="5"/>
      <c r="H3" s="5"/>
    </row>
    <row r="4" spans="1:13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M4" s="26"/>
    </row>
    <row r="5" spans="1:13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AUGUST!I5:I25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  <c r="M5" s="10"/>
    </row>
    <row r="6" spans="1:13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AUGUST!I6:I26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  <c r="M6" s="10"/>
    </row>
    <row r="7" spans="1:13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AUGUST!I7:I27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  <c r="M7" s="10"/>
    </row>
    <row r="8" spans="1:13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AUGUST!I8:I28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/>
      <c r="M8" s="10"/>
    </row>
    <row r="9" spans="1:13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AUGUST!I9:I29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120</v>
      </c>
      <c r="M9" s="10"/>
    </row>
    <row r="10" spans="1:13" x14ac:dyDescent="0.25">
      <c r="A10" s="8">
        <v>6</v>
      </c>
      <c r="B10" s="8" t="s">
        <v>31</v>
      </c>
      <c r="C10" s="8">
        <v>100</v>
      </c>
      <c r="D10" s="8"/>
      <c r="E10" s="8">
        <v>3500</v>
      </c>
      <c r="F10" s="8">
        <f>AUGUST!I10:I30</f>
        <v>300</v>
      </c>
      <c r="G10" s="8">
        <f t="shared" si="0"/>
        <v>3900</v>
      </c>
      <c r="H10" s="8">
        <v>3000</v>
      </c>
      <c r="I10" s="8">
        <f t="shared" si="1"/>
        <v>900</v>
      </c>
      <c r="J10" s="8"/>
      <c r="K10" s="8"/>
      <c r="M10" s="10"/>
    </row>
    <row r="11" spans="1:13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AUGUST!I11:I31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  <c r="M11" s="10"/>
    </row>
    <row r="12" spans="1:13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AUGUST!I12:I32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M12" s="10"/>
    </row>
    <row r="13" spans="1:13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AUGUST!I13:I33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M13" s="10"/>
    </row>
    <row r="14" spans="1:13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AUGUST!I14:I34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  <c r="M14" s="10"/>
    </row>
    <row r="15" spans="1:13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AUGUST!I15:I35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  <c r="M15" s="10"/>
    </row>
    <row r="16" spans="1:13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AUGUST!I16:I36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  <c r="M16" s="10"/>
    </row>
    <row r="17" spans="1:13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AUGUST!I17:I37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/>
      <c r="M17" s="10"/>
    </row>
    <row r="18" spans="1:13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AUGUST!I18:I38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  <c r="M18" s="10"/>
    </row>
    <row r="19" spans="1:13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AUGUST!I19:I39</f>
        <v>5600</v>
      </c>
      <c r="G19" s="8">
        <f t="shared" si="0"/>
        <v>9200</v>
      </c>
      <c r="H19" s="8"/>
      <c r="I19" s="8">
        <f t="shared" si="1"/>
        <v>9200</v>
      </c>
      <c r="J19" s="8"/>
      <c r="K19" s="8"/>
      <c r="M19" s="10"/>
    </row>
    <row r="20" spans="1:13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AUGUST!I20:I40</f>
        <v>3600</v>
      </c>
      <c r="G20" s="8">
        <f t="shared" si="0"/>
        <v>7200</v>
      </c>
      <c r="H20" s="8">
        <v>3600</v>
      </c>
      <c r="I20" s="8">
        <f t="shared" si="1"/>
        <v>3600</v>
      </c>
      <c r="J20" s="8"/>
      <c r="K20" s="8"/>
      <c r="M20" s="10"/>
    </row>
    <row r="21" spans="1:13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AUGUST!I21:I41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  <c r="M21" s="10"/>
    </row>
    <row r="22" spans="1:13" x14ac:dyDescent="0.25">
      <c r="A22" s="8">
        <v>18</v>
      </c>
      <c r="B22" s="8"/>
      <c r="C22" s="8"/>
      <c r="D22" s="8"/>
      <c r="E22" s="8"/>
      <c r="F22" s="8">
        <f>AUGUST!I22:I42</f>
        <v>0</v>
      </c>
      <c r="G22" s="8">
        <f t="shared" si="0"/>
        <v>0</v>
      </c>
      <c r="H22" s="8"/>
      <c r="I22" s="8">
        <f>G22-H22</f>
        <v>0</v>
      </c>
      <c r="J22" s="8"/>
      <c r="K22" s="8"/>
      <c r="M22" s="10"/>
    </row>
    <row r="23" spans="1:13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AUGUST!I23:I43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  <c r="M23" s="10"/>
    </row>
    <row r="24" spans="1:13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AUGUST!I24:I44</f>
        <v>70</v>
      </c>
      <c r="G24" s="8">
        <f t="shared" si="0"/>
        <v>3670</v>
      </c>
      <c r="H24" s="8">
        <v>3630</v>
      </c>
      <c r="I24" s="8">
        <f t="shared" si="1"/>
        <v>40</v>
      </c>
      <c r="J24" s="8"/>
      <c r="K24" s="8">
        <v>120</v>
      </c>
      <c r="M24" s="10"/>
    </row>
    <row r="25" spans="1:13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AUGUST!I25:I45</f>
        <v>10970</v>
      </c>
      <c r="G25" s="8">
        <f>C25+D25+E25+F25</f>
        <v>79370</v>
      </c>
      <c r="H25" s="6">
        <f>SUM(H5:H24)</f>
        <v>64230</v>
      </c>
      <c r="I25" s="6">
        <f>SUM(I5:I24)</f>
        <v>15140</v>
      </c>
      <c r="J25" s="6">
        <f>SUM(J5:J24)</f>
        <v>0</v>
      </c>
      <c r="K25" s="6">
        <f>SUM(K5:K24)</f>
        <v>1200</v>
      </c>
      <c r="M25" s="26"/>
    </row>
    <row r="26" spans="1:13" x14ac:dyDescent="0.25">
      <c r="A26" s="10"/>
    </row>
    <row r="27" spans="1:13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3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3" x14ac:dyDescent="0.25">
      <c r="B29" s="19" t="s">
        <v>64</v>
      </c>
      <c r="C29" s="16">
        <f>E25</f>
        <v>66500</v>
      </c>
      <c r="D29" s="17">
        <v>0.1</v>
      </c>
      <c r="E29" s="16"/>
      <c r="F29" s="20" t="s">
        <v>64</v>
      </c>
      <c r="G29" s="16">
        <f>H25</f>
        <v>64230</v>
      </c>
      <c r="H29" s="17">
        <v>0.1</v>
      </c>
      <c r="I29" s="19"/>
    </row>
    <row r="30" spans="1:13" x14ac:dyDescent="0.25">
      <c r="B30" s="19" t="s">
        <v>18</v>
      </c>
      <c r="C30" s="16">
        <f>AUGUST!E42</f>
        <v>6889</v>
      </c>
      <c r="D30" s="19"/>
      <c r="E30" s="19"/>
      <c r="F30" s="19" t="s">
        <v>18</v>
      </c>
      <c r="G30" s="16">
        <f>AUGUST!I42</f>
        <v>6519</v>
      </c>
      <c r="H30" s="19"/>
      <c r="I30" s="19"/>
    </row>
    <row r="31" spans="1:13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3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1200</v>
      </c>
      <c r="D34" s="19"/>
      <c r="E34" s="19"/>
      <c r="F34" s="19" t="s">
        <v>55</v>
      </c>
      <c r="G34" s="16">
        <f>C34</f>
        <v>1200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65</v>
      </c>
      <c r="C37" s="19"/>
      <c r="D37" s="19">
        <v>66400</v>
      </c>
      <c r="E37" s="19"/>
      <c r="F37" s="22" t="s">
        <v>65</v>
      </c>
      <c r="G37" s="19"/>
      <c r="H37" s="19">
        <v>66400</v>
      </c>
      <c r="I37" s="19"/>
    </row>
    <row r="38" spans="2:9" x14ac:dyDescent="0.25">
      <c r="B38" s="8" t="s">
        <v>68</v>
      </c>
      <c r="C38" s="8"/>
      <c r="D38" s="8">
        <v>500</v>
      </c>
      <c r="E38" s="8"/>
      <c r="F38" s="8" t="s">
        <v>68</v>
      </c>
      <c r="G38" s="8"/>
      <c r="H38" s="8">
        <v>500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69839</v>
      </c>
      <c r="D42" s="15">
        <f>SUM(D37:D41)</f>
        <v>66900</v>
      </c>
      <c r="E42" s="23">
        <f>C42-D42</f>
        <v>2939</v>
      </c>
      <c r="F42" s="18"/>
      <c r="G42" s="23">
        <f>G29+G30+G34+G31+G33-H35</f>
        <v>65299</v>
      </c>
      <c r="H42" s="23">
        <f>SUM(H37:H41)</f>
        <v>66900</v>
      </c>
      <c r="I42" s="23">
        <f>G42-H42</f>
        <v>-1601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t="s">
        <v>25</v>
      </c>
      <c r="G46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H20" sqref="H20"/>
    </sheetView>
  </sheetViews>
  <sheetFormatPr defaultRowHeight="15" x14ac:dyDescent="0.25"/>
  <cols>
    <col min="1" max="1" width="4.42578125" bestFit="1" customWidth="1"/>
    <col min="2" max="2" width="17" customWidth="1"/>
    <col min="3" max="3" width="7.85546875" customWidth="1"/>
    <col min="4" max="4" width="12.28515625" bestFit="1" customWidth="1"/>
    <col min="5" max="5" width="8" customWidth="1"/>
    <col min="6" max="6" width="5.7109375" customWidth="1"/>
    <col min="9" max="9" width="7.5703125" customWidth="1"/>
    <col min="10" max="10" width="6.8554687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67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SEPT!I5:I24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SEPT!I6:I25</f>
        <v>0</v>
      </c>
      <c r="G6" s="8">
        <f t="shared" ref="G6:G24" si="0">C6+D6+E6+F6</f>
        <v>3600</v>
      </c>
      <c r="H6" s="8">
        <f>3000+600</f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SEPT!I7:I26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120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SEPT!I8:I27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SEPT!I9:I28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SEPT!I10:I29</f>
        <v>900</v>
      </c>
      <c r="G10" s="8">
        <f t="shared" si="0"/>
        <v>4500</v>
      </c>
      <c r="H10" s="8">
        <v>3600</v>
      </c>
      <c r="I10" s="8">
        <f t="shared" si="1"/>
        <v>900</v>
      </c>
      <c r="J10" s="8"/>
      <c r="K10" s="8">
        <v>50</v>
      </c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SEPT!I11:I30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240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SEPT!I12:I31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/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SEPT!I13:I32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200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SEPT!I14:I33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/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SEPT!I15:I34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SEPT!I16:I35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SEPT!I17:I36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SEPT!I18:I37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8" t="s">
        <v>33</v>
      </c>
      <c r="C19" s="8">
        <v>100</v>
      </c>
      <c r="D19" s="8"/>
      <c r="E19" s="8">
        <v>3500</v>
      </c>
      <c r="F19" s="8">
        <f>SEPT!I19:I38</f>
        <v>9200</v>
      </c>
      <c r="G19" s="8">
        <f>C19+D19+E19+F19</f>
        <v>12800</v>
      </c>
      <c r="H19" s="8">
        <f>3000+4200</f>
        <v>7200</v>
      </c>
      <c r="I19" s="8">
        <f t="shared" si="1"/>
        <v>5600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SEPT!I20:I39</f>
        <v>3600</v>
      </c>
      <c r="G20" s="8">
        <f t="shared" si="0"/>
        <v>7200</v>
      </c>
      <c r="H20" s="8">
        <v>3500</v>
      </c>
      <c r="I20" s="8">
        <f t="shared" si="1"/>
        <v>3700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SEPT!I21:I40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SEPT!I22:I41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SEPT!I23:I42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SEPT!I24:I43</f>
        <v>40</v>
      </c>
      <c r="G24" s="8">
        <f t="shared" si="0"/>
        <v>3640</v>
      </c>
      <c r="H24" s="8">
        <v>3640</v>
      </c>
      <c r="I24" s="8">
        <f t="shared" si="1"/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SEPT!I25:I44</f>
        <v>15140</v>
      </c>
      <c r="G25" s="8">
        <f>C25+D25+E25+F25</f>
        <v>83540</v>
      </c>
      <c r="H25" s="6">
        <f>SUM(H5:H24)</f>
        <v>71940</v>
      </c>
      <c r="I25" s="6">
        <f>SUM(I5:I24)</f>
        <v>11600</v>
      </c>
      <c r="J25" s="6">
        <f>SUM(J5:J24)</f>
        <v>0</v>
      </c>
      <c r="K25" s="6">
        <f>SUM(K5:K24)</f>
        <v>1450</v>
      </c>
    </row>
    <row r="26" spans="1:11" x14ac:dyDescent="0.25">
      <c r="A26" s="10"/>
      <c r="I26" s="24">
        <f>I25-I19-I7-3600</f>
        <v>1000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66</v>
      </c>
      <c r="C29" s="16">
        <f>E25</f>
        <v>66500</v>
      </c>
      <c r="D29" s="17">
        <v>0.1</v>
      </c>
      <c r="E29" s="16"/>
      <c r="F29" s="20" t="s">
        <v>66</v>
      </c>
      <c r="G29" s="16">
        <f>H25</f>
        <v>71940</v>
      </c>
      <c r="H29" s="17">
        <v>0.1</v>
      </c>
      <c r="I29" s="19"/>
    </row>
    <row r="30" spans="1:11" x14ac:dyDescent="0.25">
      <c r="B30" s="19" t="s">
        <v>18</v>
      </c>
      <c r="C30" s="16">
        <f>SEPT!E42</f>
        <v>2939</v>
      </c>
      <c r="D30" s="19"/>
      <c r="E30" s="19"/>
      <c r="F30" s="19" t="s">
        <v>18</v>
      </c>
      <c r="G30" s="16">
        <f>SEPT!I42</f>
        <v>-1601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 t="s">
        <v>45</v>
      </c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 t="s">
        <v>53</v>
      </c>
      <c r="G32" s="16">
        <f>C32</f>
        <v>0</v>
      </c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1450</v>
      </c>
      <c r="D34" s="19"/>
      <c r="E34" s="19"/>
      <c r="F34" s="19" t="s">
        <v>55</v>
      </c>
      <c r="G34" s="16">
        <f>C34</f>
        <v>1450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65</v>
      </c>
      <c r="C37" s="19"/>
      <c r="D37" s="19">
        <v>66200</v>
      </c>
      <c r="E37" s="19"/>
      <c r="F37" s="22" t="s">
        <v>65</v>
      </c>
      <c r="G37" s="19"/>
      <c r="H37" s="19">
        <v>66200</v>
      </c>
      <c r="I37" s="19"/>
    </row>
    <row r="38" spans="2:9" x14ac:dyDescent="0.25">
      <c r="B38" s="8" t="s">
        <v>72</v>
      </c>
      <c r="C38" s="8"/>
      <c r="D38" s="8">
        <v>4200</v>
      </c>
      <c r="E38" s="8"/>
      <c r="F38" s="8" t="s">
        <v>72</v>
      </c>
      <c r="G38" s="8"/>
      <c r="H38" s="8">
        <v>4200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66139</v>
      </c>
      <c r="D42" s="15">
        <f>SUM(D37:D41)</f>
        <v>70400</v>
      </c>
      <c r="E42" s="23">
        <f>C42-D42</f>
        <v>-4261</v>
      </c>
      <c r="F42" s="18"/>
      <c r="G42" s="23">
        <f>G29+G30+G34+G31+G33-H35</f>
        <v>65139</v>
      </c>
      <c r="H42" s="23">
        <f>SUM(H37:H41)</f>
        <v>70400</v>
      </c>
      <c r="I42" s="23">
        <f>G42-H42</f>
        <v>-5261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1" right="0.1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I27" sqref="I27"/>
    </sheetView>
  </sheetViews>
  <sheetFormatPr defaultRowHeight="15" x14ac:dyDescent="0.25"/>
  <cols>
    <col min="1" max="1" width="3.42578125" customWidth="1"/>
    <col min="2" max="2" width="18.7109375" bestFit="1" customWidth="1"/>
    <col min="3" max="3" width="9" customWidth="1"/>
    <col min="4" max="4" width="12.28515625" bestFit="1" customWidth="1"/>
    <col min="5" max="5" width="9.28515625" customWidth="1"/>
    <col min="6" max="6" width="8.28515625" customWidth="1"/>
    <col min="7" max="7" width="7.5703125" customWidth="1"/>
    <col min="8" max="8" width="6.5703125" bestFit="1" customWidth="1"/>
    <col min="9" max="9" width="9.140625" bestFit="1" customWidth="1"/>
    <col min="10" max="10" width="9.5703125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71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OCTOBER19!I5:I24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OCTOBER19!I6:I25</f>
        <v>0</v>
      </c>
      <c r="G6" s="8">
        <f t="shared" ref="G6:G24" si="0">C6+D6+E6+F6</f>
        <v>3600</v>
      </c>
      <c r="H6" s="8">
        <f>3000+600</f>
        <v>3600</v>
      </c>
      <c r="I6" s="8">
        <f t="shared" ref="I6:I23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OCTOBER19!I7:I26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OCTOBER19!I8:I27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OCTOBER19!I9:I28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>
        <v>240</v>
      </c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OCTOBER19!I10:I29</f>
        <v>900</v>
      </c>
      <c r="G10" s="8">
        <f t="shared" si="0"/>
        <v>4500</v>
      </c>
      <c r="H10" s="8">
        <v>3000</v>
      </c>
      <c r="I10" s="8">
        <f>G10-H10</f>
        <v>1500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OCTOBER19!I11:I30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OCTOBER19!I12:I31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OCTOBER19!I13:I32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OCTOBER19!I14:I33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OCTOBER19!I15:I34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OCTOBER19!I16:I35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120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OCTOBER19!I17:I36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OCTOBER19!I18:I37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>
        <v>3500</v>
      </c>
      <c r="E19" s="8">
        <v>3500</v>
      </c>
      <c r="F19" s="8"/>
      <c r="G19" s="8">
        <f t="shared" si="0"/>
        <v>7100</v>
      </c>
      <c r="H19" s="8">
        <v>7100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OCTOBER19!I20:I39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240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OCTOBER19!I21:I40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/>
    </row>
    <row r="22" spans="1:11" x14ac:dyDescent="0.25">
      <c r="A22" s="8">
        <v>18</v>
      </c>
      <c r="B22" s="8"/>
      <c r="C22" s="8"/>
      <c r="D22" s="8"/>
      <c r="E22" s="8"/>
      <c r="F22" s="8">
        <f>OCTOBER19!I22:I41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OCTOBER19!I23:I42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240</v>
      </c>
    </row>
    <row r="24" spans="1:11" x14ac:dyDescent="0.25">
      <c r="A24" s="8">
        <v>20</v>
      </c>
      <c r="B24" s="8" t="s">
        <v>44</v>
      </c>
      <c r="C24" s="8">
        <v>100</v>
      </c>
      <c r="D24" s="8"/>
      <c r="E24" s="8">
        <v>3500</v>
      </c>
      <c r="F24" s="8">
        <f>OCTOBER19!I24:I43</f>
        <v>0</v>
      </c>
      <c r="G24" s="8">
        <f t="shared" si="0"/>
        <v>3600</v>
      </c>
      <c r="H24" s="8">
        <v>3600</v>
      </c>
      <c r="I24" s="8">
        <f>G24-H24</f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6000</v>
      </c>
      <c r="G25" s="8">
        <f>C25+D25+E25+F25</f>
        <v>77900</v>
      </c>
      <c r="H25" s="6">
        <f>SUM(H5:H24)</f>
        <v>71300</v>
      </c>
      <c r="I25" s="6">
        <f>SUM(I5:I24)</f>
        <v>6600</v>
      </c>
      <c r="J25" s="6">
        <f>SUM(J5:J24)</f>
        <v>0</v>
      </c>
      <c r="K25" s="6">
        <f>SUM(K5:K24)</f>
        <v>2040</v>
      </c>
    </row>
    <row r="26" spans="1:11" x14ac:dyDescent="0.25">
      <c r="A26" s="10"/>
      <c r="I26" s="24">
        <f>I25-I7-3600</f>
        <v>1600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70</v>
      </c>
      <c r="C29" s="16">
        <f>E25</f>
        <v>66500</v>
      </c>
      <c r="D29" s="17">
        <v>0.1</v>
      </c>
      <c r="E29" s="16"/>
      <c r="F29" s="20" t="s">
        <v>70</v>
      </c>
      <c r="G29" s="16">
        <f>H25</f>
        <v>71300</v>
      </c>
      <c r="H29" s="17">
        <v>0.1</v>
      </c>
      <c r="I29" s="19"/>
    </row>
    <row r="30" spans="1:11" x14ac:dyDescent="0.25">
      <c r="B30" s="19" t="s">
        <v>18</v>
      </c>
      <c r="C30" s="16">
        <f>OCTOBER19!E42</f>
        <v>-4261</v>
      </c>
      <c r="D30" s="19"/>
      <c r="E30" s="19"/>
      <c r="F30" s="19" t="s">
        <v>18</v>
      </c>
      <c r="G30" s="16">
        <f>OCTOBER19!I42</f>
        <v>-5261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2040</v>
      </c>
      <c r="D34" s="19"/>
      <c r="E34" s="19"/>
      <c r="F34" s="19" t="s">
        <v>55</v>
      </c>
      <c r="G34" s="16">
        <f>C34</f>
        <v>2040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74</v>
      </c>
      <c r="C37" s="19"/>
      <c r="D37" s="19">
        <v>63300</v>
      </c>
      <c r="E37" s="19"/>
      <c r="F37" s="22" t="s">
        <v>74</v>
      </c>
      <c r="G37" s="19"/>
      <c r="H37" s="19">
        <v>63300</v>
      </c>
      <c r="I37" s="19"/>
    </row>
    <row r="38" spans="2:9" x14ac:dyDescent="0.25">
      <c r="B38" s="8"/>
      <c r="C38" s="8"/>
      <c r="D38" s="8"/>
      <c r="E38" s="8"/>
      <c r="F38" s="8"/>
      <c r="G38" s="8"/>
      <c r="H38" s="8"/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63029</v>
      </c>
      <c r="D42" s="15">
        <f>SUM(D37:D41)</f>
        <v>63300</v>
      </c>
      <c r="E42" s="23">
        <f>C42-D42</f>
        <v>-271</v>
      </c>
      <c r="F42" s="18"/>
      <c r="G42" s="23">
        <f>G29+G30+G34+G31+G33-H35</f>
        <v>61429</v>
      </c>
      <c r="H42" s="23">
        <f>SUM(H37:H41)</f>
        <v>63300</v>
      </c>
      <c r="I42" s="23">
        <f>G42-H42</f>
        <v>-1871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1" right="0.1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5" workbookViewId="0">
      <selection activeCell="I27" sqref="I27"/>
    </sheetView>
  </sheetViews>
  <sheetFormatPr defaultRowHeight="15" x14ac:dyDescent="0.25"/>
  <cols>
    <col min="2" max="2" width="18.7109375" bestFit="1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76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'NOVEMBER 19'!I5:I24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/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'NOVEMBER 19'!I6:I25</f>
        <v>0</v>
      </c>
      <c r="G6" s="8">
        <f t="shared" ref="G6:G24" si="0">C6+D6+E6+F6</f>
        <v>3600</v>
      </c>
      <c r="H6" s="8">
        <f>2000+1600</f>
        <v>3600</v>
      </c>
      <c r="I6" s="8">
        <f t="shared" ref="I6:I23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'NOVEMBER 19'!I7:I26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/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'NOVEMBER 19'!I8:I27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120</v>
      </c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'NOVEMBER 19'!I9:I28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'NOVEMBER 19'!I10:I29</f>
        <v>1500</v>
      </c>
      <c r="G10" s="8">
        <f t="shared" si="0"/>
        <v>5100</v>
      </c>
      <c r="H10" s="8">
        <v>4545</v>
      </c>
      <c r="I10" s="8">
        <f>G10-H10</f>
        <v>555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'NOVEMBER 19'!I11:I30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'NOVEMBER 19'!I12:I31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'NOVEMBER 19'!I13:I32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'NOVEMBER 19'!I14:I33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120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'NOVEMBER 19'!I15:I34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'NOVEMBER 19'!I16:I35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240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'NOVEMBER 19'!I17:I36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'NOVEMBER 19'!I18:I37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'NOVEMBER 19'!I19:I38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200</v>
      </c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'NOVEMBER 19'!I20:I39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120</v>
      </c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'NOVEMBER 19'!I21:I40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/>
      <c r="C22" s="8"/>
      <c r="D22" s="8"/>
      <c r="E22" s="8"/>
      <c r="F22" s="8">
        <f>'NOVEMBER 19'!I22:I41</f>
        <v>0</v>
      </c>
      <c r="G22" s="8">
        <f t="shared" si="0"/>
        <v>0</v>
      </c>
      <c r="H22" s="8"/>
      <c r="I22" s="8">
        <f>G22-H22</f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'NOVEMBER 19'!I23:I42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</row>
    <row r="24" spans="1:11" x14ac:dyDescent="0.25">
      <c r="A24" s="8">
        <v>20</v>
      </c>
      <c r="B24" s="8" t="s">
        <v>77</v>
      </c>
      <c r="C24" s="8">
        <v>100</v>
      </c>
      <c r="D24" s="8">
        <v>3500</v>
      </c>
      <c r="E24" s="8">
        <v>3500</v>
      </c>
      <c r="F24" s="8">
        <f>'NOVEMBER 19'!I24:I43</f>
        <v>0</v>
      </c>
      <c r="G24" s="8">
        <f t="shared" si="0"/>
        <v>7100</v>
      </c>
      <c r="H24" s="8">
        <v>7100</v>
      </c>
      <c r="I24" s="8">
        <f>G24-H24</f>
        <v>0</v>
      </c>
      <c r="J24" s="8"/>
      <c r="K24" s="8"/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3500</v>
      </c>
      <c r="E25" s="6">
        <f>SUM(E5:E24)</f>
        <v>66500</v>
      </c>
      <c r="F25" s="8">
        <f>SUM(F5:F24)</f>
        <v>6600</v>
      </c>
      <c r="G25" s="8">
        <f>C25+D25+E25+F25</f>
        <v>78500</v>
      </c>
      <c r="H25" s="6">
        <f>SUM(H5:H24)</f>
        <v>72845</v>
      </c>
      <c r="I25" s="6">
        <f>SUM(I5:I24)</f>
        <v>5655</v>
      </c>
      <c r="J25" s="6">
        <f>SUM(J5:J24)</f>
        <v>0</v>
      </c>
      <c r="K25" s="6">
        <f>SUM(K5:K24)</f>
        <v>1880</v>
      </c>
    </row>
    <row r="26" spans="1:11" x14ac:dyDescent="0.25">
      <c r="A26" s="10"/>
      <c r="I26" s="24">
        <f>I25-I7-3600</f>
        <v>655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75</v>
      </c>
      <c r="C29" s="16">
        <f>E25</f>
        <v>66500</v>
      </c>
      <c r="D29" s="17">
        <v>0.1</v>
      </c>
      <c r="E29" s="16"/>
      <c r="F29" s="20" t="s">
        <v>75</v>
      </c>
      <c r="G29" s="16">
        <f>H25</f>
        <v>72845</v>
      </c>
      <c r="H29" s="17">
        <v>0.1</v>
      </c>
      <c r="I29" s="19"/>
    </row>
    <row r="30" spans="1:11" x14ac:dyDescent="0.25">
      <c r="B30" s="19" t="s">
        <v>18</v>
      </c>
      <c r="C30" s="16">
        <f>'NOVEMBER 19'!E42</f>
        <v>-271</v>
      </c>
      <c r="D30" s="19"/>
      <c r="E30" s="19"/>
      <c r="F30" s="19" t="s">
        <v>18</v>
      </c>
      <c r="G30" s="16">
        <f>'NOVEMBER 19'!I42</f>
        <v>-1871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3500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1880</v>
      </c>
      <c r="D34" s="19"/>
      <c r="E34" s="19"/>
      <c r="F34" s="19" t="s">
        <v>55</v>
      </c>
      <c r="G34" s="16">
        <f>C34</f>
        <v>1880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78</v>
      </c>
      <c r="C37" s="19"/>
      <c r="D37" s="19">
        <v>67400</v>
      </c>
      <c r="E37" s="19"/>
      <c r="F37" s="22" t="s">
        <v>78</v>
      </c>
      <c r="G37" s="19"/>
      <c r="H37" s="19">
        <v>67400</v>
      </c>
      <c r="I37" s="19"/>
    </row>
    <row r="38" spans="2:9" x14ac:dyDescent="0.25">
      <c r="B38" s="8" t="s">
        <v>79</v>
      </c>
      <c r="C38" s="27">
        <v>0.3</v>
      </c>
      <c r="D38" s="8">
        <f>C38*E24</f>
        <v>1050</v>
      </c>
      <c r="E38" s="8"/>
      <c r="F38" s="8" t="s">
        <v>79</v>
      </c>
      <c r="G38" s="27">
        <v>0.3</v>
      </c>
      <c r="H38" s="8">
        <f>D38</f>
        <v>1050</v>
      </c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66859</v>
      </c>
      <c r="D42" s="15">
        <f>SUM(D37:D41)</f>
        <v>68450</v>
      </c>
      <c r="E42" s="23">
        <f>C42-D42</f>
        <v>-1591</v>
      </c>
      <c r="F42" s="18"/>
      <c r="G42" s="23">
        <f>G29+G30+G34+G31+G33-H35</f>
        <v>66204</v>
      </c>
      <c r="H42" s="23">
        <f>SUM(H37:H41)</f>
        <v>68450</v>
      </c>
      <c r="I42" s="23">
        <f>G42-H42</f>
        <v>-2246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I27" sqref="I27"/>
    </sheetView>
  </sheetViews>
  <sheetFormatPr defaultRowHeight="15" x14ac:dyDescent="0.25"/>
  <cols>
    <col min="2" max="2" width="18.7109375" bestFit="1" customWidth="1"/>
    <col min="10" max="11" width="10.140625" customWidth="1"/>
  </cols>
  <sheetData>
    <row r="1" spans="1:12" ht="18.75" x14ac:dyDescent="0.25">
      <c r="E1" s="1" t="s">
        <v>26</v>
      </c>
      <c r="F1" s="2"/>
      <c r="G1" s="3"/>
      <c r="H1" s="4"/>
    </row>
    <row r="2" spans="1:12" ht="18.75" x14ac:dyDescent="0.25">
      <c r="E2" s="1" t="s">
        <v>0</v>
      </c>
      <c r="F2" s="1"/>
      <c r="G2" s="5"/>
      <c r="H2" s="5"/>
    </row>
    <row r="3" spans="1:12" ht="18.75" x14ac:dyDescent="0.25">
      <c r="E3" s="1" t="s">
        <v>80</v>
      </c>
      <c r="F3" s="1"/>
      <c r="G3" s="5"/>
      <c r="H3" s="5"/>
    </row>
    <row r="4" spans="1:12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  <c r="L4" s="6"/>
    </row>
    <row r="5" spans="1:12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'DECEMBER 19'!I5:I24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360</v>
      </c>
      <c r="L5" s="8"/>
    </row>
    <row r="6" spans="1:12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'DECEMBER 19'!I6:I25</f>
        <v>0</v>
      </c>
      <c r="G6" s="8">
        <f t="shared" ref="G6:G24" si="0">C6+D6+E6+F6</f>
        <v>3600</v>
      </c>
      <c r="H6" s="8">
        <f>1000+2600</f>
        <v>3600</v>
      </c>
      <c r="I6" s="8">
        <f t="shared" ref="I6:I23" si="1">G6-H6</f>
        <v>0</v>
      </c>
      <c r="J6" s="8"/>
      <c r="K6" s="8"/>
      <c r="L6" s="8"/>
    </row>
    <row r="7" spans="1:12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'DECEMBER 19'!I7:I26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120</v>
      </c>
      <c r="L7" s="8"/>
    </row>
    <row r="8" spans="1:12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'DECEMBER 19'!I8:I27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>
        <v>240</v>
      </c>
      <c r="L8" s="8"/>
    </row>
    <row r="9" spans="1:12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'DECEMBER 19'!I9:I28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  <c r="L9" s="8"/>
    </row>
    <row r="10" spans="1:12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'DECEMBER 19'!I10:I29</f>
        <v>555</v>
      </c>
      <c r="G10" s="8">
        <f t="shared" si="0"/>
        <v>4155</v>
      </c>
      <c r="H10" s="8">
        <v>3725</v>
      </c>
      <c r="I10" s="8">
        <f>G10-H10</f>
        <v>430</v>
      </c>
      <c r="J10" s="8"/>
      <c r="K10" s="8"/>
      <c r="L10" s="8"/>
    </row>
    <row r="11" spans="1:12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'DECEMBER 19'!I11:I30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  <c r="L11" s="8"/>
    </row>
    <row r="12" spans="1:12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'DECEMBER 19'!I12:I31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120</v>
      </c>
      <c r="L12" s="8"/>
    </row>
    <row r="13" spans="1:12" x14ac:dyDescent="0.25">
      <c r="A13" s="8">
        <v>9</v>
      </c>
      <c r="B13" s="8" t="s">
        <v>34</v>
      </c>
      <c r="C13" s="8">
        <v>100</v>
      </c>
      <c r="D13" s="8"/>
      <c r="E13" s="8">
        <v>3500</v>
      </c>
      <c r="F13" s="8">
        <f>'DECEMBER 19'!I13:I32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/>
      <c r="L13" s="8"/>
    </row>
    <row r="14" spans="1:12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'DECEMBER 19'!I14:I33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240</v>
      </c>
      <c r="L14" s="8"/>
    </row>
    <row r="15" spans="1:12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'DECEMBER 19'!I15:I34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240</v>
      </c>
      <c r="L15" s="8"/>
    </row>
    <row r="16" spans="1:12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'DECEMBER 19'!I16:I35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/>
      <c r="L16" s="8"/>
    </row>
    <row r="17" spans="1:12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'DECEMBER 19'!I17:I36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  <c r="L17" s="8"/>
    </row>
    <row r="18" spans="1:12" x14ac:dyDescent="0.25">
      <c r="A18" s="8">
        <v>14</v>
      </c>
      <c r="B18" s="8" t="s">
        <v>39</v>
      </c>
      <c r="C18" s="8">
        <v>100</v>
      </c>
      <c r="D18" s="8"/>
      <c r="E18" s="8">
        <v>3500</v>
      </c>
      <c r="F18" s="8">
        <f>'DECEMBER 19'!I18:I37</f>
        <v>0</v>
      </c>
      <c r="G18" s="8">
        <f t="shared" si="0"/>
        <v>3600</v>
      </c>
      <c r="H18" s="8">
        <v>3600</v>
      </c>
      <c r="I18" s="8">
        <f t="shared" si="1"/>
        <v>0</v>
      </c>
      <c r="J18" s="8"/>
      <c r="K18" s="8">
        <v>120</v>
      </c>
      <c r="L18" s="8"/>
    </row>
    <row r="19" spans="1:12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'DECEMBER 19'!I19:I38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>
        <v>120</v>
      </c>
      <c r="L19" s="8"/>
    </row>
    <row r="20" spans="1:12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'DECEMBER 19'!I20:I39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>
        <v>120</v>
      </c>
      <c r="L20" s="8"/>
    </row>
    <row r="21" spans="1:12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'DECEMBER 19'!I21:I40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240</v>
      </c>
      <c r="L21" s="8"/>
    </row>
    <row r="22" spans="1:12" x14ac:dyDescent="0.25">
      <c r="A22" s="8">
        <v>18</v>
      </c>
      <c r="B22" s="8"/>
      <c r="C22" s="8"/>
      <c r="D22" s="8"/>
      <c r="E22" s="8"/>
      <c r="F22" s="8">
        <f>'DECEMBER 19'!I22:I41</f>
        <v>0</v>
      </c>
      <c r="G22" s="8">
        <f t="shared" si="0"/>
        <v>0</v>
      </c>
      <c r="H22" s="8"/>
      <c r="I22" s="8">
        <f>G22-H22</f>
        <v>0</v>
      </c>
      <c r="J22" s="8"/>
      <c r="K22" s="8"/>
      <c r="L22" s="8"/>
    </row>
    <row r="23" spans="1:12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'DECEMBER 19'!I23:I42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>
        <v>120</v>
      </c>
      <c r="L23" s="8"/>
    </row>
    <row r="24" spans="1:12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'DECEMBER 19'!I24:I43</f>
        <v>0</v>
      </c>
      <c r="G24" s="8">
        <f t="shared" si="0"/>
        <v>3600</v>
      </c>
      <c r="H24" s="8">
        <v>3600</v>
      </c>
      <c r="I24" s="8">
        <f>G24-H24</f>
        <v>0</v>
      </c>
      <c r="J24" s="8"/>
      <c r="K24" s="8"/>
      <c r="L24" s="8"/>
    </row>
    <row r="25" spans="1:12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5655</v>
      </c>
      <c r="G25" s="8">
        <f>C25+D25+E25+F25</f>
        <v>74055</v>
      </c>
      <c r="H25" s="6">
        <f>SUM(H5:H24)</f>
        <v>68525</v>
      </c>
      <c r="I25" s="6">
        <f>SUM(I5:I24)</f>
        <v>5530</v>
      </c>
      <c r="J25" s="6">
        <f>SUM(J5:J24)</f>
        <v>0</v>
      </c>
      <c r="K25" s="6">
        <f>SUM(K5:K24)</f>
        <v>2280</v>
      </c>
      <c r="L25" s="6">
        <f>SUM(L5:L24)</f>
        <v>0</v>
      </c>
    </row>
    <row r="26" spans="1:12" x14ac:dyDescent="0.25">
      <c r="A26" s="10"/>
      <c r="I26" s="24">
        <f>I25-I7-3600</f>
        <v>530</v>
      </c>
    </row>
    <row r="27" spans="1:12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2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2" x14ac:dyDescent="0.25">
      <c r="B29" s="19" t="s">
        <v>81</v>
      </c>
      <c r="C29" s="16">
        <f>E25</f>
        <v>66500</v>
      </c>
      <c r="D29" s="17">
        <v>0.1</v>
      </c>
      <c r="E29" s="16"/>
      <c r="F29" s="20" t="s">
        <v>81</v>
      </c>
      <c r="G29" s="16">
        <f>H25</f>
        <v>68525</v>
      </c>
      <c r="H29" s="17">
        <v>0.1</v>
      </c>
      <c r="I29" s="19"/>
    </row>
    <row r="30" spans="1:12" x14ac:dyDescent="0.25">
      <c r="B30" s="19" t="s">
        <v>18</v>
      </c>
      <c r="C30" s="16">
        <f>'DECEMBER 19'!E42</f>
        <v>-1591</v>
      </c>
      <c r="D30" s="19"/>
      <c r="E30" s="19"/>
      <c r="F30" s="19" t="s">
        <v>18</v>
      </c>
      <c r="G30" s="16">
        <f>'DECEMBER 19'!I42</f>
        <v>-2246</v>
      </c>
      <c r="H30" s="19"/>
      <c r="I30" s="19"/>
    </row>
    <row r="31" spans="1:12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2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11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11" x14ac:dyDescent="0.25">
      <c r="B34" s="19" t="s">
        <v>55</v>
      </c>
      <c r="C34" s="16">
        <f>K25</f>
        <v>2280</v>
      </c>
      <c r="D34" s="19"/>
      <c r="E34" s="19"/>
      <c r="F34" s="19" t="s">
        <v>55</v>
      </c>
      <c r="G34" s="16">
        <f>C34</f>
        <v>2280</v>
      </c>
      <c r="H34" s="16"/>
      <c r="I34" s="19"/>
    </row>
    <row r="35" spans="2:11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11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11" x14ac:dyDescent="0.25">
      <c r="B37" s="22" t="s">
        <v>82</v>
      </c>
      <c r="C37" s="19"/>
      <c r="D37" s="19">
        <v>62900</v>
      </c>
      <c r="E37" s="19"/>
      <c r="F37" s="22" t="s">
        <v>82</v>
      </c>
      <c r="G37" s="19"/>
      <c r="H37" s="19">
        <v>62900</v>
      </c>
      <c r="I37" s="19"/>
    </row>
    <row r="38" spans="2:11" x14ac:dyDescent="0.25">
      <c r="B38" s="8"/>
      <c r="C38" s="27"/>
      <c r="D38" s="8"/>
      <c r="E38" s="8"/>
      <c r="F38" s="8"/>
      <c r="G38" s="27"/>
      <c r="H38" s="8"/>
      <c r="I38" s="19"/>
    </row>
    <row r="39" spans="2:11" x14ac:dyDescent="0.25">
      <c r="B39" s="22"/>
      <c r="C39" s="19"/>
      <c r="D39" s="19"/>
      <c r="E39" s="19"/>
      <c r="F39" s="22"/>
      <c r="G39" s="19"/>
      <c r="H39" s="19"/>
      <c r="I39" s="19"/>
    </row>
    <row r="40" spans="2:11" x14ac:dyDescent="0.25">
      <c r="B40" s="22"/>
      <c r="C40" s="19"/>
      <c r="D40" s="19"/>
      <c r="E40" s="19"/>
      <c r="F40" s="22"/>
      <c r="G40" s="19"/>
      <c r="H40" s="19"/>
      <c r="I40" s="19"/>
    </row>
    <row r="41" spans="2:11" x14ac:dyDescent="0.25">
      <c r="B41" s="22"/>
      <c r="C41" s="16"/>
      <c r="D41" s="16"/>
      <c r="E41" s="16"/>
      <c r="F41" s="22"/>
      <c r="G41" s="19"/>
      <c r="H41" s="16"/>
      <c r="I41" s="19"/>
    </row>
    <row r="42" spans="2:11" x14ac:dyDescent="0.25">
      <c r="B42" s="15" t="s">
        <v>9</v>
      </c>
      <c r="C42" s="23">
        <f>C29+C30+C31+C32+C33+C34-D35</f>
        <v>62439</v>
      </c>
      <c r="D42" s="15">
        <f>SUM(D37:D41)</f>
        <v>62900</v>
      </c>
      <c r="E42" s="23">
        <f>C42-D42</f>
        <v>-461</v>
      </c>
      <c r="F42" s="18"/>
      <c r="G42" s="23">
        <f>G29+G30+G34+G31+G33-H35</f>
        <v>61909</v>
      </c>
      <c r="H42" s="23">
        <f>SUM(H37:H41)</f>
        <v>62900</v>
      </c>
      <c r="I42" s="23">
        <f>G42-H42</f>
        <v>-991</v>
      </c>
    </row>
    <row r="43" spans="2:11" x14ac:dyDescent="0.25">
      <c r="K43" s="25"/>
    </row>
    <row r="45" spans="2:11" x14ac:dyDescent="0.25">
      <c r="B45" s="10" t="s">
        <v>21</v>
      </c>
      <c r="D45" s="10" t="s">
        <v>22</v>
      </c>
      <c r="F45" s="10"/>
      <c r="G45" s="10" t="s">
        <v>23</v>
      </c>
    </row>
    <row r="46" spans="2:11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I27" sqref="I27"/>
    </sheetView>
  </sheetViews>
  <sheetFormatPr defaultRowHeight="15" x14ac:dyDescent="0.25"/>
  <cols>
    <col min="2" max="2" width="18.7109375" bestFit="1" customWidth="1"/>
  </cols>
  <sheetData>
    <row r="1" spans="1:11" ht="18.75" x14ac:dyDescent="0.25">
      <c r="E1" s="1" t="s">
        <v>26</v>
      </c>
      <c r="F1" s="2"/>
      <c r="G1" s="3"/>
      <c r="H1" s="4"/>
    </row>
    <row r="2" spans="1:11" ht="18.75" x14ac:dyDescent="0.25">
      <c r="E2" s="1" t="s">
        <v>0</v>
      </c>
      <c r="F2" s="1"/>
      <c r="G2" s="5"/>
      <c r="H2" s="5"/>
    </row>
    <row r="3" spans="1:11" ht="18.75" x14ac:dyDescent="0.25">
      <c r="E3" s="1" t="s">
        <v>84</v>
      </c>
      <c r="F3" s="1"/>
      <c r="G3" s="5"/>
      <c r="H3" s="5"/>
    </row>
    <row r="4" spans="1:11" x14ac:dyDescent="0.25">
      <c r="A4" s="6" t="s">
        <v>2</v>
      </c>
      <c r="B4" s="6" t="s">
        <v>3</v>
      </c>
      <c r="C4" s="6" t="s">
        <v>45</v>
      </c>
      <c r="D4" s="6" t="s">
        <v>53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54</v>
      </c>
      <c r="K4" s="6" t="s">
        <v>55</v>
      </c>
    </row>
    <row r="5" spans="1:11" x14ac:dyDescent="0.25">
      <c r="A5" s="8">
        <v>1</v>
      </c>
      <c r="B5" s="8" t="s">
        <v>27</v>
      </c>
      <c r="C5" s="8">
        <v>100</v>
      </c>
      <c r="D5" s="8"/>
      <c r="E5" s="8">
        <v>3500</v>
      </c>
      <c r="F5" s="8">
        <f>'JANUARY 20'!I5:I24</f>
        <v>0</v>
      </c>
      <c r="G5" s="8">
        <f>C5+D5+E5+F5</f>
        <v>3600</v>
      </c>
      <c r="H5" s="8">
        <v>3600</v>
      </c>
      <c r="I5" s="8">
        <f>G5-H5</f>
        <v>0</v>
      </c>
      <c r="J5" s="8"/>
      <c r="K5" s="8">
        <v>240</v>
      </c>
    </row>
    <row r="6" spans="1:11" x14ac:dyDescent="0.25">
      <c r="A6" s="8">
        <v>2</v>
      </c>
      <c r="B6" s="8" t="s">
        <v>28</v>
      </c>
      <c r="C6" s="8">
        <v>100</v>
      </c>
      <c r="D6" s="8"/>
      <c r="E6" s="8">
        <v>3500</v>
      </c>
      <c r="F6" s="8">
        <f>'JANUARY 20'!I6:I25</f>
        <v>0</v>
      </c>
      <c r="G6" s="8">
        <f t="shared" ref="G6:G24" si="0">C6+D6+E6+F6</f>
        <v>3600</v>
      </c>
      <c r="H6" s="8">
        <v>3600</v>
      </c>
      <c r="I6" s="8">
        <f t="shared" ref="I6:I24" si="1">G6-H6</f>
        <v>0</v>
      </c>
      <c r="J6" s="8"/>
      <c r="K6" s="8"/>
    </row>
    <row r="7" spans="1:11" x14ac:dyDescent="0.25">
      <c r="A7" s="8">
        <v>3</v>
      </c>
      <c r="B7" s="8" t="s">
        <v>29</v>
      </c>
      <c r="C7" s="8">
        <v>100</v>
      </c>
      <c r="D7" s="8"/>
      <c r="E7" s="8">
        <v>3500</v>
      </c>
      <c r="F7" s="8">
        <f>'JANUARY 20'!I7:I26</f>
        <v>1400</v>
      </c>
      <c r="G7" s="8">
        <f t="shared" si="0"/>
        <v>5000</v>
      </c>
      <c r="H7" s="8">
        <v>3600</v>
      </c>
      <c r="I7" s="8">
        <f t="shared" si="1"/>
        <v>1400</v>
      </c>
      <c r="J7" s="8"/>
      <c r="K7" s="8">
        <v>240</v>
      </c>
    </row>
    <row r="8" spans="1:11" x14ac:dyDescent="0.25">
      <c r="A8" s="8">
        <v>4</v>
      </c>
      <c r="B8" s="8" t="s">
        <v>51</v>
      </c>
      <c r="C8" s="8">
        <v>100</v>
      </c>
      <c r="D8" s="8"/>
      <c r="E8" s="8">
        <v>3500</v>
      </c>
      <c r="F8" s="8">
        <f>'JANUARY 20'!I8:I27</f>
        <v>0</v>
      </c>
      <c r="G8" s="8">
        <f>C8+D8+E8+F8</f>
        <v>3600</v>
      </c>
      <c r="H8" s="8">
        <v>3600</v>
      </c>
      <c r="I8" s="8">
        <f t="shared" si="1"/>
        <v>0</v>
      </c>
      <c r="J8" s="8"/>
      <c r="K8" s="8"/>
    </row>
    <row r="9" spans="1:11" x14ac:dyDescent="0.25">
      <c r="A9" s="8">
        <v>5</v>
      </c>
      <c r="B9" s="8" t="s">
        <v>30</v>
      </c>
      <c r="C9" s="8">
        <v>100</v>
      </c>
      <c r="D9" s="8"/>
      <c r="E9" s="8">
        <v>3500</v>
      </c>
      <c r="F9" s="8">
        <f>'JANUARY 20'!I9:I28</f>
        <v>0</v>
      </c>
      <c r="G9" s="8">
        <f t="shared" si="0"/>
        <v>3600</v>
      </c>
      <c r="H9" s="8">
        <v>3600</v>
      </c>
      <c r="I9" s="8">
        <f t="shared" si="1"/>
        <v>0</v>
      </c>
      <c r="J9" s="8"/>
      <c r="K9" s="8"/>
    </row>
    <row r="10" spans="1:11" x14ac:dyDescent="0.25">
      <c r="A10" s="8">
        <v>6</v>
      </c>
      <c r="B10" s="8" t="s">
        <v>69</v>
      </c>
      <c r="C10" s="8">
        <v>100</v>
      </c>
      <c r="D10" s="8"/>
      <c r="E10" s="8">
        <v>3500</v>
      </c>
      <c r="F10" s="8">
        <f>'JANUARY 20'!I10:I29</f>
        <v>430</v>
      </c>
      <c r="G10" s="8">
        <f t="shared" si="0"/>
        <v>4030</v>
      </c>
      <c r="H10" s="8">
        <v>3600</v>
      </c>
      <c r="I10" s="8">
        <f>G10-H10</f>
        <v>430</v>
      </c>
      <c r="J10" s="8"/>
      <c r="K10" s="8"/>
    </row>
    <row r="11" spans="1:11" x14ac:dyDescent="0.25">
      <c r="A11" s="8">
        <v>7</v>
      </c>
      <c r="B11" s="8" t="s">
        <v>32</v>
      </c>
      <c r="C11" s="8">
        <v>100</v>
      </c>
      <c r="D11" s="8"/>
      <c r="E11" s="8">
        <v>3500</v>
      </c>
      <c r="F11" s="8">
        <f>'JANUARY 20'!I11:I30</f>
        <v>0</v>
      </c>
      <c r="G11" s="8">
        <f t="shared" si="0"/>
        <v>3600</v>
      </c>
      <c r="H11" s="8">
        <v>3600</v>
      </c>
      <c r="I11" s="8">
        <f t="shared" si="1"/>
        <v>0</v>
      </c>
      <c r="J11" s="8"/>
      <c r="K11" s="8">
        <v>120</v>
      </c>
    </row>
    <row r="12" spans="1:11" x14ac:dyDescent="0.25">
      <c r="A12" s="8">
        <v>8</v>
      </c>
      <c r="B12" s="24" t="s">
        <v>40</v>
      </c>
      <c r="C12" s="8">
        <v>100</v>
      </c>
      <c r="D12" s="8"/>
      <c r="E12" s="8">
        <v>3500</v>
      </c>
      <c r="F12" s="8">
        <f>'JANUARY 20'!I12:I31</f>
        <v>0</v>
      </c>
      <c r="G12" s="8">
        <f t="shared" si="0"/>
        <v>3600</v>
      </c>
      <c r="H12" s="8">
        <v>3600</v>
      </c>
      <c r="I12" s="8">
        <f>G12-H12</f>
        <v>0</v>
      </c>
      <c r="J12" s="8"/>
      <c r="K12" s="8">
        <v>240</v>
      </c>
    </row>
    <row r="13" spans="1:11" x14ac:dyDescent="0.25">
      <c r="A13" s="8">
        <v>9</v>
      </c>
      <c r="B13" s="8" t="s">
        <v>39</v>
      </c>
      <c r="C13" s="8">
        <v>100</v>
      </c>
      <c r="D13" s="8"/>
      <c r="E13" s="8">
        <v>3500</v>
      </c>
      <c r="F13" s="8">
        <f>'JANUARY 20'!I13:I32</f>
        <v>0</v>
      </c>
      <c r="G13" s="8">
        <f t="shared" si="0"/>
        <v>3600</v>
      </c>
      <c r="H13" s="8">
        <v>3600</v>
      </c>
      <c r="I13" s="8">
        <f t="shared" si="1"/>
        <v>0</v>
      </c>
      <c r="J13" s="8"/>
      <c r="K13" s="8">
        <v>120</v>
      </c>
    </row>
    <row r="14" spans="1:11" x14ac:dyDescent="0.25">
      <c r="A14" s="8">
        <v>10</v>
      </c>
      <c r="B14" s="8" t="s">
        <v>35</v>
      </c>
      <c r="C14" s="8">
        <v>100</v>
      </c>
      <c r="D14" s="8"/>
      <c r="E14" s="8">
        <v>3500</v>
      </c>
      <c r="F14" s="8">
        <f>'JANUARY 20'!I14:I33</f>
        <v>0</v>
      </c>
      <c r="G14" s="8">
        <f t="shared" si="0"/>
        <v>3600</v>
      </c>
      <c r="H14" s="8">
        <v>3600</v>
      </c>
      <c r="I14" s="8">
        <f t="shared" si="1"/>
        <v>0</v>
      </c>
      <c r="J14" s="8"/>
      <c r="K14" s="8">
        <v>360</v>
      </c>
    </row>
    <row r="15" spans="1:11" x14ac:dyDescent="0.25">
      <c r="A15" s="8">
        <v>11</v>
      </c>
      <c r="B15" s="8" t="s">
        <v>36</v>
      </c>
      <c r="C15" s="8">
        <v>100</v>
      </c>
      <c r="D15" s="8"/>
      <c r="E15" s="8">
        <v>3500</v>
      </c>
      <c r="F15" s="8">
        <f>'JANUARY 20'!I15:I34</f>
        <v>0</v>
      </c>
      <c r="G15" s="8">
        <f t="shared" si="0"/>
        <v>3600</v>
      </c>
      <c r="H15" s="8">
        <v>3600</v>
      </c>
      <c r="I15" s="8">
        <f t="shared" si="1"/>
        <v>0</v>
      </c>
      <c r="J15" s="8"/>
      <c r="K15" s="8">
        <v>120</v>
      </c>
    </row>
    <row r="16" spans="1:11" x14ac:dyDescent="0.25">
      <c r="A16" s="8">
        <v>12</v>
      </c>
      <c r="B16" s="8" t="s">
        <v>37</v>
      </c>
      <c r="C16" s="8">
        <v>100</v>
      </c>
      <c r="D16" s="8"/>
      <c r="E16" s="8">
        <v>3500</v>
      </c>
      <c r="F16" s="8">
        <f>'JANUARY 20'!I16:I35</f>
        <v>0</v>
      </c>
      <c r="G16" s="8">
        <f t="shared" si="0"/>
        <v>3600</v>
      </c>
      <c r="H16" s="8">
        <v>3600</v>
      </c>
      <c r="I16" s="8">
        <f t="shared" si="1"/>
        <v>0</v>
      </c>
      <c r="J16" s="8"/>
      <c r="K16" s="8">
        <v>480</v>
      </c>
    </row>
    <row r="17" spans="1:11" x14ac:dyDescent="0.25">
      <c r="A17" s="8">
        <v>13</v>
      </c>
      <c r="B17" s="8" t="s">
        <v>38</v>
      </c>
      <c r="C17" s="8">
        <v>100</v>
      </c>
      <c r="D17" s="8"/>
      <c r="E17" s="8">
        <v>3500</v>
      </c>
      <c r="F17" s="8">
        <f>'JANUARY 20'!I17:I36</f>
        <v>0</v>
      </c>
      <c r="G17" s="8">
        <f t="shared" si="0"/>
        <v>3600</v>
      </c>
      <c r="H17" s="8">
        <v>3600</v>
      </c>
      <c r="I17" s="8">
        <f t="shared" si="1"/>
        <v>0</v>
      </c>
      <c r="J17" s="8"/>
      <c r="K17" s="8">
        <v>120</v>
      </c>
    </row>
    <row r="18" spans="1:11" x14ac:dyDescent="0.25">
      <c r="A18" s="8">
        <v>14</v>
      </c>
      <c r="B18" s="8" t="s">
        <v>34</v>
      </c>
      <c r="C18" s="8">
        <v>100</v>
      </c>
      <c r="D18" s="8"/>
      <c r="E18" s="8">
        <v>3500</v>
      </c>
      <c r="F18" s="8">
        <f>'JANUARY 20'!I18:I37</f>
        <v>0</v>
      </c>
      <c r="G18" s="8">
        <f t="shared" si="0"/>
        <v>3600</v>
      </c>
      <c r="H18" s="8">
        <v>3000</v>
      </c>
      <c r="I18" s="8">
        <f t="shared" si="1"/>
        <v>600</v>
      </c>
      <c r="J18" s="8"/>
      <c r="K18" s="8"/>
    </row>
    <row r="19" spans="1:11" x14ac:dyDescent="0.25">
      <c r="A19" s="8">
        <v>15</v>
      </c>
      <c r="B19" s="19" t="s">
        <v>73</v>
      </c>
      <c r="C19" s="8">
        <v>100</v>
      </c>
      <c r="D19" s="8"/>
      <c r="E19" s="8">
        <v>3500</v>
      </c>
      <c r="F19" s="8">
        <f>'JANUARY 20'!I19:I38</f>
        <v>0</v>
      </c>
      <c r="G19" s="8">
        <f t="shared" si="0"/>
        <v>3600</v>
      </c>
      <c r="H19" s="8">
        <v>3600</v>
      </c>
      <c r="I19" s="8">
        <f t="shared" si="1"/>
        <v>0</v>
      </c>
      <c r="J19" s="8"/>
      <c r="K19" s="8"/>
    </row>
    <row r="20" spans="1:11" x14ac:dyDescent="0.25">
      <c r="A20" s="8">
        <v>16</v>
      </c>
      <c r="B20" s="8" t="s">
        <v>41</v>
      </c>
      <c r="C20" s="8">
        <v>100</v>
      </c>
      <c r="D20" s="8"/>
      <c r="E20" s="8">
        <v>3500</v>
      </c>
      <c r="F20" s="8">
        <f>'JANUARY 20'!I20:I39</f>
        <v>3700</v>
      </c>
      <c r="G20" s="8">
        <f t="shared" si="0"/>
        <v>7300</v>
      </c>
      <c r="H20" s="8">
        <v>3600</v>
      </c>
      <c r="I20" s="8">
        <f t="shared" si="1"/>
        <v>3700</v>
      </c>
      <c r="J20" s="8"/>
      <c r="K20" s="8"/>
    </row>
    <row r="21" spans="1:11" x14ac:dyDescent="0.25">
      <c r="A21" s="8">
        <v>17</v>
      </c>
      <c r="B21" s="8" t="s">
        <v>42</v>
      </c>
      <c r="C21" s="8">
        <v>100</v>
      </c>
      <c r="D21" s="8"/>
      <c r="E21" s="8">
        <v>3500</v>
      </c>
      <c r="F21" s="8">
        <f>'JANUARY 20'!I21:I40</f>
        <v>0</v>
      </c>
      <c r="G21" s="8">
        <f t="shared" si="0"/>
        <v>3600</v>
      </c>
      <c r="H21" s="8">
        <v>3600</v>
      </c>
      <c r="I21" s="8">
        <f t="shared" si="1"/>
        <v>0</v>
      </c>
      <c r="J21" s="8"/>
      <c r="K21" s="8">
        <v>120</v>
      </c>
    </row>
    <row r="22" spans="1:11" x14ac:dyDescent="0.25">
      <c r="A22" s="8">
        <v>18</v>
      </c>
      <c r="B22" s="8"/>
      <c r="C22" s="8"/>
      <c r="D22" s="8"/>
      <c r="E22" s="8"/>
      <c r="F22" s="8">
        <f>'JANUARY 20'!I22:I41</f>
        <v>0</v>
      </c>
      <c r="G22" s="8">
        <f t="shared" si="0"/>
        <v>0</v>
      </c>
      <c r="H22" s="8"/>
      <c r="I22" s="8">
        <f t="shared" si="1"/>
        <v>0</v>
      </c>
      <c r="J22" s="8"/>
      <c r="K22" s="8"/>
    </row>
    <row r="23" spans="1:11" x14ac:dyDescent="0.25">
      <c r="A23" s="8">
        <v>19</v>
      </c>
      <c r="B23" s="8" t="s">
        <v>43</v>
      </c>
      <c r="C23" s="8">
        <v>100</v>
      </c>
      <c r="D23" s="8"/>
      <c r="E23" s="8">
        <v>3500</v>
      </c>
      <c r="F23" s="8">
        <f>'JANUARY 20'!I23:I42</f>
        <v>0</v>
      </c>
      <c r="G23" s="8">
        <f t="shared" si="0"/>
        <v>3600</v>
      </c>
      <c r="H23" s="8">
        <v>3600</v>
      </c>
      <c r="I23" s="8">
        <f t="shared" si="1"/>
        <v>0</v>
      </c>
      <c r="J23" s="8"/>
      <c r="K23" s="8"/>
    </row>
    <row r="24" spans="1:11" x14ac:dyDescent="0.25">
      <c r="A24" s="8">
        <v>20</v>
      </c>
      <c r="B24" s="8" t="s">
        <v>77</v>
      </c>
      <c r="C24" s="8">
        <v>100</v>
      </c>
      <c r="D24" s="8"/>
      <c r="E24" s="8">
        <v>3500</v>
      </c>
      <c r="F24" s="8">
        <f>'JANUARY 20'!I24:I43</f>
        <v>0</v>
      </c>
      <c r="G24" s="8">
        <f t="shared" si="0"/>
        <v>3600</v>
      </c>
      <c r="H24" s="8">
        <v>3600</v>
      </c>
      <c r="I24" s="8">
        <f t="shared" si="1"/>
        <v>0</v>
      </c>
      <c r="J24" s="8"/>
      <c r="K24" s="8">
        <v>200</v>
      </c>
    </row>
    <row r="25" spans="1:11" x14ac:dyDescent="0.25">
      <c r="A25" s="6"/>
      <c r="B25" s="9" t="s">
        <v>9</v>
      </c>
      <c r="C25" s="9">
        <f>SUM(C5:C24)</f>
        <v>1900</v>
      </c>
      <c r="D25" s="9">
        <f>SUM(D5:D24)</f>
        <v>0</v>
      </c>
      <c r="E25" s="6">
        <f>SUM(E5:E24)</f>
        <v>66500</v>
      </c>
      <c r="F25" s="8">
        <f>SUM(F5:F24)</f>
        <v>5530</v>
      </c>
      <c r="G25" s="8">
        <f>C25+D25+E25+F25</f>
        <v>73930</v>
      </c>
      <c r="H25" s="6">
        <f>SUM(H5:H24)</f>
        <v>67800</v>
      </c>
      <c r="I25" s="6">
        <f>SUM(I5:I24)</f>
        <v>6130</v>
      </c>
      <c r="J25" s="6">
        <f>SUM(J5:J24)</f>
        <v>0</v>
      </c>
      <c r="K25" s="6">
        <f>SUM(K5:K24)</f>
        <v>2360</v>
      </c>
    </row>
    <row r="26" spans="1:11" x14ac:dyDescent="0.25">
      <c r="A26" s="10"/>
      <c r="I26" s="24">
        <f>I25-I7-3600</f>
        <v>1130</v>
      </c>
    </row>
    <row r="27" spans="1:11" ht="18.75" x14ac:dyDescent="0.3">
      <c r="B27" s="11" t="s">
        <v>10</v>
      </c>
      <c r="C27" s="12"/>
      <c r="D27" s="12"/>
      <c r="E27" s="12"/>
      <c r="F27" s="12"/>
      <c r="G27" s="12"/>
      <c r="H27" s="13"/>
      <c r="I27" s="13"/>
    </row>
    <row r="28" spans="1:11" ht="15.75" x14ac:dyDescent="0.25">
      <c r="B28" s="14" t="s">
        <v>11</v>
      </c>
      <c r="C28" s="14" t="s">
        <v>12</v>
      </c>
      <c r="D28" s="14" t="s">
        <v>13</v>
      </c>
      <c r="E28" s="14" t="s">
        <v>14</v>
      </c>
      <c r="F28" s="14" t="s">
        <v>15</v>
      </c>
      <c r="G28" s="14" t="s">
        <v>12</v>
      </c>
      <c r="H28" s="14" t="s">
        <v>13</v>
      </c>
      <c r="I28" s="14" t="s">
        <v>14</v>
      </c>
    </row>
    <row r="29" spans="1:11" x14ac:dyDescent="0.25">
      <c r="B29" s="19" t="s">
        <v>83</v>
      </c>
      <c r="C29" s="16">
        <f>E25</f>
        <v>66500</v>
      </c>
      <c r="D29" s="17">
        <v>0.1</v>
      </c>
      <c r="E29" s="16"/>
      <c r="F29" s="20" t="s">
        <v>83</v>
      </c>
      <c r="G29" s="16">
        <f>H25</f>
        <v>67800</v>
      </c>
      <c r="H29" s="17">
        <v>0.1</v>
      </c>
      <c r="I29" s="19"/>
    </row>
    <row r="30" spans="1:11" x14ac:dyDescent="0.25">
      <c r="B30" s="19" t="s">
        <v>18</v>
      </c>
      <c r="C30" s="16">
        <f>'JANUARY 20'!E42</f>
        <v>-461</v>
      </c>
      <c r="D30" s="19"/>
      <c r="E30" s="19"/>
      <c r="F30" s="19" t="s">
        <v>18</v>
      </c>
      <c r="G30" s="16">
        <f>'JANUARY 20'!I42</f>
        <v>-991</v>
      </c>
      <c r="H30" s="19"/>
      <c r="I30" s="19"/>
    </row>
    <row r="31" spans="1:11" x14ac:dyDescent="0.25">
      <c r="B31" s="19" t="s">
        <v>45</v>
      </c>
      <c r="C31" s="16">
        <f>C25</f>
        <v>1900</v>
      </c>
      <c r="D31" s="19"/>
      <c r="E31" s="19"/>
      <c r="F31" s="19"/>
      <c r="G31" s="16"/>
      <c r="H31" s="16"/>
      <c r="I31" s="19"/>
    </row>
    <row r="32" spans="1:11" x14ac:dyDescent="0.25">
      <c r="B32" s="19" t="s">
        <v>53</v>
      </c>
      <c r="C32" s="16">
        <f>D25</f>
        <v>0</v>
      </c>
      <c r="D32" s="19"/>
      <c r="E32" s="19"/>
      <c r="F32" s="19"/>
      <c r="G32" s="16"/>
      <c r="H32" s="16"/>
      <c r="I32" s="19"/>
    </row>
    <row r="33" spans="2:9" x14ac:dyDescent="0.25">
      <c r="B33" s="19" t="s">
        <v>56</v>
      </c>
      <c r="C33" s="16">
        <f>J25</f>
        <v>0</v>
      </c>
      <c r="D33" s="19"/>
      <c r="E33" s="19"/>
      <c r="F33" s="19" t="s">
        <v>56</v>
      </c>
      <c r="G33" s="16">
        <f>C33</f>
        <v>0</v>
      </c>
      <c r="H33" s="16"/>
      <c r="I33" s="19"/>
    </row>
    <row r="34" spans="2:9" x14ac:dyDescent="0.25">
      <c r="B34" s="19" t="s">
        <v>55</v>
      </c>
      <c r="C34" s="16">
        <f>K25</f>
        <v>2360</v>
      </c>
      <c r="D34" s="19"/>
      <c r="E34" s="19"/>
      <c r="F34" s="19" t="s">
        <v>55</v>
      </c>
      <c r="G34" s="16">
        <f>C34</f>
        <v>2360</v>
      </c>
      <c r="H34" s="16"/>
      <c r="I34" s="19"/>
    </row>
    <row r="35" spans="2:9" x14ac:dyDescent="0.25">
      <c r="B35" s="19" t="s">
        <v>19</v>
      </c>
      <c r="C35" s="20"/>
      <c r="D35" s="19">
        <f>C29*D29</f>
        <v>6650</v>
      </c>
      <c r="E35" s="19"/>
      <c r="F35" s="19"/>
      <c r="G35" s="20"/>
      <c r="H35" s="19">
        <f>D35</f>
        <v>6650</v>
      </c>
      <c r="I35" s="19"/>
    </row>
    <row r="36" spans="2:9" x14ac:dyDescent="0.25">
      <c r="B36" s="21" t="s">
        <v>20</v>
      </c>
      <c r="C36" s="19"/>
      <c r="D36" s="19"/>
      <c r="E36" s="19"/>
      <c r="F36" s="21" t="s">
        <v>20</v>
      </c>
      <c r="G36" s="19"/>
      <c r="H36" s="19"/>
      <c r="I36" s="19"/>
    </row>
    <row r="37" spans="2:9" x14ac:dyDescent="0.25">
      <c r="B37" s="22" t="s">
        <v>85</v>
      </c>
      <c r="C37" s="19"/>
      <c r="D37" s="19">
        <v>63800</v>
      </c>
      <c r="E37" s="19"/>
      <c r="F37" s="22" t="s">
        <v>85</v>
      </c>
      <c r="G37" s="19"/>
      <c r="H37" s="19">
        <v>63800</v>
      </c>
      <c r="I37" s="19"/>
    </row>
    <row r="38" spans="2:9" x14ac:dyDescent="0.25">
      <c r="B38" s="8"/>
      <c r="C38" s="27"/>
      <c r="D38" s="8"/>
      <c r="E38" s="8"/>
      <c r="F38" s="8"/>
      <c r="G38" s="27"/>
      <c r="H38" s="8"/>
      <c r="I38" s="19"/>
    </row>
    <row r="39" spans="2:9" x14ac:dyDescent="0.25">
      <c r="B39" s="22"/>
      <c r="C39" s="19"/>
      <c r="D39" s="19"/>
      <c r="E39" s="19"/>
      <c r="F39" s="22"/>
      <c r="G39" s="19"/>
      <c r="H39" s="19"/>
      <c r="I39" s="19"/>
    </row>
    <row r="40" spans="2:9" x14ac:dyDescent="0.25">
      <c r="B40" s="22"/>
      <c r="C40" s="19"/>
      <c r="D40" s="19"/>
      <c r="E40" s="19"/>
      <c r="F40" s="22"/>
      <c r="G40" s="19"/>
      <c r="H40" s="19"/>
      <c r="I40" s="19"/>
    </row>
    <row r="41" spans="2:9" x14ac:dyDescent="0.25">
      <c r="B41" s="22"/>
      <c r="C41" s="16"/>
      <c r="D41" s="16"/>
      <c r="E41" s="16"/>
      <c r="F41" s="22"/>
      <c r="G41" s="19"/>
      <c r="H41" s="16"/>
      <c r="I41" s="19"/>
    </row>
    <row r="42" spans="2:9" x14ac:dyDescent="0.25">
      <c r="B42" s="15" t="s">
        <v>9</v>
      </c>
      <c r="C42" s="23">
        <f>C29+C30+C31+C32+C33+C34-D35</f>
        <v>63649</v>
      </c>
      <c r="D42" s="15">
        <f>SUM(D37:D41)</f>
        <v>63800</v>
      </c>
      <c r="E42" s="23">
        <f>C42-D42</f>
        <v>-151</v>
      </c>
      <c r="F42" s="18"/>
      <c r="G42" s="23">
        <f>G29+G30+G34+G31+G33-H35</f>
        <v>62519</v>
      </c>
      <c r="H42" s="23">
        <f>SUM(H37:H41)</f>
        <v>63800</v>
      </c>
      <c r="I42" s="23">
        <f>G42-H42</f>
        <v>-1281</v>
      </c>
    </row>
    <row r="45" spans="2:9" x14ac:dyDescent="0.25">
      <c r="B45" s="10" t="s">
        <v>21</v>
      </c>
      <c r="D45" s="10" t="s">
        <v>22</v>
      </c>
      <c r="F45" s="10"/>
      <c r="G45" s="10" t="s">
        <v>23</v>
      </c>
    </row>
    <row r="46" spans="2:9" x14ac:dyDescent="0.25">
      <c r="B46" t="s">
        <v>61</v>
      </c>
      <c r="D46" s="10" t="s">
        <v>25</v>
      </c>
      <c r="F46" s="10"/>
      <c r="G46" s="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JUNE </vt:lpstr>
      <vt:lpstr>JULY</vt:lpstr>
      <vt:lpstr>AUGUST</vt:lpstr>
      <vt:lpstr>SEPT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2021-12-15T14:48:31Z</dcterms:modified>
</cp:coreProperties>
</file>