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0" yWindow="975" windowWidth="17475" windowHeight="10920" firstSheet="8" activeTab="10"/>
  </bookViews>
  <sheets>
    <sheet name="FEBRUARY 21" sheetId="1" r:id="rId1"/>
    <sheet name="MARCH 21" sheetId="2" r:id="rId2"/>
    <sheet name="APRIL21" sheetId="3" r:id="rId3"/>
    <sheet name="MAY 21" sheetId="4" r:id="rId4"/>
    <sheet name="JUNE 21" sheetId="5" r:id="rId5"/>
    <sheet name="JULY 21" sheetId="6" r:id="rId6"/>
    <sheet name="AUGUST 21" sheetId="7" r:id="rId7"/>
    <sheet name="SEPTEMBER 21" sheetId="8" r:id="rId8"/>
    <sheet name="OCTOBER  21" sheetId="9" r:id="rId9"/>
    <sheet name="NOVEMBER 21" sheetId="10" r:id="rId10"/>
    <sheet name="DECEMBER 21" sheetId="11" r:id="rId11"/>
  </sheets>
  <externalReferences>
    <externalReference r:id="rId12"/>
    <externalReference r:id="rId13"/>
  </externalReferences>
  <calcPr calcId="162913"/>
  <fileRecoveryPr repairLoad="1"/>
</workbook>
</file>

<file path=xl/calcChain.xml><?xml version="1.0" encoding="utf-8"?>
<calcChain xmlns="http://schemas.openxmlformats.org/spreadsheetml/2006/main">
  <c r="G9" i="10" l="1"/>
  <c r="G33" i="10"/>
  <c r="G31" i="10" l="1"/>
  <c r="G58" i="11" l="1"/>
  <c r="C58" i="11"/>
  <c r="F47" i="11"/>
  <c r="B47" i="11"/>
  <c r="S38" i="11"/>
  <c r="S45" i="11" s="1"/>
  <c r="O38" i="11"/>
  <c r="O45" i="11" s="1"/>
  <c r="D38" i="11"/>
  <c r="E37" i="11"/>
  <c r="B45" i="11" s="1"/>
  <c r="C37" i="11"/>
  <c r="B48" i="11" s="1"/>
  <c r="R33" i="11"/>
  <c r="N33" i="11"/>
  <c r="S25" i="11"/>
  <c r="R31" i="11" s="1"/>
  <c r="Q25" i="11"/>
  <c r="N31" i="11" s="1"/>
  <c r="G37" i="11"/>
  <c r="F45" i="11" s="1"/>
  <c r="S35" i="11" l="1"/>
  <c r="O35" i="11"/>
  <c r="G49" i="11"/>
  <c r="C49" i="11"/>
  <c r="G12" i="10"/>
  <c r="O39" i="7" l="1"/>
  <c r="O38" i="9"/>
  <c r="S38" i="9" s="1"/>
  <c r="S38" i="10"/>
  <c r="O38" i="10"/>
  <c r="G58" i="10" l="1"/>
  <c r="G35" i="10"/>
  <c r="G36" i="10"/>
  <c r="G23" i="10" l="1"/>
  <c r="G15" i="10" l="1"/>
  <c r="G37" i="10" s="1"/>
  <c r="G27" i="9" l="1"/>
  <c r="C58" i="10" l="1"/>
  <c r="F47" i="10"/>
  <c r="B47" i="10"/>
  <c r="S45" i="10"/>
  <c r="O45" i="10"/>
  <c r="D38" i="10"/>
  <c r="E37" i="10"/>
  <c r="B45" i="10" s="1"/>
  <c r="C49" i="10" s="1"/>
  <c r="C37" i="10"/>
  <c r="B48" i="10" s="1"/>
  <c r="R33" i="10"/>
  <c r="N33" i="10"/>
  <c r="S25" i="10"/>
  <c r="R31" i="10" s="1"/>
  <c r="Q25" i="10"/>
  <c r="N31" i="10" s="1"/>
  <c r="S35" i="10" l="1"/>
  <c r="O35" i="10"/>
  <c r="G49" i="10"/>
  <c r="G35" i="9"/>
  <c r="G19" i="9" l="1"/>
  <c r="G15" i="9"/>
  <c r="G32" i="9"/>
  <c r="I57" i="7" l="1"/>
  <c r="G12" i="8" l="1"/>
  <c r="D38" i="9" l="1"/>
  <c r="G58" i="9"/>
  <c r="C58" i="9"/>
  <c r="F47" i="9"/>
  <c r="B47" i="9"/>
  <c r="S45" i="9"/>
  <c r="O45" i="9"/>
  <c r="E37" i="9"/>
  <c r="B45" i="9" s="1"/>
  <c r="C37" i="9"/>
  <c r="B48" i="9" s="1"/>
  <c r="R33" i="9"/>
  <c r="N33" i="9"/>
  <c r="Q25" i="9"/>
  <c r="N31" i="9" s="1"/>
  <c r="G37" i="9"/>
  <c r="F45" i="9" s="1"/>
  <c r="S25" i="9"/>
  <c r="R31" i="9" s="1"/>
  <c r="S35" i="9" l="1"/>
  <c r="O35" i="9"/>
  <c r="C49" i="9"/>
  <c r="G49" i="9"/>
  <c r="G27" i="8"/>
  <c r="G35" i="8" l="1"/>
  <c r="S38" i="8" l="1"/>
  <c r="O38" i="8"/>
  <c r="G15" i="7" l="1"/>
  <c r="G17" i="8" l="1"/>
  <c r="G8" i="8" l="1"/>
  <c r="G18" i="8" l="1"/>
  <c r="S5" i="8" l="1"/>
  <c r="S6" i="8"/>
  <c r="G9" i="7" l="1"/>
  <c r="G11" i="7"/>
  <c r="G26" i="7"/>
  <c r="G36" i="7" l="1"/>
  <c r="G58" i="8"/>
  <c r="C58" i="8"/>
  <c r="F47" i="8"/>
  <c r="B47" i="8"/>
  <c r="S45" i="8"/>
  <c r="O45" i="8"/>
  <c r="D38" i="8"/>
  <c r="G37" i="8"/>
  <c r="F45" i="8" s="1"/>
  <c r="E37" i="8"/>
  <c r="B45" i="8" s="1"/>
  <c r="C49" i="8" s="1"/>
  <c r="C37" i="8"/>
  <c r="B48" i="8" s="1"/>
  <c r="R33" i="8"/>
  <c r="N33" i="8"/>
  <c r="U25" i="8"/>
  <c r="S25" i="8"/>
  <c r="R31" i="8" s="1"/>
  <c r="Q25" i="8"/>
  <c r="N31" i="8" s="1"/>
  <c r="O35" i="8" s="1"/>
  <c r="S35" i="8" l="1"/>
  <c r="G49" i="8"/>
  <c r="G33" i="7"/>
  <c r="G27" i="7"/>
  <c r="P63" i="2" l="1"/>
  <c r="N53" i="2"/>
  <c r="M63" i="2"/>
  <c r="J63" i="2"/>
  <c r="K63" i="2" s="1"/>
  <c r="N56" i="7" l="1"/>
  <c r="M60" i="7" s="1"/>
  <c r="M57" i="7"/>
  <c r="S6" i="7" l="1"/>
  <c r="S5" i="7"/>
  <c r="G14" i="7" l="1"/>
  <c r="G35" i="7"/>
  <c r="S39" i="7" l="1"/>
  <c r="S46" i="6"/>
  <c r="O46" i="6"/>
  <c r="S21" i="6"/>
  <c r="G18" i="7" l="1"/>
  <c r="G32" i="7" l="1"/>
  <c r="G24" i="7" l="1"/>
  <c r="S11" i="7" l="1"/>
  <c r="G21" i="7" l="1"/>
  <c r="S20" i="6" l="1"/>
  <c r="G58" i="7"/>
  <c r="C58" i="7"/>
  <c r="F47" i="7"/>
  <c r="B47" i="7"/>
  <c r="S45" i="7"/>
  <c r="O45" i="7"/>
  <c r="D38" i="7"/>
  <c r="E37" i="7"/>
  <c r="B45" i="7" s="1"/>
  <c r="C37" i="7"/>
  <c r="B48" i="7" s="1"/>
  <c r="R33" i="7"/>
  <c r="N33" i="7"/>
  <c r="U25" i="7"/>
  <c r="S25" i="7"/>
  <c r="R31" i="7" s="1"/>
  <c r="Q25" i="7"/>
  <c r="N31" i="7" s="1"/>
  <c r="R23" i="7"/>
  <c r="T23" i="7" s="1"/>
  <c r="P23" i="8" s="1"/>
  <c r="R23" i="8" s="1"/>
  <c r="T23" i="8" s="1"/>
  <c r="P23" i="9" s="1"/>
  <c r="R23" i="9" s="1"/>
  <c r="T23" i="9" s="1"/>
  <c r="P23" i="10" s="1"/>
  <c r="R23" i="10" s="1"/>
  <c r="T23" i="10" s="1"/>
  <c r="P23" i="11" s="1"/>
  <c r="R23" i="11" s="1"/>
  <c r="T23" i="11" s="1"/>
  <c r="R12" i="7"/>
  <c r="T12" i="7" s="1"/>
  <c r="P12" i="8" s="1"/>
  <c r="R12" i="8" s="1"/>
  <c r="T12" i="8" s="1"/>
  <c r="P12" i="9" s="1"/>
  <c r="R12" i="9" s="1"/>
  <c r="T12" i="9" s="1"/>
  <c r="P12" i="10" s="1"/>
  <c r="R12" i="10" s="1"/>
  <c r="T12" i="10" s="1"/>
  <c r="P12" i="11" s="1"/>
  <c r="R12" i="11" s="1"/>
  <c r="T12" i="11" s="1"/>
  <c r="G37" i="7"/>
  <c r="F45" i="7" s="1"/>
  <c r="G27" i="6"/>
  <c r="S35" i="7" l="1"/>
  <c r="O35" i="7"/>
  <c r="C49" i="7"/>
  <c r="G49" i="7"/>
  <c r="G10" i="6" l="1"/>
  <c r="M55" i="6"/>
  <c r="G26" i="6"/>
  <c r="G25" i="6"/>
  <c r="G12" i="6"/>
  <c r="G36" i="6" l="1"/>
  <c r="G35" i="6" l="1"/>
  <c r="G29" i="6" l="1"/>
  <c r="G23" i="6" l="1"/>
  <c r="G24" i="6" l="1"/>
  <c r="G9" i="6"/>
  <c r="G15" i="6" l="1"/>
  <c r="G17" i="6" l="1"/>
  <c r="G18" i="6" l="1"/>
  <c r="G11" i="6" l="1"/>
  <c r="G29" i="5" l="1"/>
  <c r="G60" i="6" l="1"/>
  <c r="C60" i="6"/>
  <c r="F49" i="6"/>
  <c r="B49" i="6"/>
  <c r="S47" i="6"/>
  <c r="O47" i="6"/>
  <c r="D38" i="6"/>
  <c r="E37" i="6"/>
  <c r="B47" i="6" s="1"/>
  <c r="C37" i="6"/>
  <c r="B50" i="6" s="1"/>
  <c r="R33" i="6"/>
  <c r="N33" i="6"/>
  <c r="F32" i="6"/>
  <c r="H32" i="6" s="1"/>
  <c r="D32" i="7" s="1"/>
  <c r="F32" i="7" s="1"/>
  <c r="H32" i="7" s="1"/>
  <c r="D32" i="8" s="1"/>
  <c r="F32" i="8" s="1"/>
  <c r="H32" i="8" s="1"/>
  <c r="D32" i="9" s="1"/>
  <c r="F32" i="9" s="1"/>
  <c r="H32" i="9" s="1"/>
  <c r="D32" i="10" s="1"/>
  <c r="F32" i="10" s="1"/>
  <c r="H32" i="10" s="1"/>
  <c r="D32" i="11" s="1"/>
  <c r="F32" i="11" s="1"/>
  <c r="H32" i="11" s="1"/>
  <c r="U25" i="6"/>
  <c r="Q25" i="6"/>
  <c r="N31" i="6" s="1"/>
  <c r="R18" i="6"/>
  <c r="T18" i="6" s="1"/>
  <c r="P18" i="7" s="1"/>
  <c r="R18" i="7" s="1"/>
  <c r="T18" i="7" s="1"/>
  <c r="P18" i="8" s="1"/>
  <c r="R18" i="8" s="1"/>
  <c r="T18" i="8" s="1"/>
  <c r="P18" i="9" s="1"/>
  <c r="R18" i="9" s="1"/>
  <c r="T18" i="9" s="1"/>
  <c r="P18" i="10" s="1"/>
  <c r="R18" i="10" s="1"/>
  <c r="T18" i="10" s="1"/>
  <c r="P18" i="11" s="1"/>
  <c r="R18" i="11" s="1"/>
  <c r="T18" i="11" s="1"/>
  <c r="R14" i="6"/>
  <c r="T14" i="6" s="1"/>
  <c r="P14" i="7" s="1"/>
  <c r="S25" i="6"/>
  <c r="R31" i="6" s="1"/>
  <c r="G37" i="6"/>
  <c r="F47" i="6" s="1"/>
  <c r="R14" i="7" l="1"/>
  <c r="G51" i="6"/>
  <c r="C51" i="6"/>
  <c r="S35" i="6"/>
  <c r="O35" i="6"/>
  <c r="G33" i="5"/>
  <c r="T14" i="7" l="1"/>
  <c r="P14" i="8" s="1"/>
  <c r="R14" i="8" s="1"/>
  <c r="T14" i="8" s="1"/>
  <c r="P14" i="9" s="1"/>
  <c r="R14" i="9" s="1"/>
  <c r="T14" i="9" s="1"/>
  <c r="P14" i="10" s="1"/>
  <c r="R14" i="10" s="1"/>
  <c r="T14" i="10" s="1"/>
  <c r="P14" i="11" s="1"/>
  <c r="R14" i="11" s="1"/>
  <c r="T14" i="11" s="1"/>
  <c r="S40" i="5"/>
  <c r="O40" i="5"/>
  <c r="G20" i="5" l="1"/>
  <c r="G23" i="5"/>
  <c r="G24" i="5"/>
  <c r="G12" i="5"/>
  <c r="G26" i="5" l="1"/>
  <c r="G27" i="5" l="1"/>
  <c r="G10" i="5" l="1"/>
  <c r="G14" i="5" l="1"/>
  <c r="G8" i="5" l="1"/>
  <c r="G35" i="5" l="1"/>
  <c r="G18" i="5" l="1"/>
  <c r="G36" i="5" l="1"/>
  <c r="G17" i="5" l="1"/>
  <c r="S10" i="5" l="1"/>
  <c r="S19" i="5"/>
  <c r="S14" i="5" l="1"/>
  <c r="S16" i="4" l="1"/>
  <c r="G31" i="4" l="1"/>
  <c r="G57" i="5" l="1"/>
  <c r="C57" i="5"/>
  <c r="F46" i="5"/>
  <c r="B46" i="5"/>
  <c r="S44" i="5"/>
  <c r="O44" i="5"/>
  <c r="D38" i="5"/>
  <c r="E37" i="5"/>
  <c r="B44" i="5" s="1"/>
  <c r="C37" i="5"/>
  <c r="R33" i="5"/>
  <c r="N33" i="5"/>
  <c r="U25" i="5"/>
  <c r="Q25" i="5"/>
  <c r="N31" i="5" s="1"/>
  <c r="S25" i="5"/>
  <c r="R31" i="5" s="1"/>
  <c r="G37" i="5"/>
  <c r="F44" i="5" s="1"/>
  <c r="S35" i="5" l="1"/>
  <c r="O35" i="5"/>
  <c r="G48" i="5"/>
  <c r="C48" i="5"/>
  <c r="G12" i="4"/>
  <c r="G24" i="4" l="1"/>
  <c r="G10" i="4" l="1"/>
  <c r="G11" i="4"/>
  <c r="G33" i="4"/>
  <c r="G15" i="2" l="1"/>
  <c r="G17" i="4" l="1"/>
  <c r="G15" i="4"/>
  <c r="G23" i="4"/>
  <c r="G36" i="4" l="1"/>
  <c r="G35" i="4"/>
  <c r="G29" i="4" l="1"/>
  <c r="S14" i="4" l="1"/>
  <c r="G34" i="4" l="1"/>
  <c r="G21" i="4" l="1"/>
  <c r="G18" i="4" l="1"/>
  <c r="G27" i="4" l="1"/>
  <c r="G57" i="4" l="1"/>
  <c r="C57" i="4"/>
  <c r="F46" i="4"/>
  <c r="B46" i="4"/>
  <c r="D38" i="4"/>
  <c r="E37" i="4"/>
  <c r="B44" i="4" s="1"/>
  <c r="C37" i="4"/>
  <c r="R33" i="4"/>
  <c r="N33" i="4"/>
  <c r="U25" i="4"/>
  <c r="Q25" i="4"/>
  <c r="N31" i="4" s="1"/>
  <c r="S25" i="4"/>
  <c r="G37" i="4"/>
  <c r="F44" i="4" l="1"/>
  <c r="R31" i="4"/>
  <c r="S35" i="4"/>
  <c r="O35" i="4"/>
  <c r="G48" i="4"/>
  <c r="C48" i="4"/>
  <c r="G35" i="2"/>
  <c r="G8" i="3"/>
  <c r="G11" i="3"/>
  <c r="G31" i="3"/>
  <c r="G10" i="2" l="1"/>
  <c r="G53" i="2"/>
  <c r="C53" i="2"/>
  <c r="G29" i="2"/>
  <c r="G36" i="3"/>
  <c r="G17" i="3" l="1"/>
  <c r="G26" i="3" l="1"/>
  <c r="G14" i="3"/>
  <c r="G27" i="3" l="1"/>
  <c r="G35" i="3"/>
  <c r="G15" i="3" l="1"/>
  <c r="G26" i="2" l="1"/>
  <c r="G10" i="3" l="1"/>
  <c r="S14" i="3" l="1"/>
  <c r="Q25" i="3" l="1"/>
  <c r="N31" i="3" s="1"/>
  <c r="S35" i="3" s="1"/>
  <c r="S25" i="3"/>
  <c r="U25" i="3"/>
  <c r="S44" i="3"/>
  <c r="O44" i="3"/>
  <c r="R33" i="3"/>
  <c r="N33" i="3"/>
  <c r="R32" i="3"/>
  <c r="N32" i="3"/>
  <c r="P25" i="3"/>
  <c r="P24" i="3"/>
  <c r="R24" i="3" s="1"/>
  <c r="T24" i="3" s="1"/>
  <c r="P24" i="4" s="1"/>
  <c r="R24" i="4" s="1"/>
  <c r="T24" i="4" s="1"/>
  <c r="P24" i="5" s="1"/>
  <c r="R24" i="5" s="1"/>
  <c r="T24" i="5" s="1"/>
  <c r="P24" i="6" s="1"/>
  <c r="R24" i="6" s="1"/>
  <c r="T24" i="6" s="1"/>
  <c r="P24" i="7" s="1"/>
  <c r="R24" i="7" s="1"/>
  <c r="T24" i="7" s="1"/>
  <c r="P24" i="8" s="1"/>
  <c r="R24" i="8" s="1"/>
  <c r="T24" i="8" s="1"/>
  <c r="P24" i="9" s="1"/>
  <c r="R24" i="9" s="1"/>
  <c r="T24" i="9" s="1"/>
  <c r="P24" i="10" s="1"/>
  <c r="R24" i="10" s="1"/>
  <c r="T24" i="10" s="1"/>
  <c r="P24" i="11" s="1"/>
  <c r="R24" i="11" s="1"/>
  <c r="T24" i="11" s="1"/>
  <c r="P23" i="3"/>
  <c r="R23" i="3" s="1"/>
  <c r="T23" i="3" s="1"/>
  <c r="P23" i="4" s="1"/>
  <c r="R23" i="4" s="1"/>
  <c r="T23" i="4" s="1"/>
  <c r="P23" i="5" s="1"/>
  <c r="R23" i="5" s="1"/>
  <c r="T23" i="5" s="1"/>
  <c r="P23" i="6" s="1"/>
  <c r="R23" i="6" s="1"/>
  <c r="P22" i="3"/>
  <c r="R22" i="3" s="1"/>
  <c r="T22" i="3" s="1"/>
  <c r="P22" i="4" s="1"/>
  <c r="R22" i="4" s="1"/>
  <c r="T22" i="4" s="1"/>
  <c r="P22" i="5" s="1"/>
  <c r="R22" i="5" s="1"/>
  <c r="T22" i="5" s="1"/>
  <c r="P22" i="6" s="1"/>
  <c r="R22" i="6" s="1"/>
  <c r="T22" i="6" s="1"/>
  <c r="P22" i="7" s="1"/>
  <c r="R22" i="7" s="1"/>
  <c r="T22" i="7" s="1"/>
  <c r="P22" i="8" s="1"/>
  <c r="R22" i="8" s="1"/>
  <c r="T22" i="8" s="1"/>
  <c r="P22" i="9" s="1"/>
  <c r="R22" i="9" s="1"/>
  <c r="T22" i="9" s="1"/>
  <c r="P22" i="10" s="1"/>
  <c r="R22" i="10" s="1"/>
  <c r="T22" i="10" s="1"/>
  <c r="P22" i="11" s="1"/>
  <c r="R22" i="11" s="1"/>
  <c r="T22" i="11" s="1"/>
  <c r="P21" i="3"/>
  <c r="R21" i="3" s="1"/>
  <c r="T21" i="3" s="1"/>
  <c r="P21" i="4" s="1"/>
  <c r="R21" i="4" s="1"/>
  <c r="T21" i="4" s="1"/>
  <c r="P21" i="5" s="1"/>
  <c r="R21" i="5" s="1"/>
  <c r="T21" i="5" s="1"/>
  <c r="P21" i="6" s="1"/>
  <c r="R21" i="6" s="1"/>
  <c r="T21" i="6" s="1"/>
  <c r="P21" i="7" s="1"/>
  <c r="R21" i="7" s="1"/>
  <c r="T21" i="7" s="1"/>
  <c r="P21" i="8" s="1"/>
  <c r="R21" i="8" s="1"/>
  <c r="T21" i="8" s="1"/>
  <c r="P21" i="9" s="1"/>
  <c r="R21" i="9" s="1"/>
  <c r="T21" i="9" s="1"/>
  <c r="P21" i="10" s="1"/>
  <c r="R21" i="10" s="1"/>
  <c r="T21" i="10" s="1"/>
  <c r="P21" i="11" s="1"/>
  <c r="R21" i="11" s="1"/>
  <c r="T21" i="11" s="1"/>
  <c r="P20" i="3"/>
  <c r="R20" i="3" s="1"/>
  <c r="T20" i="3" s="1"/>
  <c r="P20" i="4" s="1"/>
  <c r="R20" i="4" s="1"/>
  <c r="T20" i="4" s="1"/>
  <c r="P20" i="5" s="1"/>
  <c r="R20" i="5" s="1"/>
  <c r="T20" i="5" s="1"/>
  <c r="P20" i="6" s="1"/>
  <c r="R20" i="6" s="1"/>
  <c r="T20" i="6" s="1"/>
  <c r="P20" i="7" s="1"/>
  <c r="R20" i="7" s="1"/>
  <c r="T20" i="7" s="1"/>
  <c r="P20" i="8" s="1"/>
  <c r="R20" i="8" s="1"/>
  <c r="T20" i="8" s="1"/>
  <c r="P20" i="9" s="1"/>
  <c r="R20" i="9" s="1"/>
  <c r="T20" i="9" s="1"/>
  <c r="P20" i="10" s="1"/>
  <c r="R20" i="10" s="1"/>
  <c r="T20" i="10" s="1"/>
  <c r="P20" i="11" s="1"/>
  <c r="R20" i="11" s="1"/>
  <c r="T20" i="11" s="1"/>
  <c r="P19" i="3"/>
  <c r="R19" i="3" s="1"/>
  <c r="T19" i="3" s="1"/>
  <c r="P19" i="4" s="1"/>
  <c r="R19" i="4" s="1"/>
  <c r="T19" i="4" s="1"/>
  <c r="P19" i="5" s="1"/>
  <c r="R19" i="5" s="1"/>
  <c r="T19" i="5" s="1"/>
  <c r="P19" i="6" s="1"/>
  <c r="R19" i="6" s="1"/>
  <c r="T19" i="6" s="1"/>
  <c r="P19" i="7" s="1"/>
  <c r="R19" i="7" s="1"/>
  <c r="T19" i="7" s="1"/>
  <c r="P19" i="8" s="1"/>
  <c r="R19" i="8" s="1"/>
  <c r="T19" i="8" s="1"/>
  <c r="P19" i="9" s="1"/>
  <c r="R19" i="9" s="1"/>
  <c r="T19" i="9" s="1"/>
  <c r="P19" i="10" s="1"/>
  <c r="R19" i="10" s="1"/>
  <c r="T19" i="10" s="1"/>
  <c r="P19" i="11" s="1"/>
  <c r="R19" i="11" s="1"/>
  <c r="T19" i="11" s="1"/>
  <c r="P18" i="3"/>
  <c r="R18" i="3" s="1"/>
  <c r="T18" i="3" s="1"/>
  <c r="P18" i="4" s="1"/>
  <c r="R18" i="4" s="1"/>
  <c r="T18" i="4" s="1"/>
  <c r="P18" i="5" s="1"/>
  <c r="R18" i="5" s="1"/>
  <c r="T18" i="5" s="1"/>
  <c r="P17" i="3"/>
  <c r="R17" i="3" s="1"/>
  <c r="T17" i="3" s="1"/>
  <c r="P17" i="4" s="1"/>
  <c r="R17" i="4" s="1"/>
  <c r="T17" i="4" s="1"/>
  <c r="P17" i="5" s="1"/>
  <c r="R17" i="5" s="1"/>
  <c r="T17" i="5" s="1"/>
  <c r="P17" i="6" s="1"/>
  <c r="R17" i="6" s="1"/>
  <c r="T17" i="6" s="1"/>
  <c r="P17" i="7" s="1"/>
  <c r="R17" i="7" s="1"/>
  <c r="T17" i="7" s="1"/>
  <c r="P17" i="8" s="1"/>
  <c r="R17" i="8" s="1"/>
  <c r="T17" i="8" s="1"/>
  <c r="P17" i="9" s="1"/>
  <c r="R17" i="9" s="1"/>
  <c r="T17" i="9" s="1"/>
  <c r="P17" i="10" s="1"/>
  <c r="R17" i="10" s="1"/>
  <c r="T17" i="10" s="1"/>
  <c r="P17" i="11" s="1"/>
  <c r="R17" i="11" s="1"/>
  <c r="T17" i="11" s="1"/>
  <c r="P16" i="3"/>
  <c r="R16" i="3" s="1"/>
  <c r="T16" i="3" s="1"/>
  <c r="P16" i="4" s="1"/>
  <c r="R16" i="4" s="1"/>
  <c r="T16" i="4" s="1"/>
  <c r="P15" i="3"/>
  <c r="R15" i="3" s="1"/>
  <c r="T15" i="3" s="1"/>
  <c r="P15" i="4" s="1"/>
  <c r="R15" i="4" s="1"/>
  <c r="T15" i="4" s="1"/>
  <c r="P15" i="5" s="1"/>
  <c r="R15" i="5" s="1"/>
  <c r="T15" i="5" s="1"/>
  <c r="P15" i="6" s="1"/>
  <c r="R15" i="6" s="1"/>
  <c r="T15" i="6" s="1"/>
  <c r="P15" i="7" s="1"/>
  <c r="R15" i="7" s="1"/>
  <c r="T15" i="7" s="1"/>
  <c r="P15" i="8" s="1"/>
  <c r="R15" i="8" s="1"/>
  <c r="T15" i="8" s="1"/>
  <c r="P15" i="9" s="1"/>
  <c r="R15" i="9" s="1"/>
  <c r="T15" i="9" s="1"/>
  <c r="P15" i="10" s="1"/>
  <c r="R15" i="10" s="1"/>
  <c r="T15" i="10" s="1"/>
  <c r="P15" i="11" s="1"/>
  <c r="R15" i="11" s="1"/>
  <c r="T15" i="11" s="1"/>
  <c r="P14" i="3"/>
  <c r="R14" i="3" s="1"/>
  <c r="P13" i="3"/>
  <c r="R13" i="3" s="1"/>
  <c r="T13" i="3" s="1"/>
  <c r="P13" i="4" s="1"/>
  <c r="R13" i="4" s="1"/>
  <c r="T13" i="4" s="1"/>
  <c r="P13" i="5" s="1"/>
  <c r="R13" i="5" s="1"/>
  <c r="T13" i="5" s="1"/>
  <c r="P13" i="6" s="1"/>
  <c r="R13" i="6" s="1"/>
  <c r="T13" i="6" s="1"/>
  <c r="P13" i="7" s="1"/>
  <c r="R13" i="7" s="1"/>
  <c r="T13" i="7" s="1"/>
  <c r="P12" i="3"/>
  <c r="R12" i="3" s="1"/>
  <c r="T12" i="3" s="1"/>
  <c r="P12" i="4" s="1"/>
  <c r="R12" i="4" s="1"/>
  <c r="T12" i="4" s="1"/>
  <c r="P12" i="5" s="1"/>
  <c r="R12" i="5" s="1"/>
  <c r="T12" i="5" s="1"/>
  <c r="P12" i="6" s="1"/>
  <c r="R12" i="6" s="1"/>
  <c r="P11" i="3"/>
  <c r="R11" i="3" s="1"/>
  <c r="T11" i="3" s="1"/>
  <c r="P11" i="4" s="1"/>
  <c r="P10" i="3"/>
  <c r="R10" i="3" s="1"/>
  <c r="T10" i="3" s="1"/>
  <c r="P10" i="4" s="1"/>
  <c r="R10" i="4" s="1"/>
  <c r="T10" i="4" s="1"/>
  <c r="P10" i="5" s="1"/>
  <c r="R10" i="5" s="1"/>
  <c r="T10" i="5" s="1"/>
  <c r="P10" i="6" s="1"/>
  <c r="R10" i="6" s="1"/>
  <c r="T10" i="6" s="1"/>
  <c r="P10" i="7" s="1"/>
  <c r="R10" i="7" s="1"/>
  <c r="T10" i="7" s="1"/>
  <c r="P10" i="8" s="1"/>
  <c r="R10" i="8" s="1"/>
  <c r="T10" i="8" s="1"/>
  <c r="P10" i="9" s="1"/>
  <c r="R10" i="9" s="1"/>
  <c r="T10" i="9" s="1"/>
  <c r="P10" i="10" s="1"/>
  <c r="R10" i="10" s="1"/>
  <c r="T10" i="10" s="1"/>
  <c r="P10" i="11" s="1"/>
  <c r="R10" i="11" s="1"/>
  <c r="T10" i="11" s="1"/>
  <c r="P9" i="3"/>
  <c r="R9" i="3" s="1"/>
  <c r="T9" i="3" s="1"/>
  <c r="P9" i="4" s="1"/>
  <c r="R9" i="4" s="1"/>
  <c r="T9" i="4" s="1"/>
  <c r="P9" i="5" s="1"/>
  <c r="R9" i="5" s="1"/>
  <c r="T9" i="5" s="1"/>
  <c r="P9" i="6" s="1"/>
  <c r="R9" i="6" s="1"/>
  <c r="T9" i="6" s="1"/>
  <c r="P9" i="7" s="1"/>
  <c r="R9" i="7" s="1"/>
  <c r="T9" i="7" s="1"/>
  <c r="P9" i="8" s="1"/>
  <c r="R9" i="8" s="1"/>
  <c r="T9" i="8" s="1"/>
  <c r="P9" i="9" s="1"/>
  <c r="R9" i="9" s="1"/>
  <c r="T9" i="9" s="1"/>
  <c r="P9" i="10" s="1"/>
  <c r="R9" i="10" s="1"/>
  <c r="T9" i="10" s="1"/>
  <c r="P9" i="11" s="1"/>
  <c r="R9" i="11" s="1"/>
  <c r="T9" i="11" s="1"/>
  <c r="P8" i="3"/>
  <c r="R8" i="3" s="1"/>
  <c r="T8" i="3" s="1"/>
  <c r="P8" i="4" s="1"/>
  <c r="R8" i="4" s="1"/>
  <c r="T8" i="4" s="1"/>
  <c r="P8" i="5" s="1"/>
  <c r="R8" i="5" s="1"/>
  <c r="T8" i="5" s="1"/>
  <c r="P8" i="6" s="1"/>
  <c r="R8" i="6" s="1"/>
  <c r="T8" i="6" s="1"/>
  <c r="P8" i="7" s="1"/>
  <c r="R8" i="7" s="1"/>
  <c r="T8" i="7" s="1"/>
  <c r="P8" i="8" s="1"/>
  <c r="R8" i="8" s="1"/>
  <c r="T8" i="8" s="1"/>
  <c r="P8" i="9" s="1"/>
  <c r="R8" i="9" s="1"/>
  <c r="T8" i="9" s="1"/>
  <c r="P8" i="10" s="1"/>
  <c r="R8" i="10" s="1"/>
  <c r="T8" i="10" s="1"/>
  <c r="P8" i="11" s="1"/>
  <c r="R8" i="11" s="1"/>
  <c r="T8" i="11" s="1"/>
  <c r="P7" i="3"/>
  <c r="R7" i="3" s="1"/>
  <c r="T7" i="3" s="1"/>
  <c r="P7" i="4" s="1"/>
  <c r="R7" i="4" s="1"/>
  <c r="T7" i="4" s="1"/>
  <c r="R7" i="5" s="1"/>
  <c r="T7" i="5" s="1"/>
  <c r="P7" i="6" s="1"/>
  <c r="R7" i="6" s="1"/>
  <c r="T7" i="6" s="1"/>
  <c r="P7" i="7" s="1"/>
  <c r="R7" i="7" s="1"/>
  <c r="T7" i="7" s="1"/>
  <c r="P7" i="8" s="1"/>
  <c r="R7" i="8" s="1"/>
  <c r="T7" i="8" s="1"/>
  <c r="P7" i="9" s="1"/>
  <c r="R7" i="9" s="1"/>
  <c r="T7" i="9" s="1"/>
  <c r="P7" i="10" s="1"/>
  <c r="R7" i="10" s="1"/>
  <c r="T7" i="10" s="1"/>
  <c r="P7" i="11" s="1"/>
  <c r="R7" i="11" s="1"/>
  <c r="T7" i="11" s="1"/>
  <c r="P6" i="3"/>
  <c r="R6" i="3" s="1"/>
  <c r="T6" i="3" s="1"/>
  <c r="P6" i="4" s="1"/>
  <c r="R6" i="4" s="1"/>
  <c r="T6" i="4" s="1"/>
  <c r="P6" i="5" s="1"/>
  <c r="P5" i="3"/>
  <c r="R5" i="3" s="1"/>
  <c r="T5" i="3" s="1"/>
  <c r="P5" i="4" s="1"/>
  <c r="R5" i="4" s="1"/>
  <c r="P16" i="5" l="1"/>
  <c r="R16" i="5" s="1"/>
  <c r="T16" i="5" s="1"/>
  <c r="P16" i="6" s="1"/>
  <c r="R16" i="6" s="1"/>
  <c r="T16" i="6" s="1"/>
  <c r="P16" i="7" s="1"/>
  <c r="R16" i="7" s="1"/>
  <c r="T16" i="7" s="1"/>
  <c r="P16" i="8" s="1"/>
  <c r="R16" i="8" s="1"/>
  <c r="T16" i="8" s="1"/>
  <c r="P16" i="9" s="1"/>
  <c r="R16" i="9" s="1"/>
  <c r="T16" i="9" s="1"/>
  <c r="P16" i="10" s="1"/>
  <c r="R16" i="10" s="1"/>
  <c r="T16" i="10" s="1"/>
  <c r="P16" i="11" s="1"/>
  <c r="R16" i="11" s="1"/>
  <c r="T16" i="11" s="1"/>
  <c r="O40" i="4"/>
  <c r="T5" i="4"/>
  <c r="P5" i="5" s="1"/>
  <c r="R5" i="5" s="1"/>
  <c r="T5" i="5" s="1"/>
  <c r="P5" i="6" s="1"/>
  <c r="P13" i="8"/>
  <c r="R13" i="8" s="1"/>
  <c r="T13" i="8" s="1"/>
  <c r="P13" i="9" s="1"/>
  <c r="R13" i="9" s="1"/>
  <c r="T13" i="9" s="1"/>
  <c r="P13" i="10" s="1"/>
  <c r="R13" i="10" s="1"/>
  <c r="T13" i="10" s="1"/>
  <c r="P13" i="11" s="1"/>
  <c r="R13" i="11" s="1"/>
  <c r="T13" i="11" s="1"/>
  <c r="R6" i="5"/>
  <c r="T6" i="5" s="1"/>
  <c r="P6" i="6" s="1"/>
  <c r="R6" i="6" s="1"/>
  <c r="T6" i="6" s="1"/>
  <c r="P6" i="7" s="1"/>
  <c r="R6" i="7" s="1"/>
  <c r="T6" i="7" s="1"/>
  <c r="P6" i="8" s="1"/>
  <c r="R6" i="8" s="1"/>
  <c r="T6" i="8" s="1"/>
  <c r="R11" i="4"/>
  <c r="R31" i="3"/>
  <c r="R44" i="3" s="1"/>
  <c r="T44" i="3" s="1"/>
  <c r="R25" i="3"/>
  <c r="T14" i="3"/>
  <c r="O35" i="3"/>
  <c r="N44" i="3" s="1"/>
  <c r="P44" i="3" s="1"/>
  <c r="N32" i="4" s="1"/>
  <c r="N44" i="4" s="1"/>
  <c r="G22" i="3"/>
  <c r="G19" i="3"/>
  <c r="T25" i="3" l="1"/>
  <c r="P14" i="4"/>
  <c r="S40" i="4"/>
  <c r="S44" i="4" s="1"/>
  <c r="O44" i="4"/>
  <c r="P44" i="4" s="1"/>
  <c r="N32" i="5" s="1"/>
  <c r="N44" i="5" s="1"/>
  <c r="P44" i="5" s="1"/>
  <c r="N32" i="6" s="1"/>
  <c r="N47" i="6" s="1"/>
  <c r="P47" i="6" s="1"/>
  <c r="N32" i="7" s="1"/>
  <c r="N45" i="7" s="1"/>
  <c r="P45" i="7" s="1"/>
  <c r="N32" i="8" s="1"/>
  <c r="N45" i="8" s="1"/>
  <c r="P45" i="8" s="1"/>
  <c r="N32" i="9" s="1"/>
  <c r="N45" i="9" s="1"/>
  <c r="P45" i="9" s="1"/>
  <c r="N32" i="10" s="1"/>
  <c r="N45" i="10" s="1"/>
  <c r="P45" i="10" s="1"/>
  <c r="N32" i="11" s="1"/>
  <c r="N45" i="11" s="1"/>
  <c r="P45" i="11" s="1"/>
  <c r="P6" i="9"/>
  <c r="R6" i="9" s="1"/>
  <c r="T6" i="9" s="1"/>
  <c r="P6" i="10" s="1"/>
  <c r="R6" i="10" s="1"/>
  <c r="T6" i="10" s="1"/>
  <c r="P6" i="11" s="1"/>
  <c r="R6" i="11" s="1"/>
  <c r="T6" i="11" s="1"/>
  <c r="R5" i="6"/>
  <c r="T11" i="4"/>
  <c r="P11" i="5" s="1"/>
  <c r="R32" i="4"/>
  <c r="R44" i="4" s="1"/>
  <c r="G20" i="3"/>
  <c r="T44" i="4" l="1"/>
  <c r="R32" i="5" s="1"/>
  <c r="R44" i="5" s="1"/>
  <c r="T44" i="5" s="1"/>
  <c r="R32" i="6" s="1"/>
  <c r="R47" i="6" s="1"/>
  <c r="T47" i="6" s="1"/>
  <c r="R32" i="7" s="1"/>
  <c r="R45" i="7" s="1"/>
  <c r="T45" i="7" s="1"/>
  <c r="R32" i="8" s="1"/>
  <c r="R45" i="8" s="1"/>
  <c r="T45" i="8" s="1"/>
  <c r="R32" i="9" s="1"/>
  <c r="R45" i="9" s="1"/>
  <c r="T45" i="9" s="1"/>
  <c r="R32" i="10" s="1"/>
  <c r="R45" i="10" s="1"/>
  <c r="T45" i="10" s="1"/>
  <c r="R32" i="11" s="1"/>
  <c r="R45" i="11" s="1"/>
  <c r="T45" i="11" s="1"/>
  <c r="R14" i="4"/>
  <c r="P25" i="4"/>
  <c r="T5" i="6"/>
  <c r="R11" i="5"/>
  <c r="G34" i="3"/>
  <c r="T14" i="4" l="1"/>
  <c r="R25" i="4"/>
  <c r="P5" i="7"/>
  <c r="T11" i="5"/>
  <c r="G14" i="2"/>
  <c r="G21" i="2"/>
  <c r="G32" i="2"/>
  <c r="G33" i="2"/>
  <c r="P11" i="6" l="1"/>
  <c r="R5" i="7"/>
  <c r="P14" i="5"/>
  <c r="T25" i="4"/>
  <c r="G57" i="3"/>
  <c r="C57" i="3"/>
  <c r="F46" i="3"/>
  <c r="B46" i="3"/>
  <c r="D38" i="3"/>
  <c r="E37" i="3"/>
  <c r="B44" i="3" s="1"/>
  <c r="C37" i="3"/>
  <c r="G37" i="3"/>
  <c r="F44" i="3" s="1"/>
  <c r="R14" i="5" l="1"/>
  <c r="P25" i="5"/>
  <c r="T5" i="7"/>
  <c r="R11" i="6"/>
  <c r="P25" i="6"/>
  <c r="G48" i="3"/>
  <c r="C48" i="3"/>
  <c r="T11" i="6" l="1"/>
  <c r="R25" i="6"/>
  <c r="P5" i="8"/>
  <c r="T14" i="5"/>
  <c r="T25" i="5" s="1"/>
  <c r="R25" i="5"/>
  <c r="G12" i="2"/>
  <c r="F34" i="1"/>
  <c r="G17" i="1"/>
  <c r="G7" i="1"/>
  <c r="R5" i="8" l="1"/>
  <c r="P11" i="7"/>
  <c r="T25" i="6"/>
  <c r="G31" i="2"/>
  <c r="R11" i="7" l="1"/>
  <c r="P25" i="7"/>
  <c r="T5" i="8"/>
  <c r="G27" i="2"/>
  <c r="P5" i="9" l="1"/>
  <c r="R5" i="9" s="1"/>
  <c r="T11" i="7"/>
  <c r="R25" i="7"/>
  <c r="G20" i="2"/>
  <c r="G19" i="2"/>
  <c r="P11" i="8" l="1"/>
  <c r="T25" i="7"/>
  <c r="T5" i="9"/>
  <c r="P5" i="10" s="1"/>
  <c r="R5" i="10" s="1"/>
  <c r="G17" i="2"/>
  <c r="T5" i="10" l="1"/>
  <c r="P5" i="11" s="1"/>
  <c r="R11" i="8"/>
  <c r="P25" i="8"/>
  <c r="G34" i="2"/>
  <c r="R5" i="11" l="1"/>
  <c r="T11" i="8"/>
  <c r="R25" i="8"/>
  <c r="C57" i="2"/>
  <c r="G57" i="2"/>
  <c r="F45" i="2"/>
  <c r="B45" i="2"/>
  <c r="D38" i="2"/>
  <c r="E37" i="2"/>
  <c r="B43" i="2" s="1"/>
  <c r="C37" i="2"/>
  <c r="F26" i="2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F26" i="10" s="1"/>
  <c r="H26" i="10" s="1"/>
  <c r="D26" i="11" s="1"/>
  <c r="F26" i="11" s="1"/>
  <c r="H26" i="11" s="1"/>
  <c r="G37" i="2"/>
  <c r="F43" i="2" s="1"/>
  <c r="F6" i="2"/>
  <c r="H6" i="2" s="1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D6" i="11" s="1"/>
  <c r="F6" i="11" s="1"/>
  <c r="H6" i="11" s="1"/>
  <c r="T5" i="11" l="1"/>
  <c r="P11" i="9"/>
  <c r="R11" i="9" s="1"/>
  <c r="T25" i="8"/>
  <c r="C47" i="2"/>
  <c r="G47" i="2"/>
  <c r="F26" i="1"/>
  <c r="G29" i="1"/>
  <c r="P25" i="9" l="1"/>
  <c r="P25" i="10"/>
  <c r="T11" i="9"/>
  <c r="R25" i="9"/>
  <c r="G32" i="1"/>
  <c r="T25" i="9" l="1"/>
  <c r="P11" i="10"/>
  <c r="R11" i="10" s="1"/>
  <c r="G51" i="1"/>
  <c r="C51" i="1"/>
  <c r="T11" i="10" l="1"/>
  <c r="R25" i="10"/>
  <c r="G12" i="1"/>
  <c r="T25" i="10" l="1"/>
  <c r="P11" i="11"/>
  <c r="G28" i="1"/>
  <c r="R11" i="11" l="1"/>
  <c r="P25" i="11"/>
  <c r="G20" i="1"/>
  <c r="T11" i="11" l="1"/>
  <c r="T25" i="11" s="1"/>
  <c r="R25" i="11"/>
  <c r="G19" i="1"/>
  <c r="G11" i="1" l="1"/>
  <c r="G18" i="1" l="1"/>
  <c r="D37" i="1" l="1"/>
  <c r="H34" i="1"/>
  <c r="D34" i="2" s="1"/>
  <c r="F34" i="2" s="1"/>
  <c r="H34" i="2" s="1"/>
  <c r="D34" i="3" s="1"/>
  <c r="F34" i="3" s="1"/>
  <c r="H34" i="3" s="1"/>
  <c r="D34" i="4" s="1"/>
  <c r="F34" i="4" s="1"/>
  <c r="H34" i="4" s="1"/>
  <c r="D34" i="5" s="1"/>
  <c r="F34" i="5" s="1"/>
  <c r="H34" i="5" s="1"/>
  <c r="D34" i="6" s="1"/>
  <c r="F34" i="6" s="1"/>
  <c r="H34" i="6" s="1"/>
  <c r="D34" i="7" s="1"/>
  <c r="F34" i="7" s="1"/>
  <c r="H34" i="7" s="1"/>
  <c r="D34" i="8" s="1"/>
  <c r="F34" i="8" s="1"/>
  <c r="H34" i="8" s="1"/>
  <c r="D34" i="9" s="1"/>
  <c r="F34" i="9" s="1"/>
  <c r="H34" i="9" s="1"/>
  <c r="D34" i="10" s="1"/>
  <c r="F34" i="10" s="1"/>
  <c r="H34" i="10" s="1"/>
  <c r="D34" i="11" s="1"/>
  <c r="F34" i="11" s="1"/>
  <c r="H34" i="11" s="1"/>
  <c r="F30" i="1"/>
  <c r="H30" i="1" s="1"/>
  <c r="D30" i="2" s="1"/>
  <c r="F30" i="2" s="1"/>
  <c r="H30" i="2" s="1"/>
  <c r="D30" i="3" s="1"/>
  <c r="F30" i="3" s="1"/>
  <c r="H30" i="3" s="1"/>
  <c r="D30" i="4" s="1"/>
  <c r="F30" i="4" s="1"/>
  <c r="H30" i="4" s="1"/>
  <c r="D30" i="5" s="1"/>
  <c r="F30" i="5" s="1"/>
  <c r="H30" i="5" s="1"/>
  <c r="D30" i="6" s="1"/>
  <c r="F30" i="6" s="1"/>
  <c r="H30" i="6" s="1"/>
  <c r="D30" i="7" s="1"/>
  <c r="F30" i="7" s="1"/>
  <c r="H30" i="7" s="1"/>
  <c r="D30" i="8" s="1"/>
  <c r="F30" i="8" s="1"/>
  <c r="H30" i="8" s="1"/>
  <c r="D30" i="9" s="1"/>
  <c r="F30" i="9" s="1"/>
  <c r="H30" i="9" s="1"/>
  <c r="D30" i="10" s="1"/>
  <c r="F30" i="10" s="1"/>
  <c r="H30" i="10" s="1"/>
  <c r="D30" i="11" s="1"/>
  <c r="F30" i="11" s="1"/>
  <c r="H30" i="11" s="1"/>
  <c r="F31" i="1"/>
  <c r="H31" i="1" s="1"/>
  <c r="D31" i="2" s="1"/>
  <c r="F31" i="2" s="1"/>
  <c r="H31" i="2" s="1"/>
  <c r="D31" i="3" s="1"/>
  <c r="F31" i="3" s="1"/>
  <c r="H31" i="3" s="1"/>
  <c r="D31" i="4" s="1"/>
  <c r="F32" i="1"/>
  <c r="H32" i="1" s="1"/>
  <c r="D32" i="2" s="1"/>
  <c r="F32" i="2" s="1"/>
  <c r="H32" i="2" s="1"/>
  <c r="D32" i="3" s="1"/>
  <c r="F32" i="3" s="1"/>
  <c r="F33" i="1"/>
  <c r="H33" i="1" s="1"/>
  <c r="D33" i="2" s="1"/>
  <c r="F33" i="2" s="1"/>
  <c r="H33" i="2" s="1"/>
  <c r="D33" i="3" s="1"/>
  <c r="F33" i="3" s="1"/>
  <c r="H33" i="3" s="1"/>
  <c r="D33" i="4" s="1"/>
  <c r="F33" i="4" s="1"/>
  <c r="H33" i="4" s="1"/>
  <c r="D33" i="5" s="1"/>
  <c r="F33" i="5" s="1"/>
  <c r="H33" i="5" s="1"/>
  <c r="D33" i="6" s="1"/>
  <c r="F33" i="6" s="1"/>
  <c r="H33" i="6" s="1"/>
  <c r="D33" i="7" s="1"/>
  <c r="F33" i="7" s="1"/>
  <c r="H33" i="7" s="1"/>
  <c r="D33" i="8" s="1"/>
  <c r="F33" i="8" s="1"/>
  <c r="H33" i="8" s="1"/>
  <c r="D33" i="9" s="1"/>
  <c r="F33" i="9" s="1"/>
  <c r="H33" i="9" s="1"/>
  <c r="D33" i="10" s="1"/>
  <c r="F33" i="10" s="1"/>
  <c r="H33" i="10" s="1"/>
  <c r="D33" i="11" s="1"/>
  <c r="F33" i="11" s="1"/>
  <c r="H33" i="11" s="1"/>
  <c r="F35" i="1"/>
  <c r="H35" i="1" s="1"/>
  <c r="D35" i="2" s="1"/>
  <c r="F35" i="2" s="1"/>
  <c r="H35" i="2" s="1"/>
  <c r="D35" i="3" s="1"/>
  <c r="F35" i="3" s="1"/>
  <c r="H35" i="3" s="1"/>
  <c r="D35" i="4" s="1"/>
  <c r="F35" i="4" s="1"/>
  <c r="H35" i="4" s="1"/>
  <c r="D35" i="5" s="1"/>
  <c r="F35" i="5" s="1"/>
  <c r="H35" i="5" s="1"/>
  <c r="D35" i="6" s="1"/>
  <c r="F35" i="6" s="1"/>
  <c r="H35" i="6" s="1"/>
  <c r="D35" i="7" s="1"/>
  <c r="F35" i="7" s="1"/>
  <c r="H35" i="7" s="1"/>
  <c r="D35" i="8" s="1"/>
  <c r="F35" i="8" s="1"/>
  <c r="H35" i="8" s="1"/>
  <c r="D35" i="9" s="1"/>
  <c r="F35" i="9" s="1"/>
  <c r="H35" i="9" s="1"/>
  <c r="D35" i="10" s="1"/>
  <c r="F35" i="10" s="1"/>
  <c r="H35" i="10" s="1"/>
  <c r="D35" i="11" s="1"/>
  <c r="F35" i="11" s="1"/>
  <c r="H35" i="11" s="1"/>
  <c r="F36" i="1"/>
  <c r="H36" i="1" s="1"/>
  <c r="D36" i="2" s="1"/>
  <c r="F36" i="2" s="1"/>
  <c r="H36" i="2" s="1"/>
  <c r="D36" i="3" s="1"/>
  <c r="F36" i="3" s="1"/>
  <c r="H36" i="3" s="1"/>
  <c r="D36" i="4" s="1"/>
  <c r="F36" i="4" s="1"/>
  <c r="H36" i="4" s="1"/>
  <c r="D36" i="5" s="1"/>
  <c r="F36" i="5" s="1"/>
  <c r="H36" i="5" s="1"/>
  <c r="D36" i="6" s="1"/>
  <c r="F36" i="6" s="1"/>
  <c r="H36" i="6" s="1"/>
  <c r="D36" i="7" s="1"/>
  <c r="F36" i="7" s="1"/>
  <c r="H36" i="7" s="1"/>
  <c r="D36" i="8" s="1"/>
  <c r="F36" i="8" s="1"/>
  <c r="H36" i="8" s="1"/>
  <c r="D36" i="9" s="1"/>
  <c r="F36" i="9" s="1"/>
  <c r="H36" i="9" s="1"/>
  <c r="D36" i="10" s="1"/>
  <c r="F36" i="10" s="1"/>
  <c r="H36" i="10" s="1"/>
  <c r="D36" i="11" s="1"/>
  <c r="F36" i="11" s="1"/>
  <c r="H36" i="11" s="1"/>
  <c r="F31" i="4" l="1"/>
  <c r="H32" i="3"/>
  <c r="D32" i="4" s="1"/>
  <c r="F32" i="4" s="1"/>
  <c r="H32" i="4" s="1"/>
  <c r="D32" i="5" s="1"/>
  <c r="F32" i="5" s="1"/>
  <c r="H32" i="5" s="1"/>
  <c r="F23" i="1"/>
  <c r="F22" i="1"/>
  <c r="F21" i="1"/>
  <c r="F20" i="1"/>
  <c r="H31" i="4" l="1"/>
  <c r="F5" i="1"/>
  <c r="G57" i="1"/>
  <c r="C57" i="1"/>
  <c r="F45" i="1"/>
  <c r="B44" i="1"/>
  <c r="D38" i="1"/>
  <c r="B45" i="1"/>
  <c r="E37" i="1"/>
  <c r="B43" i="1" s="1"/>
  <c r="C37" i="1"/>
  <c r="F29" i="1"/>
  <c r="H29" i="1" s="1"/>
  <c r="D29" i="2" s="1"/>
  <c r="F29" i="2" s="1"/>
  <c r="H29" i="2" s="1"/>
  <c r="D29" i="3" s="1"/>
  <c r="F29" i="3" s="1"/>
  <c r="H29" i="3" s="1"/>
  <c r="D29" i="4" s="1"/>
  <c r="F28" i="1"/>
  <c r="H28" i="1" s="1"/>
  <c r="D28" i="2" s="1"/>
  <c r="F28" i="2" s="1"/>
  <c r="H28" i="2" s="1"/>
  <c r="D28" i="3" s="1"/>
  <c r="F28" i="3" s="1"/>
  <c r="H28" i="3" s="1"/>
  <c r="D28" i="4" s="1"/>
  <c r="F28" i="4" s="1"/>
  <c r="H28" i="4" s="1"/>
  <c r="D28" i="5" s="1"/>
  <c r="F28" i="5" s="1"/>
  <c r="H28" i="5" s="1"/>
  <c r="D28" i="6" s="1"/>
  <c r="F28" i="6" s="1"/>
  <c r="H28" i="6" s="1"/>
  <c r="D28" i="7" s="1"/>
  <c r="F28" i="7" s="1"/>
  <c r="H28" i="7" s="1"/>
  <c r="D28" i="8" s="1"/>
  <c r="F28" i="8" s="1"/>
  <c r="H28" i="8" s="1"/>
  <c r="D28" i="9" s="1"/>
  <c r="F28" i="9" s="1"/>
  <c r="H28" i="9" s="1"/>
  <c r="D28" i="10" s="1"/>
  <c r="F28" i="10" s="1"/>
  <c r="H28" i="10" s="1"/>
  <c r="D28" i="11" s="1"/>
  <c r="F28" i="11" s="1"/>
  <c r="H28" i="11" s="1"/>
  <c r="F27" i="1"/>
  <c r="H27" i="1" s="1"/>
  <c r="D27" i="2" s="1"/>
  <c r="F27" i="2" s="1"/>
  <c r="H27" i="2" s="1"/>
  <c r="D27" i="3" s="1"/>
  <c r="F27" i="3" s="1"/>
  <c r="H27" i="3" s="1"/>
  <c r="D27" i="4" s="1"/>
  <c r="F27" i="4" s="1"/>
  <c r="H27" i="4" s="1"/>
  <c r="D27" i="5" s="1"/>
  <c r="F27" i="5" s="1"/>
  <c r="H27" i="5" s="1"/>
  <c r="D27" i="6" s="1"/>
  <c r="F27" i="6" s="1"/>
  <c r="H27" i="6" s="1"/>
  <c r="D27" i="7" s="1"/>
  <c r="F27" i="7" s="1"/>
  <c r="H27" i="7" s="1"/>
  <c r="D27" i="8" s="1"/>
  <c r="F27" i="8" s="1"/>
  <c r="H27" i="8" s="1"/>
  <c r="D27" i="9" s="1"/>
  <c r="F27" i="9" s="1"/>
  <c r="H27" i="9" s="1"/>
  <c r="D27" i="10" s="1"/>
  <c r="F27" i="10" s="1"/>
  <c r="H26" i="1"/>
  <c r="F25" i="1"/>
  <c r="H25" i="1" s="1"/>
  <c r="D25" i="2" s="1"/>
  <c r="F25" i="2" s="1"/>
  <c r="H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F24" i="1"/>
  <c r="H24" i="1" s="1"/>
  <c r="D24" i="2" s="1"/>
  <c r="F24" i="2" s="1"/>
  <c r="H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D24" i="7" s="1"/>
  <c r="F24" i="7" s="1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F24" i="11" s="1"/>
  <c r="H24" i="11" s="1"/>
  <c r="H23" i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D23" i="11" s="1"/>
  <c r="F23" i="11" s="1"/>
  <c r="H23" i="11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H21" i="1"/>
  <c r="D21" i="2" s="1"/>
  <c r="F21" i="2" s="1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H20" i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F12" i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F10" i="1"/>
  <c r="H10" i="1" s="1"/>
  <c r="D10" i="2" s="1"/>
  <c r="F10" i="2" s="1"/>
  <c r="H10" i="2" s="1"/>
  <c r="D10" i="3" s="1"/>
  <c r="F10" i="3" s="1"/>
  <c r="F9" i="1"/>
  <c r="H9" i="1" s="1"/>
  <c r="D9" i="2" s="1"/>
  <c r="F9" i="2" s="1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F7" i="1"/>
  <c r="H7" i="1" s="1"/>
  <c r="F6" i="1"/>
  <c r="G37" i="1"/>
  <c r="F44" i="1" s="1"/>
  <c r="H27" i="10" l="1"/>
  <c r="D27" i="11" s="1"/>
  <c r="F27" i="11" s="1"/>
  <c r="H27" i="11" s="1"/>
  <c r="F29" i="4"/>
  <c r="D31" i="5"/>
  <c r="F31" i="5" s="1"/>
  <c r="H10" i="3"/>
  <c r="F7" i="2"/>
  <c r="H6" i="1"/>
  <c r="F37" i="1"/>
  <c r="H40" i="1"/>
  <c r="G47" i="1"/>
  <c r="F58" i="1" s="1"/>
  <c r="H57" i="1" s="1"/>
  <c r="C47" i="1"/>
  <c r="B57" i="1" s="1"/>
  <c r="D57" i="1" s="1"/>
  <c r="B44" i="2" s="1"/>
  <c r="H5" i="1"/>
  <c r="D5" i="2" s="1"/>
  <c r="F5" i="2" s="1"/>
  <c r="H5" i="2" s="1"/>
  <c r="D5" i="3" s="1"/>
  <c r="F5" i="3" s="1"/>
  <c r="H5" i="3" s="1"/>
  <c r="D5" i="4" s="1"/>
  <c r="F5" i="4" s="1"/>
  <c r="H5" i="4" s="1"/>
  <c r="D5" i="5" s="1"/>
  <c r="F5" i="5" s="1"/>
  <c r="H5" i="5" s="1"/>
  <c r="D5" i="6" s="1"/>
  <c r="F5" i="6" s="1"/>
  <c r="H5" i="6" s="1"/>
  <c r="D5" i="7" s="1"/>
  <c r="F5" i="7" s="1"/>
  <c r="H5" i="7" s="1"/>
  <c r="D5" i="8" s="1"/>
  <c r="F5" i="8" s="1"/>
  <c r="H5" i="8" s="1"/>
  <c r="D5" i="9" s="1"/>
  <c r="F5" i="9" s="1"/>
  <c r="H37" i="1" l="1"/>
  <c r="D37" i="2"/>
  <c r="D10" i="4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H5" i="9"/>
  <c r="D5" i="10" s="1"/>
  <c r="F5" i="10" s="1"/>
  <c r="H29" i="4"/>
  <c r="H31" i="5"/>
  <c r="F44" i="2"/>
  <c r="F57" i="2" s="1"/>
  <c r="H57" i="2" s="1"/>
  <c r="B57" i="2"/>
  <c r="D57" i="2" s="1"/>
  <c r="B45" i="3" s="1"/>
  <c r="B57" i="3" s="1"/>
  <c r="D57" i="3" s="1"/>
  <c r="B45" i="4" s="1"/>
  <c r="B57" i="4" s="1"/>
  <c r="D57" i="4" s="1"/>
  <c r="H7" i="2"/>
  <c r="D7" i="3" s="1"/>
  <c r="F7" i="3" s="1"/>
  <c r="H7" i="3" s="1"/>
  <c r="F37" i="2"/>
  <c r="H5" i="10" l="1"/>
  <c r="D5" i="11" s="1"/>
  <c r="F5" i="11" s="1"/>
  <c r="H5" i="11" s="1"/>
  <c r="H41" i="3"/>
  <c r="D7" i="4"/>
  <c r="F37" i="3"/>
  <c r="H37" i="3"/>
  <c r="B45" i="5"/>
  <c r="B57" i="5" s="1"/>
  <c r="D57" i="5" s="1"/>
  <c r="B48" i="6" s="1"/>
  <c r="D29" i="5"/>
  <c r="F29" i="5" s="1"/>
  <c r="D31" i="6"/>
  <c r="F45" i="3"/>
  <c r="F57" i="3" s="1"/>
  <c r="H57" i="3" s="1"/>
  <c r="H40" i="2"/>
  <c r="H37" i="2"/>
  <c r="D37" i="3" s="1"/>
  <c r="F7" i="4" l="1"/>
  <c r="D37" i="4"/>
  <c r="B60" i="6"/>
  <c r="D60" i="6" s="1"/>
  <c r="B46" i="7" s="1"/>
  <c r="B58" i="7" s="1"/>
  <c r="D58" i="7" s="1"/>
  <c r="B46" i="8" s="1"/>
  <c r="B58" i="8" s="1"/>
  <c r="D58" i="8" s="1"/>
  <c r="B46" i="9" s="1"/>
  <c r="B58" i="9" s="1"/>
  <c r="D58" i="9" s="1"/>
  <c r="B46" i="10" s="1"/>
  <c r="B58" i="10" s="1"/>
  <c r="D58" i="10" s="1"/>
  <c r="B46" i="11" s="1"/>
  <c r="B58" i="11" s="1"/>
  <c r="D58" i="11" s="1"/>
  <c r="H29" i="5"/>
  <c r="F31" i="6"/>
  <c r="F45" i="4"/>
  <c r="F57" i="4" s="1"/>
  <c r="H57" i="4" s="1"/>
  <c r="H7" i="4" l="1"/>
  <c r="F37" i="4"/>
  <c r="D29" i="6"/>
  <c r="H31" i="6"/>
  <c r="D31" i="7" s="1"/>
  <c r="F31" i="7" s="1"/>
  <c r="H31" i="7" s="1"/>
  <c r="D31" i="8" s="1"/>
  <c r="F31" i="8" s="1"/>
  <c r="H31" i="8" s="1"/>
  <c r="D31" i="9" s="1"/>
  <c r="F45" i="5"/>
  <c r="F57" i="5" s="1"/>
  <c r="H57" i="5" s="1"/>
  <c r="F31" i="9" l="1"/>
  <c r="H31" i="9" s="1"/>
  <c r="D31" i="10" s="1"/>
  <c r="F31" i="10" s="1"/>
  <c r="H31" i="10" s="1"/>
  <c r="D31" i="11" s="1"/>
  <c r="D7" i="5"/>
  <c r="F7" i="5" s="1"/>
  <c r="H41" i="4"/>
  <c r="H37" i="4"/>
  <c r="D37" i="5" s="1"/>
  <c r="F48" i="6"/>
  <c r="F60" i="6" s="1"/>
  <c r="H60" i="6" s="1"/>
  <c r="F29" i="6"/>
  <c r="F31" i="11" l="1"/>
  <c r="F46" i="7"/>
  <c r="F58" i="7" s="1"/>
  <c r="H58" i="7" s="1"/>
  <c r="H7" i="5"/>
  <c r="F37" i="5"/>
  <c r="H29" i="6"/>
  <c r="H31" i="11" l="1"/>
  <c r="H41" i="5"/>
  <c r="D7" i="6"/>
  <c r="H37" i="5"/>
  <c r="M53" i="7"/>
  <c r="F46" i="8"/>
  <c r="F58" i="8" s="1"/>
  <c r="H58" i="8" s="1"/>
  <c r="M56" i="7"/>
  <c r="M58" i="7" s="1"/>
  <c r="F46" i="9" l="1"/>
  <c r="F58" i="9" s="1"/>
  <c r="H58" i="9" s="1"/>
  <c r="F7" i="6"/>
  <c r="D37" i="6"/>
  <c r="F29" i="7"/>
  <c r="F46" i="10" l="1"/>
  <c r="H7" i="6"/>
  <c r="F37" i="6"/>
  <c r="H29" i="7"/>
  <c r="H41" i="6" l="1"/>
  <c r="D7" i="7"/>
  <c r="H37" i="6"/>
  <c r="D29" i="8"/>
  <c r="F7" i="7" l="1"/>
  <c r="D37" i="7"/>
  <c r="F29" i="8"/>
  <c r="H7" i="7" l="1"/>
  <c r="F37" i="7"/>
  <c r="H29" i="8"/>
  <c r="D29" i="9" l="1"/>
  <c r="F29" i="9" s="1"/>
  <c r="H29" i="9" s="1"/>
  <c r="D29" i="10" s="1"/>
  <c r="F29" i="10" s="1"/>
  <c r="H29" i="10" s="1"/>
  <c r="D29" i="11" s="1"/>
  <c r="F29" i="11" s="1"/>
  <c r="H29" i="11" s="1"/>
  <c r="D7" i="8"/>
  <c r="H37" i="7"/>
  <c r="F7" i="8" l="1"/>
  <c r="D37" i="8"/>
  <c r="H7" i="8" l="1"/>
  <c r="F37" i="8"/>
  <c r="D7" i="9" l="1"/>
  <c r="F7" i="9" s="1"/>
  <c r="H37" i="8"/>
  <c r="D37" i="9" l="1"/>
  <c r="D37" i="10"/>
  <c r="H7" i="9"/>
  <c r="F37" i="9"/>
  <c r="H37" i="9" l="1"/>
  <c r="D7" i="10"/>
  <c r="F7" i="10" s="1"/>
  <c r="H7" i="10" l="1"/>
  <c r="F37" i="10"/>
  <c r="H37" i="10" l="1"/>
  <c r="D7" i="11"/>
  <c r="F45" i="10"/>
  <c r="F58" i="10" s="1"/>
  <c r="H58" i="10" s="1"/>
  <c r="F46" i="11" s="1"/>
  <c r="F58" i="11" s="1"/>
  <c r="H58" i="11" s="1"/>
  <c r="F7" i="11" l="1"/>
  <c r="D37" i="11"/>
  <c r="H7" i="11" l="1"/>
  <c r="H37" i="11" s="1"/>
  <c r="F37" i="11"/>
</calcChain>
</file>

<file path=xl/sharedStrings.xml><?xml version="1.0" encoding="utf-8"?>
<sst xmlns="http://schemas.openxmlformats.org/spreadsheetml/2006/main" count="1667" uniqueCount="190">
  <si>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</si>
  <si>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</si>
  <si>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</si>
  <si>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</si>
  <si>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</si>
  <si>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</si>
  <si>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</si>
  <si>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</si>
  <si>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</si>
  <si>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</si>
  <si>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GRACE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</si>
  <si>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</si>
  <si>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</si>
  <si>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</si>
  <si>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</si>
  <si>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</si>
  <si>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</si>
  <si>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</si>
  <si>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</si>
  <si>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</si>
  <si>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</si>
  <si>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</si>
  <si>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</si>
  <si>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</si>
  <si>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</si>
  <si>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</si>
  <si>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</si>
  <si>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</si>
  <si>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PHYLIS LEPAPA</t>
  </si>
  <si>
    <t>FOR THE MONTH OF FEBRUARY 2021</t>
  </si>
  <si>
    <t>FEBRUARY</t>
  </si>
  <si>
    <t xml:space="preserve">DEPOSIT </t>
  </si>
  <si>
    <t>PHYLIS</t>
  </si>
  <si>
    <t xml:space="preserve">SHOP1 </t>
  </si>
  <si>
    <t>SHOP 2</t>
  </si>
  <si>
    <t>SHOP3</t>
  </si>
  <si>
    <t>SHOP4</t>
  </si>
  <si>
    <t>SHOP5</t>
  </si>
  <si>
    <t>SHOP6</t>
  </si>
  <si>
    <t>VACCANT</t>
  </si>
  <si>
    <t>MICHAEL MWEMA</t>
  </si>
  <si>
    <t>JULIET ACHIENG</t>
  </si>
  <si>
    <t>FERDINAD OMBISA</t>
  </si>
  <si>
    <t>EVERLINE AKINYI</t>
  </si>
  <si>
    <t>JACKLINE SLYTAN</t>
  </si>
  <si>
    <t>CHRISTINE AUMA</t>
  </si>
  <si>
    <t>CARETAKER</t>
  </si>
  <si>
    <t>EDDAH OMONDI</t>
  </si>
  <si>
    <t>ABRAHAM OTOTO</t>
  </si>
  <si>
    <t>ZAKARIA NDILU</t>
  </si>
  <si>
    <t>JANET KATHONI</t>
  </si>
  <si>
    <t>DAVID OMBAJI</t>
  </si>
  <si>
    <t>SYLVESTER MUTUA</t>
  </si>
  <si>
    <t>NTIRANJI BAGIRA</t>
  </si>
  <si>
    <t>ELIAS NDABATYA</t>
  </si>
  <si>
    <t>GEORGE MUSANGO</t>
  </si>
  <si>
    <t>FAITH KARAMBU</t>
  </si>
  <si>
    <t>JOSEPHENE MUTHONI</t>
  </si>
  <si>
    <t xml:space="preserve">DWELL MBIDYO </t>
  </si>
  <si>
    <t>IBRAHIM IRUNGU</t>
  </si>
  <si>
    <t>SYRUS MWANIKI</t>
  </si>
  <si>
    <t>MARTIN MUYA</t>
  </si>
  <si>
    <t>HANNAH MUYA</t>
  </si>
  <si>
    <t>RIZIKI PASYA</t>
  </si>
  <si>
    <t>ROBERT OMWEGA</t>
  </si>
  <si>
    <t>PAID ON 13/2</t>
  </si>
  <si>
    <t>ELIZABETH WANJIRU</t>
  </si>
  <si>
    <t>PAID ON 18/2</t>
  </si>
  <si>
    <t>FOR THE MONTH OF MARCH 2021</t>
  </si>
  <si>
    <t>MARCH</t>
  </si>
  <si>
    <t>PAID ON 3/3</t>
  </si>
  <si>
    <t>ERICK</t>
  </si>
  <si>
    <t>MICHAEL MUEMA</t>
  </si>
  <si>
    <t>PAID ON 20/3</t>
  </si>
  <si>
    <t>VACCATED</t>
  </si>
  <si>
    <t>MUSANGO VACCATED</t>
  </si>
  <si>
    <t>PAID ON 25/3</t>
  </si>
  <si>
    <t>FOR THE MONTH OF APRIL 2021</t>
  </si>
  <si>
    <t>APRIL</t>
  </si>
  <si>
    <t>LL2200 BY CARETAKER</t>
  </si>
  <si>
    <t>LL2000BY CARETAKER</t>
  </si>
  <si>
    <t>LL2700 BY CARETAKER</t>
  </si>
  <si>
    <t>PAID ON 3/4</t>
  </si>
  <si>
    <t>EVANS OWINO</t>
  </si>
  <si>
    <t>JOHN</t>
  </si>
  <si>
    <t>PAUL ONDINGA</t>
  </si>
  <si>
    <t>MARGARET NYOKABI</t>
  </si>
  <si>
    <t>URBUNUS KIOKO</t>
  </si>
  <si>
    <t>GRACE WAIRIMU</t>
  </si>
  <si>
    <t>ISAIAH OLOO</t>
  </si>
  <si>
    <t>AHMED MUTHASI</t>
  </si>
  <si>
    <t>RUTH NEKESA</t>
  </si>
  <si>
    <t>NGALULA</t>
  </si>
  <si>
    <t>JOHN MUSEMBI</t>
  </si>
  <si>
    <t>WANJIKU</t>
  </si>
  <si>
    <t>JUMA</t>
  </si>
  <si>
    <t>ISAAC</t>
  </si>
  <si>
    <t>PHIILEMON UKUKU</t>
  </si>
  <si>
    <t>PAID ON 17/4</t>
  </si>
  <si>
    <t>PAID ON 21/4</t>
  </si>
  <si>
    <t>ROBERT PAID LL</t>
  </si>
  <si>
    <t>LL</t>
  </si>
  <si>
    <t>LL1500 BY CARETAKER</t>
  </si>
  <si>
    <t>DIRECTTO LL NO.6,10,11,17</t>
  </si>
  <si>
    <t>STEVE</t>
  </si>
  <si>
    <t>PAID ON 29/4</t>
  </si>
  <si>
    <t>MAY</t>
  </si>
  <si>
    <t>FOR THE MONTH OF MAY 2021</t>
  </si>
  <si>
    <t>PETER MUTUGI</t>
  </si>
  <si>
    <t>RASHID</t>
  </si>
  <si>
    <t>PAID ON 15/5</t>
  </si>
  <si>
    <t>PAID ON 21/5</t>
  </si>
  <si>
    <t>FOR THE MONTH OF JUNE 2021</t>
  </si>
  <si>
    <t>JUNE</t>
  </si>
  <si>
    <t>PAID ON 27/5</t>
  </si>
  <si>
    <t>EVANS NO.11&amp;12 PAID LL</t>
  </si>
  <si>
    <t>PAID ON 3/6</t>
  </si>
  <si>
    <t>VACANT</t>
  </si>
  <si>
    <t>JOHN VACCATED</t>
  </si>
  <si>
    <t>DANIEL OKOTH</t>
  </si>
  <si>
    <t>NEW</t>
  </si>
  <si>
    <t>PAID ON 17/6</t>
  </si>
  <si>
    <t>PAID ON 24/6</t>
  </si>
  <si>
    <t>SYRUS SHOP 2 EVICTED</t>
  </si>
  <si>
    <t>PAID ON 26/6</t>
  </si>
  <si>
    <t>JULY</t>
  </si>
  <si>
    <t>MARY MUTHONI</t>
  </si>
  <si>
    <t>PAID ON 29/6</t>
  </si>
  <si>
    <t>FOR THE MONTH OF JULY 2021</t>
  </si>
  <si>
    <t>CHRISTOPHER</t>
  </si>
  <si>
    <t>PAID ON 13/7</t>
  </si>
  <si>
    <t>PAID ON 14/7</t>
  </si>
  <si>
    <t>PHIILEMON PAID LLNO.14</t>
  </si>
  <si>
    <t>RASHID VACCATED NO.18</t>
  </si>
  <si>
    <t>PAID LL</t>
  </si>
  <si>
    <t>URBUNUS NO 19 PAID LL</t>
  </si>
  <si>
    <t>JOHN MUSEMBI NO29VACCATED</t>
  </si>
  <si>
    <t>WANJIKU NO 30 PAID LL</t>
  </si>
  <si>
    <t>PAID ON 22/7</t>
  </si>
  <si>
    <t>LL2000</t>
  </si>
  <si>
    <t>NO.20PAID LL</t>
  </si>
  <si>
    <t>LL6000</t>
  </si>
  <si>
    <t>JUMA NO25PAID LL</t>
  </si>
  <si>
    <t>ISAAC NO 26 PAID LL</t>
  </si>
  <si>
    <t>AUGUST</t>
  </si>
  <si>
    <t>FOR THE MONTH OF AUGUST 2021</t>
  </si>
  <si>
    <t>PAID ON 2/8</t>
  </si>
  <si>
    <t>PAID ON 7/8</t>
  </si>
  <si>
    <t>PAID DIRECT TO LL</t>
  </si>
  <si>
    <t>PAID ON 18/8</t>
  </si>
  <si>
    <t>PAID ON 26/8</t>
  </si>
  <si>
    <t>FOR THE MONTH OF SEPTEMBER 2021</t>
  </si>
  <si>
    <t>SEPTEMBER</t>
  </si>
  <si>
    <t>PAID ON 27/8</t>
  </si>
  <si>
    <t>LL39000</t>
  </si>
  <si>
    <t>FOR THE MONTH OF SEPTEMBER 21 2021</t>
  </si>
  <si>
    <t>JENIFFER MWAJA</t>
  </si>
  <si>
    <t>DOUGLAS MUTUU</t>
  </si>
  <si>
    <t>DIRECT TO LL 16,15,20,24,28</t>
  </si>
  <si>
    <t>PAID ON  16/9</t>
  </si>
  <si>
    <t>FOR THE MONTH OF OCTOBER  2021</t>
  </si>
  <si>
    <t>FOR THE MONTH OF OCTOBER  21 2021</t>
  </si>
  <si>
    <t xml:space="preserve">OCTOBER </t>
  </si>
  <si>
    <t>PAID ON 27/9</t>
  </si>
  <si>
    <t>PAID ON 5/10</t>
  </si>
  <si>
    <t>PAID ON 14/10</t>
  </si>
  <si>
    <t>FOR THE MONTH OF NOVEMBER  2021</t>
  </si>
  <si>
    <t>FOR THE MONTH OF NOVEMBER  21 2021</t>
  </si>
  <si>
    <t>EVICTED</t>
  </si>
  <si>
    <t>ELIAS NO.20 EVICTED</t>
  </si>
  <si>
    <t>PAID ON 25/10</t>
  </si>
  <si>
    <t>DIRECT TO LL 16,13,18,20</t>
  </si>
  <si>
    <t>NOV</t>
  </si>
  <si>
    <t>ELIAS VACCATED</t>
  </si>
  <si>
    <t>MICHAEL VACCATED</t>
  </si>
  <si>
    <t>JOSPLINE OTIENO</t>
  </si>
  <si>
    <t>JOSEPH NJINGE NDUNGU</t>
  </si>
  <si>
    <t>PAID ON 17/11</t>
  </si>
  <si>
    <t>DIRECT TO LL 16,14,20,18,27</t>
  </si>
  <si>
    <t>PAID ON  20/11</t>
  </si>
  <si>
    <t>FOR THE MONTH OF DECEMBER  21 2021</t>
  </si>
  <si>
    <t>FOR THE MONTH OF DECEMBER  2021</t>
  </si>
  <si>
    <t>PAID ON 25/11</t>
  </si>
  <si>
    <t>PAID ON 28/11</t>
  </si>
  <si>
    <t>`</t>
  </si>
  <si>
    <t>PAID ON 2/12</t>
  </si>
  <si>
    <t>DEC</t>
  </si>
  <si>
    <t>WINNIE WANGECHI</t>
  </si>
  <si>
    <t>JACLINE VACCATED</t>
  </si>
  <si>
    <t>PAID ON 15/12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</si>
</sst>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0" fillId="0" borderId="4" xfId="0" applyBorder="1"/>
    <xf numFmtId="164" fontId="9" fillId="0" borderId="4" xfId="1" applyNumberFormat="1" applyFont="1" applyFill="1" applyBorder="1" applyAlignment="1">
      <alignment horizontal="right"/>
    </xf>
    <xf numFmtId="43" fontId="11" fillId="0" borderId="1" xfId="1" applyFont="1" applyBorder="1" applyAlignment="1">
      <alignment horizontal="left"/>
    </xf>
    <xf numFmtId="0" fontId="11" fillId="0" borderId="1" xfId="0" applyFont="1" applyFill="1" applyBorder="1"/>
    <xf numFmtId="3" fontId="0" fillId="0" borderId="0" xfId="0" applyNumberFormat="1"/>
    <xf numFmtId="0" fontId="16" fillId="0" borderId="4" xfId="0" applyFont="1" applyBorder="1"/>
    <xf numFmtId="164" fontId="0" fillId="0" borderId="1" xfId="0" applyNumberForma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1" xfId="0" applyFont="1" applyFill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/>
    <xf numFmtId="0" fontId="13" fillId="0" borderId="1" xfId="0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12" fillId="0" borderId="1" xfId="0" applyFont="1" applyFill="1" applyBorder="1"/>
    <xf numFmtId="164" fontId="18" fillId="0" borderId="1" xfId="0" applyNumberFormat="1" applyFont="1" applyBorder="1"/>
    <xf numFmtId="0" fontId="18" fillId="0" borderId="4" xfId="0" applyFont="1" applyBorder="1"/>
    <xf numFmtId="0" fontId="15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43" fontId="12" fillId="0" borderId="1" xfId="1" applyFont="1" applyBorder="1" applyAlignment="1">
      <alignment horizontal="left"/>
    </xf>
    <xf numFmtId="43" fontId="19" fillId="0" borderId="1" xfId="1" applyFont="1" applyBorder="1" applyAlignment="1">
      <alignment horizontal="left"/>
    </xf>
    <xf numFmtId="0" fontId="20" fillId="0" borderId="1" xfId="0" applyFont="1" applyFill="1" applyBorder="1"/>
    <xf numFmtId="164" fontId="13" fillId="0" borderId="4" xfId="1" applyNumberFormat="1" applyFont="1" applyFill="1" applyBorder="1" applyAlignment="1">
      <alignment horizontal="right"/>
    </xf>
    <xf numFmtId="164" fontId="18" fillId="0" borderId="0" xfId="0" applyNumberFormat="1" applyFont="1"/>
    <xf numFmtId="164" fontId="15" fillId="0" borderId="0" xfId="0" applyNumberFormat="1" applyFont="1"/>
    <xf numFmtId="9" fontId="15" fillId="0" borderId="1" xfId="0" applyNumberFormat="1" applyFont="1" applyBorder="1"/>
    <xf numFmtId="16" fontId="15" fillId="0" borderId="1" xfId="0" applyNumberFormat="1" applyFont="1" applyBorder="1"/>
    <xf numFmtId="164" fontId="15" fillId="0" borderId="1" xfId="0" applyNumberFormat="1" applyFont="1" applyBorder="1"/>
    <xf numFmtId="14" fontId="15" fillId="0" borderId="1" xfId="0" applyNumberFormat="1" applyFont="1" applyBorder="1"/>
    <xf numFmtId="43" fontId="13" fillId="0" borderId="0" xfId="1" applyFont="1" applyFill="1" applyBorder="1"/>
    <xf numFmtId="0" fontId="13" fillId="0" borderId="0" xfId="0" applyFont="1" applyBorder="1"/>
    <xf numFmtId="164" fontId="13" fillId="0" borderId="0" xfId="0" applyNumberFormat="1" applyFont="1" applyBorder="1"/>
    <xf numFmtId="3" fontId="18" fillId="0" borderId="0" xfId="0" applyNumberFormat="1" applyFont="1"/>
    <xf numFmtId="3" fontId="1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25">
          <cell r="E25">
            <v>3300</v>
          </cell>
        </row>
        <row r="28">
          <cell r="H28">
            <v>4600</v>
          </cell>
        </row>
        <row r="29">
          <cell r="H29">
            <v>4600</v>
          </cell>
        </row>
        <row r="31">
          <cell r="H31">
            <v>4600</v>
          </cell>
        </row>
        <row r="32">
          <cell r="H32">
            <v>4600</v>
          </cell>
        </row>
        <row r="33">
          <cell r="H33" t="str">
            <v>BL</v>
          </cell>
        </row>
        <row r="34">
          <cell r="H34">
            <v>4600</v>
          </cell>
        </row>
        <row r="35">
          <cell r="H35">
            <v>4600</v>
          </cell>
        </row>
        <row r="36">
          <cell r="H36">
            <v>4600</v>
          </cell>
        </row>
        <row r="37">
          <cell r="H37">
            <v>4600</v>
          </cell>
        </row>
        <row r="38">
          <cell r="H38">
            <v>4600</v>
          </cell>
        </row>
        <row r="39">
          <cell r="H39">
            <v>4600</v>
          </cell>
        </row>
        <row r="40">
          <cell r="H40">
            <v>4600</v>
          </cell>
        </row>
        <row r="41">
          <cell r="H41">
            <v>4600</v>
          </cell>
        </row>
        <row r="42">
          <cell r="H42">
            <v>4600</v>
          </cell>
        </row>
        <row r="43">
          <cell r="H43">
            <v>4600</v>
          </cell>
        </row>
        <row r="44">
          <cell r="H44">
            <v>4600</v>
          </cell>
        </row>
        <row r="45">
          <cell r="H45">
            <v>4600</v>
          </cell>
        </row>
        <row r="46">
          <cell r="H46">
            <v>893</v>
          </cell>
        </row>
        <row r="47">
          <cell r="H47">
            <v>893</v>
          </cell>
        </row>
        <row r="48">
          <cell r="H48">
            <v>893</v>
          </cell>
        </row>
      </sheetData>
      <sheetData sheetId="1">
        <row r="28">
          <cell r="C28">
            <v>0</v>
          </cell>
        </row>
      </sheetData>
      <sheetData sheetId="2">
        <row r="28">
          <cell r="E28">
            <v>36300</v>
          </cell>
        </row>
      </sheetData>
      <sheetData sheetId="3">
        <row r="28">
          <cell r="E28">
            <v>40300</v>
          </cell>
        </row>
      </sheetData>
      <sheetData sheetId="4">
        <row r="28">
          <cell r="E28">
            <v>20500</v>
          </cell>
        </row>
      </sheetData>
      <sheetData sheetId="5">
        <row r="28">
          <cell r="E28">
            <v>15500</v>
          </cell>
        </row>
      </sheetData>
      <sheetData sheetId="6">
        <row r="28">
          <cell r="E28">
            <v>21500</v>
          </cell>
        </row>
      </sheetData>
      <sheetData sheetId="7">
        <row r="28">
          <cell r="E28">
            <v>23500</v>
          </cell>
        </row>
      </sheetData>
      <sheetData sheetId="8">
        <row r="28">
          <cell r="E28">
            <v>21500</v>
          </cell>
        </row>
      </sheetData>
      <sheetData sheetId="9">
        <row r="28">
          <cell r="E28">
            <v>20000</v>
          </cell>
        </row>
      </sheetData>
      <sheetData sheetId="10">
        <row r="28">
          <cell r="E28">
            <v>29000</v>
          </cell>
        </row>
      </sheetData>
      <sheetData sheetId="11">
        <row r="28">
          <cell r="E28">
            <v>32000</v>
          </cell>
        </row>
      </sheetData>
      <sheetData sheetId="12">
        <row r="28">
          <cell r="E28">
            <v>38000</v>
          </cell>
        </row>
      </sheetData>
      <sheetData sheetId="13">
        <row r="28">
          <cell r="E28">
            <v>39000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>
        <row r="29">
          <cell r="E29">
            <v>25800</v>
          </cell>
        </row>
      </sheetData>
      <sheetData sheetId="1">
        <row r="23">
          <cell r="E23">
            <v>30300</v>
          </cell>
        </row>
      </sheetData>
      <sheetData sheetId="2">
        <row r="23">
          <cell r="E23">
            <v>24300</v>
          </cell>
        </row>
      </sheetData>
      <sheetData sheetId="3">
        <row r="23">
          <cell r="E23">
            <v>27800</v>
          </cell>
        </row>
      </sheetData>
      <sheetData sheetId="4">
        <row r="23">
          <cell r="E23">
            <v>23800</v>
          </cell>
        </row>
      </sheetData>
      <sheetData sheetId="5">
        <row r="23">
          <cell r="E23">
            <v>23800</v>
          </cell>
        </row>
      </sheetData>
      <sheetData sheetId="6">
        <row r="23">
          <cell r="E23">
            <v>32300</v>
          </cell>
        </row>
      </sheetData>
      <sheetData sheetId="7">
        <row r="23">
          <cell r="E23">
            <v>30300</v>
          </cell>
        </row>
      </sheetData>
      <sheetData sheetId="8">
        <row r="23">
          <cell r="E23">
            <v>32300</v>
          </cell>
        </row>
      </sheetData>
      <sheetData sheetId="9">
        <row r="23">
          <cell r="E23">
            <v>32100</v>
          </cell>
        </row>
      </sheetData>
      <sheetData sheetId="10">
        <row r="23">
          <cell r="E23">
            <v>32100</v>
          </cell>
        </row>
      </sheetData>
      <sheetData sheetId="11">
        <row r="23">
          <cell r="E23">
            <v>33100</v>
          </cell>
        </row>
      </sheetData>
      <sheetData sheetId="12">
        <row r="23">
          <cell r="E23">
            <v>34100</v>
          </cell>
        </row>
      </sheetData>
      <sheetData sheetId="13">
        <row r="23">
          <cell r="E23">
            <v>34100</v>
          </cell>
        </row>
      </sheetData>
      <sheetData sheetId="14">
        <row r="23">
          <cell r="E23">
            <v>34100</v>
          </cell>
        </row>
      </sheetData>
      <sheetData sheetId="15">
        <row r="23">
          <cell r="E23">
            <v>34100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20" workbookViewId="0">
      <selection activeCell="J51" sqref="J51"/>
    </sheetView>
  </sheetViews>
  <sheetFormatPr defaultRowHeight="15" x14ac:dyDescent="0.25"/>
  <cols>
    <col min="1" max="1" width="20.7109375" customWidth="1"/>
    <col min="4" max="4" width="9.28515625" customWidth="1"/>
    <col min="5" max="5" width="9.5703125" bestFit="1" customWidth="1"/>
  </cols>
  <sheetData>
    <row r="1" spans="1:9" ht="15.75" x14ac:dyDescent="0.25">
      <c r="B1" s="1" t="s">
        <v>28</v>
      </c>
      <c r="C1" s="1"/>
      <c r="D1" s="1"/>
      <c r="E1" s="1"/>
      <c r="F1" s="2"/>
      <c r="G1" s="3"/>
      <c r="H1" s="3"/>
      <c r="I1" s="3"/>
    </row>
    <row r="2" spans="1:9" ht="15.75" x14ac:dyDescent="0.25">
      <c r="A2" s="3"/>
      <c r="B2" s="1" t="s">
        <v>0</v>
      </c>
      <c r="D2" s="1"/>
      <c r="E2" s="1"/>
      <c r="F2" s="4"/>
      <c r="G2" s="3"/>
      <c r="H2" s="3"/>
      <c r="I2" s="3"/>
    </row>
    <row r="3" spans="1:9" ht="18.75" x14ac:dyDescent="0.3">
      <c r="A3" s="5"/>
      <c r="B3" s="1" t="s">
        <v>29</v>
      </c>
      <c r="C3" s="1"/>
      <c r="D3" s="1"/>
      <c r="E3" s="1"/>
      <c r="F3" s="6"/>
      <c r="G3" s="7"/>
      <c r="H3" s="3"/>
      <c r="I3" s="3"/>
    </row>
    <row r="4" spans="1:9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</row>
    <row r="5" spans="1:9" x14ac:dyDescent="0.25">
      <c r="A5" s="51" t="s">
        <v>39</v>
      </c>
      <c r="B5" s="13">
        <v>1</v>
      </c>
      <c r="C5" s="14"/>
      <c r="D5" s="15"/>
      <c r="E5" s="16"/>
      <c r="F5" s="16">
        <f>C5+D5+E5</f>
        <v>0</v>
      </c>
      <c r="G5" s="16"/>
      <c r="H5" s="17">
        <f>F5-G5</f>
        <v>0</v>
      </c>
      <c r="I5" s="15"/>
    </row>
    <row r="6" spans="1:9" x14ac:dyDescent="0.25">
      <c r="A6" s="53" t="s">
        <v>39</v>
      </c>
      <c r="B6" s="13">
        <v>2</v>
      </c>
      <c r="C6" s="14"/>
      <c r="D6" s="15"/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</row>
    <row r="7" spans="1:9" x14ac:dyDescent="0.25">
      <c r="A7" s="18" t="s">
        <v>40</v>
      </c>
      <c r="B7" s="13">
        <v>3</v>
      </c>
      <c r="C7" s="14"/>
      <c r="D7" s="15"/>
      <c r="E7" s="16">
        <v>2700</v>
      </c>
      <c r="F7" s="16">
        <f t="shared" si="0"/>
        <v>2700</v>
      </c>
      <c r="G7" s="16">
        <f>2000+700</f>
        <v>2700</v>
      </c>
      <c r="H7" s="17">
        <f t="shared" si="1"/>
        <v>0</v>
      </c>
      <c r="I7" s="15"/>
    </row>
    <row r="8" spans="1:9" x14ac:dyDescent="0.25">
      <c r="A8" s="24" t="s">
        <v>39</v>
      </c>
      <c r="B8" s="13">
        <v>4</v>
      </c>
      <c r="C8" s="14"/>
      <c r="D8" s="15"/>
      <c r="E8" s="16"/>
      <c r="F8" s="16">
        <f t="shared" si="0"/>
        <v>0</v>
      </c>
      <c r="G8" s="16"/>
      <c r="H8" s="17">
        <f>F8-G8</f>
        <v>0</v>
      </c>
      <c r="I8" s="15"/>
    </row>
    <row r="9" spans="1:9" x14ac:dyDescent="0.25">
      <c r="A9" s="24" t="s">
        <v>39</v>
      </c>
      <c r="B9" s="13">
        <v>5</v>
      </c>
      <c r="C9" s="14"/>
      <c r="D9" s="15"/>
      <c r="E9" s="16"/>
      <c r="F9" s="16">
        <f t="shared" si="0"/>
        <v>0</v>
      </c>
      <c r="G9" s="16"/>
      <c r="H9" s="17">
        <f t="shared" si="1"/>
        <v>0</v>
      </c>
      <c r="I9" s="15"/>
    </row>
    <row r="10" spans="1:9" x14ac:dyDescent="0.25">
      <c r="A10" s="20" t="s">
        <v>41</v>
      </c>
      <c r="B10" s="13">
        <v>6</v>
      </c>
      <c r="C10" s="14"/>
      <c r="D10" s="15"/>
      <c r="E10" s="16">
        <v>2700</v>
      </c>
      <c r="F10" s="16">
        <f>C10+D10+E10</f>
        <v>2700</v>
      </c>
      <c r="G10" s="16"/>
      <c r="H10" s="17">
        <f t="shared" si="1"/>
        <v>2700</v>
      </c>
      <c r="I10" s="15"/>
    </row>
    <row r="11" spans="1:9" x14ac:dyDescent="0.25">
      <c r="A11" s="19" t="s">
        <v>42</v>
      </c>
      <c r="B11" s="13">
        <v>7</v>
      </c>
      <c r="C11" s="14"/>
      <c r="D11" s="15"/>
      <c r="E11" s="16">
        <v>2700</v>
      </c>
      <c r="F11" s="16">
        <f t="shared" si="0"/>
        <v>2700</v>
      </c>
      <c r="G11" s="16">
        <f>2700</f>
        <v>2700</v>
      </c>
      <c r="H11" s="17">
        <f t="shared" si="1"/>
        <v>0</v>
      </c>
      <c r="I11" s="15"/>
    </row>
    <row r="12" spans="1:9" x14ac:dyDescent="0.25">
      <c r="A12" s="21" t="s">
        <v>43</v>
      </c>
      <c r="B12" s="13">
        <v>8</v>
      </c>
      <c r="C12" s="14"/>
      <c r="D12" s="15"/>
      <c r="E12" s="16">
        <v>2700</v>
      </c>
      <c r="F12" s="16">
        <f t="shared" si="0"/>
        <v>2700</v>
      </c>
      <c r="G12" s="16">
        <f>2000</f>
        <v>2000</v>
      </c>
      <c r="H12" s="17">
        <f t="shared" si="1"/>
        <v>700</v>
      </c>
      <c r="I12" s="15"/>
    </row>
    <row r="13" spans="1:9" x14ac:dyDescent="0.25">
      <c r="A13" s="50" t="s">
        <v>39</v>
      </c>
      <c r="B13" s="13">
        <v>9</v>
      </c>
      <c r="C13" s="14"/>
      <c r="D13" s="15"/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2" t="s">
        <v>44</v>
      </c>
      <c r="B14" s="23">
        <v>10</v>
      </c>
      <c r="C14" s="14"/>
      <c r="D14" s="15"/>
      <c r="E14" s="16">
        <v>2700</v>
      </c>
      <c r="F14" s="16">
        <f t="shared" si="0"/>
        <v>2700</v>
      </c>
      <c r="G14" s="16"/>
      <c r="H14" s="17">
        <f t="shared" si="1"/>
        <v>2700</v>
      </c>
      <c r="I14" s="15"/>
    </row>
    <row r="15" spans="1:9" x14ac:dyDescent="0.25">
      <c r="A15" s="20" t="s">
        <v>45</v>
      </c>
      <c r="B15" s="13">
        <v>11</v>
      </c>
      <c r="C15" s="14"/>
      <c r="D15" s="15"/>
      <c r="E15" s="16">
        <v>2700</v>
      </c>
      <c r="F15" s="16">
        <f t="shared" si="0"/>
        <v>2700</v>
      </c>
      <c r="G15" s="16"/>
      <c r="H15" s="17">
        <f t="shared" si="1"/>
        <v>2700</v>
      </c>
      <c r="I15" s="15"/>
    </row>
    <row r="16" spans="1:9" x14ac:dyDescent="0.25">
      <c r="A16" s="20" t="s">
        <v>46</v>
      </c>
      <c r="B16" s="23">
        <v>12</v>
      </c>
      <c r="C16" s="14"/>
      <c r="D16" s="15"/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0" t="s">
        <v>47</v>
      </c>
      <c r="B17" s="13">
        <v>13</v>
      </c>
      <c r="C17" s="14"/>
      <c r="D17" s="15"/>
      <c r="E17" s="16">
        <v>2700</v>
      </c>
      <c r="F17" s="16">
        <f t="shared" si="0"/>
        <v>2700</v>
      </c>
      <c r="G17" s="16">
        <f>2500</f>
        <v>2500</v>
      </c>
      <c r="H17" s="17">
        <f t="shared" si="1"/>
        <v>200</v>
      </c>
      <c r="I17" s="15"/>
    </row>
    <row r="18" spans="1:10" x14ac:dyDescent="0.25">
      <c r="A18" s="20" t="s">
        <v>48</v>
      </c>
      <c r="B18" s="23">
        <v>14</v>
      </c>
      <c r="C18" s="14"/>
      <c r="D18" s="15"/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</row>
    <row r="19" spans="1:10" x14ac:dyDescent="0.25">
      <c r="A19" s="20" t="s">
        <v>49</v>
      </c>
      <c r="B19" s="13">
        <v>15</v>
      </c>
      <c r="C19" s="14"/>
      <c r="D19" s="15"/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20" t="s">
        <v>50</v>
      </c>
      <c r="B20" s="23">
        <v>16</v>
      </c>
      <c r="C20" s="14"/>
      <c r="D20" s="15"/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</row>
    <row r="21" spans="1:10" x14ac:dyDescent="0.25">
      <c r="A21" s="20" t="s">
        <v>51</v>
      </c>
      <c r="B21" s="13">
        <v>17</v>
      </c>
      <c r="C21" s="14"/>
      <c r="D21" s="15"/>
      <c r="E21" s="49">
        <v>2200</v>
      </c>
      <c r="F21" s="16">
        <f>C21+D21+E21</f>
        <v>2200</v>
      </c>
      <c r="G21" s="16"/>
      <c r="H21" s="17">
        <f t="shared" si="1"/>
        <v>2200</v>
      </c>
      <c r="I21" s="15"/>
    </row>
    <row r="22" spans="1:10" x14ac:dyDescent="0.25">
      <c r="A22" s="20" t="s">
        <v>52</v>
      </c>
      <c r="B22" s="23">
        <v>18</v>
      </c>
      <c r="C22" s="14"/>
      <c r="D22" s="15"/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</row>
    <row r="23" spans="1:10" x14ac:dyDescent="0.25">
      <c r="A23" s="20" t="s">
        <v>53</v>
      </c>
      <c r="B23" s="13">
        <v>19</v>
      </c>
      <c r="C23" s="14"/>
      <c r="D23" s="15"/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</row>
    <row r="24" spans="1:10" x14ac:dyDescent="0.25">
      <c r="A24" s="20" t="s">
        <v>54</v>
      </c>
      <c r="B24" s="23">
        <v>20</v>
      </c>
      <c r="C24" s="14"/>
      <c r="D24" s="15"/>
      <c r="E24" s="16">
        <v>2700</v>
      </c>
      <c r="F24" s="16">
        <f t="shared" si="0"/>
        <v>2700</v>
      </c>
      <c r="G24" s="16"/>
      <c r="H24" s="17">
        <f t="shared" si="1"/>
        <v>2700</v>
      </c>
      <c r="I24" s="15"/>
    </row>
    <row r="25" spans="1:10" x14ac:dyDescent="0.25">
      <c r="A25" s="22" t="s">
        <v>66</v>
      </c>
      <c r="B25" s="13">
        <v>21</v>
      </c>
      <c r="C25" s="14"/>
      <c r="D25" s="15"/>
      <c r="E25" s="16">
        <v>2500</v>
      </c>
      <c r="F25" s="16">
        <f t="shared" si="0"/>
        <v>2500</v>
      </c>
      <c r="G25" s="16">
        <v>2500</v>
      </c>
      <c r="H25" s="17">
        <f t="shared" si="1"/>
        <v>0</v>
      </c>
      <c r="I25" s="15"/>
    </row>
    <row r="26" spans="1:10" x14ac:dyDescent="0.25">
      <c r="A26" s="18" t="s">
        <v>55</v>
      </c>
      <c r="B26" s="23">
        <v>22</v>
      </c>
      <c r="C26" s="14"/>
      <c r="D26" s="15"/>
      <c r="E26" s="16">
        <v>2700</v>
      </c>
      <c r="F26" s="16">
        <f>C26+D26+E26</f>
        <v>2700</v>
      </c>
      <c r="G26" s="16"/>
      <c r="H26" s="17">
        <f t="shared" si="1"/>
        <v>2700</v>
      </c>
      <c r="I26" s="15"/>
      <c r="J26" t="s">
        <v>74</v>
      </c>
    </row>
    <row r="27" spans="1:10" x14ac:dyDescent="0.25">
      <c r="A27" s="12" t="s">
        <v>56</v>
      </c>
      <c r="B27" s="13">
        <v>23</v>
      </c>
      <c r="C27" s="14"/>
      <c r="D27" s="15">
        <v>700</v>
      </c>
      <c r="E27" s="16">
        <v>2700</v>
      </c>
      <c r="F27" s="16">
        <f t="shared" si="0"/>
        <v>3400</v>
      </c>
      <c r="G27" s="16">
        <v>2300</v>
      </c>
      <c r="H27" s="17">
        <f t="shared" si="1"/>
        <v>1100</v>
      </c>
      <c r="I27" s="15"/>
    </row>
    <row r="28" spans="1:10" x14ac:dyDescent="0.25">
      <c r="A28" s="12" t="s">
        <v>57</v>
      </c>
      <c r="B28" s="23">
        <v>24</v>
      </c>
      <c r="C28" s="14"/>
      <c r="D28" s="15"/>
      <c r="E28" s="16">
        <v>2700</v>
      </c>
      <c r="F28" s="16">
        <f>C28+D28+E28</f>
        <v>2700</v>
      </c>
      <c r="G28" s="16">
        <f>200+2500</f>
        <v>2700</v>
      </c>
      <c r="H28" s="17">
        <f>F28-G28</f>
        <v>0</v>
      </c>
      <c r="I28" s="15"/>
    </row>
    <row r="29" spans="1:10" x14ac:dyDescent="0.25">
      <c r="A29" s="12" t="s">
        <v>58</v>
      </c>
      <c r="B29" s="13">
        <v>25</v>
      </c>
      <c r="C29" s="14"/>
      <c r="D29" s="15">
        <v>10800</v>
      </c>
      <c r="E29" s="16">
        <v>2700</v>
      </c>
      <c r="F29" s="16">
        <f>C29+D29+E29</f>
        <v>13500</v>
      </c>
      <c r="G29" s="16">
        <f>2000</f>
        <v>2000</v>
      </c>
      <c r="H29" s="17">
        <f>F29-G29</f>
        <v>11500</v>
      </c>
      <c r="I29" s="15"/>
    </row>
    <row r="30" spans="1:10" x14ac:dyDescent="0.25">
      <c r="A30" s="24" t="s">
        <v>39</v>
      </c>
      <c r="B30" s="23">
        <v>26</v>
      </c>
      <c r="C30" s="14"/>
      <c r="D30" s="15"/>
      <c r="E30" s="16"/>
      <c r="F30" s="16">
        <f t="shared" ref="F30:F36" si="2">C30+D30+E30</f>
        <v>0</v>
      </c>
      <c r="G30" s="16"/>
      <c r="H30" s="17">
        <f t="shared" ref="H30:H36" si="3">F30-G30</f>
        <v>0</v>
      </c>
      <c r="I30" s="15"/>
    </row>
    <row r="31" spans="1:10" x14ac:dyDescent="0.25">
      <c r="A31" s="22" t="s">
        <v>59</v>
      </c>
      <c r="B31" s="23" t="s">
        <v>33</v>
      </c>
      <c r="C31" s="14"/>
      <c r="D31" s="15"/>
      <c r="E31" s="16">
        <v>6400</v>
      </c>
      <c r="F31" s="16">
        <f t="shared" si="2"/>
        <v>6400</v>
      </c>
      <c r="G31" s="16">
        <v>6400</v>
      </c>
      <c r="H31" s="17">
        <f t="shared" si="3"/>
        <v>0</v>
      </c>
      <c r="I31" s="15"/>
    </row>
    <row r="32" spans="1:10" x14ac:dyDescent="0.25">
      <c r="A32" s="22" t="s">
        <v>60</v>
      </c>
      <c r="B32" s="23" t="s">
        <v>34</v>
      </c>
      <c r="C32" s="14"/>
      <c r="D32" s="15"/>
      <c r="E32" s="16">
        <v>6400</v>
      </c>
      <c r="F32" s="16">
        <f t="shared" si="2"/>
        <v>6400</v>
      </c>
      <c r="G32" s="16">
        <f>4000</f>
        <v>4000</v>
      </c>
      <c r="H32" s="17">
        <f t="shared" si="3"/>
        <v>2400</v>
      </c>
      <c r="I32" s="15"/>
    </row>
    <row r="33" spans="1:9" x14ac:dyDescent="0.25">
      <c r="A33" s="22" t="s">
        <v>61</v>
      </c>
      <c r="B33" s="23" t="s">
        <v>35</v>
      </c>
      <c r="C33" s="14"/>
      <c r="D33" s="15"/>
      <c r="E33" s="16">
        <v>6400</v>
      </c>
      <c r="F33" s="16">
        <f t="shared" si="2"/>
        <v>6400</v>
      </c>
      <c r="G33" s="16">
        <v>6400</v>
      </c>
      <c r="H33" s="17">
        <f t="shared" si="3"/>
        <v>0</v>
      </c>
      <c r="I33" s="15"/>
    </row>
    <row r="34" spans="1:9" x14ac:dyDescent="0.25">
      <c r="A34" s="24" t="s">
        <v>62</v>
      </c>
      <c r="B34" s="23" t="s">
        <v>36</v>
      </c>
      <c r="C34" s="14"/>
      <c r="D34" s="15"/>
      <c r="E34" s="16">
        <v>7400</v>
      </c>
      <c r="F34" s="16">
        <f>C34+D34+E34</f>
        <v>7400</v>
      </c>
      <c r="G34" s="16">
        <v>7400</v>
      </c>
      <c r="H34" s="17">
        <f t="shared" si="3"/>
        <v>0</v>
      </c>
      <c r="I34" s="15"/>
    </row>
    <row r="35" spans="1:9" x14ac:dyDescent="0.25">
      <c r="A35" s="22" t="s">
        <v>63</v>
      </c>
      <c r="B35" s="23" t="s">
        <v>37</v>
      </c>
      <c r="C35" s="14"/>
      <c r="D35" s="15"/>
      <c r="E35" s="16">
        <v>7000</v>
      </c>
      <c r="F35" s="16">
        <f t="shared" si="2"/>
        <v>7000</v>
      </c>
      <c r="G35" s="16">
        <v>5000</v>
      </c>
      <c r="H35" s="17">
        <f t="shared" si="3"/>
        <v>2000</v>
      </c>
      <c r="I35" s="15"/>
    </row>
    <row r="36" spans="1:9" x14ac:dyDescent="0.25">
      <c r="A36" s="22" t="s">
        <v>64</v>
      </c>
      <c r="B36" s="23" t="s">
        <v>38</v>
      </c>
      <c r="C36" s="14"/>
      <c r="D36" s="15"/>
      <c r="E36" s="16">
        <v>14000</v>
      </c>
      <c r="F36" s="16">
        <f t="shared" si="2"/>
        <v>14000</v>
      </c>
      <c r="G36" s="16">
        <v>7000</v>
      </c>
      <c r="H36" s="17">
        <f t="shared" si="3"/>
        <v>7000</v>
      </c>
      <c r="I36" s="15"/>
    </row>
    <row r="37" spans="1:9" x14ac:dyDescent="0.25">
      <c r="A37" s="25" t="s">
        <v>11</v>
      </c>
      <c r="B37" s="26"/>
      <c r="C37" s="14">
        <f t="shared" ref="C37:H37" si="4">SUM(C5:C36)</f>
        <v>0</v>
      </c>
      <c r="D37" s="15">
        <f t="shared" si="4"/>
        <v>11500</v>
      </c>
      <c r="E37" s="27">
        <f t="shared" si="4"/>
        <v>96100</v>
      </c>
      <c r="F37" s="16">
        <f t="shared" si="4"/>
        <v>107600</v>
      </c>
      <c r="G37" s="16">
        <f t="shared" si="4"/>
        <v>67000</v>
      </c>
      <c r="H37" s="16">
        <f t="shared" si="4"/>
        <v>40600</v>
      </c>
      <c r="I37" s="15"/>
    </row>
    <row r="38" spans="1:9" x14ac:dyDescent="0.25">
      <c r="D38" s="15">
        <f>'[1]OCTOBER 20'!H28:H50</f>
        <v>4600</v>
      </c>
      <c r="F38" s="16"/>
      <c r="H38" s="28"/>
      <c r="I38" s="3"/>
    </row>
    <row r="40" spans="1:9" x14ac:dyDescent="0.25">
      <c r="A40" s="3" t="s">
        <v>12</v>
      </c>
      <c r="B40" s="29"/>
      <c r="C40" s="30"/>
      <c r="D40" s="31"/>
      <c r="E40" s="32"/>
      <c r="G40" s="32"/>
      <c r="H40" s="34">
        <f>H7+H12</f>
        <v>700</v>
      </c>
      <c r="I40" s="3"/>
    </row>
    <row r="41" spans="1:9" x14ac:dyDescent="0.25">
      <c r="A41" s="35" t="s">
        <v>13</v>
      </c>
      <c r="B41" s="35"/>
      <c r="C41" s="35"/>
      <c r="D41" s="36"/>
      <c r="E41" s="35" t="s">
        <v>7</v>
      </c>
      <c r="F41" s="33"/>
      <c r="G41" s="3"/>
      <c r="H41" s="3"/>
      <c r="I41" s="3"/>
    </row>
    <row r="42" spans="1:9" x14ac:dyDescent="0.25">
      <c r="A42" s="37" t="s">
        <v>14</v>
      </c>
      <c r="B42" s="37" t="s">
        <v>15</v>
      </c>
      <c r="C42" s="37" t="s">
        <v>16</v>
      </c>
      <c r="D42" s="37" t="s">
        <v>17</v>
      </c>
      <c r="E42" s="37" t="s">
        <v>14</v>
      </c>
      <c r="F42" s="3"/>
      <c r="G42" s="37" t="s">
        <v>16</v>
      </c>
      <c r="H42" s="37" t="s">
        <v>17</v>
      </c>
      <c r="I42" s="3"/>
    </row>
    <row r="43" spans="1:9" x14ac:dyDescent="0.25">
      <c r="A43" s="26" t="s">
        <v>30</v>
      </c>
      <c r="B43" s="38">
        <f>E37</f>
        <v>96100</v>
      </c>
      <c r="C43" s="26"/>
      <c r="D43" s="26"/>
      <c r="E43" s="26" t="s">
        <v>30</v>
      </c>
      <c r="F43" s="37" t="s">
        <v>15</v>
      </c>
      <c r="G43" s="26"/>
      <c r="H43" s="26"/>
      <c r="I43" s="34"/>
    </row>
    <row r="44" spans="1:9" x14ac:dyDescent="0.25">
      <c r="A44" s="26" t="s">
        <v>18</v>
      </c>
      <c r="B44" s="38">
        <f>'[2]DECEMBER 20'!D54</f>
        <v>0</v>
      </c>
      <c r="C44" s="26"/>
      <c r="D44" s="26"/>
      <c r="E44" s="26" t="s">
        <v>18</v>
      </c>
      <c r="F44" s="38">
        <f>G37</f>
        <v>67000</v>
      </c>
      <c r="G44" s="26"/>
      <c r="H44" s="26"/>
      <c r="I44" s="34"/>
    </row>
    <row r="45" spans="1:9" x14ac:dyDescent="0.25">
      <c r="A45" s="26" t="s">
        <v>9</v>
      </c>
      <c r="B45" s="38">
        <f>I37</f>
        <v>0</v>
      </c>
      <c r="C45" s="26"/>
      <c r="D45" s="26"/>
      <c r="E45" s="26"/>
      <c r="F45" s="38">
        <f>'[2]DECEMBER 20'!H54</f>
        <v>0</v>
      </c>
      <c r="G45" s="26"/>
      <c r="H45" s="26"/>
      <c r="I45" s="34" t="s">
        <v>19</v>
      </c>
    </row>
    <row r="46" spans="1:9" x14ac:dyDescent="0.25">
      <c r="A46" s="26" t="s">
        <v>31</v>
      </c>
      <c r="B46" s="38"/>
      <c r="C46" s="26"/>
      <c r="D46" s="26"/>
      <c r="E46" s="26"/>
      <c r="F46" s="38"/>
      <c r="G46" s="26"/>
      <c r="H46" s="26"/>
      <c r="I46" s="3"/>
    </row>
    <row r="47" spans="1:9" x14ac:dyDescent="0.25">
      <c r="A47" s="26" t="s">
        <v>20</v>
      </c>
      <c r="B47" s="39">
        <v>0.1</v>
      </c>
      <c r="C47" s="38">
        <f>B47*B43</f>
        <v>9610</v>
      </c>
      <c r="D47" s="26"/>
      <c r="E47" s="26" t="s">
        <v>20</v>
      </c>
      <c r="F47" s="38"/>
      <c r="G47" s="38">
        <f>F48*B43</f>
        <v>9610</v>
      </c>
      <c r="H47" s="26"/>
      <c r="I47" s="3"/>
    </row>
    <row r="48" spans="1:9" x14ac:dyDescent="0.25">
      <c r="A48" s="37" t="s">
        <v>21</v>
      </c>
      <c r="B48" s="26" t="s">
        <v>22</v>
      </c>
      <c r="C48" s="26"/>
      <c r="D48" s="26"/>
      <c r="E48" s="37" t="s">
        <v>21</v>
      </c>
      <c r="F48" s="39">
        <v>0.1</v>
      </c>
      <c r="G48" s="26"/>
      <c r="H48" s="26"/>
      <c r="I48" s="34"/>
    </row>
    <row r="49" spans="1:9" x14ac:dyDescent="0.25">
      <c r="A49" s="41" t="s">
        <v>23</v>
      </c>
      <c r="B49" s="39">
        <v>0.3</v>
      </c>
      <c r="C49" s="42"/>
      <c r="D49" s="26"/>
      <c r="E49" s="41" t="s">
        <v>23</v>
      </c>
      <c r="F49" s="40"/>
      <c r="G49" s="42"/>
      <c r="H49" s="26"/>
      <c r="I49" s="3"/>
    </row>
    <row r="50" spans="1:9" x14ac:dyDescent="0.25">
      <c r="A50" s="40" t="s">
        <v>65</v>
      </c>
      <c r="C50">
        <v>18102</v>
      </c>
      <c r="D50" s="42"/>
      <c r="E50" s="40" t="s">
        <v>65</v>
      </c>
      <c r="G50">
        <v>18102</v>
      </c>
      <c r="H50" s="26"/>
      <c r="I50" s="3"/>
    </row>
    <row r="51" spans="1:9" x14ac:dyDescent="0.25">
      <c r="A51" s="40" t="s">
        <v>65</v>
      </c>
      <c r="B51" s="39"/>
      <c r="C51" s="26">
        <f>5055</f>
        <v>5055</v>
      </c>
      <c r="D51" s="26"/>
      <c r="E51" s="40" t="s">
        <v>65</v>
      </c>
      <c r="F51" s="39"/>
      <c r="G51" s="26">
        <f>5055</f>
        <v>5055</v>
      </c>
      <c r="H51" s="26"/>
      <c r="I51" s="34"/>
    </row>
    <row r="52" spans="1:9" x14ac:dyDescent="0.25">
      <c r="A52" s="40" t="s">
        <v>67</v>
      </c>
      <c r="B52" s="39"/>
      <c r="C52" s="26">
        <v>18000</v>
      </c>
      <c r="D52" s="26"/>
      <c r="E52" s="40" t="s">
        <v>67</v>
      </c>
      <c r="F52" s="39"/>
      <c r="G52" s="26">
        <v>18000</v>
      </c>
      <c r="H52" s="26"/>
      <c r="I52" s="43"/>
    </row>
    <row r="53" spans="1:9" x14ac:dyDescent="0.25">
      <c r="A53" s="40" t="s">
        <v>75</v>
      </c>
      <c r="B53" s="26"/>
      <c r="C53" s="42">
        <v>2700</v>
      </c>
      <c r="D53" s="26"/>
      <c r="E53" s="40"/>
      <c r="F53" s="39"/>
      <c r="G53" s="42"/>
      <c r="H53" s="26"/>
      <c r="I53" s="3"/>
    </row>
    <row r="54" spans="1:9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9" x14ac:dyDescent="0.25">
      <c r="A55" s="40"/>
      <c r="B55" s="26"/>
      <c r="C55" s="42"/>
      <c r="D55" s="26"/>
      <c r="E55" s="40"/>
      <c r="F55" s="26"/>
      <c r="G55" s="42"/>
      <c r="H55" s="26"/>
      <c r="I55" s="3"/>
    </row>
    <row r="56" spans="1:9" x14ac:dyDescent="0.25">
      <c r="A56" s="40"/>
      <c r="B56" s="26"/>
      <c r="C56" s="42"/>
      <c r="D56" s="26"/>
      <c r="E56" s="40"/>
      <c r="F56" s="26"/>
      <c r="G56" s="42"/>
      <c r="H56" s="26"/>
      <c r="I56" s="3"/>
    </row>
    <row r="57" spans="1:9" x14ac:dyDescent="0.25">
      <c r="A57" s="37" t="s">
        <v>11</v>
      </c>
      <c r="B57" s="44">
        <f>B46+B43+B44+B45-C47</f>
        <v>86490</v>
      </c>
      <c r="C57" s="44">
        <f>SUM(C49:C56)</f>
        <v>43857</v>
      </c>
      <c r="D57" s="44">
        <f>B57-C57</f>
        <v>42633</v>
      </c>
      <c r="E57" s="37" t="s">
        <v>11</v>
      </c>
      <c r="F57" s="26"/>
      <c r="G57" s="44">
        <f>SUM(G49:G56)</f>
        <v>41157</v>
      </c>
      <c r="H57" s="44">
        <f>F58-G57</f>
        <v>16233</v>
      </c>
      <c r="I57" s="43"/>
    </row>
    <row r="58" spans="1:9" x14ac:dyDescent="0.25">
      <c r="A58" s="45" t="s">
        <v>24</v>
      </c>
      <c r="B58" s="46"/>
      <c r="C58" s="46" t="s">
        <v>25</v>
      </c>
      <c r="D58" s="47"/>
      <c r="E58" s="45"/>
      <c r="F58" s="44">
        <f>F44+F45+F47-G47</f>
        <v>57390</v>
      </c>
      <c r="G58" s="3"/>
      <c r="H58" s="3"/>
      <c r="I58" s="3"/>
    </row>
    <row r="59" spans="1:9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9" x14ac:dyDescent="0.25">
      <c r="F60" s="45" t="s">
        <v>32</v>
      </c>
    </row>
    <row r="63" spans="1:9" x14ac:dyDescent="0.25">
      <c r="H63" s="52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28" workbookViewId="0">
      <selection activeCell="G44" sqref="G44"/>
    </sheetView>
  </sheetViews>
  <sheetFormatPr defaultRowHeight="15" x14ac:dyDescent="0.25"/>
  <cols>
    <col min="1" max="1" width="22.42578125" style="56" customWidth="1"/>
    <col min="2" max="12" width="9.140625" style="56"/>
    <col min="13" max="13" width="20.85546875" style="56" customWidth="1"/>
    <col min="14" max="16384" width="9.140625" style="56"/>
  </cols>
  <sheetData>
    <row r="1" spans="1:21" ht="15.75" x14ac:dyDescent="0.25">
      <c r="B1" s="1" t="s">
        <v>28</v>
      </c>
      <c r="C1" s="1"/>
      <c r="D1" s="1"/>
      <c r="E1" s="1"/>
      <c r="F1" s="4"/>
      <c r="G1" s="35"/>
      <c r="H1" s="35"/>
      <c r="I1" s="35"/>
      <c r="N1" s="1" t="s">
        <v>28</v>
      </c>
      <c r="O1" s="1"/>
      <c r="P1" s="1"/>
      <c r="Q1" s="1"/>
    </row>
    <row r="2" spans="1:21" ht="15.75" x14ac:dyDescent="0.25">
      <c r="A2" s="35"/>
      <c r="B2" s="1" t="s">
        <v>0</v>
      </c>
      <c r="D2" s="1"/>
      <c r="E2" s="1"/>
      <c r="F2" s="4"/>
      <c r="G2" s="35"/>
      <c r="H2" s="35"/>
      <c r="I2" s="35"/>
      <c r="N2" s="1" t="s">
        <v>0</v>
      </c>
      <c r="P2" s="1"/>
      <c r="Q2" s="1"/>
    </row>
    <row r="3" spans="1:21" ht="18.75" x14ac:dyDescent="0.3">
      <c r="A3" s="5"/>
      <c r="B3" s="1" t="s">
        <v>166</v>
      </c>
      <c r="C3" s="1"/>
      <c r="D3" s="1"/>
      <c r="E3" s="1"/>
      <c r="F3" s="57"/>
      <c r="G3" s="58"/>
      <c r="H3" s="35"/>
      <c r="I3" s="35"/>
      <c r="N3" s="1" t="s">
        <v>167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</row>
    <row r="5" spans="1:21" x14ac:dyDescent="0.25">
      <c r="A5" s="59" t="s">
        <v>39</v>
      </c>
      <c r="B5" s="60">
        <v>1</v>
      </c>
      <c r="C5" s="61"/>
      <c r="D5" s="62">
        <f>'OCTOBER  21'!H5</f>
        <v>0</v>
      </c>
      <c r="E5" s="63"/>
      <c r="F5" s="63">
        <f>C5+D5+E5</f>
        <v>0</v>
      </c>
      <c r="G5" s="63"/>
      <c r="H5" s="64">
        <f>F5-G5</f>
        <v>0</v>
      </c>
      <c r="I5" s="62"/>
      <c r="M5" s="65" t="s">
        <v>83</v>
      </c>
      <c r="N5" s="60">
        <v>11</v>
      </c>
      <c r="O5" s="61"/>
      <c r="P5" s="62">
        <f>'OCTOBER  21'!T5</f>
        <v>2000</v>
      </c>
      <c r="Q5" s="63">
        <v>2000</v>
      </c>
      <c r="R5" s="66">
        <f>O5+P5+Q5</f>
        <v>4000</v>
      </c>
      <c r="S5" s="63"/>
      <c r="T5" s="64">
        <f>R5-S5</f>
        <v>4000</v>
      </c>
    </row>
    <row r="6" spans="1:21" x14ac:dyDescent="0.25">
      <c r="A6" s="67"/>
      <c r="B6" s="60">
        <v>2</v>
      </c>
      <c r="C6" s="61"/>
      <c r="D6" s="62">
        <f>'OCTOBER  21'!H6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M6" s="65" t="s">
        <v>83</v>
      </c>
      <c r="N6" s="68">
        <v>12</v>
      </c>
      <c r="O6" s="61"/>
      <c r="P6" s="62">
        <f>'OCTOBER  21'!T6</f>
        <v>3600</v>
      </c>
      <c r="Q6" s="63">
        <v>2000</v>
      </c>
      <c r="R6" s="66">
        <f t="shared" ref="R6:R22" si="2">O6+P6+Q6</f>
        <v>5600</v>
      </c>
      <c r="S6" s="63">
        <v>3000</v>
      </c>
      <c r="T6" s="64">
        <f t="shared" ref="T6:T24" si="3">R6-S6</f>
        <v>2600</v>
      </c>
    </row>
    <row r="7" spans="1:21" x14ac:dyDescent="0.25">
      <c r="A7" s="69" t="s">
        <v>120</v>
      </c>
      <c r="B7" s="60">
        <v>3</v>
      </c>
      <c r="C7" s="61"/>
      <c r="D7" s="62">
        <f>'OCTOBER  21'!H7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M7" s="65" t="s">
        <v>120</v>
      </c>
      <c r="N7" s="60">
        <v>13</v>
      </c>
      <c r="O7" s="61"/>
      <c r="P7" s="62">
        <f>'OCTOBER  21'!T7</f>
        <v>2000</v>
      </c>
      <c r="Q7" s="63">
        <v>2000</v>
      </c>
      <c r="R7" s="66">
        <f t="shared" si="2"/>
        <v>4000</v>
      </c>
      <c r="S7" s="63"/>
      <c r="T7" s="64">
        <f t="shared" si="3"/>
        <v>4000</v>
      </c>
    </row>
    <row r="8" spans="1:21" x14ac:dyDescent="0.25">
      <c r="A8" s="25" t="s">
        <v>119</v>
      </c>
      <c r="B8" s="60">
        <v>4</v>
      </c>
      <c r="C8" s="61"/>
      <c r="D8" s="62">
        <f>'OCTOBER  21'!H8</f>
        <v>0</v>
      </c>
      <c r="E8" s="63">
        <v>2700</v>
      </c>
      <c r="F8" s="63">
        <f t="shared" si="0"/>
        <v>2700</v>
      </c>
      <c r="G8" s="63">
        <v>2700</v>
      </c>
      <c r="H8" s="64">
        <f>F8-G8</f>
        <v>0</v>
      </c>
      <c r="I8" s="62"/>
      <c r="M8" s="65" t="s">
        <v>97</v>
      </c>
      <c r="N8" s="68">
        <v>14</v>
      </c>
      <c r="O8" s="61"/>
      <c r="P8" s="62">
        <f>'OCTOBER  21'!T8</f>
        <v>6000</v>
      </c>
      <c r="Q8" s="63">
        <v>2000</v>
      </c>
      <c r="R8" s="66">
        <f t="shared" si="2"/>
        <v>8000</v>
      </c>
      <c r="S8" s="63">
        <v>2000</v>
      </c>
      <c r="T8" s="64">
        <f t="shared" si="3"/>
        <v>6000</v>
      </c>
      <c r="U8" s="56" t="s">
        <v>101</v>
      </c>
    </row>
    <row r="9" spans="1:21" x14ac:dyDescent="0.25">
      <c r="A9" s="70" t="s">
        <v>129</v>
      </c>
      <c r="B9" s="60">
        <v>5</v>
      </c>
      <c r="C9" s="61"/>
      <c r="D9" s="62">
        <f>'OCTOBER  21'!H9</f>
        <v>4900</v>
      </c>
      <c r="E9" s="63">
        <v>2700</v>
      </c>
      <c r="F9" s="63">
        <f t="shared" si="0"/>
        <v>7600</v>
      </c>
      <c r="G9" s="63">
        <f>1300+1700</f>
        <v>3000</v>
      </c>
      <c r="H9" s="64">
        <f t="shared" si="1"/>
        <v>4600</v>
      </c>
      <c r="I9" s="62"/>
      <c r="M9" s="65" t="s">
        <v>85</v>
      </c>
      <c r="N9" s="60">
        <v>15</v>
      </c>
      <c r="O9" s="61"/>
      <c r="P9" s="62">
        <f>'OCTOBER  21'!T9</f>
        <v>4000</v>
      </c>
      <c r="Q9" s="63">
        <v>2000</v>
      </c>
      <c r="R9" s="66">
        <f t="shared" si="2"/>
        <v>6000</v>
      </c>
      <c r="S9" s="63"/>
      <c r="T9" s="64">
        <f t="shared" si="3"/>
        <v>6000</v>
      </c>
    </row>
    <row r="10" spans="1:21" x14ac:dyDescent="0.25">
      <c r="A10" s="65" t="s">
        <v>41</v>
      </c>
      <c r="B10" s="60">
        <v>6</v>
      </c>
      <c r="C10" s="61"/>
      <c r="D10" s="62">
        <f>'OCTOBER  21'!H10</f>
        <v>2650</v>
      </c>
      <c r="E10" s="63">
        <v>2700</v>
      </c>
      <c r="F10" s="63">
        <f>C10+D10+E10</f>
        <v>5350</v>
      </c>
      <c r="G10" s="63">
        <v>1700</v>
      </c>
      <c r="H10" s="64">
        <f t="shared" si="1"/>
        <v>3650</v>
      </c>
      <c r="I10" s="62"/>
      <c r="M10" s="65" t="s">
        <v>86</v>
      </c>
      <c r="N10" s="68">
        <v>16</v>
      </c>
      <c r="O10" s="61"/>
      <c r="P10" s="62">
        <f>'OCTOBER  21'!T10</f>
        <v>0</v>
      </c>
      <c r="Q10" s="63">
        <v>2000</v>
      </c>
      <c r="R10" s="66">
        <f t="shared" si="2"/>
        <v>2000</v>
      </c>
      <c r="S10" s="63">
        <v>2000</v>
      </c>
      <c r="T10" s="64">
        <f t="shared" si="3"/>
        <v>0</v>
      </c>
      <c r="U10" s="56" t="s">
        <v>101</v>
      </c>
    </row>
    <row r="11" spans="1:21" x14ac:dyDescent="0.25">
      <c r="A11" s="71" t="s">
        <v>42</v>
      </c>
      <c r="B11" s="60">
        <v>7</v>
      </c>
      <c r="C11" s="61"/>
      <c r="D11" s="62">
        <f>'OCTOBER  21'!H11</f>
        <v>5200</v>
      </c>
      <c r="E11" s="63">
        <v>2700</v>
      </c>
      <c r="F11" s="63">
        <f t="shared" si="0"/>
        <v>7900</v>
      </c>
      <c r="G11" s="63"/>
      <c r="H11" s="64">
        <f t="shared" si="1"/>
        <v>7900</v>
      </c>
      <c r="I11" s="62"/>
      <c r="M11" s="65" t="s">
        <v>104</v>
      </c>
      <c r="N11" s="60">
        <v>17</v>
      </c>
      <c r="O11" s="61"/>
      <c r="P11" s="62">
        <f>'OCTOBER  21'!T11</f>
        <v>10000</v>
      </c>
      <c r="Q11" s="63">
        <v>2000</v>
      </c>
      <c r="R11" s="66">
        <f t="shared" si="2"/>
        <v>12000</v>
      </c>
      <c r="S11" s="63"/>
      <c r="T11" s="64">
        <f t="shared" si="3"/>
        <v>12000</v>
      </c>
    </row>
    <row r="12" spans="1:21" x14ac:dyDescent="0.25">
      <c r="A12" s="72" t="s">
        <v>43</v>
      </c>
      <c r="B12" s="60">
        <v>8</v>
      </c>
      <c r="C12" s="61"/>
      <c r="D12" s="62">
        <f>'OCTOBER  21'!H12</f>
        <v>3700</v>
      </c>
      <c r="E12" s="63">
        <v>2700</v>
      </c>
      <c r="F12" s="63">
        <f t="shared" si="0"/>
        <v>6400</v>
      </c>
      <c r="G12" s="63">
        <f>1500+2720</f>
        <v>4220</v>
      </c>
      <c r="H12" s="64">
        <f t="shared" si="1"/>
        <v>2180</v>
      </c>
      <c r="I12" s="62"/>
      <c r="M12" s="59" t="s">
        <v>120</v>
      </c>
      <c r="N12" s="68">
        <v>18</v>
      </c>
      <c r="O12" s="61"/>
      <c r="P12" s="62">
        <f>'OCTOBER  21'!T12</f>
        <v>0</v>
      </c>
      <c r="Q12" s="63">
        <v>2000</v>
      </c>
      <c r="R12" s="66">
        <f>O12+P12+Q12</f>
        <v>2000</v>
      </c>
      <c r="S12" s="63">
        <v>2000</v>
      </c>
      <c r="T12" s="64">
        <f t="shared" si="3"/>
        <v>0</v>
      </c>
      <c r="U12" s="56" t="s">
        <v>101</v>
      </c>
    </row>
    <row r="13" spans="1:21" x14ac:dyDescent="0.25">
      <c r="A13" s="73" t="s">
        <v>39</v>
      </c>
      <c r="B13" s="60">
        <v>9</v>
      </c>
      <c r="C13" s="61"/>
      <c r="D13" s="62">
        <f>'OCTOBER  21'!H13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M13" s="65"/>
      <c r="N13" s="60">
        <v>19</v>
      </c>
      <c r="O13" s="61"/>
      <c r="P13" s="62">
        <f>'OCTOBER  21'!T13</f>
        <v>0</v>
      </c>
      <c r="Q13" s="63"/>
      <c r="R13" s="66">
        <f t="shared" si="2"/>
        <v>0</v>
      </c>
      <c r="S13" s="63"/>
      <c r="T13" s="64">
        <f t="shared" si="3"/>
        <v>0</v>
      </c>
    </row>
    <row r="14" spans="1:21" x14ac:dyDescent="0.25">
      <c r="A14" s="25" t="s">
        <v>44</v>
      </c>
      <c r="B14" s="68">
        <v>10</v>
      </c>
      <c r="C14" s="61"/>
      <c r="D14" s="62">
        <f>'OCTOBER  21'!H14</f>
        <v>5400</v>
      </c>
      <c r="E14" s="63">
        <v>2700</v>
      </c>
      <c r="F14" s="63">
        <f t="shared" si="0"/>
        <v>8100</v>
      </c>
      <c r="G14" s="63"/>
      <c r="H14" s="64">
        <f t="shared" si="1"/>
        <v>8100</v>
      </c>
      <c r="I14" s="62"/>
      <c r="M14" s="65" t="s">
        <v>120</v>
      </c>
      <c r="N14" s="68">
        <v>20</v>
      </c>
      <c r="O14" s="61"/>
      <c r="P14" s="62">
        <f>'OCTOBER  21'!T14</f>
        <v>0</v>
      </c>
      <c r="Q14" s="63">
        <v>2000</v>
      </c>
      <c r="R14" s="66">
        <f t="shared" si="2"/>
        <v>2000</v>
      </c>
      <c r="S14" s="63">
        <v>2000</v>
      </c>
      <c r="T14" s="64">
        <f t="shared" si="3"/>
        <v>0</v>
      </c>
      <c r="U14" s="56" t="s">
        <v>101</v>
      </c>
    </row>
    <row r="15" spans="1:21" x14ac:dyDescent="0.25">
      <c r="A15" s="65" t="s">
        <v>45</v>
      </c>
      <c r="B15" s="60">
        <v>11</v>
      </c>
      <c r="C15" s="61"/>
      <c r="D15" s="62">
        <f>'OCTOBER  21'!H15</f>
        <v>4600</v>
      </c>
      <c r="E15" s="63">
        <v>2700</v>
      </c>
      <c r="F15" s="63">
        <f t="shared" si="0"/>
        <v>7300</v>
      </c>
      <c r="G15" s="63">
        <f>2220+2000</f>
        <v>4220</v>
      </c>
      <c r="H15" s="64">
        <f t="shared" si="1"/>
        <v>3080</v>
      </c>
      <c r="I15" s="62"/>
      <c r="M15" s="65" t="s">
        <v>120</v>
      </c>
      <c r="N15" s="60">
        <v>21</v>
      </c>
      <c r="O15" s="61"/>
      <c r="P15" s="62">
        <f>'OCTOBER  21'!T15</f>
        <v>4000</v>
      </c>
      <c r="Q15" s="63">
        <v>2000</v>
      </c>
      <c r="R15" s="66">
        <f t="shared" si="2"/>
        <v>6000</v>
      </c>
      <c r="S15" s="63"/>
      <c r="T15" s="64">
        <f t="shared" si="3"/>
        <v>6000</v>
      </c>
    </row>
    <row r="16" spans="1:21" x14ac:dyDescent="0.25">
      <c r="A16" s="65" t="s">
        <v>46</v>
      </c>
      <c r="B16" s="68">
        <v>12</v>
      </c>
      <c r="C16" s="61"/>
      <c r="D16" s="62">
        <f>'OCTOBER  21'!H16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M16" s="25" t="s">
        <v>89</v>
      </c>
      <c r="N16" s="68">
        <v>22</v>
      </c>
      <c r="O16" s="61"/>
      <c r="P16" s="62">
        <f>'OCTOBER  21'!T16</f>
        <v>11000</v>
      </c>
      <c r="Q16" s="63">
        <v>2000</v>
      </c>
      <c r="R16" s="66">
        <f t="shared" si="2"/>
        <v>13000</v>
      </c>
      <c r="S16" s="63"/>
      <c r="T16" s="64">
        <f t="shared" si="3"/>
        <v>13000</v>
      </c>
    </row>
    <row r="17" spans="1:21" x14ac:dyDescent="0.25">
      <c r="A17" s="65" t="s">
        <v>47</v>
      </c>
      <c r="B17" s="60">
        <v>13</v>
      </c>
      <c r="C17" s="61"/>
      <c r="D17" s="62">
        <f>'OCTOBER  21'!H17</f>
        <v>3100</v>
      </c>
      <c r="E17" s="63"/>
      <c r="F17" s="63">
        <f t="shared" si="0"/>
        <v>3100</v>
      </c>
      <c r="G17" s="63">
        <v>3100</v>
      </c>
      <c r="H17" s="64">
        <f>F17-G17</f>
        <v>0</v>
      </c>
      <c r="I17" s="62"/>
      <c r="M17" s="69" t="s">
        <v>120</v>
      </c>
      <c r="N17" s="60">
        <v>23</v>
      </c>
      <c r="O17" s="61"/>
      <c r="P17" s="62">
        <f>'OCTOBER  21'!T17</f>
        <v>4000</v>
      </c>
      <c r="Q17" s="63">
        <v>2000</v>
      </c>
      <c r="R17" s="66">
        <f t="shared" si="2"/>
        <v>6000</v>
      </c>
      <c r="S17" s="63"/>
      <c r="T17" s="64">
        <f t="shared" si="3"/>
        <v>6000</v>
      </c>
    </row>
    <row r="18" spans="1:21" x14ac:dyDescent="0.25">
      <c r="A18" s="65" t="s">
        <v>48</v>
      </c>
      <c r="B18" s="68">
        <v>14</v>
      </c>
      <c r="C18" s="61"/>
      <c r="D18" s="62">
        <f>'OCTOBER  21'!H18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M18" s="65" t="s">
        <v>120</v>
      </c>
      <c r="N18" s="68">
        <v>24</v>
      </c>
      <c r="O18" s="61"/>
      <c r="P18" s="62">
        <f>'OCTOBER  21'!T18</f>
        <v>2000</v>
      </c>
      <c r="Q18" s="63">
        <v>2000</v>
      </c>
      <c r="R18" s="66">
        <f t="shared" si="2"/>
        <v>4000</v>
      </c>
      <c r="S18" s="63"/>
      <c r="T18" s="64">
        <f t="shared" si="3"/>
        <v>4000</v>
      </c>
    </row>
    <row r="19" spans="1:21" x14ac:dyDescent="0.25">
      <c r="A19" s="65" t="s">
        <v>49</v>
      </c>
      <c r="B19" s="60">
        <v>15</v>
      </c>
      <c r="C19" s="61"/>
      <c r="D19" s="62">
        <f>'OCTOBER  21'!H19</f>
        <v>1200</v>
      </c>
      <c r="E19" s="63">
        <v>1500</v>
      </c>
      <c r="F19" s="63">
        <f>C19+D19+E19</f>
        <v>2700</v>
      </c>
      <c r="G19" s="63">
        <v>1150</v>
      </c>
      <c r="H19" s="64">
        <f t="shared" si="1"/>
        <v>1550</v>
      </c>
      <c r="I19" s="62"/>
      <c r="M19" s="65" t="s">
        <v>95</v>
      </c>
      <c r="N19" s="60">
        <v>25</v>
      </c>
      <c r="O19" s="61"/>
      <c r="P19" s="62">
        <f>'OCTOBER  21'!T19</f>
        <v>8000</v>
      </c>
      <c r="Q19" s="63">
        <v>2000</v>
      </c>
      <c r="R19" s="66">
        <f t="shared" si="2"/>
        <v>10000</v>
      </c>
      <c r="S19" s="63"/>
      <c r="T19" s="64">
        <f t="shared" si="3"/>
        <v>10000</v>
      </c>
    </row>
    <row r="20" spans="1:21" x14ac:dyDescent="0.25">
      <c r="A20" s="65" t="s">
        <v>50</v>
      </c>
      <c r="B20" s="68">
        <v>16</v>
      </c>
      <c r="C20" s="61"/>
      <c r="D20" s="62">
        <f>'OCTOBER  21'!H20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M20" s="74" t="s">
        <v>96</v>
      </c>
      <c r="N20" s="68">
        <v>26</v>
      </c>
      <c r="O20" s="61"/>
      <c r="P20" s="62">
        <f>'OCTOBER  21'!T20</f>
        <v>8000</v>
      </c>
      <c r="Q20" s="63">
        <v>2000</v>
      </c>
      <c r="R20" s="66">
        <f t="shared" si="2"/>
        <v>10000</v>
      </c>
      <c r="S20" s="63"/>
      <c r="T20" s="64">
        <f t="shared" si="3"/>
        <v>10000</v>
      </c>
    </row>
    <row r="21" spans="1:21" x14ac:dyDescent="0.25">
      <c r="A21" s="65" t="s">
        <v>51</v>
      </c>
      <c r="B21" s="60">
        <v>17</v>
      </c>
      <c r="C21" s="61"/>
      <c r="D21" s="62">
        <f>'OCTOBER  21'!H21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M21" s="25" t="s">
        <v>91</v>
      </c>
      <c r="N21" s="60">
        <v>27</v>
      </c>
      <c r="O21" s="61"/>
      <c r="P21" s="62">
        <f>'OCTOBER  21'!T21</f>
        <v>4000</v>
      </c>
      <c r="Q21" s="63">
        <v>2000</v>
      </c>
      <c r="R21" s="66">
        <f t="shared" si="2"/>
        <v>6000</v>
      </c>
      <c r="S21" s="63">
        <v>2000</v>
      </c>
      <c r="T21" s="64">
        <f t="shared" si="3"/>
        <v>4000</v>
      </c>
      <c r="U21" s="56" t="s">
        <v>101</v>
      </c>
    </row>
    <row r="22" spans="1:21" x14ac:dyDescent="0.25">
      <c r="A22" s="65" t="s">
        <v>52</v>
      </c>
      <c r="B22" s="68">
        <v>18</v>
      </c>
      <c r="C22" s="61"/>
      <c r="D22" s="62">
        <f>'OCTOBER  21'!H22</f>
        <v>0</v>
      </c>
      <c r="E22" s="63">
        <v>2700</v>
      </c>
      <c r="F22" s="63">
        <f>C22+D22+E22</f>
        <v>2700</v>
      </c>
      <c r="G22" s="63">
        <v>2600</v>
      </c>
      <c r="H22" s="64">
        <f t="shared" si="1"/>
        <v>100</v>
      </c>
      <c r="I22" s="62"/>
      <c r="M22" s="25" t="s">
        <v>120</v>
      </c>
      <c r="N22" s="68">
        <v>28</v>
      </c>
      <c r="O22" s="61"/>
      <c r="P22" s="62">
        <f>'OCTOBER  21'!T22</f>
        <v>2000</v>
      </c>
      <c r="Q22" s="63">
        <v>2000</v>
      </c>
      <c r="R22" s="66">
        <f t="shared" si="2"/>
        <v>4000</v>
      </c>
      <c r="S22" s="63"/>
      <c r="T22" s="64">
        <f t="shared" si="3"/>
        <v>4000</v>
      </c>
    </row>
    <row r="23" spans="1:21" x14ac:dyDescent="0.25">
      <c r="A23" s="65" t="s">
        <v>53</v>
      </c>
      <c r="B23" s="60">
        <v>19</v>
      </c>
      <c r="C23" s="61"/>
      <c r="D23" s="62">
        <f>'OCTOBER  21'!H23</f>
        <v>0</v>
      </c>
      <c r="E23" s="63">
        <v>2700</v>
      </c>
      <c r="F23" s="63">
        <f>C23+D23+E23</f>
        <v>2700</v>
      </c>
      <c r="G23" s="63">
        <f>2300+360+40</f>
        <v>2700</v>
      </c>
      <c r="H23" s="64">
        <f t="shared" si="1"/>
        <v>0</v>
      </c>
      <c r="I23" s="62"/>
      <c r="M23" s="70" t="s">
        <v>39</v>
      </c>
      <c r="N23" s="60">
        <v>29</v>
      </c>
      <c r="O23" s="61"/>
      <c r="P23" s="62">
        <f>'OCTOBER  21'!T23</f>
        <v>0</v>
      </c>
      <c r="Q23" s="63"/>
      <c r="R23" s="66">
        <f>O23+P23+Q23</f>
        <v>0</v>
      </c>
      <c r="S23" s="63"/>
      <c r="T23" s="64">
        <f t="shared" si="3"/>
        <v>0</v>
      </c>
    </row>
    <row r="24" spans="1:21" x14ac:dyDescent="0.25">
      <c r="A24" s="65" t="s">
        <v>54</v>
      </c>
      <c r="B24" s="68">
        <v>20</v>
      </c>
      <c r="C24" s="61"/>
      <c r="D24" s="62">
        <f>'OCTOBER  21'!H24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M24" s="25" t="s">
        <v>94</v>
      </c>
      <c r="N24" s="68">
        <v>30</v>
      </c>
      <c r="O24" s="61"/>
      <c r="P24" s="62">
        <f>'OCTOBER  21'!T24</f>
        <v>6000</v>
      </c>
      <c r="Q24" s="63">
        <v>2000</v>
      </c>
      <c r="R24" s="66">
        <f>O24+P24+Q24</f>
        <v>8000</v>
      </c>
      <c r="S24" s="63"/>
      <c r="T24" s="64">
        <f t="shared" si="3"/>
        <v>8000</v>
      </c>
    </row>
    <row r="25" spans="1:21" x14ac:dyDescent="0.25">
      <c r="A25" s="25" t="s">
        <v>108</v>
      </c>
      <c r="B25" s="60">
        <v>21</v>
      </c>
      <c r="C25" s="61"/>
      <c r="D25" s="62">
        <f>'OCTOBER  21'!H25</f>
        <v>5100</v>
      </c>
      <c r="E25" s="63">
        <v>2700</v>
      </c>
      <c r="F25" s="63">
        <f t="shared" si="0"/>
        <v>7800</v>
      </c>
      <c r="G25" s="63">
        <v>3100</v>
      </c>
      <c r="H25" s="64">
        <f t="shared" si="1"/>
        <v>4700</v>
      </c>
      <c r="I25" s="62"/>
      <c r="M25" s="25" t="s">
        <v>11</v>
      </c>
      <c r="N25" s="60"/>
      <c r="O25" s="61"/>
      <c r="P25" s="62">
        <f>'SEPTEMBER 21'!T25:T45</f>
        <v>52600</v>
      </c>
      <c r="Q25" s="63">
        <f t="shared" ref="Q25:T25" si="4">SUM(Q5:Q24)</f>
        <v>36000</v>
      </c>
      <c r="R25" s="66">
        <f t="shared" si="4"/>
        <v>112600</v>
      </c>
      <c r="S25" s="63">
        <f t="shared" si="4"/>
        <v>13000</v>
      </c>
      <c r="T25" s="63">
        <f t="shared" si="4"/>
        <v>99600</v>
      </c>
    </row>
    <row r="26" spans="1:21" x14ac:dyDescent="0.25">
      <c r="A26" s="69" t="s">
        <v>175</v>
      </c>
      <c r="B26" s="68">
        <v>22</v>
      </c>
      <c r="C26" s="61"/>
      <c r="D26" s="62"/>
      <c r="E26" s="63">
        <v>2700</v>
      </c>
      <c r="F26" s="63">
        <f>C26+D26+E26</f>
        <v>2700</v>
      </c>
      <c r="G26" s="63"/>
      <c r="H26" s="64">
        <f t="shared" si="1"/>
        <v>2700</v>
      </c>
      <c r="I26" s="62"/>
    </row>
    <row r="27" spans="1:21" x14ac:dyDescent="0.25">
      <c r="A27" s="74" t="s">
        <v>56</v>
      </c>
      <c r="B27" s="60">
        <v>23</v>
      </c>
      <c r="C27" s="61"/>
      <c r="D27" s="62">
        <f>'OCTOBER  21'!H27</f>
        <v>3700</v>
      </c>
      <c r="E27" s="63">
        <v>2700</v>
      </c>
      <c r="F27" s="63">
        <f t="shared" si="0"/>
        <v>6400</v>
      </c>
      <c r="G27" s="63"/>
      <c r="H27" s="64">
        <f t="shared" si="1"/>
        <v>6400</v>
      </c>
      <c r="I27" s="62"/>
      <c r="J27" s="76"/>
    </row>
    <row r="28" spans="1:21" x14ac:dyDescent="0.25">
      <c r="A28" s="65" t="s">
        <v>157</v>
      </c>
      <c r="B28" s="68">
        <v>24</v>
      </c>
      <c r="C28" s="61"/>
      <c r="D28" s="62">
        <f>'OCTOBER  21'!H28</f>
        <v>0</v>
      </c>
      <c r="E28" s="63">
        <v>2700</v>
      </c>
      <c r="F28" s="63">
        <f>C28+D28+E28</f>
        <v>2700</v>
      </c>
      <c r="G28" s="63"/>
      <c r="H28" s="64">
        <f>F28-G28</f>
        <v>2700</v>
      </c>
      <c r="I28" s="62"/>
      <c r="M28" s="35" t="s">
        <v>12</v>
      </c>
      <c r="N28" s="29"/>
      <c r="O28" s="30"/>
      <c r="P28" s="31"/>
      <c r="Q28" s="32"/>
      <c r="S28" s="32"/>
      <c r="T28" s="77"/>
    </row>
    <row r="29" spans="1:21" x14ac:dyDescent="0.25">
      <c r="A29" s="74" t="s">
        <v>176</v>
      </c>
      <c r="B29" s="60">
        <v>25</v>
      </c>
      <c r="C29" s="61"/>
      <c r="D29" s="62">
        <f>'OCTOBER  21'!H29</f>
        <v>0</v>
      </c>
      <c r="E29" s="63">
        <v>2700</v>
      </c>
      <c r="F29" s="63">
        <f>C29+D29+E29</f>
        <v>2700</v>
      </c>
      <c r="G29" s="63">
        <v>2700</v>
      </c>
      <c r="H29" s="64">
        <f>F29-G29</f>
        <v>0</v>
      </c>
      <c r="I29" s="62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</row>
    <row r="30" spans="1:21" x14ac:dyDescent="0.25">
      <c r="A30" s="70" t="s">
        <v>39</v>
      </c>
      <c r="B30" s="68">
        <v>26</v>
      </c>
      <c r="C30" s="61"/>
      <c r="D30" s="62">
        <f>'OCTOBER  21'!H30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</row>
    <row r="31" spans="1:21" x14ac:dyDescent="0.25">
      <c r="A31" s="25" t="s">
        <v>59</v>
      </c>
      <c r="B31" s="68" t="s">
        <v>33</v>
      </c>
      <c r="C31" s="61"/>
      <c r="D31" s="62">
        <f>'OCTOBER  21'!H31</f>
        <v>0</v>
      </c>
      <c r="E31" s="63">
        <v>6400</v>
      </c>
      <c r="F31" s="63">
        <f t="shared" si="5"/>
        <v>6400</v>
      </c>
      <c r="G31" s="63">
        <f>6400</f>
        <v>6400</v>
      </c>
      <c r="H31" s="64">
        <f t="shared" si="6"/>
        <v>0</v>
      </c>
      <c r="I31" s="62"/>
      <c r="M31" s="37" t="s">
        <v>172</v>
      </c>
      <c r="N31" s="44">
        <f>Q25</f>
        <v>36000</v>
      </c>
      <c r="O31" s="37"/>
      <c r="P31" s="37"/>
      <c r="Q31" s="37" t="s">
        <v>172</v>
      </c>
      <c r="R31" s="76">
        <f>S25</f>
        <v>13000</v>
      </c>
      <c r="S31" s="37"/>
      <c r="T31" s="37"/>
    </row>
    <row r="32" spans="1:21" x14ac:dyDescent="0.25">
      <c r="A32" s="25" t="s">
        <v>126</v>
      </c>
      <c r="B32" s="68" t="s">
        <v>34</v>
      </c>
      <c r="C32" s="61"/>
      <c r="D32" s="62">
        <f>'OCTOBER  21'!H32</f>
        <v>400</v>
      </c>
      <c r="E32" s="63">
        <v>6400</v>
      </c>
      <c r="F32" s="63">
        <f t="shared" si="5"/>
        <v>6800</v>
      </c>
      <c r="G32" s="63">
        <v>5000</v>
      </c>
      <c r="H32" s="64">
        <f t="shared" si="6"/>
        <v>1800</v>
      </c>
      <c r="I32" s="62"/>
      <c r="M32" s="37" t="s">
        <v>18</v>
      </c>
      <c r="N32" s="44">
        <f>'OCTOBER  21'!P45</f>
        <v>76621</v>
      </c>
      <c r="O32" s="37"/>
      <c r="P32" s="37"/>
      <c r="Q32" s="37" t="s">
        <v>18</v>
      </c>
      <c r="R32" s="44">
        <f>'OCTOBER  21'!T45</f>
        <v>21</v>
      </c>
      <c r="S32" s="37"/>
      <c r="T32" s="37"/>
    </row>
    <row r="33" spans="1:20" x14ac:dyDescent="0.25">
      <c r="A33" s="25" t="s">
        <v>61</v>
      </c>
      <c r="B33" s="68" t="s">
        <v>35</v>
      </c>
      <c r="C33" s="61"/>
      <c r="D33" s="62">
        <f>'OCTOBER  21'!H33</f>
        <v>0</v>
      </c>
      <c r="E33" s="63">
        <v>6400</v>
      </c>
      <c r="F33" s="63">
        <f t="shared" si="5"/>
        <v>6400</v>
      </c>
      <c r="G33" s="63">
        <f>3000+3400</f>
        <v>6400</v>
      </c>
      <c r="H33" s="64">
        <f t="shared" si="6"/>
        <v>0</v>
      </c>
      <c r="I33" s="62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</row>
    <row r="34" spans="1:20" x14ac:dyDescent="0.25">
      <c r="A34" s="25" t="s">
        <v>62</v>
      </c>
      <c r="B34" s="68" t="s">
        <v>36</v>
      </c>
      <c r="C34" s="61"/>
      <c r="D34" s="62">
        <f>'OCTOBER  21'!H34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M34" s="37" t="s">
        <v>31</v>
      </c>
      <c r="N34" s="44"/>
      <c r="O34" s="37"/>
      <c r="P34" s="37"/>
      <c r="Q34" s="37"/>
      <c r="R34" s="44"/>
      <c r="S34" s="37"/>
      <c r="T34" s="37"/>
    </row>
    <row r="35" spans="1:20" x14ac:dyDescent="0.25">
      <c r="A35" s="25" t="s">
        <v>63</v>
      </c>
      <c r="B35" s="68" t="s">
        <v>37</v>
      </c>
      <c r="C35" s="61"/>
      <c r="D35" s="62">
        <f>'OCTOBER  21'!H35</f>
        <v>2500</v>
      </c>
      <c r="E35" s="63">
        <v>7000</v>
      </c>
      <c r="F35" s="63">
        <f t="shared" si="5"/>
        <v>9500</v>
      </c>
      <c r="G35" s="63">
        <f>7000</f>
        <v>7000</v>
      </c>
      <c r="H35" s="64">
        <f t="shared" si="6"/>
        <v>2500</v>
      </c>
      <c r="I35" s="62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</row>
    <row r="36" spans="1:20" x14ac:dyDescent="0.25">
      <c r="A36" s="25" t="s">
        <v>64</v>
      </c>
      <c r="B36" s="68" t="s">
        <v>38</v>
      </c>
      <c r="C36" s="61"/>
      <c r="D36" s="62">
        <f>'OCTOBER  21'!H36</f>
        <v>0</v>
      </c>
      <c r="E36" s="63">
        <v>10000</v>
      </c>
      <c r="F36" s="63">
        <f t="shared" si="5"/>
        <v>10000</v>
      </c>
      <c r="G36" s="63">
        <f>10000</f>
        <v>10000</v>
      </c>
      <c r="H36" s="64">
        <f t="shared" si="6"/>
        <v>0</v>
      </c>
      <c r="I36" s="62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</row>
    <row r="37" spans="1:20" x14ac:dyDescent="0.25">
      <c r="A37" s="25" t="s">
        <v>11</v>
      </c>
      <c r="B37" s="37"/>
      <c r="C37" s="61">
        <f t="shared" ref="C37:H37" si="7">SUM(C5:C36)</f>
        <v>0</v>
      </c>
      <c r="D37" s="62">
        <f>'SEPTEMBER 21'!H37:H69</f>
        <v>43850</v>
      </c>
      <c r="E37" s="27">
        <f t="shared" si="7"/>
        <v>89600</v>
      </c>
      <c r="F37" s="63">
        <f t="shared" si="7"/>
        <v>142150</v>
      </c>
      <c r="G37" s="63">
        <f>SUM(G5:G36)</f>
        <v>80090</v>
      </c>
      <c r="H37" s="63">
        <f t="shared" si="7"/>
        <v>62060</v>
      </c>
      <c r="I37" s="62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</row>
    <row r="38" spans="1:20" x14ac:dyDescent="0.25">
      <c r="D38" s="62">
        <f>'SEPTEMBER 21'!H38:H70</f>
        <v>0</v>
      </c>
      <c r="F38" s="63"/>
      <c r="H38" s="76"/>
      <c r="I38" s="35"/>
      <c r="M38" s="81" t="s">
        <v>178</v>
      </c>
      <c r="O38" s="76">
        <f>Q8+Q21+Q10+Q14+Q12</f>
        <v>10000</v>
      </c>
      <c r="P38" s="80"/>
      <c r="Q38" s="81" t="s">
        <v>178</v>
      </c>
      <c r="S38" s="76">
        <f>Q8+Q10+Q12+Q14+Q21</f>
        <v>10000</v>
      </c>
      <c r="T38" s="37"/>
    </row>
    <row r="39" spans="1:20" x14ac:dyDescent="0.25">
      <c r="M39" s="81"/>
      <c r="N39" s="78"/>
      <c r="O39" s="80"/>
      <c r="P39" s="37"/>
      <c r="Q39" s="81"/>
      <c r="R39" s="78"/>
      <c r="S39" s="80"/>
      <c r="T39" s="37"/>
    </row>
    <row r="40" spans="1:20" ht="15.75" x14ac:dyDescent="0.25">
      <c r="B40" s="1"/>
      <c r="C40" s="1"/>
      <c r="D40" s="1"/>
      <c r="E40" s="1"/>
      <c r="F40" s="4"/>
      <c r="G40" s="35"/>
      <c r="H40" s="35"/>
      <c r="I40" s="35"/>
      <c r="N40" s="1"/>
      <c r="O40" s="1"/>
      <c r="P40" s="1"/>
      <c r="Q40" s="1"/>
    </row>
    <row r="41" spans="1:20" x14ac:dyDescent="0.25">
      <c r="A41" s="35" t="s">
        <v>12</v>
      </c>
      <c r="B41" s="29"/>
      <c r="C41" s="30"/>
      <c r="D41" s="31"/>
      <c r="E41" s="32"/>
      <c r="G41" s="32"/>
      <c r="H41" s="77"/>
      <c r="I41" s="35"/>
      <c r="M41" s="81"/>
      <c r="N41" s="37"/>
      <c r="O41" s="80"/>
      <c r="P41" s="37"/>
      <c r="Q41" s="81"/>
      <c r="R41" s="37"/>
      <c r="S41" s="80"/>
      <c r="T41" s="37"/>
    </row>
    <row r="42" spans="1:20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M42" s="81"/>
      <c r="N42" s="37"/>
      <c r="O42" s="80"/>
      <c r="P42" s="37"/>
      <c r="Q42" s="81"/>
      <c r="R42" s="37"/>
      <c r="S42" s="80"/>
      <c r="T42" s="37"/>
    </row>
    <row r="43" spans="1:20" x14ac:dyDescent="0.25">
      <c r="A43" s="35"/>
      <c r="B43" s="35"/>
      <c r="C43" s="35"/>
      <c r="D43" s="36"/>
      <c r="E43" s="35"/>
      <c r="F43" s="33"/>
      <c r="G43" s="35"/>
      <c r="H43" s="35"/>
      <c r="I43" s="35"/>
      <c r="M43" s="81"/>
      <c r="N43" s="37"/>
      <c r="O43" s="80"/>
      <c r="P43" s="37"/>
      <c r="Q43" s="81"/>
      <c r="R43" s="37"/>
      <c r="S43" s="80"/>
      <c r="T43" s="37"/>
    </row>
    <row r="44" spans="1:20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M44" s="81"/>
      <c r="N44" s="37"/>
      <c r="O44" s="80"/>
      <c r="P44" s="37"/>
      <c r="Q44" s="81"/>
      <c r="R44" s="37"/>
      <c r="S44" s="80"/>
      <c r="T44" s="37"/>
    </row>
    <row r="45" spans="1:20" x14ac:dyDescent="0.25">
      <c r="A45" s="37" t="s">
        <v>172</v>
      </c>
      <c r="B45" s="44">
        <f>E37</f>
        <v>89600</v>
      </c>
      <c r="C45" s="37"/>
      <c r="D45" s="37"/>
      <c r="E45" s="37" t="s">
        <v>172</v>
      </c>
      <c r="F45" s="76">
        <f>G37</f>
        <v>80090</v>
      </c>
      <c r="G45" s="37"/>
      <c r="H45" s="37"/>
      <c r="I45" s="77"/>
      <c r="M45" s="37" t="s">
        <v>11</v>
      </c>
      <c r="N45" s="44">
        <f>N34+N31+N32+N33-O35</f>
        <v>109021</v>
      </c>
      <c r="O45" s="44">
        <f>SUM(O37:O44)</f>
        <v>10000</v>
      </c>
      <c r="P45" s="44">
        <f>N45-O45</f>
        <v>99021</v>
      </c>
      <c r="Q45" s="37" t="s">
        <v>11</v>
      </c>
      <c r="R45" s="80">
        <f>R31+R32-S35</f>
        <v>9421</v>
      </c>
      <c r="S45" s="44">
        <f>SUM(S37:S44)</f>
        <v>10000</v>
      </c>
      <c r="T45" s="44">
        <f>R45-S45</f>
        <v>-579</v>
      </c>
    </row>
    <row r="46" spans="1:20" x14ac:dyDescent="0.25">
      <c r="A46" s="37" t="s">
        <v>18</v>
      </c>
      <c r="B46" s="44">
        <f>'OCTOBER  21'!D58</f>
        <v>41246</v>
      </c>
      <c r="C46" s="37"/>
      <c r="D46" s="37"/>
      <c r="E46" s="37" t="s">
        <v>18</v>
      </c>
      <c r="F46" s="44">
        <f>'OCTOBER  21'!H58</f>
        <v>6409</v>
      </c>
      <c r="G46" s="37"/>
      <c r="H46" s="37"/>
      <c r="I46" s="77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</row>
    <row r="47" spans="1:20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</row>
    <row r="48" spans="1:20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R48" s="82" t="s">
        <v>32</v>
      </c>
    </row>
    <row r="49" spans="1:14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</row>
    <row r="50" spans="1:14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</row>
    <row r="51" spans="1:14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</row>
    <row r="52" spans="1:14" x14ac:dyDescent="0.25">
      <c r="A52" s="81" t="s">
        <v>177</v>
      </c>
      <c r="C52" s="56">
        <v>20102</v>
      </c>
      <c r="D52" s="80"/>
      <c r="E52" s="81" t="s">
        <v>177</v>
      </c>
      <c r="G52" s="56">
        <v>20102</v>
      </c>
      <c r="H52" s="37"/>
      <c r="I52" s="35"/>
    </row>
    <row r="53" spans="1:14" x14ac:dyDescent="0.25">
      <c r="A53" s="81" t="s">
        <v>179</v>
      </c>
      <c r="B53" s="78"/>
      <c r="C53" s="37">
        <v>15097</v>
      </c>
      <c r="D53" s="37"/>
      <c r="E53" s="81" t="s">
        <v>179</v>
      </c>
      <c r="F53" s="78"/>
      <c r="G53" s="37">
        <v>15097</v>
      </c>
      <c r="H53" s="37"/>
      <c r="I53" s="77"/>
      <c r="J53" s="76"/>
      <c r="M53" s="85"/>
    </row>
    <row r="54" spans="1:14" x14ac:dyDescent="0.25">
      <c r="A54" s="81" t="s">
        <v>182</v>
      </c>
      <c r="B54" s="78"/>
      <c r="C54" s="37">
        <v>18000</v>
      </c>
      <c r="D54" s="37"/>
      <c r="E54" s="81" t="s">
        <v>182</v>
      </c>
      <c r="F54" s="78"/>
      <c r="G54" s="37">
        <v>18000</v>
      </c>
      <c r="H54" s="37"/>
      <c r="I54" s="86"/>
      <c r="J54" s="85" t="s">
        <v>184</v>
      </c>
    </row>
    <row r="55" spans="1:14" x14ac:dyDescent="0.25">
      <c r="A55" s="81" t="s">
        <v>183</v>
      </c>
      <c r="B55" s="37"/>
      <c r="C55" s="80">
        <v>10087</v>
      </c>
      <c r="D55" s="37"/>
      <c r="E55" s="81" t="s">
        <v>183</v>
      </c>
      <c r="F55" s="37"/>
      <c r="G55" s="80">
        <v>10087</v>
      </c>
      <c r="H55" s="37"/>
      <c r="J55" s="76"/>
      <c r="N55" s="76"/>
    </row>
    <row r="56" spans="1:14" x14ac:dyDescent="0.25">
      <c r="A56" s="81" t="s">
        <v>188</v>
      </c>
      <c r="B56" s="37"/>
      <c r="C56" s="80">
        <v>8100</v>
      </c>
      <c r="D56" s="37"/>
      <c r="E56" s="81"/>
      <c r="F56" s="37"/>
      <c r="G56" s="80"/>
      <c r="H56" s="37"/>
      <c r="I56" s="35"/>
      <c r="M56" s="85"/>
    </row>
    <row r="57" spans="1:14" x14ac:dyDescent="0.25">
      <c r="A57" s="81"/>
      <c r="B57" s="37"/>
      <c r="C57" s="80"/>
      <c r="D57" s="37"/>
      <c r="E57" s="81"/>
      <c r="F57" s="37"/>
      <c r="G57" s="80"/>
      <c r="H57" s="37"/>
    </row>
    <row r="58" spans="1:14" x14ac:dyDescent="0.25">
      <c r="A58" s="37" t="s">
        <v>11</v>
      </c>
      <c r="B58" s="44">
        <f>B48+B45+B46+B47-C49</f>
        <v>121886</v>
      </c>
      <c r="C58" s="44">
        <f>SUM(C51:C57)</f>
        <v>71386</v>
      </c>
      <c r="D58" s="44">
        <f>B58-C58</f>
        <v>50500</v>
      </c>
      <c r="E58" s="37" t="s">
        <v>11</v>
      </c>
      <c r="F58" s="80">
        <f>F45+F46-G49</f>
        <v>77539</v>
      </c>
      <c r="G58" s="44">
        <f>SUM(G51:G57)</f>
        <v>63286</v>
      </c>
      <c r="H58" s="44">
        <f>F58-G58</f>
        <v>14253</v>
      </c>
      <c r="I58" s="35"/>
      <c r="L58" s="85"/>
      <c r="M58" s="85"/>
    </row>
    <row r="59" spans="1:14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</row>
    <row r="60" spans="1:14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</row>
    <row r="61" spans="1:14" x14ac:dyDescent="0.25">
      <c r="F61" s="82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16" workbookViewId="0">
      <selection activeCell="G34" sqref="G34"/>
    </sheetView>
  </sheetViews>
  <sheetFormatPr defaultRowHeight="15" x14ac:dyDescent="0.25"/>
  <cols>
    <col min="1" max="1" width="25" customWidth="1"/>
    <col min="13" max="13" width="17.85546875" customWidth="1"/>
  </cols>
  <sheetData>
    <row r="1" spans="1:23" ht="15.75" x14ac:dyDescent="0.25">
      <c r="A1" s="56"/>
      <c r="B1" s="1" t="s">
        <v>28</v>
      </c>
      <c r="C1" s="1"/>
      <c r="D1" s="1"/>
      <c r="E1" s="1"/>
      <c r="F1" s="4"/>
      <c r="G1" s="35"/>
      <c r="H1" s="35"/>
      <c r="I1" s="35"/>
      <c r="J1" s="56"/>
      <c r="K1" s="56"/>
      <c r="L1" s="56"/>
      <c r="M1" s="56"/>
      <c r="N1" s="1" t="s">
        <v>28</v>
      </c>
      <c r="O1" s="1"/>
      <c r="P1" s="1"/>
      <c r="Q1" s="1"/>
      <c r="R1" s="56"/>
      <c r="S1" s="56"/>
      <c r="T1" s="56"/>
      <c r="U1" s="56"/>
      <c r="V1" s="56"/>
      <c r="W1" s="56"/>
    </row>
    <row r="2" spans="1:23" ht="15.75" x14ac:dyDescent="0.25">
      <c r="A2" s="35"/>
      <c r="B2" s="1" t="s">
        <v>0</v>
      </c>
      <c r="C2" s="56"/>
      <c r="D2" s="1"/>
      <c r="E2" s="1"/>
      <c r="F2" s="4"/>
      <c r="G2" s="35"/>
      <c r="H2" s="35"/>
      <c r="I2" s="35"/>
      <c r="J2" s="56"/>
      <c r="K2" s="56"/>
      <c r="L2" s="56"/>
      <c r="M2" s="56"/>
      <c r="N2" s="1" t="s">
        <v>0</v>
      </c>
      <c r="O2" s="56"/>
      <c r="P2" s="1"/>
      <c r="Q2" s="1"/>
      <c r="R2" s="56"/>
      <c r="S2" s="56"/>
      <c r="T2" s="56"/>
      <c r="U2" s="56"/>
      <c r="V2" s="56"/>
      <c r="W2" s="56"/>
    </row>
    <row r="3" spans="1:23" ht="18.75" x14ac:dyDescent="0.3">
      <c r="A3" s="5"/>
      <c r="B3" s="1" t="s">
        <v>181</v>
      </c>
      <c r="C3" s="1"/>
      <c r="D3" s="1"/>
      <c r="E3" s="1"/>
      <c r="F3" s="57"/>
      <c r="G3" s="58"/>
      <c r="H3" s="35"/>
      <c r="I3" s="35"/>
      <c r="J3" s="56"/>
      <c r="K3" s="56"/>
      <c r="L3" s="56"/>
      <c r="M3" s="56"/>
      <c r="N3" s="1" t="s">
        <v>180</v>
      </c>
      <c r="O3" s="1"/>
      <c r="P3" s="1"/>
      <c r="Q3" s="1"/>
      <c r="R3" s="56"/>
      <c r="S3" s="56"/>
      <c r="T3" s="56"/>
      <c r="U3" s="56"/>
      <c r="V3" s="56"/>
      <c r="W3" s="56"/>
    </row>
    <row r="4" spans="1:23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J4" s="56"/>
      <c r="K4" s="56"/>
      <c r="L4" s="56"/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  <c r="U4" s="56"/>
      <c r="V4" s="56"/>
      <c r="W4" s="56"/>
    </row>
    <row r="5" spans="1:23" x14ac:dyDescent="0.25">
      <c r="A5" s="59" t="s">
        <v>39</v>
      </c>
      <c r="B5" s="60">
        <v>1</v>
      </c>
      <c r="C5" s="61"/>
      <c r="D5" s="62">
        <f>'NOVEMBER 21'!H5:H36</f>
        <v>0</v>
      </c>
      <c r="E5" s="63"/>
      <c r="F5" s="63">
        <f>C5+D5+E5</f>
        <v>0</v>
      </c>
      <c r="G5" s="63"/>
      <c r="H5" s="64">
        <f>F5-G5</f>
        <v>0</v>
      </c>
      <c r="I5" s="62"/>
      <c r="J5" s="56"/>
      <c r="K5" s="56"/>
      <c r="L5" s="56"/>
      <c r="M5" s="65" t="s">
        <v>83</v>
      </c>
      <c r="N5" s="60">
        <v>11</v>
      </c>
      <c r="O5" s="61"/>
      <c r="P5" s="62">
        <f>'NOVEMBER 21'!T5:T24</f>
        <v>4000</v>
      </c>
      <c r="Q5" s="63">
        <v>2000</v>
      </c>
      <c r="R5" s="66">
        <f>O5+P5+Q5</f>
        <v>6000</v>
      </c>
      <c r="S5" s="63"/>
      <c r="T5" s="64">
        <f>R5-S5</f>
        <v>6000</v>
      </c>
      <c r="U5" s="56"/>
      <c r="V5" s="56"/>
      <c r="W5" s="56"/>
    </row>
    <row r="6" spans="1:23" x14ac:dyDescent="0.25">
      <c r="A6" s="67"/>
      <c r="B6" s="60">
        <v>2</v>
      </c>
      <c r="C6" s="61"/>
      <c r="D6" s="62">
        <f>'NOVEMBER 21'!H6:H37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J6" s="56"/>
      <c r="K6" s="56"/>
      <c r="L6" s="56"/>
      <c r="M6" s="65" t="s">
        <v>83</v>
      </c>
      <c r="N6" s="68">
        <v>12</v>
      </c>
      <c r="O6" s="61"/>
      <c r="P6" s="62">
        <f>'NOVEMBER 21'!T6:T25</f>
        <v>2600</v>
      </c>
      <c r="Q6" s="63">
        <v>2000</v>
      </c>
      <c r="R6" s="66">
        <f t="shared" ref="R6:R22" si="2">O6+P6+Q6</f>
        <v>4600</v>
      </c>
      <c r="S6" s="63"/>
      <c r="T6" s="64">
        <f t="shared" ref="T6:T24" si="3">R6-S6</f>
        <v>4600</v>
      </c>
      <c r="U6" s="56"/>
      <c r="V6" s="56"/>
      <c r="W6" s="56"/>
    </row>
    <row r="7" spans="1:23" x14ac:dyDescent="0.25">
      <c r="A7" s="69" t="s">
        <v>120</v>
      </c>
      <c r="B7" s="60">
        <v>3</v>
      </c>
      <c r="C7" s="61"/>
      <c r="D7" s="62">
        <f>'NOVEMBER 21'!H7:H38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J7" s="56"/>
      <c r="K7" s="56"/>
      <c r="L7" s="56"/>
      <c r="M7" s="65" t="s">
        <v>120</v>
      </c>
      <c r="N7" s="60">
        <v>13</v>
      </c>
      <c r="O7" s="61"/>
      <c r="P7" s="62">
        <f>'NOVEMBER 21'!T7:T26</f>
        <v>4000</v>
      </c>
      <c r="Q7" s="63">
        <v>2000</v>
      </c>
      <c r="R7" s="66">
        <f t="shared" si="2"/>
        <v>6000</v>
      </c>
      <c r="S7" s="63"/>
      <c r="T7" s="64">
        <f t="shared" si="3"/>
        <v>6000</v>
      </c>
      <c r="U7" s="56"/>
      <c r="V7" s="56"/>
      <c r="W7" s="56"/>
    </row>
    <row r="8" spans="1:23" x14ac:dyDescent="0.25">
      <c r="A8" s="25"/>
      <c r="B8" s="60">
        <v>4</v>
      </c>
      <c r="C8" s="61"/>
      <c r="D8" s="62">
        <f>'NOVEMBER 21'!H8:H39</f>
        <v>0</v>
      </c>
      <c r="E8" s="63"/>
      <c r="F8" s="63">
        <f t="shared" si="0"/>
        <v>0</v>
      </c>
      <c r="G8" s="63"/>
      <c r="H8" s="64">
        <f>F8-G8</f>
        <v>0</v>
      </c>
      <c r="I8" s="62"/>
      <c r="J8" s="56"/>
      <c r="K8" s="56"/>
      <c r="L8" s="56"/>
      <c r="M8" s="65" t="s">
        <v>97</v>
      </c>
      <c r="N8" s="68">
        <v>14</v>
      </c>
      <c r="O8" s="61"/>
      <c r="P8" s="62">
        <f>'NOVEMBER 21'!T8:T27</f>
        <v>6000</v>
      </c>
      <c r="Q8" s="63">
        <v>2000</v>
      </c>
      <c r="R8" s="66">
        <f t="shared" si="2"/>
        <v>8000</v>
      </c>
      <c r="S8" s="63"/>
      <c r="T8" s="64">
        <f t="shared" si="3"/>
        <v>8000</v>
      </c>
      <c r="U8" s="56" t="s">
        <v>101</v>
      </c>
      <c r="V8" s="56"/>
      <c r="W8" s="56"/>
    </row>
    <row r="9" spans="1:23" x14ac:dyDescent="0.25">
      <c r="A9" s="70" t="s">
        <v>129</v>
      </c>
      <c r="B9" s="60">
        <v>5</v>
      </c>
      <c r="C9" s="61"/>
      <c r="D9" s="62">
        <f>'NOVEMBER 21'!H9:H40</f>
        <v>4600</v>
      </c>
      <c r="E9" s="63">
        <v>2700</v>
      </c>
      <c r="F9" s="63">
        <f t="shared" si="0"/>
        <v>7300</v>
      </c>
      <c r="G9" s="63"/>
      <c r="H9" s="64">
        <f t="shared" si="1"/>
        <v>7300</v>
      </c>
      <c r="I9" s="62"/>
      <c r="J9" s="56"/>
      <c r="K9" s="56"/>
      <c r="L9" s="56"/>
      <c r="M9" s="65" t="s">
        <v>85</v>
      </c>
      <c r="N9" s="60">
        <v>15</v>
      </c>
      <c r="O9" s="61"/>
      <c r="P9" s="62">
        <f>'NOVEMBER 21'!T9:T28</f>
        <v>6000</v>
      </c>
      <c r="Q9" s="63">
        <v>2000</v>
      </c>
      <c r="R9" s="66">
        <f t="shared" si="2"/>
        <v>8000</v>
      </c>
      <c r="S9" s="63"/>
      <c r="T9" s="64">
        <f t="shared" si="3"/>
        <v>8000</v>
      </c>
      <c r="U9" s="56"/>
      <c r="V9" s="56"/>
      <c r="W9" s="56"/>
    </row>
    <row r="10" spans="1:23" x14ac:dyDescent="0.25">
      <c r="A10" s="65" t="s">
        <v>41</v>
      </c>
      <c r="B10" s="60">
        <v>6</v>
      </c>
      <c r="C10" s="61"/>
      <c r="D10" s="62">
        <f>'NOVEMBER 21'!H10:H41</f>
        <v>3650</v>
      </c>
      <c r="E10" s="63">
        <v>2700</v>
      </c>
      <c r="F10" s="63">
        <f>C10+D10+E10</f>
        <v>6350</v>
      </c>
      <c r="G10" s="63">
        <v>6350</v>
      </c>
      <c r="H10" s="64">
        <f t="shared" si="1"/>
        <v>0</v>
      </c>
      <c r="I10" s="62"/>
      <c r="J10" s="56"/>
      <c r="K10" s="56"/>
      <c r="L10" s="56"/>
      <c r="M10" s="65" t="s">
        <v>86</v>
      </c>
      <c r="N10" s="68">
        <v>16</v>
      </c>
      <c r="O10" s="61"/>
      <c r="P10" s="62">
        <f>'NOVEMBER 21'!T10:T29</f>
        <v>0</v>
      </c>
      <c r="Q10" s="63">
        <v>2000</v>
      </c>
      <c r="R10" s="66">
        <f t="shared" si="2"/>
        <v>2000</v>
      </c>
      <c r="S10" s="63"/>
      <c r="T10" s="64">
        <f t="shared" si="3"/>
        <v>2000</v>
      </c>
      <c r="U10" s="56" t="s">
        <v>101</v>
      </c>
      <c r="V10" s="56"/>
      <c r="W10" s="56"/>
    </row>
    <row r="11" spans="1:23" x14ac:dyDescent="0.25">
      <c r="A11" s="71" t="s">
        <v>42</v>
      </c>
      <c r="B11" s="60">
        <v>7</v>
      </c>
      <c r="C11" s="61"/>
      <c r="D11" s="62">
        <f>'NOVEMBER 21'!H11:H42</f>
        <v>7900</v>
      </c>
      <c r="E11" s="63">
        <v>2700</v>
      </c>
      <c r="F11" s="63">
        <f t="shared" si="0"/>
        <v>10600</v>
      </c>
      <c r="G11" s="63"/>
      <c r="H11" s="64">
        <f t="shared" si="1"/>
        <v>10600</v>
      </c>
      <c r="I11" s="62"/>
      <c r="J11" s="56"/>
      <c r="K11" s="56"/>
      <c r="L11" s="56"/>
      <c r="M11" s="65" t="s">
        <v>104</v>
      </c>
      <c r="N11" s="60">
        <v>17</v>
      </c>
      <c r="O11" s="61"/>
      <c r="P11" s="62">
        <f>'NOVEMBER 21'!T11:T30</f>
        <v>12000</v>
      </c>
      <c r="Q11" s="63">
        <v>2000</v>
      </c>
      <c r="R11" s="66">
        <f t="shared" si="2"/>
        <v>14000</v>
      </c>
      <c r="S11" s="63"/>
      <c r="T11" s="64">
        <f t="shared" si="3"/>
        <v>14000</v>
      </c>
      <c r="U11" s="56"/>
      <c r="V11" s="56"/>
      <c r="W11" s="56"/>
    </row>
    <row r="12" spans="1:23" x14ac:dyDescent="0.25">
      <c r="A12" s="72" t="s">
        <v>43</v>
      </c>
      <c r="B12" s="60">
        <v>8</v>
      </c>
      <c r="C12" s="61"/>
      <c r="D12" s="62">
        <f>'NOVEMBER 21'!H12:H43</f>
        <v>2180</v>
      </c>
      <c r="E12" s="63">
        <v>2700</v>
      </c>
      <c r="F12" s="63">
        <f t="shared" si="0"/>
        <v>4880</v>
      </c>
      <c r="G12" s="63"/>
      <c r="H12" s="64">
        <f t="shared" si="1"/>
        <v>4880</v>
      </c>
      <c r="I12" s="62"/>
      <c r="J12" s="56"/>
      <c r="K12" s="56"/>
      <c r="L12" s="56"/>
      <c r="M12" s="59" t="s">
        <v>120</v>
      </c>
      <c r="N12" s="68">
        <v>18</v>
      </c>
      <c r="O12" s="61"/>
      <c r="P12" s="62">
        <f>'NOVEMBER 21'!T12:T31</f>
        <v>0</v>
      </c>
      <c r="Q12" s="63">
        <v>2000</v>
      </c>
      <c r="R12" s="66">
        <f>O12+P12+Q12</f>
        <v>2000</v>
      </c>
      <c r="S12" s="63"/>
      <c r="T12" s="64">
        <f t="shared" si="3"/>
        <v>2000</v>
      </c>
      <c r="U12" s="56" t="s">
        <v>101</v>
      </c>
      <c r="V12" s="56"/>
      <c r="W12" s="56"/>
    </row>
    <row r="13" spans="1:23" x14ac:dyDescent="0.25">
      <c r="A13" s="73" t="s">
        <v>39</v>
      </c>
      <c r="B13" s="60">
        <v>9</v>
      </c>
      <c r="C13" s="61"/>
      <c r="D13" s="62">
        <f>'NOVEMBER 21'!H13:H44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J13" s="56"/>
      <c r="K13" s="56"/>
      <c r="L13" s="56"/>
      <c r="M13" s="65"/>
      <c r="N13" s="60">
        <v>19</v>
      </c>
      <c r="O13" s="61"/>
      <c r="P13" s="62">
        <f>'NOVEMBER 21'!T13:T32</f>
        <v>0</v>
      </c>
      <c r="Q13" s="63"/>
      <c r="R13" s="66">
        <f t="shared" si="2"/>
        <v>0</v>
      </c>
      <c r="S13" s="63"/>
      <c r="T13" s="64">
        <f t="shared" si="3"/>
        <v>0</v>
      </c>
      <c r="U13" s="56"/>
      <c r="V13" s="56"/>
      <c r="W13" s="56"/>
    </row>
    <row r="14" spans="1:23" x14ac:dyDescent="0.25">
      <c r="A14" s="25" t="s">
        <v>44</v>
      </c>
      <c r="B14" s="68">
        <v>10</v>
      </c>
      <c r="C14" s="61"/>
      <c r="D14" s="62">
        <f>'NOVEMBER 21'!H14:H45</f>
        <v>8100</v>
      </c>
      <c r="E14" s="63"/>
      <c r="F14" s="63">
        <f t="shared" si="0"/>
        <v>8100</v>
      </c>
      <c r="G14" s="63"/>
      <c r="H14" s="64">
        <f t="shared" si="1"/>
        <v>8100</v>
      </c>
      <c r="I14" s="62"/>
      <c r="J14" s="56"/>
      <c r="K14" s="56"/>
      <c r="L14" s="56"/>
      <c r="M14" s="65"/>
      <c r="N14" s="68">
        <v>20</v>
      </c>
      <c r="O14" s="61"/>
      <c r="P14" s="62">
        <f>'NOVEMBER 21'!T14:T33</f>
        <v>0</v>
      </c>
      <c r="Q14" s="63"/>
      <c r="R14" s="66">
        <f t="shared" si="2"/>
        <v>0</v>
      </c>
      <c r="S14" s="63"/>
      <c r="T14" s="64">
        <f t="shared" si="3"/>
        <v>0</v>
      </c>
      <c r="U14" s="56" t="s">
        <v>101</v>
      </c>
      <c r="V14" s="56"/>
      <c r="W14" s="56"/>
    </row>
    <row r="15" spans="1:23" x14ac:dyDescent="0.25">
      <c r="A15" s="65" t="s">
        <v>45</v>
      </c>
      <c r="B15" s="60">
        <v>11</v>
      </c>
      <c r="C15" s="61"/>
      <c r="D15" s="62">
        <f>'NOVEMBER 21'!H15:H46</f>
        <v>3080</v>
      </c>
      <c r="E15" s="63">
        <v>2700</v>
      </c>
      <c r="F15" s="63">
        <f t="shared" si="0"/>
        <v>5780</v>
      </c>
      <c r="G15" s="63">
        <v>1500</v>
      </c>
      <c r="H15" s="64">
        <f t="shared" si="1"/>
        <v>4280</v>
      </c>
      <c r="I15" s="62"/>
      <c r="J15" s="56"/>
      <c r="K15" s="56"/>
      <c r="L15" s="56"/>
      <c r="M15" s="65" t="s">
        <v>120</v>
      </c>
      <c r="N15" s="60">
        <v>21</v>
      </c>
      <c r="O15" s="61"/>
      <c r="P15" s="62">
        <f>'NOVEMBER 21'!T15:T34</f>
        <v>6000</v>
      </c>
      <c r="Q15" s="63">
        <v>2000</v>
      </c>
      <c r="R15" s="66">
        <f t="shared" si="2"/>
        <v>8000</v>
      </c>
      <c r="S15" s="63"/>
      <c r="T15" s="64">
        <f t="shared" si="3"/>
        <v>8000</v>
      </c>
      <c r="U15" s="56"/>
      <c r="V15" s="56"/>
      <c r="W15" s="56"/>
    </row>
    <row r="16" spans="1:23" x14ac:dyDescent="0.25">
      <c r="A16" s="65" t="s">
        <v>46</v>
      </c>
      <c r="B16" s="68">
        <v>12</v>
      </c>
      <c r="C16" s="61"/>
      <c r="D16" s="62">
        <f>'NOVEMBER 21'!H16:H47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J16" s="56"/>
      <c r="K16" s="56"/>
      <c r="L16" s="56"/>
      <c r="M16" s="25" t="s">
        <v>89</v>
      </c>
      <c r="N16" s="68">
        <v>22</v>
      </c>
      <c r="O16" s="61"/>
      <c r="P16" s="62">
        <f>'NOVEMBER 21'!T16:T35</f>
        <v>13000</v>
      </c>
      <c r="Q16" s="63">
        <v>2000</v>
      </c>
      <c r="R16" s="66">
        <f t="shared" si="2"/>
        <v>15000</v>
      </c>
      <c r="S16" s="63"/>
      <c r="T16" s="64">
        <f t="shared" si="3"/>
        <v>15000</v>
      </c>
      <c r="U16" s="56"/>
      <c r="V16" s="56"/>
      <c r="W16" s="56"/>
    </row>
    <row r="17" spans="1:23" x14ac:dyDescent="0.25">
      <c r="A17" s="65" t="s">
        <v>119</v>
      </c>
      <c r="B17" s="60">
        <v>13</v>
      </c>
      <c r="C17" s="61"/>
      <c r="D17" s="62">
        <f>'NOVEMBER 21'!H17:H48</f>
        <v>0</v>
      </c>
      <c r="E17" s="63">
        <v>2700</v>
      </c>
      <c r="F17" s="63">
        <f t="shared" si="0"/>
        <v>2700</v>
      </c>
      <c r="G17" s="63"/>
      <c r="H17" s="64">
        <f>F17-G17</f>
        <v>2700</v>
      </c>
      <c r="I17" s="62"/>
      <c r="J17" s="56"/>
      <c r="K17" s="56"/>
      <c r="L17" s="56"/>
      <c r="M17" s="69" t="s">
        <v>120</v>
      </c>
      <c r="N17" s="60">
        <v>23</v>
      </c>
      <c r="O17" s="61"/>
      <c r="P17" s="62">
        <f>'NOVEMBER 21'!T17:T36</f>
        <v>6000</v>
      </c>
      <c r="Q17" s="63">
        <v>2000</v>
      </c>
      <c r="R17" s="66">
        <f t="shared" si="2"/>
        <v>8000</v>
      </c>
      <c r="S17" s="63"/>
      <c r="T17" s="64">
        <f t="shared" si="3"/>
        <v>8000</v>
      </c>
      <c r="U17" s="56"/>
      <c r="V17" s="56"/>
      <c r="W17" s="56"/>
    </row>
    <row r="18" spans="1:23" x14ac:dyDescent="0.25">
      <c r="A18" s="65" t="s">
        <v>48</v>
      </c>
      <c r="B18" s="68">
        <v>14</v>
      </c>
      <c r="C18" s="61"/>
      <c r="D18" s="62">
        <f>'NOVEMBER 21'!H18:H49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J18" s="56"/>
      <c r="K18" s="56"/>
      <c r="L18" s="56"/>
      <c r="M18" s="65" t="s">
        <v>120</v>
      </c>
      <c r="N18" s="68">
        <v>24</v>
      </c>
      <c r="O18" s="61"/>
      <c r="P18" s="62">
        <f>'NOVEMBER 21'!T18:T37</f>
        <v>4000</v>
      </c>
      <c r="Q18" s="63">
        <v>2000</v>
      </c>
      <c r="R18" s="66">
        <f t="shared" si="2"/>
        <v>6000</v>
      </c>
      <c r="S18" s="63"/>
      <c r="T18" s="64">
        <f t="shared" si="3"/>
        <v>6000</v>
      </c>
      <c r="U18" s="56"/>
      <c r="V18" s="56"/>
      <c r="W18" s="56"/>
    </row>
    <row r="19" spans="1:23" x14ac:dyDescent="0.25">
      <c r="A19" s="65" t="s">
        <v>49</v>
      </c>
      <c r="B19" s="60">
        <v>15</v>
      </c>
      <c r="C19" s="61"/>
      <c r="D19" s="62">
        <f>'NOVEMBER 21'!H19:H50</f>
        <v>1550</v>
      </c>
      <c r="E19" s="63">
        <v>1500</v>
      </c>
      <c r="F19" s="63">
        <f>C19+D19+E19</f>
        <v>3050</v>
      </c>
      <c r="G19" s="63">
        <v>1200</v>
      </c>
      <c r="H19" s="64">
        <f t="shared" si="1"/>
        <v>1850</v>
      </c>
      <c r="I19" s="62"/>
      <c r="J19" s="56"/>
      <c r="K19" s="56"/>
      <c r="L19" s="56"/>
      <c r="M19" s="65" t="s">
        <v>95</v>
      </c>
      <c r="N19" s="60">
        <v>25</v>
      </c>
      <c r="O19" s="61"/>
      <c r="P19" s="62">
        <f>'NOVEMBER 21'!T19:T38</f>
        <v>10000</v>
      </c>
      <c r="Q19" s="63">
        <v>2000</v>
      </c>
      <c r="R19" s="66">
        <f t="shared" si="2"/>
        <v>12000</v>
      </c>
      <c r="S19" s="63"/>
      <c r="T19" s="64">
        <f t="shared" si="3"/>
        <v>12000</v>
      </c>
      <c r="U19" s="56"/>
      <c r="V19" s="56"/>
      <c r="W19" s="56"/>
    </row>
    <row r="20" spans="1:23" x14ac:dyDescent="0.25">
      <c r="A20" s="65" t="s">
        <v>50</v>
      </c>
      <c r="B20" s="68">
        <v>16</v>
      </c>
      <c r="C20" s="61"/>
      <c r="D20" s="62">
        <f>'NOVEMBER 21'!H20:H51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J20" s="56"/>
      <c r="K20" s="56"/>
      <c r="L20" s="56"/>
      <c r="M20" s="74" t="s">
        <v>96</v>
      </c>
      <c r="N20" s="68">
        <v>26</v>
      </c>
      <c r="O20" s="61"/>
      <c r="P20" s="62">
        <f>'NOVEMBER 21'!T20:T39</f>
        <v>10000</v>
      </c>
      <c r="Q20" s="63">
        <v>2000</v>
      </c>
      <c r="R20" s="66">
        <f t="shared" si="2"/>
        <v>12000</v>
      </c>
      <c r="S20" s="63"/>
      <c r="T20" s="64">
        <f t="shared" si="3"/>
        <v>12000</v>
      </c>
      <c r="U20" s="56"/>
      <c r="V20" s="56"/>
      <c r="W20" s="56"/>
    </row>
    <row r="21" spans="1:23" x14ac:dyDescent="0.25">
      <c r="A21" s="65" t="s">
        <v>51</v>
      </c>
      <c r="B21" s="60">
        <v>17</v>
      </c>
      <c r="C21" s="61"/>
      <c r="D21" s="62">
        <f>'NOVEMBER 21'!H21:H52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J21" s="56"/>
      <c r="K21" s="56"/>
      <c r="L21" s="56"/>
      <c r="M21" s="25" t="s">
        <v>91</v>
      </c>
      <c r="N21" s="60">
        <v>27</v>
      </c>
      <c r="O21" s="61"/>
      <c r="P21" s="62">
        <f>'NOVEMBER 21'!T21:T40</f>
        <v>4000</v>
      </c>
      <c r="Q21" s="63">
        <v>2000</v>
      </c>
      <c r="R21" s="66">
        <f t="shared" si="2"/>
        <v>6000</v>
      </c>
      <c r="S21" s="63"/>
      <c r="T21" s="64">
        <f t="shared" si="3"/>
        <v>6000</v>
      </c>
      <c r="U21" s="56" t="s">
        <v>101</v>
      </c>
      <c r="V21" s="56"/>
      <c r="W21" s="56"/>
    </row>
    <row r="22" spans="1:23" x14ac:dyDescent="0.25">
      <c r="A22" s="65" t="s">
        <v>52</v>
      </c>
      <c r="B22" s="68">
        <v>18</v>
      </c>
      <c r="C22" s="61"/>
      <c r="D22" s="62">
        <f>'NOVEMBER 21'!H22:H53</f>
        <v>100</v>
      </c>
      <c r="E22" s="63">
        <v>2700</v>
      </c>
      <c r="F22" s="63">
        <f>C22+D22+E22</f>
        <v>2800</v>
      </c>
      <c r="G22" s="63">
        <v>2500</v>
      </c>
      <c r="H22" s="64">
        <f t="shared" si="1"/>
        <v>300</v>
      </c>
      <c r="I22" s="62"/>
      <c r="J22" s="56"/>
      <c r="K22" s="56"/>
      <c r="L22" s="56"/>
      <c r="M22" s="25" t="s">
        <v>120</v>
      </c>
      <c r="N22" s="68">
        <v>28</v>
      </c>
      <c r="O22" s="61"/>
      <c r="P22" s="62">
        <f>'NOVEMBER 21'!T22:T41</f>
        <v>4000</v>
      </c>
      <c r="Q22" s="63">
        <v>2000</v>
      </c>
      <c r="R22" s="66">
        <f t="shared" si="2"/>
        <v>6000</v>
      </c>
      <c r="S22" s="63"/>
      <c r="T22" s="64">
        <f t="shared" si="3"/>
        <v>6000</v>
      </c>
      <c r="U22" s="56"/>
      <c r="V22" s="56"/>
      <c r="W22" s="56"/>
    </row>
    <row r="23" spans="1:23" x14ac:dyDescent="0.25">
      <c r="A23" s="65" t="s">
        <v>53</v>
      </c>
      <c r="B23" s="60">
        <v>19</v>
      </c>
      <c r="C23" s="61"/>
      <c r="D23" s="62">
        <f>'NOVEMBER 21'!H23:H54</f>
        <v>0</v>
      </c>
      <c r="E23" s="63">
        <v>2700</v>
      </c>
      <c r="F23" s="63">
        <f>C23+D23+E23</f>
        <v>2700</v>
      </c>
      <c r="G23" s="63"/>
      <c r="H23" s="64">
        <f t="shared" si="1"/>
        <v>2700</v>
      </c>
      <c r="I23" s="62"/>
      <c r="J23" s="56"/>
      <c r="K23" s="56"/>
      <c r="L23" s="56"/>
      <c r="M23" s="70" t="s">
        <v>39</v>
      </c>
      <c r="N23" s="60">
        <v>29</v>
      </c>
      <c r="O23" s="61"/>
      <c r="P23" s="62">
        <f>'NOVEMBER 21'!T23:T42</f>
        <v>0</v>
      </c>
      <c r="Q23" s="63"/>
      <c r="R23" s="66">
        <f>O23+P23+Q23</f>
        <v>0</v>
      </c>
      <c r="S23" s="63"/>
      <c r="T23" s="64">
        <f t="shared" si="3"/>
        <v>0</v>
      </c>
      <c r="U23" s="56"/>
      <c r="V23" s="56"/>
      <c r="W23" s="56"/>
    </row>
    <row r="24" spans="1:23" x14ac:dyDescent="0.25">
      <c r="A24" s="65" t="s">
        <v>187</v>
      </c>
      <c r="B24" s="68">
        <v>20</v>
      </c>
      <c r="C24" s="61"/>
      <c r="D24" s="62"/>
      <c r="E24" s="63">
        <v>2700</v>
      </c>
      <c r="F24" s="63">
        <f t="shared" si="0"/>
        <v>2700</v>
      </c>
      <c r="G24" s="63">
        <v>2700</v>
      </c>
      <c r="H24" s="64">
        <f t="shared" si="1"/>
        <v>0</v>
      </c>
      <c r="I24" s="62"/>
      <c r="J24" s="56"/>
      <c r="K24" s="56"/>
      <c r="L24" s="56"/>
      <c r="M24" s="25" t="s">
        <v>94</v>
      </c>
      <c r="N24" s="68">
        <v>30</v>
      </c>
      <c r="O24" s="61"/>
      <c r="P24" s="62">
        <f>'NOVEMBER 21'!T24:T43</f>
        <v>8000</v>
      </c>
      <c r="Q24" s="63">
        <v>2000</v>
      </c>
      <c r="R24" s="66">
        <f>O24+P24+Q24</f>
        <v>10000</v>
      </c>
      <c r="S24" s="63"/>
      <c r="T24" s="64">
        <f t="shared" si="3"/>
        <v>10000</v>
      </c>
      <c r="U24" s="56"/>
      <c r="V24" s="56"/>
      <c r="W24" s="56"/>
    </row>
    <row r="25" spans="1:23" x14ac:dyDescent="0.25">
      <c r="A25" s="25" t="s">
        <v>108</v>
      </c>
      <c r="B25" s="60">
        <v>21</v>
      </c>
      <c r="C25" s="61"/>
      <c r="D25" s="62">
        <f>'NOVEMBER 21'!H25:H56</f>
        <v>4700</v>
      </c>
      <c r="E25" s="63">
        <v>2700</v>
      </c>
      <c r="F25" s="63">
        <f t="shared" si="0"/>
        <v>7400</v>
      </c>
      <c r="G25" s="63"/>
      <c r="H25" s="64">
        <f t="shared" si="1"/>
        <v>7400</v>
      </c>
      <c r="I25" s="62"/>
      <c r="J25" s="56"/>
      <c r="K25" s="56"/>
      <c r="L25" s="56"/>
      <c r="M25" s="25" t="s">
        <v>11</v>
      </c>
      <c r="N25" s="60"/>
      <c r="O25" s="61"/>
      <c r="P25" s="62">
        <f>SUM(P5:P24)</f>
        <v>99600</v>
      </c>
      <c r="Q25" s="63">
        <f t="shared" ref="Q25:T25" si="4">SUM(Q5:Q24)</f>
        <v>34000</v>
      </c>
      <c r="R25" s="66">
        <f t="shared" si="4"/>
        <v>133600</v>
      </c>
      <c r="S25" s="63">
        <f t="shared" si="4"/>
        <v>0</v>
      </c>
      <c r="T25" s="63">
        <f t="shared" si="4"/>
        <v>133600</v>
      </c>
      <c r="U25" s="56"/>
      <c r="V25" s="56"/>
      <c r="W25" s="56"/>
    </row>
    <row r="26" spans="1:23" x14ac:dyDescent="0.25">
      <c r="A26" s="69" t="s">
        <v>175</v>
      </c>
      <c r="B26" s="68">
        <v>22</v>
      </c>
      <c r="C26" s="61"/>
      <c r="D26" s="62">
        <f>'NOVEMBER 21'!H26:H57</f>
        <v>2700</v>
      </c>
      <c r="E26" s="63">
        <v>2700</v>
      </c>
      <c r="F26" s="63">
        <f>C26+D26+E26</f>
        <v>5400</v>
      </c>
      <c r="G26" s="63"/>
      <c r="H26" s="64">
        <f t="shared" si="1"/>
        <v>5400</v>
      </c>
      <c r="I26" s="6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x14ac:dyDescent="0.25">
      <c r="A27" s="74" t="s">
        <v>56</v>
      </c>
      <c r="B27" s="60">
        <v>23</v>
      </c>
      <c r="C27" s="61"/>
      <c r="D27" s="62">
        <f>'NOVEMBER 21'!H27:H58</f>
        <v>6400</v>
      </c>
      <c r="E27" s="63">
        <v>2700</v>
      </c>
      <c r="F27" s="63">
        <f t="shared" si="0"/>
        <v>9100</v>
      </c>
      <c r="G27" s="63">
        <v>2000</v>
      </c>
      <c r="H27" s="64">
        <f t="shared" si="1"/>
        <v>7100</v>
      </c>
      <c r="I27" s="62"/>
      <c r="J27" s="7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x14ac:dyDescent="0.25">
      <c r="A28" s="65" t="s">
        <v>157</v>
      </c>
      <c r="B28" s="68">
        <v>24</v>
      </c>
      <c r="C28" s="61"/>
      <c r="D28" s="62">
        <f>'NOVEMBER 21'!H28:H59</f>
        <v>2700</v>
      </c>
      <c r="E28" s="63">
        <v>2700</v>
      </c>
      <c r="F28" s="63">
        <f>C28+D28+E28</f>
        <v>5400</v>
      </c>
      <c r="G28" s="63">
        <v>2700</v>
      </c>
      <c r="H28" s="64">
        <f>F28-G28</f>
        <v>2700</v>
      </c>
      <c r="I28" s="62"/>
      <c r="J28" s="56"/>
      <c r="K28" s="56"/>
      <c r="L28" s="56"/>
      <c r="M28" s="35" t="s">
        <v>12</v>
      </c>
      <c r="N28" s="29"/>
      <c r="O28" s="30"/>
      <c r="P28" s="31"/>
      <c r="Q28" s="32"/>
      <c r="R28" s="56"/>
      <c r="S28" s="32"/>
      <c r="T28" s="77"/>
      <c r="U28" s="56"/>
      <c r="V28" s="56"/>
      <c r="W28" s="56"/>
    </row>
    <row r="29" spans="1:23" x14ac:dyDescent="0.25">
      <c r="A29" s="59" t="s">
        <v>39</v>
      </c>
      <c r="B29" s="60">
        <v>25</v>
      </c>
      <c r="C29" s="61"/>
      <c r="D29" s="62">
        <f>'NOVEMBER 21'!H29:H60</f>
        <v>0</v>
      </c>
      <c r="E29" s="63"/>
      <c r="F29" s="63">
        <f>C29+D29+E29</f>
        <v>0</v>
      </c>
      <c r="G29" s="63"/>
      <c r="H29" s="64">
        <f>F29-G29</f>
        <v>0</v>
      </c>
      <c r="I29" s="62"/>
      <c r="J29" s="56"/>
      <c r="K29" s="56"/>
      <c r="L29" s="56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  <c r="U29" s="56"/>
      <c r="V29" s="56"/>
      <c r="W29" s="56"/>
    </row>
    <row r="30" spans="1:23" x14ac:dyDescent="0.25">
      <c r="A30" s="70" t="s">
        <v>39</v>
      </c>
      <c r="B30" s="68">
        <v>26</v>
      </c>
      <c r="C30" s="61"/>
      <c r="D30" s="62">
        <f>'NOVEMBER 21'!H30:H61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J30" s="56"/>
      <c r="K30" s="56"/>
      <c r="L30" s="56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56"/>
      <c r="V30" s="56"/>
      <c r="W30" s="56"/>
    </row>
    <row r="31" spans="1:23" x14ac:dyDescent="0.25">
      <c r="A31" s="25" t="s">
        <v>59</v>
      </c>
      <c r="B31" s="68" t="s">
        <v>33</v>
      </c>
      <c r="C31" s="61"/>
      <c r="D31" s="62">
        <f>'NOVEMBER 21'!H31:H62</f>
        <v>0</v>
      </c>
      <c r="E31" s="63">
        <v>6400</v>
      </c>
      <c r="F31" s="63">
        <f t="shared" si="5"/>
        <v>6400</v>
      </c>
      <c r="G31" s="63">
        <v>6400</v>
      </c>
      <c r="H31" s="64">
        <f t="shared" si="6"/>
        <v>0</v>
      </c>
      <c r="I31" s="62"/>
      <c r="J31" s="56"/>
      <c r="K31" s="56"/>
      <c r="L31" s="56"/>
      <c r="M31" s="37" t="s">
        <v>186</v>
      </c>
      <c r="N31" s="44">
        <f>Q25</f>
        <v>34000</v>
      </c>
      <c r="O31" s="37"/>
      <c r="P31" s="37"/>
      <c r="Q31" s="37" t="s">
        <v>186</v>
      </c>
      <c r="R31" s="76">
        <f>S25</f>
        <v>0</v>
      </c>
      <c r="S31" s="37"/>
      <c r="T31" s="37"/>
      <c r="U31" s="56"/>
      <c r="V31" s="56"/>
      <c r="W31" s="56"/>
    </row>
    <row r="32" spans="1:23" x14ac:dyDescent="0.25">
      <c r="A32" s="25" t="s">
        <v>126</v>
      </c>
      <c r="B32" s="68" t="s">
        <v>34</v>
      </c>
      <c r="C32" s="61"/>
      <c r="D32" s="62">
        <f>'NOVEMBER 21'!H32:H63</f>
        <v>1800</v>
      </c>
      <c r="E32" s="63">
        <v>6400</v>
      </c>
      <c r="F32" s="63">
        <f t="shared" si="5"/>
        <v>8200</v>
      </c>
      <c r="G32" s="63">
        <v>4000</v>
      </c>
      <c r="H32" s="64">
        <f t="shared" si="6"/>
        <v>4200</v>
      </c>
      <c r="I32" s="62"/>
      <c r="J32" s="56"/>
      <c r="K32" s="56"/>
      <c r="L32" s="56"/>
      <c r="M32" s="37" t="s">
        <v>18</v>
      </c>
      <c r="N32" s="44">
        <f>'NOVEMBER 21'!P45</f>
        <v>99021</v>
      </c>
      <c r="O32" s="37"/>
      <c r="P32" s="37"/>
      <c r="Q32" s="37" t="s">
        <v>18</v>
      </c>
      <c r="R32" s="44">
        <f>'NOVEMBER 21'!T45</f>
        <v>-579</v>
      </c>
      <c r="S32" s="37"/>
      <c r="T32" s="37"/>
      <c r="U32" s="56"/>
      <c r="V32" s="56"/>
      <c r="W32" s="56"/>
    </row>
    <row r="33" spans="1:23" x14ac:dyDescent="0.25">
      <c r="A33" s="25" t="s">
        <v>61</v>
      </c>
      <c r="B33" s="68" t="s">
        <v>35</v>
      </c>
      <c r="C33" s="61"/>
      <c r="D33" s="62">
        <f>'NOVEMBER 21'!H33:H64</f>
        <v>0</v>
      </c>
      <c r="E33" s="63">
        <v>6400</v>
      </c>
      <c r="F33" s="63">
        <f t="shared" si="5"/>
        <v>6400</v>
      </c>
      <c r="G33" s="63">
        <v>6400</v>
      </c>
      <c r="H33" s="64">
        <f t="shared" si="6"/>
        <v>0</v>
      </c>
      <c r="I33" s="62"/>
      <c r="J33" s="56"/>
      <c r="K33" s="56"/>
      <c r="L33" s="56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  <c r="U33" s="56"/>
      <c r="V33" s="56"/>
      <c r="W33" s="56"/>
    </row>
    <row r="34" spans="1:23" x14ac:dyDescent="0.25">
      <c r="A34" s="25" t="s">
        <v>62</v>
      </c>
      <c r="B34" s="68" t="s">
        <v>36</v>
      </c>
      <c r="C34" s="61"/>
      <c r="D34" s="62">
        <f>'NOVEMBER 21'!H34:H65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J34" s="56"/>
      <c r="K34" s="56"/>
      <c r="L34" s="56"/>
      <c r="M34" s="37" t="s">
        <v>31</v>
      </c>
      <c r="N34" s="44"/>
      <c r="O34" s="37"/>
      <c r="P34" s="37"/>
      <c r="Q34" s="37"/>
      <c r="R34" s="44"/>
      <c r="S34" s="37"/>
      <c r="T34" s="37"/>
      <c r="U34" s="56"/>
      <c r="V34" s="56"/>
      <c r="W34" s="56"/>
    </row>
    <row r="35" spans="1:23" x14ac:dyDescent="0.25">
      <c r="A35" s="25" t="s">
        <v>63</v>
      </c>
      <c r="B35" s="68" t="s">
        <v>37</v>
      </c>
      <c r="C35" s="61"/>
      <c r="D35" s="62">
        <f>'NOVEMBER 21'!H35:H66</f>
        <v>2500</v>
      </c>
      <c r="E35" s="63">
        <v>7000</v>
      </c>
      <c r="F35" s="63">
        <f t="shared" si="5"/>
        <v>9500</v>
      </c>
      <c r="G35" s="63">
        <v>7000</v>
      </c>
      <c r="H35" s="64">
        <f t="shared" si="6"/>
        <v>2500</v>
      </c>
      <c r="I35" s="62"/>
      <c r="J35" s="56"/>
      <c r="K35" s="56"/>
      <c r="L35" s="56"/>
      <c r="M35" s="37" t="s">
        <v>20</v>
      </c>
      <c r="N35" s="78">
        <v>0.1</v>
      </c>
      <c r="O35" s="44">
        <f>N35*N31</f>
        <v>3400</v>
      </c>
      <c r="P35" s="37"/>
      <c r="Q35" s="37" t="s">
        <v>20</v>
      </c>
      <c r="R35" s="44"/>
      <c r="S35" s="44">
        <f>R36*N31</f>
        <v>3400</v>
      </c>
      <c r="T35" s="37"/>
      <c r="U35" s="56"/>
      <c r="V35" s="56"/>
      <c r="W35" s="56"/>
    </row>
    <row r="36" spans="1:23" x14ac:dyDescent="0.25">
      <c r="A36" s="25" t="s">
        <v>64</v>
      </c>
      <c r="B36" s="68" t="s">
        <v>38</v>
      </c>
      <c r="C36" s="61"/>
      <c r="D36" s="62">
        <f>'NOVEMBER 21'!H36:H67</f>
        <v>0</v>
      </c>
      <c r="E36" s="63">
        <v>10000</v>
      </c>
      <c r="F36" s="63">
        <f t="shared" si="5"/>
        <v>10000</v>
      </c>
      <c r="G36" s="63">
        <v>10000</v>
      </c>
      <c r="H36" s="64">
        <f t="shared" si="6"/>
        <v>0</v>
      </c>
      <c r="I36" s="62"/>
      <c r="J36" s="56"/>
      <c r="K36" s="56"/>
      <c r="L36" s="56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  <c r="U36" s="56"/>
      <c r="V36" s="56"/>
      <c r="W36" s="56"/>
    </row>
    <row r="37" spans="1:23" x14ac:dyDescent="0.25">
      <c r="A37" s="25" t="s">
        <v>11</v>
      </c>
      <c r="B37" s="37"/>
      <c r="C37" s="61">
        <f t="shared" ref="C37:H37" si="7">SUM(C5:C36)</f>
        <v>0</v>
      </c>
      <c r="D37" s="62">
        <f>SUM(D5:D36)</f>
        <v>51960</v>
      </c>
      <c r="E37" s="27">
        <f t="shared" si="7"/>
        <v>86900</v>
      </c>
      <c r="F37" s="63">
        <f t="shared" si="7"/>
        <v>138860</v>
      </c>
      <c r="G37" s="63">
        <f>SUM(G5:G36)</f>
        <v>66850</v>
      </c>
      <c r="H37" s="63">
        <f t="shared" si="7"/>
        <v>72010</v>
      </c>
      <c r="I37" s="62"/>
      <c r="J37" s="56"/>
      <c r="K37" s="56"/>
      <c r="L37" s="56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  <c r="U37" s="56"/>
      <c r="V37" s="56"/>
      <c r="W37" s="56"/>
    </row>
    <row r="38" spans="1:23" x14ac:dyDescent="0.25">
      <c r="A38" s="56"/>
      <c r="B38" s="56"/>
      <c r="C38" s="56"/>
      <c r="D38" s="62">
        <f>'SEPTEMBER 21'!H38:H70</f>
        <v>0</v>
      </c>
      <c r="E38" s="56"/>
      <c r="F38" s="63"/>
      <c r="G38" s="56"/>
      <c r="H38" s="76"/>
      <c r="I38" s="35"/>
      <c r="J38" s="56"/>
      <c r="K38" s="56"/>
      <c r="L38" s="56"/>
      <c r="M38" s="81" t="s">
        <v>178</v>
      </c>
      <c r="N38" s="56"/>
      <c r="O38" s="76">
        <f>Q8+Q21+Q10+Q14+Q12</f>
        <v>8000</v>
      </c>
      <c r="P38" s="80"/>
      <c r="Q38" s="81" t="s">
        <v>178</v>
      </c>
      <c r="R38" s="56"/>
      <c r="S38" s="76">
        <f>Q8+Q10+Q12+Q14+Q21</f>
        <v>8000</v>
      </c>
      <c r="T38" s="37"/>
      <c r="U38" s="56"/>
      <c r="V38" s="56"/>
      <c r="W38" s="56"/>
    </row>
    <row r="39" spans="1:23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81"/>
      <c r="N39" s="78"/>
      <c r="O39" s="80"/>
      <c r="P39" s="37"/>
      <c r="Q39" s="81"/>
      <c r="R39" s="78"/>
      <c r="S39" s="80"/>
      <c r="T39" s="37"/>
      <c r="U39" s="56"/>
      <c r="V39" s="56"/>
      <c r="W39" s="56"/>
    </row>
    <row r="40" spans="1:23" ht="15.75" x14ac:dyDescent="0.25">
      <c r="A40" s="56"/>
      <c r="B40" s="1"/>
      <c r="C40" s="1"/>
      <c r="D40" s="1"/>
      <c r="E40" s="1"/>
      <c r="F40" s="4"/>
      <c r="G40" s="35"/>
      <c r="H40" s="35"/>
      <c r="I40" s="35"/>
      <c r="J40" s="56"/>
      <c r="K40" s="56"/>
      <c r="L40" s="56"/>
      <c r="M40" s="56"/>
      <c r="N40" s="1"/>
      <c r="O40" s="1"/>
      <c r="P40" s="1"/>
      <c r="Q40" s="1"/>
      <c r="R40" s="56"/>
      <c r="S40" s="56"/>
      <c r="T40" s="56"/>
      <c r="U40" s="56"/>
      <c r="V40" s="56"/>
      <c r="W40" s="56"/>
    </row>
    <row r="41" spans="1:23" x14ac:dyDescent="0.25">
      <c r="A41" s="35" t="s">
        <v>12</v>
      </c>
      <c r="B41" s="29"/>
      <c r="C41" s="30"/>
      <c r="D41" s="31"/>
      <c r="E41" s="32"/>
      <c r="F41" s="56"/>
      <c r="G41" s="32"/>
      <c r="H41" s="77"/>
      <c r="I41" s="35"/>
      <c r="J41" s="56"/>
      <c r="K41" s="56"/>
      <c r="L41" s="56"/>
      <c r="M41" s="81"/>
      <c r="N41" s="37"/>
      <c r="O41" s="80"/>
      <c r="P41" s="37"/>
      <c r="Q41" s="81"/>
      <c r="R41" s="37"/>
      <c r="S41" s="80"/>
      <c r="T41" s="37"/>
      <c r="U41" s="56"/>
      <c r="V41" s="56"/>
      <c r="W41" s="56"/>
    </row>
    <row r="42" spans="1:23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J42" s="56"/>
      <c r="K42" s="56"/>
      <c r="L42" s="56"/>
      <c r="M42" s="81"/>
      <c r="N42" s="37"/>
      <c r="O42" s="80"/>
      <c r="P42" s="37"/>
      <c r="Q42" s="81"/>
      <c r="R42" s="37"/>
      <c r="S42" s="80"/>
      <c r="T42" s="37"/>
      <c r="U42" s="56"/>
      <c r="V42" s="56"/>
      <c r="W42" s="56"/>
    </row>
    <row r="43" spans="1:23" x14ac:dyDescent="0.25">
      <c r="A43" s="35"/>
      <c r="B43" s="35"/>
      <c r="C43" s="35"/>
      <c r="D43" s="36"/>
      <c r="E43" s="35"/>
      <c r="F43" s="33"/>
      <c r="G43" s="35"/>
      <c r="H43" s="35"/>
      <c r="I43" s="35"/>
      <c r="J43" s="56"/>
      <c r="K43" s="56"/>
      <c r="L43" s="56"/>
      <c r="M43" s="81"/>
      <c r="N43" s="37"/>
      <c r="O43" s="80"/>
      <c r="P43" s="37"/>
      <c r="Q43" s="81"/>
      <c r="R43" s="37"/>
      <c r="S43" s="80"/>
      <c r="T43" s="37"/>
      <c r="U43" s="56"/>
      <c r="V43" s="56"/>
      <c r="W43" s="56"/>
    </row>
    <row r="44" spans="1:23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J44" s="56"/>
      <c r="K44" s="56"/>
      <c r="L44" s="56"/>
      <c r="M44" s="81"/>
      <c r="N44" s="37"/>
      <c r="O44" s="80"/>
      <c r="P44" s="37"/>
      <c r="Q44" s="81"/>
      <c r="R44" s="37"/>
      <c r="S44" s="80"/>
      <c r="T44" s="37"/>
      <c r="U44" s="56"/>
      <c r="V44" s="56"/>
      <c r="W44" s="56"/>
    </row>
    <row r="45" spans="1:23" x14ac:dyDescent="0.25">
      <c r="A45" s="37" t="s">
        <v>186</v>
      </c>
      <c r="B45" s="44">
        <f>E37</f>
        <v>86900</v>
      </c>
      <c r="C45" s="37"/>
      <c r="D45" s="37"/>
      <c r="E45" s="37" t="s">
        <v>186</v>
      </c>
      <c r="F45" s="76">
        <f>G37</f>
        <v>66850</v>
      </c>
      <c r="G45" s="37"/>
      <c r="H45" s="37"/>
      <c r="I45" s="77"/>
      <c r="J45" s="56"/>
      <c r="K45" s="56"/>
      <c r="L45" s="56"/>
      <c r="M45" s="37" t="s">
        <v>11</v>
      </c>
      <c r="N45" s="44">
        <f>N34+N31+N32+N33-O35</f>
        <v>129621</v>
      </c>
      <c r="O45" s="44">
        <f>SUM(O37:O44)</f>
        <v>8000</v>
      </c>
      <c r="P45" s="44">
        <f>N45-O45</f>
        <v>121621</v>
      </c>
      <c r="Q45" s="37" t="s">
        <v>11</v>
      </c>
      <c r="R45" s="80">
        <f>R31+R32-S35</f>
        <v>-3979</v>
      </c>
      <c r="S45" s="44">
        <f>SUM(S37:S44)</f>
        <v>8000</v>
      </c>
      <c r="T45" s="44">
        <f>R45-S45</f>
        <v>-11979</v>
      </c>
      <c r="U45" s="56"/>
      <c r="V45" s="56"/>
      <c r="W45" s="56"/>
    </row>
    <row r="46" spans="1:23" x14ac:dyDescent="0.25">
      <c r="A46" s="37" t="s">
        <v>18</v>
      </c>
      <c r="B46" s="44">
        <f>'NOVEMBER 21'!D58</f>
        <v>50500</v>
      </c>
      <c r="C46" s="37"/>
      <c r="D46" s="37"/>
      <c r="E46" s="37" t="s">
        <v>18</v>
      </c>
      <c r="F46" s="44">
        <f>'NOVEMBER 21'!H58</f>
        <v>14253</v>
      </c>
      <c r="G46" s="37"/>
      <c r="H46" s="37"/>
      <c r="I46" s="77"/>
      <c r="J46" s="56"/>
      <c r="K46" s="56"/>
      <c r="L46" s="56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  <c r="U46" s="56"/>
      <c r="V46" s="56"/>
      <c r="W46" s="56"/>
    </row>
    <row r="47" spans="1:23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J47" s="56"/>
      <c r="K47" s="56"/>
      <c r="L47" s="56"/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  <c r="U47" s="56"/>
      <c r="V47" s="56"/>
      <c r="W47" s="56"/>
    </row>
    <row r="48" spans="1:23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J48" s="56"/>
      <c r="K48" s="56"/>
      <c r="L48" s="56"/>
      <c r="M48" s="56"/>
      <c r="N48" s="56"/>
      <c r="O48" s="56"/>
      <c r="P48" s="56"/>
      <c r="Q48" s="56"/>
      <c r="R48" s="82" t="s">
        <v>32</v>
      </c>
      <c r="S48" s="56"/>
      <c r="T48" s="56"/>
      <c r="U48" s="56"/>
      <c r="V48" s="56"/>
      <c r="W48" s="56"/>
    </row>
    <row r="49" spans="1:23" x14ac:dyDescent="0.25">
      <c r="A49" s="37" t="s">
        <v>20</v>
      </c>
      <c r="B49" s="78">
        <v>0.1</v>
      </c>
      <c r="C49" s="44">
        <f>B49*B45</f>
        <v>8690</v>
      </c>
      <c r="D49" s="37"/>
      <c r="E49" s="37" t="s">
        <v>20</v>
      </c>
      <c r="F49" s="44"/>
      <c r="G49" s="44">
        <f>F50*B45</f>
        <v>8690</v>
      </c>
      <c r="H49" s="37"/>
      <c r="I49" s="35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</row>
    <row r="51" spans="1:23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</row>
    <row r="52" spans="1:23" x14ac:dyDescent="0.25">
      <c r="A52" s="81" t="s">
        <v>185</v>
      </c>
      <c r="B52" s="56"/>
      <c r="C52" s="56">
        <v>14097</v>
      </c>
      <c r="D52" s="80"/>
      <c r="E52" s="81" t="s">
        <v>185</v>
      </c>
      <c r="F52" s="56"/>
      <c r="G52" s="56">
        <v>14097</v>
      </c>
      <c r="H52" s="37"/>
      <c r="I52" s="3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</row>
    <row r="53" spans="1:23" x14ac:dyDescent="0.25">
      <c r="A53" s="81" t="s">
        <v>189</v>
      </c>
      <c r="B53" s="78"/>
      <c r="C53" s="37">
        <v>20102</v>
      </c>
      <c r="D53" s="37"/>
      <c r="E53" s="81" t="s">
        <v>189</v>
      </c>
      <c r="F53" s="78"/>
      <c r="G53" s="37">
        <v>20102</v>
      </c>
      <c r="H53" s="37"/>
      <c r="I53" s="77"/>
      <c r="J53" s="76"/>
      <c r="K53" s="56"/>
      <c r="L53" s="56"/>
      <c r="M53" s="85"/>
      <c r="N53" s="56"/>
      <c r="O53" s="56"/>
      <c r="P53" s="56"/>
      <c r="Q53" s="56"/>
      <c r="R53" s="56"/>
      <c r="S53" s="56"/>
      <c r="T53" s="56"/>
      <c r="U53" s="56"/>
      <c r="V53" s="56"/>
      <c r="W53" s="56"/>
    </row>
    <row r="54" spans="1:23" x14ac:dyDescent="0.25">
      <c r="A54" s="81"/>
      <c r="B54" s="78"/>
      <c r="C54" s="37"/>
      <c r="D54" s="37"/>
      <c r="E54" s="81"/>
      <c r="F54" s="78"/>
      <c r="G54" s="37"/>
      <c r="H54" s="37"/>
      <c r="I54" s="86"/>
      <c r="J54" s="85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1:23" x14ac:dyDescent="0.25">
      <c r="A55" s="81"/>
      <c r="B55" s="37"/>
      <c r="C55" s="80"/>
      <c r="D55" s="37"/>
      <c r="E55" s="81"/>
      <c r="F55" s="37"/>
      <c r="G55" s="80"/>
      <c r="H55" s="37"/>
      <c r="I55" s="56"/>
      <c r="J55" s="76"/>
      <c r="K55" s="56"/>
      <c r="L55" s="56"/>
      <c r="M55" s="56"/>
      <c r="N55" s="76"/>
      <c r="O55" s="56"/>
      <c r="P55" s="56"/>
      <c r="Q55" s="56"/>
      <c r="R55" s="56"/>
      <c r="S55" s="56"/>
      <c r="T55" s="56"/>
      <c r="U55" s="56"/>
      <c r="V55" s="56"/>
      <c r="W55" s="56"/>
    </row>
    <row r="56" spans="1:23" x14ac:dyDescent="0.25">
      <c r="A56" s="81"/>
      <c r="B56" s="37"/>
      <c r="C56" s="80"/>
      <c r="D56" s="37"/>
      <c r="E56" s="81"/>
      <c r="F56" s="37"/>
      <c r="G56" s="80"/>
      <c r="H56" s="37"/>
      <c r="I56" s="35"/>
      <c r="J56" s="56"/>
      <c r="K56" s="56"/>
      <c r="L56" s="56"/>
      <c r="M56" s="85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spans="1:23" x14ac:dyDescent="0.25">
      <c r="A57" s="81"/>
      <c r="B57" s="37"/>
      <c r="C57" s="80"/>
      <c r="D57" s="37"/>
      <c r="E57" s="81"/>
      <c r="F57" s="37"/>
      <c r="G57" s="80"/>
      <c r="H57" s="37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</row>
    <row r="58" spans="1:23" x14ac:dyDescent="0.25">
      <c r="A58" s="37" t="s">
        <v>11</v>
      </c>
      <c r="B58" s="44">
        <f>B48+B45+B46+B47-C49</f>
        <v>128710</v>
      </c>
      <c r="C58" s="44">
        <f>SUM(C51:C57)</f>
        <v>34199</v>
      </c>
      <c r="D58" s="44">
        <f>B58-C58</f>
        <v>94511</v>
      </c>
      <c r="E58" s="37" t="s">
        <v>11</v>
      </c>
      <c r="F58" s="80">
        <f>F45+F46-G49</f>
        <v>72413</v>
      </c>
      <c r="G58" s="44">
        <f>SUM(G51:G57)</f>
        <v>34199</v>
      </c>
      <c r="H58" s="44">
        <f>F58-G58</f>
        <v>38214</v>
      </c>
      <c r="I58" s="35"/>
      <c r="J58" s="56"/>
      <c r="K58" s="56"/>
      <c r="L58" s="85"/>
      <c r="M58" s="85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1:23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</row>
    <row r="60" spans="1:23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1:23" x14ac:dyDescent="0.25">
      <c r="A61" s="56"/>
      <c r="B61" s="56"/>
      <c r="C61" s="56"/>
      <c r="D61" s="56"/>
      <c r="E61" s="56"/>
      <c r="F61" s="82" t="s">
        <v>32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31" workbookViewId="0">
      <selection activeCell="P64" sqref="P64"/>
    </sheetView>
  </sheetViews>
  <sheetFormatPr defaultRowHeight="15" x14ac:dyDescent="0.25"/>
  <cols>
    <col min="1" max="1" width="21.5703125" customWidth="1"/>
  </cols>
  <sheetData>
    <row r="1" spans="1:10" ht="15.75" x14ac:dyDescent="0.25">
      <c r="B1" s="1" t="s">
        <v>28</v>
      </c>
      <c r="C1" s="1"/>
      <c r="D1" s="1"/>
      <c r="E1" s="1"/>
      <c r="F1" s="2"/>
      <c r="G1" s="3"/>
      <c r="H1" s="3"/>
      <c r="I1" s="3"/>
    </row>
    <row r="2" spans="1:10" ht="15.75" x14ac:dyDescent="0.25">
      <c r="A2" s="3"/>
      <c r="B2" s="1" t="s">
        <v>0</v>
      </c>
      <c r="D2" s="1"/>
      <c r="E2" s="1"/>
      <c r="F2" s="4"/>
      <c r="G2" s="3"/>
      <c r="H2" s="3"/>
      <c r="I2" s="3"/>
    </row>
    <row r="3" spans="1:10" ht="18.75" x14ac:dyDescent="0.3">
      <c r="A3" s="5"/>
      <c r="B3" s="1" t="s">
        <v>68</v>
      </c>
      <c r="C3" s="1"/>
      <c r="D3" s="1"/>
      <c r="E3" s="1"/>
      <c r="F3" s="6"/>
      <c r="G3" s="7"/>
      <c r="H3" s="3"/>
      <c r="I3" s="3"/>
    </row>
    <row r="4" spans="1:10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</row>
    <row r="5" spans="1:10" x14ac:dyDescent="0.25">
      <c r="A5" s="51" t="s">
        <v>39</v>
      </c>
      <c r="B5" s="13">
        <v>1</v>
      </c>
      <c r="C5" s="14"/>
      <c r="D5" s="15">
        <f>'FEBRUARY 21'!H5:H37</f>
        <v>0</v>
      </c>
      <c r="E5" s="16"/>
      <c r="F5" s="16">
        <f>C5+D5+E5</f>
        <v>0</v>
      </c>
      <c r="G5" s="16"/>
      <c r="H5" s="17">
        <f>F5-G5</f>
        <v>0</v>
      </c>
      <c r="I5" s="15"/>
    </row>
    <row r="6" spans="1:10" x14ac:dyDescent="0.25">
      <c r="A6" s="48" t="s">
        <v>39</v>
      </c>
      <c r="B6" s="13">
        <v>2</v>
      </c>
      <c r="C6" s="14"/>
      <c r="D6" s="15"/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</row>
    <row r="7" spans="1:10" x14ac:dyDescent="0.25">
      <c r="A7" s="18" t="s">
        <v>39</v>
      </c>
      <c r="B7" s="13">
        <v>3</v>
      </c>
      <c r="C7" s="14"/>
      <c r="D7" s="15"/>
      <c r="E7" s="16"/>
      <c r="F7" s="16">
        <f t="shared" si="0"/>
        <v>0</v>
      </c>
      <c r="G7" s="16"/>
      <c r="H7" s="17">
        <f t="shared" si="1"/>
        <v>0</v>
      </c>
      <c r="I7" s="15"/>
    </row>
    <row r="8" spans="1:10" x14ac:dyDescent="0.25">
      <c r="A8" s="22" t="s">
        <v>71</v>
      </c>
      <c r="B8" s="13">
        <v>4</v>
      </c>
      <c r="C8" s="14"/>
      <c r="D8" s="15">
        <f>'FEBRUARY 21'!H8:H40</f>
        <v>0</v>
      </c>
      <c r="E8" s="16">
        <v>2600</v>
      </c>
      <c r="F8" s="16">
        <f t="shared" si="0"/>
        <v>2600</v>
      </c>
      <c r="G8" s="16">
        <v>2600</v>
      </c>
      <c r="H8" s="17">
        <f>F8-G8</f>
        <v>0</v>
      </c>
      <c r="I8" s="15"/>
    </row>
    <row r="9" spans="1:10" x14ac:dyDescent="0.25">
      <c r="A9" s="24" t="s">
        <v>39</v>
      </c>
      <c r="B9" s="13">
        <v>5</v>
      </c>
      <c r="C9" s="14"/>
      <c r="D9" s="15">
        <f>'FEBRUARY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</row>
    <row r="10" spans="1:10" x14ac:dyDescent="0.25">
      <c r="A10" s="20" t="s">
        <v>41</v>
      </c>
      <c r="B10" s="13">
        <v>6</v>
      </c>
      <c r="C10" s="14"/>
      <c r="D10" s="15">
        <f>'FEBRUARY 21'!H10:H42</f>
        <v>2700</v>
      </c>
      <c r="E10" s="16">
        <v>2700</v>
      </c>
      <c r="F10" s="16">
        <f>C10+D10+E10</f>
        <v>5400</v>
      </c>
      <c r="G10" s="16">
        <f>2000+1500</f>
        <v>3500</v>
      </c>
      <c r="H10" s="17">
        <f t="shared" si="1"/>
        <v>1900</v>
      </c>
      <c r="I10" s="15"/>
      <c r="J10" t="s">
        <v>102</v>
      </c>
    </row>
    <row r="11" spans="1:10" x14ac:dyDescent="0.25">
      <c r="A11" s="19" t="s">
        <v>42</v>
      </c>
      <c r="B11" s="13">
        <v>7</v>
      </c>
      <c r="C11" s="14"/>
      <c r="D11" s="15">
        <f>'FEBRUARY 21'!H11:H43</f>
        <v>0</v>
      </c>
      <c r="E11" s="16">
        <v>2700</v>
      </c>
      <c r="F11" s="16">
        <f t="shared" si="0"/>
        <v>2700</v>
      </c>
      <c r="G11" s="16">
        <v>2700</v>
      </c>
      <c r="H11" s="17">
        <f t="shared" si="1"/>
        <v>0</v>
      </c>
      <c r="I11" s="15"/>
    </row>
    <row r="12" spans="1:10" x14ac:dyDescent="0.25">
      <c r="A12" s="21" t="s">
        <v>43</v>
      </c>
      <c r="B12" s="13">
        <v>8</v>
      </c>
      <c r="C12" s="14"/>
      <c r="D12" s="15">
        <f>'FEBRUARY 21'!H12:H44</f>
        <v>700</v>
      </c>
      <c r="E12" s="16">
        <v>2700</v>
      </c>
      <c r="F12" s="16">
        <f t="shared" si="0"/>
        <v>3400</v>
      </c>
      <c r="G12" s="16">
        <f>2200</f>
        <v>2200</v>
      </c>
      <c r="H12" s="17">
        <f t="shared" si="1"/>
        <v>1200</v>
      </c>
      <c r="I12" s="15"/>
    </row>
    <row r="13" spans="1:10" x14ac:dyDescent="0.25">
      <c r="A13" s="50" t="s">
        <v>39</v>
      </c>
      <c r="B13" s="13">
        <v>9</v>
      </c>
      <c r="C13" s="14"/>
      <c r="D13" s="15">
        <f>'FEBRUARY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10" x14ac:dyDescent="0.25">
      <c r="A14" s="22" t="s">
        <v>44</v>
      </c>
      <c r="B14" s="23">
        <v>10</v>
      </c>
      <c r="C14" s="14"/>
      <c r="D14" s="15">
        <f>'FEBRUARY 21'!H14:H46</f>
        <v>2700</v>
      </c>
      <c r="E14" s="16">
        <v>2700</v>
      </c>
      <c r="F14" s="16">
        <f t="shared" si="0"/>
        <v>5400</v>
      </c>
      <c r="G14" s="16">
        <f>2500+200+2700</f>
        <v>5400</v>
      </c>
      <c r="H14" s="17">
        <f t="shared" si="1"/>
        <v>0</v>
      </c>
      <c r="I14" s="15"/>
      <c r="J14" t="s">
        <v>81</v>
      </c>
    </row>
    <row r="15" spans="1:10" x14ac:dyDescent="0.25">
      <c r="A15" s="20" t="s">
        <v>45</v>
      </c>
      <c r="B15" s="13">
        <v>11</v>
      </c>
      <c r="C15" s="14"/>
      <c r="D15" s="15">
        <f>'FEBRUARY 21'!H15:H47</f>
        <v>2700</v>
      </c>
      <c r="E15" s="16">
        <v>2700</v>
      </c>
      <c r="F15" s="16">
        <f t="shared" si="0"/>
        <v>5400</v>
      </c>
      <c r="G15" s="16">
        <f>2500+2000</f>
        <v>4500</v>
      </c>
      <c r="H15" s="17">
        <f t="shared" si="1"/>
        <v>900</v>
      </c>
      <c r="I15" s="15"/>
      <c r="J15" t="s">
        <v>80</v>
      </c>
    </row>
    <row r="16" spans="1:10" x14ac:dyDescent="0.25">
      <c r="A16" s="20" t="s">
        <v>46</v>
      </c>
      <c r="B16" s="23">
        <v>12</v>
      </c>
      <c r="C16" s="14"/>
      <c r="D16" s="15">
        <f>'FEBRUARY 21'!H16:H48</f>
        <v>0</v>
      </c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0" t="s">
        <v>47</v>
      </c>
      <c r="B17" s="13">
        <v>13</v>
      </c>
      <c r="C17" s="14"/>
      <c r="D17" s="15">
        <f>'FEBRUARY 21'!H17:H49</f>
        <v>200</v>
      </c>
      <c r="E17" s="16">
        <v>2700</v>
      </c>
      <c r="F17" s="16">
        <f t="shared" si="0"/>
        <v>2900</v>
      </c>
      <c r="G17" s="16">
        <f>2900</f>
        <v>2900</v>
      </c>
      <c r="H17" s="17">
        <f t="shared" si="1"/>
        <v>0</v>
      </c>
      <c r="I17" s="15"/>
    </row>
    <row r="18" spans="1:10" x14ac:dyDescent="0.25">
      <c r="A18" s="20" t="s">
        <v>48</v>
      </c>
      <c r="B18" s="23">
        <v>14</v>
      </c>
      <c r="C18" s="14"/>
      <c r="D18" s="15">
        <f>'FEBRUARY 21'!H18:H50</f>
        <v>0</v>
      </c>
      <c r="E18" s="16">
        <v>2200</v>
      </c>
      <c r="F18" s="16">
        <f t="shared" si="0"/>
        <v>2200</v>
      </c>
      <c r="G18" s="16">
        <v>2200</v>
      </c>
      <c r="H18" s="17">
        <f t="shared" si="1"/>
        <v>0</v>
      </c>
      <c r="I18" s="15"/>
    </row>
    <row r="19" spans="1:10" x14ac:dyDescent="0.25">
      <c r="A19" s="20" t="s">
        <v>49</v>
      </c>
      <c r="B19" s="13">
        <v>15</v>
      </c>
      <c r="C19" s="14"/>
      <c r="D19" s="15">
        <f>'FEBRUARY 21'!H19:H51</f>
        <v>0</v>
      </c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20" t="s">
        <v>50</v>
      </c>
      <c r="B20" s="23">
        <v>16</v>
      </c>
      <c r="C20" s="14"/>
      <c r="D20" s="15">
        <f>'FEBRUARY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</row>
    <row r="21" spans="1:10" x14ac:dyDescent="0.25">
      <c r="A21" s="20" t="s">
        <v>51</v>
      </c>
      <c r="B21" s="13">
        <v>17</v>
      </c>
      <c r="C21" s="14"/>
      <c r="D21" s="15">
        <f>'FEBRUARY 21'!H21:H53</f>
        <v>2200</v>
      </c>
      <c r="E21" s="49">
        <v>2200</v>
      </c>
      <c r="F21" s="16">
        <f>C21+D21+E21</f>
        <v>4400</v>
      </c>
      <c r="G21" s="16">
        <f>2200+2200</f>
        <v>4400</v>
      </c>
      <c r="H21" s="17">
        <f t="shared" si="1"/>
        <v>0</v>
      </c>
      <c r="I21" s="15"/>
      <c r="J21" t="s">
        <v>79</v>
      </c>
    </row>
    <row r="22" spans="1:10" x14ac:dyDescent="0.25">
      <c r="A22" s="20" t="s">
        <v>52</v>
      </c>
      <c r="B22" s="23">
        <v>18</v>
      </c>
      <c r="C22" s="14"/>
      <c r="D22" s="15">
        <f>'FEBRUARY 21'!H22:H54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</row>
    <row r="23" spans="1:10" x14ac:dyDescent="0.25">
      <c r="A23" s="20" t="s">
        <v>53</v>
      </c>
      <c r="B23" s="13">
        <v>19</v>
      </c>
      <c r="C23" s="14"/>
      <c r="D23" s="15">
        <f>'FEBRUARY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</row>
    <row r="24" spans="1:10" x14ac:dyDescent="0.25">
      <c r="A24" s="20" t="s">
        <v>54</v>
      </c>
      <c r="B24" s="23">
        <v>20</v>
      </c>
      <c r="C24" s="14"/>
      <c r="D24" s="15">
        <f>'FEBRUARY 21'!H24:H56</f>
        <v>2700</v>
      </c>
      <c r="E24" s="16">
        <v>2700</v>
      </c>
      <c r="F24" s="16">
        <f t="shared" si="0"/>
        <v>5400</v>
      </c>
      <c r="G24" s="16"/>
      <c r="H24" s="17">
        <f t="shared" si="1"/>
        <v>5400</v>
      </c>
      <c r="I24" s="15"/>
    </row>
    <row r="25" spans="1:10" x14ac:dyDescent="0.25">
      <c r="A25" s="24" t="s">
        <v>39</v>
      </c>
      <c r="B25" s="13">
        <v>21</v>
      </c>
      <c r="C25" s="14"/>
      <c r="D25" s="15">
        <f>'FEBRUARY 21'!H25:H57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18" t="s">
        <v>72</v>
      </c>
      <c r="B26" s="23">
        <v>22</v>
      </c>
      <c r="C26" s="14"/>
      <c r="D26" s="15"/>
      <c r="E26" s="16">
        <v>2700</v>
      </c>
      <c r="F26" s="16">
        <f>C26+D26+E26</f>
        <v>2700</v>
      </c>
      <c r="G26" s="16">
        <f>1000</f>
        <v>1000</v>
      </c>
      <c r="H26" s="17">
        <f t="shared" si="1"/>
        <v>1700</v>
      </c>
      <c r="I26" s="15"/>
    </row>
    <row r="27" spans="1:10" x14ac:dyDescent="0.25">
      <c r="A27" s="12" t="s">
        <v>56</v>
      </c>
      <c r="B27" s="13">
        <v>23</v>
      </c>
      <c r="C27" s="14"/>
      <c r="D27" s="15">
        <f>'FEBRUARY 21'!H27:H59</f>
        <v>1100</v>
      </c>
      <c r="E27" s="16">
        <v>2700</v>
      </c>
      <c r="F27" s="16">
        <f t="shared" si="0"/>
        <v>3800</v>
      </c>
      <c r="G27" s="16">
        <f>2700</f>
        <v>2700</v>
      </c>
      <c r="H27" s="17">
        <f t="shared" si="1"/>
        <v>1100</v>
      </c>
      <c r="I27" s="15"/>
    </row>
    <row r="28" spans="1:10" x14ac:dyDescent="0.25">
      <c r="A28" s="51" t="s">
        <v>39</v>
      </c>
      <c r="B28" s="23">
        <v>24</v>
      </c>
      <c r="C28" s="14"/>
      <c r="D28" s="15">
        <f>'FEBRUARY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</row>
    <row r="29" spans="1:10" x14ac:dyDescent="0.25">
      <c r="A29" s="12" t="s">
        <v>58</v>
      </c>
      <c r="B29" s="13">
        <v>25</v>
      </c>
      <c r="C29" s="14"/>
      <c r="D29" s="15">
        <f>'FEBRUARY 21'!H29:H61</f>
        <v>11500</v>
      </c>
      <c r="E29" s="16">
        <v>2700</v>
      </c>
      <c r="F29" s="16">
        <f>C29+D29+E29</f>
        <v>14200</v>
      </c>
      <c r="G29" s="16">
        <f>1000</f>
        <v>1000</v>
      </c>
      <c r="H29" s="17">
        <f>F29-G29</f>
        <v>13200</v>
      </c>
      <c r="I29" s="15"/>
    </row>
    <row r="30" spans="1:10" x14ac:dyDescent="0.25">
      <c r="A30" s="24" t="s">
        <v>39</v>
      </c>
      <c r="B30" s="23">
        <v>26</v>
      </c>
      <c r="C30" s="14"/>
      <c r="D30" s="15">
        <f>'FEBRUARY 21'!H30:H62</f>
        <v>0</v>
      </c>
      <c r="E30" s="16"/>
      <c r="F30" s="16">
        <f t="shared" ref="F30:F36" si="2">C30+D30+E30</f>
        <v>0</v>
      </c>
      <c r="G30" s="16"/>
      <c r="H30" s="17">
        <f t="shared" ref="H30:H36" si="3">F30-G30</f>
        <v>0</v>
      </c>
      <c r="I30" s="15"/>
    </row>
    <row r="31" spans="1:10" x14ac:dyDescent="0.25">
      <c r="A31" s="22" t="s">
        <v>59</v>
      </c>
      <c r="B31" s="23" t="s">
        <v>33</v>
      </c>
      <c r="C31" s="14"/>
      <c r="D31" s="15">
        <f>'FEBRUARY 21'!H31:H63</f>
        <v>0</v>
      </c>
      <c r="E31" s="16">
        <v>6400</v>
      </c>
      <c r="F31" s="16">
        <f t="shared" si="2"/>
        <v>6400</v>
      </c>
      <c r="G31" s="16">
        <f>6400</f>
        <v>6400</v>
      </c>
      <c r="H31" s="17">
        <f t="shared" si="3"/>
        <v>0</v>
      </c>
      <c r="I31" s="15"/>
    </row>
    <row r="32" spans="1:10" x14ac:dyDescent="0.25">
      <c r="A32" s="22" t="s">
        <v>60</v>
      </c>
      <c r="B32" s="23" t="s">
        <v>34</v>
      </c>
      <c r="C32" s="14"/>
      <c r="D32" s="15">
        <f>'FEBRUARY 21'!H32:H64</f>
        <v>2400</v>
      </c>
      <c r="E32" s="16">
        <v>6400</v>
      </c>
      <c r="F32" s="16">
        <f t="shared" si="2"/>
        <v>8800</v>
      </c>
      <c r="G32" s="16">
        <f>3000</f>
        <v>3000</v>
      </c>
      <c r="H32" s="17">
        <f t="shared" si="3"/>
        <v>5800</v>
      </c>
      <c r="I32" s="15"/>
    </row>
    <row r="33" spans="1:9" x14ac:dyDescent="0.25">
      <c r="A33" s="22" t="s">
        <v>61</v>
      </c>
      <c r="B33" s="23" t="s">
        <v>35</v>
      </c>
      <c r="C33" s="14"/>
      <c r="D33" s="15">
        <f>'FEBRUARY 21'!H33:H65</f>
        <v>0</v>
      </c>
      <c r="E33" s="16">
        <v>6400</v>
      </c>
      <c r="F33" s="16">
        <f t="shared" si="2"/>
        <v>6400</v>
      </c>
      <c r="G33" s="16">
        <f>6000</f>
        <v>6000</v>
      </c>
      <c r="H33" s="17">
        <f t="shared" si="3"/>
        <v>400</v>
      </c>
      <c r="I33" s="15"/>
    </row>
    <row r="34" spans="1:9" x14ac:dyDescent="0.25">
      <c r="A34" s="22" t="s">
        <v>62</v>
      </c>
      <c r="B34" s="23" t="s">
        <v>36</v>
      </c>
      <c r="C34" s="14"/>
      <c r="D34" s="15">
        <f>'FEBRUARY 21'!H34:H66</f>
        <v>0</v>
      </c>
      <c r="E34" s="16">
        <v>7400</v>
      </c>
      <c r="F34" s="16">
        <f t="shared" si="2"/>
        <v>7400</v>
      </c>
      <c r="G34" s="16">
        <f>7400</f>
        <v>7400</v>
      </c>
      <c r="H34" s="17">
        <f t="shared" si="3"/>
        <v>0</v>
      </c>
      <c r="I34" s="15"/>
    </row>
    <row r="35" spans="1:9" x14ac:dyDescent="0.25">
      <c r="A35" s="22" t="s">
        <v>63</v>
      </c>
      <c r="B35" s="23" t="s">
        <v>37</v>
      </c>
      <c r="C35" s="14"/>
      <c r="D35" s="15">
        <f>'FEBRUARY 21'!H35:H67</f>
        <v>2000</v>
      </c>
      <c r="E35" s="16">
        <v>7000</v>
      </c>
      <c r="F35" s="16">
        <f t="shared" si="2"/>
        <v>9000</v>
      </c>
      <c r="G35" s="16">
        <f>6500</f>
        <v>6500</v>
      </c>
      <c r="H35" s="17">
        <f t="shared" si="3"/>
        <v>2500</v>
      </c>
      <c r="I35" s="15"/>
    </row>
    <row r="36" spans="1:9" x14ac:dyDescent="0.25">
      <c r="A36" s="22" t="s">
        <v>64</v>
      </c>
      <c r="B36" s="23" t="s">
        <v>38</v>
      </c>
      <c r="C36" s="14"/>
      <c r="D36" s="15">
        <f>'FEBRUARY 21'!H36:H68</f>
        <v>7000</v>
      </c>
      <c r="E36" s="16">
        <v>14000</v>
      </c>
      <c r="F36" s="16">
        <f t="shared" si="2"/>
        <v>21000</v>
      </c>
      <c r="G36" s="16">
        <v>7000</v>
      </c>
      <c r="H36" s="17">
        <f t="shared" si="3"/>
        <v>14000</v>
      </c>
      <c r="I36" s="15"/>
    </row>
    <row r="37" spans="1:9" x14ac:dyDescent="0.25">
      <c r="A37" s="25" t="s">
        <v>11</v>
      </c>
      <c r="B37" s="26"/>
      <c r="C37" s="14">
        <f t="shared" ref="C37:H37" si="4">SUM(C5:C36)</f>
        <v>0</v>
      </c>
      <c r="D37" s="15">
        <f t="shared" si="4"/>
        <v>37900</v>
      </c>
      <c r="E37" s="27">
        <f t="shared" si="4"/>
        <v>90800</v>
      </c>
      <c r="F37" s="16">
        <f t="shared" si="4"/>
        <v>128700</v>
      </c>
      <c r="G37" s="16">
        <f t="shared" si="4"/>
        <v>80600</v>
      </c>
      <c r="H37" s="16">
        <f t="shared" si="4"/>
        <v>48100</v>
      </c>
      <c r="I37" s="15"/>
    </row>
    <row r="38" spans="1:9" x14ac:dyDescent="0.25">
      <c r="D38" s="15">
        <f>'[1]OCTOBER 20'!H28:H50</f>
        <v>4600</v>
      </c>
      <c r="F38" s="16"/>
      <c r="H38" s="28"/>
      <c r="I38" s="3"/>
    </row>
    <row r="40" spans="1:9" x14ac:dyDescent="0.25">
      <c r="A40" s="3" t="s">
        <v>12</v>
      </c>
      <c r="B40" s="29"/>
      <c r="C40" s="30"/>
      <c r="D40" s="31"/>
      <c r="E40" s="32"/>
      <c r="G40" s="32"/>
      <c r="H40" s="34">
        <f>H7+H12</f>
        <v>1200</v>
      </c>
      <c r="I40" s="3"/>
    </row>
    <row r="41" spans="1:9" x14ac:dyDescent="0.25">
      <c r="A41" s="35" t="s">
        <v>13</v>
      </c>
      <c r="B41" s="35"/>
      <c r="C41" s="35"/>
      <c r="D41" s="36"/>
      <c r="E41" s="35" t="s">
        <v>7</v>
      </c>
      <c r="F41" s="33"/>
      <c r="G41" s="3"/>
      <c r="H41" s="3"/>
      <c r="I41" s="3"/>
    </row>
    <row r="42" spans="1:9" x14ac:dyDescent="0.25">
      <c r="A42" s="37" t="s">
        <v>14</v>
      </c>
      <c r="B42" s="37" t="s">
        <v>15</v>
      </c>
      <c r="C42" s="37" t="s">
        <v>16</v>
      </c>
      <c r="D42" s="37" t="s">
        <v>17</v>
      </c>
      <c r="E42" s="37" t="s">
        <v>14</v>
      </c>
      <c r="F42" s="37" t="s">
        <v>15</v>
      </c>
      <c r="G42" s="37" t="s">
        <v>16</v>
      </c>
      <c r="H42" s="37" t="s">
        <v>17</v>
      </c>
      <c r="I42" s="3"/>
    </row>
    <row r="43" spans="1:9" x14ac:dyDescent="0.25">
      <c r="A43" s="26" t="s">
        <v>69</v>
      </c>
      <c r="B43" s="38">
        <f>E37</f>
        <v>90800</v>
      </c>
      <c r="C43" s="26"/>
      <c r="D43" s="26"/>
      <c r="E43" s="26" t="s">
        <v>69</v>
      </c>
      <c r="F43" s="28">
        <f>G37</f>
        <v>80600</v>
      </c>
      <c r="G43" s="26"/>
      <c r="H43" s="26"/>
      <c r="I43" s="34"/>
    </row>
    <row r="44" spans="1:9" x14ac:dyDescent="0.25">
      <c r="A44" s="26" t="s">
        <v>18</v>
      </c>
      <c r="B44" s="38">
        <f>'FEBRUARY 21'!D57</f>
        <v>42633</v>
      </c>
      <c r="C44" s="26"/>
      <c r="D44" s="26"/>
      <c r="E44" s="26" t="s">
        <v>18</v>
      </c>
      <c r="F44" s="38">
        <f>'FEBRUARY 21'!H57</f>
        <v>16233</v>
      </c>
      <c r="G44" s="26"/>
      <c r="H44" s="26"/>
      <c r="I44" s="34"/>
    </row>
    <row r="45" spans="1:9" x14ac:dyDescent="0.25">
      <c r="A45" s="26" t="s">
        <v>9</v>
      </c>
      <c r="B45" s="38">
        <f>I37</f>
        <v>0</v>
      </c>
      <c r="C45" s="26"/>
      <c r="D45" s="26"/>
      <c r="E45" s="26"/>
      <c r="F45" s="38">
        <f>'[2]DECEMBER 20'!H54</f>
        <v>0</v>
      </c>
      <c r="G45" s="26"/>
      <c r="H45" s="26"/>
      <c r="I45" s="34" t="s">
        <v>19</v>
      </c>
    </row>
    <row r="46" spans="1:9" x14ac:dyDescent="0.25">
      <c r="A46" s="26" t="s">
        <v>31</v>
      </c>
      <c r="B46" s="38"/>
      <c r="C46" s="26"/>
      <c r="D46" s="26"/>
      <c r="E46" s="26"/>
      <c r="F46" s="38"/>
      <c r="G46" s="26"/>
      <c r="H46" s="26"/>
      <c r="I46" s="3"/>
    </row>
    <row r="47" spans="1:9" x14ac:dyDescent="0.25">
      <c r="A47" s="26" t="s">
        <v>20</v>
      </c>
      <c r="B47" s="39">
        <v>0.1</v>
      </c>
      <c r="C47" s="38">
        <f>B47*B43</f>
        <v>9080</v>
      </c>
      <c r="D47" s="26"/>
      <c r="E47" s="26" t="s">
        <v>20</v>
      </c>
      <c r="F47" s="38"/>
      <c r="G47" s="38">
        <f>F48*B43</f>
        <v>9080</v>
      </c>
      <c r="H47" s="26"/>
      <c r="I47" s="3"/>
    </row>
    <row r="48" spans="1:9" x14ac:dyDescent="0.25">
      <c r="A48" s="37" t="s">
        <v>21</v>
      </c>
      <c r="B48" s="26" t="s">
        <v>22</v>
      </c>
      <c r="C48" s="26"/>
      <c r="D48" s="26"/>
      <c r="E48" s="37" t="s">
        <v>21</v>
      </c>
      <c r="F48" s="39">
        <v>0.1</v>
      </c>
      <c r="G48" s="26"/>
      <c r="H48" s="26"/>
      <c r="I48" s="34"/>
    </row>
    <row r="49" spans="1:16" x14ac:dyDescent="0.25">
      <c r="A49" s="41" t="s">
        <v>23</v>
      </c>
      <c r="B49" s="39">
        <v>0.3</v>
      </c>
      <c r="C49" s="42"/>
      <c r="D49" s="26"/>
      <c r="E49" s="41" t="s">
        <v>23</v>
      </c>
      <c r="F49" s="40"/>
      <c r="G49" s="42"/>
      <c r="H49" s="26"/>
      <c r="I49" s="3"/>
    </row>
    <row r="50" spans="1:16" x14ac:dyDescent="0.25">
      <c r="A50" s="40" t="s">
        <v>70</v>
      </c>
      <c r="C50">
        <v>16105</v>
      </c>
      <c r="D50" s="42"/>
      <c r="E50" s="40" t="s">
        <v>70</v>
      </c>
      <c r="G50">
        <v>16105</v>
      </c>
      <c r="H50" s="26"/>
      <c r="I50" s="3"/>
    </row>
    <row r="51" spans="1:16" x14ac:dyDescent="0.25">
      <c r="A51" s="40" t="s">
        <v>73</v>
      </c>
      <c r="B51" s="39"/>
      <c r="C51" s="26">
        <v>30105</v>
      </c>
      <c r="D51" s="26"/>
      <c r="E51" s="40" t="s">
        <v>73</v>
      </c>
      <c r="F51" s="39"/>
      <c r="G51" s="26">
        <v>30105</v>
      </c>
      <c r="H51" s="26"/>
      <c r="I51" s="34"/>
    </row>
    <row r="52" spans="1:16" x14ac:dyDescent="0.25">
      <c r="A52" s="40" t="s">
        <v>76</v>
      </c>
      <c r="B52" s="39"/>
      <c r="C52" s="26">
        <v>22105</v>
      </c>
      <c r="D52" s="26"/>
      <c r="E52" s="40" t="s">
        <v>76</v>
      </c>
      <c r="F52" s="39"/>
      <c r="G52" s="26">
        <v>22105</v>
      </c>
      <c r="H52" s="26"/>
      <c r="I52" s="43"/>
    </row>
    <row r="53" spans="1:16" x14ac:dyDescent="0.25">
      <c r="A53" s="40" t="s">
        <v>103</v>
      </c>
      <c r="B53" s="26"/>
      <c r="C53" s="42">
        <f>2200+2000+2700+1500</f>
        <v>8400</v>
      </c>
      <c r="D53" s="26"/>
      <c r="E53" s="40" t="s">
        <v>103</v>
      </c>
      <c r="F53" s="26"/>
      <c r="G53" s="42">
        <f>2200+2000+2700+1500</f>
        <v>8400</v>
      </c>
      <c r="H53" s="26"/>
      <c r="I53" s="3"/>
      <c r="N53">
        <f>20000</f>
        <v>20000</v>
      </c>
    </row>
    <row r="54" spans="1:16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6" x14ac:dyDescent="0.25">
      <c r="A55" s="40"/>
      <c r="B55" s="26"/>
      <c r="C55" s="42"/>
      <c r="D55" s="26"/>
      <c r="E55" s="40"/>
      <c r="F55" s="26"/>
      <c r="G55" s="42"/>
      <c r="H55" s="26"/>
      <c r="I55" s="3"/>
    </row>
    <row r="56" spans="1:16" x14ac:dyDescent="0.25">
      <c r="A56" s="40"/>
      <c r="B56" s="26"/>
      <c r="C56" s="42"/>
      <c r="D56" s="26"/>
      <c r="E56" s="40"/>
      <c r="F56" s="26"/>
      <c r="G56" s="42"/>
      <c r="H56" s="26"/>
      <c r="I56" s="3"/>
    </row>
    <row r="57" spans="1:16" x14ac:dyDescent="0.25">
      <c r="A57" s="37" t="s">
        <v>11</v>
      </c>
      <c r="B57" s="44">
        <f>B46+B43+B44+B45-C47</f>
        <v>124353</v>
      </c>
      <c r="C57" s="44">
        <f>SUM(C49:C56)</f>
        <v>76715</v>
      </c>
      <c r="D57" s="44">
        <f>B57-C57</f>
        <v>47638</v>
      </c>
      <c r="E57" s="37" t="s">
        <v>11</v>
      </c>
      <c r="F57" s="42">
        <f>F43+F44-G47</f>
        <v>87753</v>
      </c>
      <c r="G57" s="44">
        <f>SUM(G49:G56)</f>
        <v>76715</v>
      </c>
      <c r="H57" s="44">
        <f>F57-G57</f>
        <v>11038</v>
      </c>
      <c r="I57" s="43"/>
    </row>
    <row r="58" spans="1:16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6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6" x14ac:dyDescent="0.25">
      <c r="F60" s="45" t="s">
        <v>32</v>
      </c>
    </row>
    <row r="63" spans="1:16" x14ac:dyDescent="0.25">
      <c r="J63">
        <f>7000*5</f>
        <v>35000</v>
      </c>
      <c r="K63">
        <f>J63+6000</f>
        <v>41000</v>
      </c>
      <c r="M63">
        <f>0.16*10000</f>
        <v>1600</v>
      </c>
      <c r="P63">
        <f>20000+8000+3000+10000+1600+600</f>
        <v>43200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7" workbookViewId="0">
      <selection activeCell="F64" sqref="F64"/>
    </sheetView>
  </sheetViews>
  <sheetFormatPr defaultRowHeight="15" x14ac:dyDescent="0.25"/>
  <cols>
    <col min="1" max="1" width="20" customWidth="1"/>
    <col min="13" max="13" width="19.425781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77</v>
      </c>
      <c r="C3" s="1"/>
      <c r="D3" s="1"/>
      <c r="E3" s="1"/>
      <c r="F3" s="6"/>
      <c r="G3" s="7"/>
      <c r="H3" s="3"/>
      <c r="I3" s="3"/>
      <c r="N3" s="1" t="s">
        <v>77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1" x14ac:dyDescent="0.25">
      <c r="A5" s="51" t="s">
        <v>39</v>
      </c>
      <c r="B5" s="13">
        <v>1</v>
      </c>
      <c r="C5" s="14"/>
      <c r="D5" s="15">
        <f>'MARCH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'MARCH 21'!T4:T36</f>
        <v>0</v>
      </c>
      <c r="Q5" s="16">
        <v>2000</v>
      </c>
      <c r="R5" s="54">
        <f>O5+P5+Q5</f>
        <v>2000</v>
      </c>
      <c r="S5" s="16"/>
      <c r="T5" s="17">
        <f>R5-S5</f>
        <v>2000</v>
      </c>
      <c r="U5" s="15"/>
    </row>
    <row r="6" spans="1:21" x14ac:dyDescent="0.25">
      <c r="A6" s="48" t="s">
        <v>39</v>
      </c>
      <c r="B6" s="13">
        <v>2</v>
      </c>
      <c r="C6" s="14"/>
      <c r="D6" s="15">
        <f>'MARCH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'MARCH 21'!T5:T37</f>
        <v>0</v>
      </c>
      <c r="Q6" s="16">
        <v>1800</v>
      </c>
      <c r="R6" s="54">
        <f t="shared" ref="R6:R22" si="2">O6+P6+Q6</f>
        <v>1800</v>
      </c>
      <c r="S6" s="16"/>
      <c r="T6" s="17">
        <f t="shared" ref="T6:T24" si="3">R6-S6</f>
        <v>1800</v>
      </c>
      <c r="U6" s="15"/>
    </row>
    <row r="7" spans="1:21" x14ac:dyDescent="0.25">
      <c r="A7" s="18" t="s">
        <v>39</v>
      </c>
      <c r="B7" s="13">
        <v>3</v>
      </c>
      <c r="C7" s="14"/>
      <c r="D7" s="15">
        <f>'MARCH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84</v>
      </c>
      <c r="N7" s="13">
        <v>13</v>
      </c>
      <c r="O7" s="14"/>
      <c r="P7" s="15">
        <f>'MARCH 21'!T6:T38</f>
        <v>0</v>
      </c>
      <c r="Q7" s="16">
        <v>2000</v>
      </c>
      <c r="R7" s="54">
        <f t="shared" si="2"/>
        <v>2000</v>
      </c>
      <c r="S7" s="16"/>
      <c r="T7" s="17">
        <f t="shared" si="3"/>
        <v>2000</v>
      </c>
      <c r="U7" s="15"/>
    </row>
    <row r="8" spans="1:21" x14ac:dyDescent="0.25">
      <c r="A8" s="22" t="s">
        <v>71</v>
      </c>
      <c r="B8" s="13">
        <v>4</v>
      </c>
      <c r="C8" s="14"/>
      <c r="D8" s="15">
        <f>'MARCH 21'!H8:H40</f>
        <v>0</v>
      </c>
      <c r="E8" s="16">
        <v>2700</v>
      </c>
      <c r="F8" s="16">
        <f t="shared" si="0"/>
        <v>2700</v>
      </c>
      <c r="G8" s="16">
        <f>1000+1700</f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'MARCH 21'!T7:T39</f>
        <v>0</v>
      </c>
      <c r="Q8" s="16">
        <v>2000</v>
      </c>
      <c r="R8" s="54">
        <f t="shared" si="2"/>
        <v>2000</v>
      </c>
      <c r="S8" s="16">
        <v>2000</v>
      </c>
      <c r="T8" s="17">
        <f t="shared" si="3"/>
        <v>0</v>
      </c>
      <c r="U8" s="15"/>
    </row>
    <row r="9" spans="1:21" x14ac:dyDescent="0.25">
      <c r="A9" s="24" t="s">
        <v>39</v>
      </c>
      <c r="B9" s="13">
        <v>5</v>
      </c>
      <c r="C9" s="14"/>
      <c r="D9" s="15">
        <f>'MARCH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'MARCH 21'!T8:T40</f>
        <v>0</v>
      </c>
      <c r="Q9" s="16">
        <v>2000</v>
      </c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'MARCH 21'!H10:H42</f>
        <v>1900</v>
      </c>
      <c r="E10" s="16">
        <v>2700</v>
      </c>
      <c r="F10" s="16">
        <f>C10+D10+E10</f>
        <v>4600</v>
      </c>
      <c r="G10" s="16">
        <f>1450</f>
        <v>1450</v>
      </c>
      <c r="H10" s="17">
        <f t="shared" si="1"/>
        <v>3150</v>
      </c>
      <c r="I10" s="15"/>
      <c r="M10" s="20" t="s">
        <v>86</v>
      </c>
      <c r="N10" s="23">
        <v>16</v>
      </c>
      <c r="O10" s="14"/>
      <c r="P10" s="15">
        <f>'MARCH 21'!T9:T41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'MARCH 21'!H11:H43</f>
        <v>0</v>
      </c>
      <c r="E11" s="16">
        <v>2700</v>
      </c>
      <c r="F11" s="16">
        <f t="shared" si="0"/>
        <v>2700</v>
      </c>
      <c r="G11" s="16">
        <f>2000</f>
        <v>2000</v>
      </c>
      <c r="H11" s="17">
        <f t="shared" si="1"/>
        <v>700</v>
      </c>
      <c r="I11" s="15"/>
      <c r="M11" s="20" t="s">
        <v>104</v>
      </c>
      <c r="N11" s="13">
        <v>17</v>
      </c>
      <c r="O11" s="14"/>
      <c r="P11" s="15">
        <f>'MARCH 21'!T10:T42</f>
        <v>0</v>
      </c>
      <c r="Q11" s="16">
        <v>2000</v>
      </c>
      <c r="R11" s="54">
        <f t="shared" si="2"/>
        <v>2000</v>
      </c>
      <c r="S11" s="16"/>
      <c r="T11" s="17">
        <f t="shared" si="3"/>
        <v>2000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'MARCH 21'!H12:H44</f>
        <v>1200</v>
      </c>
      <c r="E12" s="16">
        <v>2700</v>
      </c>
      <c r="F12" s="16">
        <f t="shared" si="0"/>
        <v>3900</v>
      </c>
      <c r="G12" s="16"/>
      <c r="H12" s="17">
        <f t="shared" si="1"/>
        <v>3900</v>
      </c>
      <c r="I12" s="15"/>
      <c r="M12" s="20"/>
      <c r="N12" s="23">
        <v>18</v>
      </c>
      <c r="O12" s="14"/>
      <c r="P12" s="15">
        <f>'MARCH 21'!T11:T43</f>
        <v>0</v>
      </c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'MARCH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'MARCH 21'!T12:T44</f>
        <v>0</v>
      </c>
      <c r="Q13" s="16">
        <v>2000</v>
      </c>
      <c r="R13" s="54">
        <f t="shared" si="2"/>
        <v>2000</v>
      </c>
      <c r="S13" s="16">
        <v>2000</v>
      </c>
      <c r="T13" s="17">
        <f t="shared" si="3"/>
        <v>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'MARCH 21'!H14:H46</f>
        <v>0</v>
      </c>
      <c r="E14" s="16">
        <v>2700</v>
      </c>
      <c r="F14" s="16">
        <f t="shared" si="0"/>
        <v>2700</v>
      </c>
      <c r="G14" s="16">
        <f>2500</f>
        <v>2500</v>
      </c>
      <c r="H14" s="17">
        <f t="shared" si="1"/>
        <v>200</v>
      </c>
      <c r="I14" s="15"/>
      <c r="M14" s="20" t="s">
        <v>88</v>
      </c>
      <c r="N14" s="23">
        <v>20</v>
      </c>
      <c r="O14" s="14"/>
      <c r="P14" s="15">
        <f>'MARCH 21'!T13:T45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'MARCH 21'!H15:H47</f>
        <v>900</v>
      </c>
      <c r="E15" s="16">
        <v>2700</v>
      </c>
      <c r="F15" s="16">
        <f t="shared" si="0"/>
        <v>3600</v>
      </c>
      <c r="G15" s="16">
        <f>2500</f>
        <v>2500</v>
      </c>
      <c r="H15" s="17">
        <f t="shared" si="1"/>
        <v>1100</v>
      </c>
      <c r="I15" s="15"/>
      <c r="M15" s="20"/>
      <c r="N15" s="13">
        <v>21</v>
      </c>
      <c r="O15" s="14"/>
      <c r="P15" s="15">
        <f>'MARCH 21'!T14:T46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'MARCH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4" t="s">
        <v>89</v>
      </c>
      <c r="N16" s="23">
        <v>22</v>
      </c>
      <c r="O16" s="14"/>
      <c r="P16" s="15">
        <f>'MARCH 21'!T15:T47</f>
        <v>0</v>
      </c>
      <c r="Q16" s="16">
        <v>2000</v>
      </c>
      <c r="R16" s="54">
        <f t="shared" si="2"/>
        <v>2000</v>
      </c>
      <c r="S16" s="16">
        <v>2000</v>
      </c>
      <c r="T16" s="17">
        <f t="shared" si="3"/>
        <v>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'MARCH 21'!H17:H49</f>
        <v>0</v>
      </c>
      <c r="E17" s="16">
        <v>2700</v>
      </c>
      <c r="F17" s="16">
        <f t="shared" si="0"/>
        <v>2700</v>
      </c>
      <c r="G17" s="16">
        <f>1500</f>
        <v>1500</v>
      </c>
      <c r="H17" s="17">
        <f t="shared" si="1"/>
        <v>1200</v>
      </c>
      <c r="I17" s="15"/>
      <c r="M17" s="18"/>
      <c r="N17" s="13">
        <v>23</v>
      </c>
      <c r="O17" s="14"/>
      <c r="P17" s="15">
        <f>'MARCH 21'!T16:T48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'MARCH 21'!H18:H50</f>
        <v>0</v>
      </c>
      <c r="E18" s="16">
        <v>2200</v>
      </c>
      <c r="F18" s="16">
        <f t="shared" si="0"/>
        <v>2200</v>
      </c>
      <c r="G18" s="16">
        <v>2200</v>
      </c>
      <c r="H18" s="17">
        <f t="shared" si="1"/>
        <v>0</v>
      </c>
      <c r="I18" s="15"/>
      <c r="M18" s="12" t="s">
        <v>90</v>
      </c>
      <c r="N18" s="23">
        <v>24</v>
      </c>
      <c r="O18" s="14"/>
      <c r="P18" s="15">
        <f>'MARCH 21'!T17:T49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'MARCH 21'!H19:H51</f>
        <v>0</v>
      </c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'MARCH 21'!T18:T50</f>
        <v>0</v>
      </c>
      <c r="Q19" s="16">
        <v>2000</v>
      </c>
      <c r="R19" s="54">
        <f t="shared" si="2"/>
        <v>2000</v>
      </c>
      <c r="S19" s="16">
        <v>2000</v>
      </c>
      <c r="T19" s="17">
        <f t="shared" si="3"/>
        <v>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'MARCH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'MARCH 21'!T19:T51</f>
        <v>0</v>
      </c>
      <c r="Q20" s="16">
        <v>2000</v>
      </c>
      <c r="R20" s="54">
        <f t="shared" si="2"/>
        <v>2000</v>
      </c>
      <c r="S20" s="16"/>
      <c r="T20" s="17">
        <f t="shared" si="3"/>
        <v>2000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'MARCH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'MARCH 21'!T20:T52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'MARCH 21'!H22:H54</f>
        <v>0</v>
      </c>
      <c r="E22" s="16">
        <v>2700</v>
      </c>
      <c r="F22" s="16">
        <f>C22+D22+E22</f>
        <v>2700</v>
      </c>
      <c r="G22" s="16">
        <f>2700</f>
        <v>2700</v>
      </c>
      <c r="H22" s="17">
        <f t="shared" si="1"/>
        <v>0</v>
      </c>
      <c r="I22" s="15"/>
      <c r="M22" s="22" t="s">
        <v>92</v>
      </c>
      <c r="N22" s="23">
        <v>28</v>
      </c>
      <c r="O22" s="14"/>
      <c r="P22" s="15">
        <f>'MARCH 21'!T21:T53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'MARCH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'MARCH 21'!T22:T54</f>
        <v>0</v>
      </c>
      <c r="Q23" s="16">
        <v>2000</v>
      </c>
      <c r="R23" s="54">
        <f>O23+P23+Q23</f>
        <v>2000</v>
      </c>
      <c r="S23" s="16"/>
      <c r="T23" s="17">
        <f t="shared" si="3"/>
        <v>2000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'MARCH 21'!H24:H56</f>
        <v>5400</v>
      </c>
      <c r="E24" s="16">
        <v>2700</v>
      </c>
      <c r="F24" s="16">
        <f t="shared" si="0"/>
        <v>8100</v>
      </c>
      <c r="G24" s="16"/>
      <c r="H24" s="17">
        <f t="shared" si="1"/>
        <v>8100</v>
      </c>
      <c r="I24" s="15"/>
      <c r="M24" s="22" t="s">
        <v>94</v>
      </c>
      <c r="N24" s="23">
        <v>30</v>
      </c>
      <c r="O24" s="14"/>
      <c r="P24" s="15">
        <f>'MARCH 21'!T23:T55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4" t="s">
        <v>39</v>
      </c>
      <c r="B25" s="13">
        <v>21</v>
      </c>
      <c r="C25" s="14"/>
      <c r="D25" s="15">
        <f>'MARCH 21'!H25:H57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  <c r="M25" s="25" t="s">
        <v>11</v>
      </c>
      <c r="N25" s="13"/>
      <c r="O25" s="14"/>
      <c r="P25" s="15">
        <f>'MARCH 21'!T24:T56</f>
        <v>0</v>
      </c>
      <c r="Q25" s="16">
        <f>SUM(Q5:Q24)</f>
        <v>33800</v>
      </c>
      <c r="R25" s="54">
        <f>SUM(R5:R24)</f>
        <v>33800</v>
      </c>
      <c r="S25" s="16">
        <f>SUM(S5:S24)</f>
        <v>22000</v>
      </c>
      <c r="T25" s="16">
        <f>SUM(T5:T24)</f>
        <v>11800</v>
      </c>
      <c r="U25" s="17">
        <f>SUM(U5:U24)</f>
        <v>0</v>
      </c>
    </row>
    <row r="26" spans="1:21" x14ac:dyDescent="0.25">
      <c r="A26" s="18" t="s">
        <v>72</v>
      </c>
      <c r="B26" s="23">
        <v>22</v>
      </c>
      <c r="C26" s="14"/>
      <c r="D26" s="15">
        <f>'MARCH 21'!H26:H58</f>
        <v>1700</v>
      </c>
      <c r="E26" s="16">
        <v>2700</v>
      </c>
      <c r="F26" s="16">
        <f>C26+D26+E26</f>
        <v>4400</v>
      </c>
      <c r="G26" s="16">
        <f>1700+1000</f>
        <v>2700</v>
      </c>
      <c r="H26" s="17">
        <f t="shared" si="1"/>
        <v>1700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'MARCH 21'!H27:H59</f>
        <v>1100</v>
      </c>
      <c r="E27" s="16">
        <v>2700</v>
      </c>
      <c r="F27" s="16">
        <f t="shared" si="0"/>
        <v>3800</v>
      </c>
      <c r="G27" s="16">
        <f>2000</f>
        <v>2000</v>
      </c>
      <c r="H27" s="17">
        <f t="shared" si="1"/>
        <v>1800</v>
      </c>
      <c r="I27" s="15"/>
    </row>
    <row r="28" spans="1:21" x14ac:dyDescent="0.25">
      <c r="A28" s="51" t="s">
        <v>39</v>
      </c>
      <c r="B28" s="23">
        <v>24</v>
      </c>
      <c r="C28" s="14"/>
      <c r="D28" s="15">
        <f>'MARCH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'MARCH 21'!H29:H61</f>
        <v>13200</v>
      </c>
      <c r="E29" s="16">
        <v>2700</v>
      </c>
      <c r="F29" s="16">
        <f>C29+D29+E29</f>
        <v>15900</v>
      </c>
      <c r="G29" s="16">
        <v>1000</v>
      </c>
      <c r="H29" s="17">
        <f>F29-G29</f>
        <v>14900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'MARCH 21'!H30:H62</f>
        <v>0</v>
      </c>
      <c r="E30" s="16"/>
      <c r="F30" s="16">
        <f t="shared" ref="F30:F36" si="4">C30+D30+E30</f>
        <v>0</v>
      </c>
      <c r="G30" s="16"/>
      <c r="H30" s="17">
        <f t="shared" ref="H30:H36" si="5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'MARCH 21'!H31:H63</f>
        <v>0</v>
      </c>
      <c r="E31" s="16">
        <v>6400</v>
      </c>
      <c r="F31" s="16">
        <f t="shared" si="4"/>
        <v>6400</v>
      </c>
      <c r="G31" s="16">
        <f>6400</f>
        <v>6400</v>
      </c>
      <c r="H31" s="17">
        <f t="shared" si="5"/>
        <v>0</v>
      </c>
      <c r="I31" s="15"/>
      <c r="M31" s="26" t="s">
        <v>78</v>
      </c>
      <c r="N31" s="38">
        <f>Q25</f>
        <v>33800</v>
      </c>
      <c r="O31" s="26"/>
      <c r="P31" s="26"/>
      <c r="Q31" s="26" t="s">
        <v>78</v>
      </c>
      <c r="R31" s="28">
        <f>S25</f>
        <v>22000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'MARCH 21'!H32:H64</f>
        <v>5800</v>
      </c>
      <c r="E32" s="16">
        <v>6400</v>
      </c>
      <c r="F32" s="16">
        <f t="shared" si="4"/>
        <v>12200</v>
      </c>
      <c r="G32" s="16"/>
      <c r="H32" s="17">
        <f t="shared" si="5"/>
        <v>12200</v>
      </c>
      <c r="I32" s="15"/>
      <c r="M32" s="26" t="s">
        <v>18</v>
      </c>
      <c r="N32" s="38">
        <f>'MARCH 21'!P44</f>
        <v>0</v>
      </c>
      <c r="O32" s="26"/>
      <c r="P32" s="26"/>
      <c r="Q32" s="26" t="s">
        <v>18</v>
      </c>
      <c r="R32" s="38">
        <f>'MARCH 21'!T44</f>
        <v>0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'MARCH 21'!H33:H65</f>
        <v>400</v>
      </c>
      <c r="E33" s="16">
        <v>6400</v>
      </c>
      <c r="F33" s="16">
        <f t="shared" si="4"/>
        <v>6800</v>
      </c>
      <c r="G33" s="16"/>
      <c r="H33" s="17">
        <f t="shared" si="5"/>
        <v>6800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'MARCH 21'!H34:H66</f>
        <v>0</v>
      </c>
      <c r="E34" s="16">
        <v>7400</v>
      </c>
      <c r="F34" s="16">
        <f t="shared" si="4"/>
        <v>7400</v>
      </c>
      <c r="G34" s="16">
        <f>7400</f>
        <v>7400</v>
      </c>
      <c r="H34" s="17">
        <f t="shared" si="5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'MARCH 21'!H35:H67</f>
        <v>2500</v>
      </c>
      <c r="E35" s="16">
        <v>7000</v>
      </c>
      <c r="F35" s="16">
        <f t="shared" si="4"/>
        <v>9500</v>
      </c>
      <c r="G35" s="16">
        <f>7000</f>
        <v>7000</v>
      </c>
      <c r="H35" s="17">
        <f t="shared" si="5"/>
        <v>2500</v>
      </c>
      <c r="I35" s="15"/>
      <c r="M35" s="26" t="s">
        <v>20</v>
      </c>
      <c r="N35" s="39">
        <v>0.1</v>
      </c>
      <c r="O35" s="38">
        <f>N35*N31</f>
        <v>3380</v>
      </c>
      <c r="P35" s="26"/>
      <c r="Q35" s="26" t="s">
        <v>20</v>
      </c>
      <c r="R35" s="38"/>
      <c r="S35" s="38">
        <f>R36*N31</f>
        <v>3380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'MARCH 21'!H36:H68</f>
        <v>14000</v>
      </c>
      <c r="E36" s="16">
        <v>14000</v>
      </c>
      <c r="F36" s="16">
        <f t="shared" si="4"/>
        <v>28000</v>
      </c>
      <c r="G36" s="16">
        <f>7000+10000</f>
        <v>17000</v>
      </c>
      <c r="H36" s="17">
        <f t="shared" si="5"/>
        <v>11000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6">SUM(C5:C36)</f>
        <v>0</v>
      </c>
      <c r="D37" s="15">
        <f>'MARCH 21'!H37:H69</f>
        <v>48100</v>
      </c>
      <c r="E37" s="27">
        <f t="shared" si="6"/>
        <v>90900</v>
      </c>
      <c r="F37" s="16">
        <f t="shared" si="6"/>
        <v>139000</v>
      </c>
      <c r="G37" s="16">
        <f t="shared" si="6"/>
        <v>69750</v>
      </c>
      <c r="H37" s="16">
        <f t="shared" si="6"/>
        <v>69250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99</v>
      </c>
      <c r="O38">
        <v>15097</v>
      </c>
      <c r="P38" s="42"/>
      <c r="Q38" s="40" t="s">
        <v>99</v>
      </c>
      <c r="S38">
        <v>15097</v>
      </c>
      <c r="T38" s="26"/>
      <c r="U38" s="3"/>
    </row>
    <row r="39" spans="1:21" x14ac:dyDescent="0.25">
      <c r="M39" s="40" t="s">
        <v>105</v>
      </c>
      <c r="N39" s="39"/>
      <c r="O39" s="26">
        <v>3000</v>
      </c>
      <c r="P39" s="26"/>
      <c r="Q39" s="40" t="s">
        <v>105</v>
      </c>
      <c r="R39" s="39"/>
      <c r="S39" s="26">
        <v>3000</v>
      </c>
      <c r="T39" s="26"/>
      <c r="U39" s="34"/>
    </row>
    <row r="40" spans="1:21" x14ac:dyDescent="0.25">
      <c r="M40" s="40"/>
      <c r="N40" s="39"/>
      <c r="O40" s="26"/>
      <c r="P40" s="26"/>
      <c r="Q40" s="40"/>
      <c r="R40" s="39"/>
      <c r="S40" s="26"/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3900</v>
      </c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78</v>
      </c>
      <c r="B44" s="38">
        <f>E37</f>
        <v>90900</v>
      </c>
      <c r="C44" s="26"/>
      <c r="D44" s="26"/>
      <c r="E44" s="26" t="s">
        <v>78</v>
      </c>
      <c r="F44" s="28">
        <f>G37</f>
        <v>69750</v>
      </c>
      <c r="G44" s="26"/>
      <c r="H44" s="26"/>
      <c r="I44" s="34"/>
      <c r="M44" s="37" t="s">
        <v>11</v>
      </c>
      <c r="N44" s="44">
        <f>N34+N31+N32+N33-O35</f>
        <v>30420</v>
      </c>
      <c r="O44" s="44">
        <f>SUM(O37:O43)</f>
        <v>18097</v>
      </c>
      <c r="P44" s="44">
        <f>N44-O44</f>
        <v>12323</v>
      </c>
      <c r="Q44" s="37" t="s">
        <v>11</v>
      </c>
      <c r="R44" s="42">
        <f>R31+R32-S35</f>
        <v>18620</v>
      </c>
      <c r="S44" s="44">
        <f>SUM(S37:S43)</f>
        <v>18097</v>
      </c>
      <c r="T44" s="44">
        <f>R44-S44</f>
        <v>523</v>
      </c>
      <c r="U44" s="3"/>
    </row>
    <row r="45" spans="1:21" x14ac:dyDescent="0.25">
      <c r="A45" s="26" t="s">
        <v>18</v>
      </c>
      <c r="B45" s="38">
        <f>'MARCH 21'!D57</f>
        <v>47638</v>
      </c>
      <c r="C45" s="26"/>
      <c r="D45" s="26"/>
      <c r="E45" s="26" t="s">
        <v>18</v>
      </c>
      <c r="F45" s="38">
        <f>'MARCH 21'!H57</f>
        <v>11038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9090</v>
      </c>
      <c r="D48" s="26"/>
      <c r="E48" s="26" t="s">
        <v>20</v>
      </c>
      <c r="F48" s="38"/>
      <c r="G48" s="38">
        <f>F49*B44</f>
        <v>9090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82</v>
      </c>
      <c r="C51">
        <v>11097</v>
      </c>
      <c r="D51" s="42"/>
      <c r="E51" s="40" t="s">
        <v>82</v>
      </c>
      <c r="G51">
        <v>11097</v>
      </c>
      <c r="H51" s="26"/>
      <c r="I51" s="3"/>
    </row>
    <row r="52" spans="1:14" x14ac:dyDescent="0.25">
      <c r="A52" s="40" t="s">
        <v>98</v>
      </c>
      <c r="B52" s="39"/>
      <c r="C52" s="26">
        <v>25000</v>
      </c>
      <c r="D52" s="26"/>
      <c r="E52" s="40" t="s">
        <v>98</v>
      </c>
      <c r="F52" s="39"/>
      <c r="G52" s="26">
        <v>25000</v>
      </c>
      <c r="H52" s="26"/>
      <c r="I52" s="34"/>
    </row>
    <row r="53" spans="1:14" x14ac:dyDescent="0.25">
      <c r="A53" s="40" t="s">
        <v>99</v>
      </c>
      <c r="B53" s="39"/>
      <c r="C53" s="26">
        <v>10087</v>
      </c>
      <c r="D53" s="26"/>
      <c r="E53" s="40" t="s">
        <v>99</v>
      </c>
      <c r="F53" s="39"/>
      <c r="G53" s="26">
        <v>10087</v>
      </c>
      <c r="H53" s="26"/>
      <c r="I53" s="43"/>
    </row>
    <row r="54" spans="1:14" x14ac:dyDescent="0.25">
      <c r="A54" s="40" t="s">
        <v>100</v>
      </c>
      <c r="B54" s="26"/>
      <c r="C54" s="42">
        <v>10000</v>
      </c>
      <c r="D54" s="26"/>
      <c r="E54" s="40" t="s">
        <v>100</v>
      </c>
      <c r="F54" s="26"/>
      <c r="G54" s="42">
        <v>10000</v>
      </c>
      <c r="H54" s="26"/>
      <c r="J54" s="28"/>
    </row>
    <row r="55" spans="1:14" x14ac:dyDescent="0.25">
      <c r="A55" s="40" t="s">
        <v>105</v>
      </c>
      <c r="B55" s="26"/>
      <c r="C55" s="42">
        <v>15102</v>
      </c>
      <c r="D55" s="26"/>
      <c r="E55" s="40" t="s">
        <v>105</v>
      </c>
      <c r="F55" s="26"/>
      <c r="G55" s="42">
        <v>15102</v>
      </c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129448</v>
      </c>
      <c r="C57" s="44">
        <f>SUM(C50:C56)</f>
        <v>71286</v>
      </c>
      <c r="D57" s="44">
        <f>B57-C57</f>
        <v>58162</v>
      </c>
      <c r="E57" s="37" t="s">
        <v>11</v>
      </c>
      <c r="F57" s="42">
        <f>F44+F45-G48</f>
        <v>71698</v>
      </c>
      <c r="G57" s="44">
        <f>SUM(G50:G56)</f>
        <v>71286</v>
      </c>
      <c r="H57" s="44">
        <f>F57-G57</f>
        <v>412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2" workbookViewId="0">
      <selection activeCell="Q43" sqref="Q43"/>
    </sheetView>
  </sheetViews>
  <sheetFormatPr defaultRowHeight="15" x14ac:dyDescent="0.25"/>
  <cols>
    <col min="1" max="1" width="18.85546875" customWidth="1"/>
    <col min="13" max="13" width="15.425781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107</v>
      </c>
      <c r="C3" s="1"/>
      <c r="D3" s="1"/>
      <c r="E3" s="1"/>
      <c r="F3" s="6"/>
      <c r="G3" s="7"/>
      <c r="H3" s="3"/>
      <c r="I3" s="3"/>
      <c r="N3" s="1" t="s">
        <v>107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/>
    </row>
    <row r="5" spans="1:21" x14ac:dyDescent="0.25">
      <c r="A5" s="51" t="s">
        <v>39</v>
      </c>
      <c r="B5" s="13">
        <v>1</v>
      </c>
      <c r="C5" s="14"/>
      <c r="D5" s="15">
        <f>APRIL21!H5:H36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APRIL21!T5:T24</f>
        <v>2000</v>
      </c>
      <c r="Q5" s="16">
        <v>2000</v>
      </c>
      <c r="R5" s="54">
        <f>O5+P5+Q5</f>
        <v>4000</v>
      </c>
      <c r="S5" s="16">
        <v>4000</v>
      </c>
      <c r="T5" s="17">
        <f>R5-S5</f>
        <v>0</v>
      </c>
      <c r="U5" s="15"/>
    </row>
    <row r="6" spans="1:21" x14ac:dyDescent="0.25">
      <c r="A6" s="48" t="s">
        <v>39</v>
      </c>
      <c r="B6" s="13">
        <v>2</v>
      </c>
      <c r="C6" s="14"/>
      <c r="D6" s="15">
        <f>APRIL21!H6:H37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APRIL21!T6:T25</f>
        <v>1800</v>
      </c>
      <c r="Q6" s="16">
        <v>1800</v>
      </c>
      <c r="R6" s="54">
        <f t="shared" ref="R6:R22" si="2">O6+P6+Q6</f>
        <v>3600</v>
      </c>
      <c r="S6" s="16">
        <v>3600</v>
      </c>
      <c r="T6" s="17">
        <f t="shared" ref="T6:T24" si="3">R6-S6</f>
        <v>0</v>
      </c>
      <c r="U6" s="15"/>
    </row>
    <row r="7" spans="1:21" x14ac:dyDescent="0.25">
      <c r="A7" s="18" t="s">
        <v>39</v>
      </c>
      <c r="B7" s="13">
        <v>3</v>
      </c>
      <c r="C7" s="14"/>
      <c r="D7" s="15">
        <f>APRIL21!H7:H38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84</v>
      </c>
      <c r="N7" s="13">
        <v>13</v>
      </c>
      <c r="O7" s="14"/>
      <c r="P7" s="55">
        <f>APRIL21!T7:T26</f>
        <v>2000</v>
      </c>
      <c r="Q7" s="16"/>
      <c r="R7" s="54">
        <f t="shared" si="2"/>
        <v>2000</v>
      </c>
      <c r="S7" s="16"/>
      <c r="T7" s="17">
        <f t="shared" si="3"/>
        <v>2000</v>
      </c>
      <c r="U7" s="55" t="s">
        <v>74</v>
      </c>
    </row>
    <row r="8" spans="1:21" x14ac:dyDescent="0.25">
      <c r="A8" s="22" t="s">
        <v>71</v>
      </c>
      <c r="B8" s="13">
        <v>4</v>
      </c>
      <c r="C8" s="14"/>
      <c r="D8" s="15">
        <f>APRIL21!H8:H39</f>
        <v>0</v>
      </c>
      <c r="E8" s="16">
        <v>2700</v>
      </c>
      <c r="F8" s="16">
        <f t="shared" si="0"/>
        <v>2700</v>
      </c>
      <c r="G8" s="16"/>
      <c r="H8" s="17">
        <f>F8-G8</f>
        <v>2700</v>
      </c>
      <c r="I8" s="15"/>
      <c r="M8" s="20" t="s">
        <v>97</v>
      </c>
      <c r="N8" s="23">
        <v>14</v>
      </c>
      <c r="O8" s="14"/>
      <c r="P8" s="15">
        <f>APRIL21!T8:T27</f>
        <v>0</v>
      </c>
      <c r="Q8" s="16">
        <v>2000</v>
      </c>
      <c r="R8" s="54">
        <f t="shared" si="2"/>
        <v>2000</v>
      </c>
      <c r="S8" s="16">
        <v>2000</v>
      </c>
      <c r="T8" s="17">
        <f t="shared" si="3"/>
        <v>0</v>
      </c>
      <c r="U8" s="15"/>
    </row>
    <row r="9" spans="1:21" x14ac:dyDescent="0.25">
      <c r="A9" s="24" t="s">
        <v>39</v>
      </c>
      <c r="B9" s="13">
        <v>5</v>
      </c>
      <c r="C9" s="14"/>
      <c r="D9" s="15">
        <f>APRIL21!H9:H40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APRIL21!T9:T28</f>
        <v>0</v>
      </c>
      <c r="Q9" s="16">
        <v>2000</v>
      </c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APRIL21!H10:H41</f>
        <v>3150</v>
      </c>
      <c r="E10" s="16">
        <v>2700</v>
      </c>
      <c r="F10" s="16">
        <f>C10+D10+E10</f>
        <v>5850</v>
      </c>
      <c r="G10" s="16">
        <f>1500</f>
        <v>1500</v>
      </c>
      <c r="H10" s="17">
        <f t="shared" si="1"/>
        <v>4350</v>
      </c>
      <c r="I10" s="15"/>
      <c r="M10" s="20" t="s">
        <v>86</v>
      </c>
      <c r="N10" s="23">
        <v>16</v>
      </c>
      <c r="O10" s="14"/>
      <c r="P10" s="15">
        <f>APRIL21!T10:T29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APRIL21!H11:H42</f>
        <v>700</v>
      </c>
      <c r="E11" s="16">
        <v>2700</v>
      </c>
      <c r="F11" s="16">
        <f t="shared" si="0"/>
        <v>3400</v>
      </c>
      <c r="G11" s="16">
        <f>2000</f>
        <v>2000</v>
      </c>
      <c r="H11" s="17">
        <f t="shared" si="1"/>
        <v>1400</v>
      </c>
      <c r="I11" s="15"/>
      <c r="M11" s="20" t="s">
        <v>104</v>
      </c>
      <c r="N11" s="13">
        <v>17</v>
      </c>
      <c r="O11" s="14"/>
      <c r="P11" s="15">
        <f>APRIL21!T11:T30</f>
        <v>2000</v>
      </c>
      <c r="Q11" s="16">
        <v>2000</v>
      </c>
      <c r="R11" s="54">
        <f t="shared" si="2"/>
        <v>4000</v>
      </c>
      <c r="S11" s="16">
        <v>2000</v>
      </c>
      <c r="T11" s="17">
        <f t="shared" si="3"/>
        <v>2000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APRIL21!H12:H43</f>
        <v>3900</v>
      </c>
      <c r="E12" s="16">
        <v>2700</v>
      </c>
      <c r="F12" s="16">
        <f t="shared" si="0"/>
        <v>6600</v>
      </c>
      <c r="G12" s="16">
        <f>1600+1100+2500</f>
        <v>5200</v>
      </c>
      <c r="H12" s="17">
        <f t="shared" si="1"/>
        <v>1400</v>
      </c>
      <c r="I12" s="15"/>
      <c r="M12" s="20" t="s">
        <v>109</v>
      </c>
      <c r="N12" s="23">
        <v>18</v>
      </c>
      <c r="O12" s="14"/>
      <c r="P12" s="15">
        <f>APRIL21!T12:T31</f>
        <v>0</v>
      </c>
      <c r="Q12" s="16">
        <v>2000</v>
      </c>
      <c r="R12" s="54">
        <f>O12+P12+Q12</f>
        <v>2000</v>
      </c>
      <c r="S12" s="16"/>
      <c r="T12" s="17">
        <f t="shared" si="3"/>
        <v>2000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APRIL21!H13:H44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APRIL21!T13:T32</f>
        <v>0</v>
      </c>
      <c r="Q13" s="16">
        <v>2000</v>
      </c>
      <c r="R13" s="54">
        <f t="shared" si="2"/>
        <v>2000</v>
      </c>
      <c r="S13" s="16"/>
      <c r="T13" s="17">
        <f t="shared" si="3"/>
        <v>2000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APRIL21!H14:H45</f>
        <v>200</v>
      </c>
      <c r="E14" s="16">
        <v>2700</v>
      </c>
      <c r="F14" s="16">
        <f t="shared" si="0"/>
        <v>2900</v>
      </c>
      <c r="G14" s="16"/>
      <c r="H14" s="17">
        <f t="shared" si="1"/>
        <v>2900</v>
      </c>
      <c r="I14" s="15"/>
      <c r="M14" s="20" t="s">
        <v>88</v>
      </c>
      <c r="N14" s="23">
        <v>20</v>
      </c>
      <c r="O14" s="14"/>
      <c r="P14" s="15">
        <f>APRIL21!T14:T33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APRIL21!H15:H46</f>
        <v>1100</v>
      </c>
      <c r="E15" s="16">
        <v>2700</v>
      </c>
      <c r="F15" s="16">
        <f t="shared" si="0"/>
        <v>3800</v>
      </c>
      <c r="G15" s="16">
        <f>1000</f>
        <v>1000</v>
      </c>
      <c r="H15" s="17">
        <f t="shared" si="1"/>
        <v>2800</v>
      </c>
      <c r="I15" s="15"/>
      <c r="M15" s="20"/>
      <c r="N15" s="13">
        <v>21</v>
      </c>
      <c r="O15" s="14"/>
      <c r="P15" s="15">
        <f>APRIL21!T15:T34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APRIL21!H16:H47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APRIL21!T16:T35</f>
        <v>0</v>
      </c>
      <c r="Q16" s="16">
        <v>2000</v>
      </c>
      <c r="R16" s="54">
        <f t="shared" si="2"/>
        <v>2000</v>
      </c>
      <c r="S16" s="16">
        <f>1000</f>
        <v>1000</v>
      </c>
      <c r="T16" s="17">
        <f t="shared" si="3"/>
        <v>1000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APRIL21!H17:H48</f>
        <v>1200</v>
      </c>
      <c r="E17" s="16">
        <v>2700</v>
      </c>
      <c r="F17" s="16">
        <f t="shared" si="0"/>
        <v>3900</v>
      </c>
      <c r="G17" s="16">
        <f>2700</f>
        <v>2700</v>
      </c>
      <c r="H17" s="17">
        <f t="shared" si="1"/>
        <v>1200</v>
      </c>
      <c r="I17" s="15"/>
      <c r="M17" s="18"/>
      <c r="N17" s="13">
        <v>23</v>
      </c>
      <c r="O17" s="14"/>
      <c r="P17" s="15">
        <f>APRIL21!T17:T36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APRIL21!H18:H49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12" t="s">
        <v>90</v>
      </c>
      <c r="N18" s="23">
        <v>24</v>
      </c>
      <c r="O18" s="14"/>
      <c r="P18" s="15">
        <f>APRIL21!T18:T37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APRIL21!H19:H50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APRIL21!T19:T38</f>
        <v>0</v>
      </c>
      <c r="Q19" s="16">
        <v>2000</v>
      </c>
      <c r="R19" s="54">
        <f t="shared" si="2"/>
        <v>2000</v>
      </c>
      <c r="S19" s="16"/>
      <c r="T19" s="17">
        <f t="shared" si="3"/>
        <v>2000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APRIL21!H20:H51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APRIL21!T20:T39</f>
        <v>2000</v>
      </c>
      <c r="Q20" s="16">
        <v>2000</v>
      </c>
      <c r="R20" s="54">
        <f t="shared" si="2"/>
        <v>4000</v>
      </c>
      <c r="S20" s="16"/>
      <c r="T20" s="17">
        <f t="shared" si="3"/>
        <v>4000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APRIL21!H21:H52</f>
        <v>0</v>
      </c>
      <c r="E21" s="49">
        <v>2200</v>
      </c>
      <c r="F21" s="16">
        <f>C21+D21+E21</f>
        <v>2200</v>
      </c>
      <c r="G21" s="16">
        <f>2200</f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APRIL21!T21:T40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APRIL21!H22:H53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92</v>
      </c>
      <c r="N22" s="23">
        <v>28</v>
      </c>
      <c r="O22" s="14"/>
      <c r="P22" s="15">
        <f>APRIL21!T22:T41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APRIL21!H23:H54</f>
        <v>0</v>
      </c>
      <c r="E23" s="16">
        <v>2700</v>
      </c>
      <c r="F23" s="16">
        <f>C23+D23+E23</f>
        <v>2700</v>
      </c>
      <c r="G23" s="16">
        <f>2000+700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APRIL21!T23:T42</f>
        <v>2000</v>
      </c>
      <c r="Q23" s="16">
        <v>2000</v>
      </c>
      <c r="R23" s="54">
        <f>O23+P23+Q23</f>
        <v>4000</v>
      </c>
      <c r="S23" s="16"/>
      <c r="T23" s="17">
        <f t="shared" si="3"/>
        <v>4000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APRIL21!H24:H55</f>
        <v>8100</v>
      </c>
      <c r="E24" s="16">
        <v>2700</v>
      </c>
      <c r="F24" s="16">
        <f t="shared" si="0"/>
        <v>10800</v>
      </c>
      <c r="G24" s="16">
        <f>900+800</f>
        <v>1700</v>
      </c>
      <c r="H24" s="17">
        <f t="shared" si="1"/>
        <v>9100</v>
      </c>
      <c r="I24" s="15"/>
      <c r="M24" s="22" t="s">
        <v>94</v>
      </c>
      <c r="N24" s="23">
        <v>30</v>
      </c>
      <c r="O24" s="14"/>
      <c r="P24" s="15">
        <f>APRIL21!T24:T43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APRIL21!H25:H56</f>
        <v>0</v>
      </c>
      <c r="E25" s="16">
        <v>2700</v>
      </c>
      <c r="F25" s="16">
        <f t="shared" si="0"/>
        <v>2700</v>
      </c>
      <c r="G25" s="16">
        <v>2700</v>
      </c>
      <c r="H25" s="17">
        <f t="shared" si="1"/>
        <v>0</v>
      </c>
      <c r="I25" s="15"/>
      <c r="M25" s="25" t="s">
        <v>11</v>
      </c>
      <c r="N25" s="13"/>
      <c r="O25" s="14"/>
      <c r="P25" s="15">
        <f t="shared" ref="P25:U25" si="4">SUM(P5:P24)</f>
        <v>11800</v>
      </c>
      <c r="Q25" s="16">
        <f t="shared" si="4"/>
        <v>33800</v>
      </c>
      <c r="R25" s="54">
        <f t="shared" si="4"/>
        <v>45600</v>
      </c>
      <c r="S25" s="16">
        <f t="shared" si="4"/>
        <v>26600</v>
      </c>
      <c r="T25" s="16">
        <f t="shared" si="4"/>
        <v>19000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APRIL21!H26:H57</f>
        <v>1700</v>
      </c>
      <c r="E26" s="16">
        <v>2700</v>
      </c>
      <c r="F26" s="16">
        <f>C26+D26+E26</f>
        <v>4400</v>
      </c>
      <c r="G26" s="16"/>
      <c r="H26" s="17">
        <f t="shared" si="1"/>
        <v>4400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APRIL21!H27:H58</f>
        <v>1800</v>
      </c>
      <c r="E27" s="16">
        <v>2700</v>
      </c>
      <c r="F27" s="16">
        <f t="shared" si="0"/>
        <v>4500</v>
      </c>
      <c r="G27" s="16">
        <f>600</f>
        <v>600</v>
      </c>
      <c r="H27" s="17">
        <f t="shared" si="1"/>
        <v>3900</v>
      </c>
      <c r="I27" s="15"/>
    </row>
    <row r="28" spans="1:21" x14ac:dyDescent="0.25">
      <c r="A28" s="51" t="s">
        <v>39</v>
      </c>
      <c r="B28" s="23">
        <v>24</v>
      </c>
      <c r="C28" s="14"/>
      <c r="D28" s="15">
        <f>APRIL21!H28:H59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APRIL21!H29:H60</f>
        <v>14900</v>
      </c>
      <c r="E29" s="16">
        <v>2700</v>
      </c>
      <c r="F29" s="16">
        <f>C29+D29+E29</f>
        <v>17600</v>
      </c>
      <c r="G29" s="16">
        <f>1000+1000</f>
        <v>2000</v>
      </c>
      <c r="H29" s="17">
        <f>F29-G29</f>
        <v>15600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APRIL21!H30:H61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APRIL21!H31:H62</f>
        <v>0</v>
      </c>
      <c r="E31" s="16">
        <v>6400</v>
      </c>
      <c r="F31" s="16">
        <f t="shared" si="5"/>
        <v>6400</v>
      </c>
      <c r="G31" s="16">
        <f>6400</f>
        <v>6400</v>
      </c>
      <c r="H31" s="17">
        <f t="shared" si="6"/>
        <v>0</v>
      </c>
      <c r="I31" s="15"/>
      <c r="M31" s="26" t="s">
        <v>106</v>
      </c>
      <c r="N31" s="38">
        <f>Q25</f>
        <v>33800</v>
      </c>
      <c r="O31" s="26"/>
      <c r="P31" s="26"/>
      <c r="Q31" s="26" t="s">
        <v>106</v>
      </c>
      <c r="R31" s="28">
        <f>S25</f>
        <v>26600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APRIL21!H32:H63</f>
        <v>12200</v>
      </c>
      <c r="E32" s="16">
        <v>6400</v>
      </c>
      <c r="F32" s="16">
        <f t="shared" si="5"/>
        <v>18600</v>
      </c>
      <c r="G32" s="16"/>
      <c r="H32" s="17">
        <f t="shared" si="6"/>
        <v>18600</v>
      </c>
      <c r="I32" s="15"/>
      <c r="M32" s="26" t="s">
        <v>18</v>
      </c>
      <c r="N32" s="38">
        <f>APRIL21!P44</f>
        <v>12323</v>
      </c>
      <c r="O32" s="26"/>
      <c r="P32" s="26"/>
      <c r="Q32" s="26" t="s">
        <v>18</v>
      </c>
      <c r="R32" s="38">
        <f>APRIL21!T44</f>
        <v>523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APRIL21!H33:H64</f>
        <v>6800</v>
      </c>
      <c r="E33" s="16">
        <v>6400</v>
      </c>
      <c r="F33" s="16">
        <f t="shared" si="5"/>
        <v>13200</v>
      </c>
      <c r="G33" s="16">
        <f>13200</f>
        <v>13200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APRIL21!H34:H65</f>
        <v>0</v>
      </c>
      <c r="E34" s="16">
        <v>7400</v>
      </c>
      <c r="F34" s="16">
        <f t="shared" si="5"/>
        <v>7400</v>
      </c>
      <c r="G34" s="16">
        <f>7400</f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APRIL21!H35:H66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3380</v>
      </c>
      <c r="P35" s="26"/>
      <c r="Q35" s="26" t="s">
        <v>20</v>
      </c>
      <c r="R35" s="38"/>
      <c r="S35" s="38">
        <f>R36*N31</f>
        <v>3380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APRIL21!H36:H67</f>
        <v>11000</v>
      </c>
      <c r="E36" s="16">
        <v>14000</v>
      </c>
      <c r="F36" s="16">
        <f t="shared" si="5"/>
        <v>25000</v>
      </c>
      <c r="G36" s="16">
        <f>7000</f>
        <v>7000</v>
      </c>
      <c r="H36" s="17">
        <f t="shared" si="6"/>
        <v>18000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69250</v>
      </c>
      <c r="E37" s="27">
        <f t="shared" si="7"/>
        <v>93600</v>
      </c>
      <c r="F37" s="16">
        <f t="shared" si="7"/>
        <v>162850</v>
      </c>
      <c r="G37" s="16">
        <f t="shared" si="7"/>
        <v>74000</v>
      </c>
      <c r="H37" s="16">
        <f t="shared" si="7"/>
        <v>88850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111</v>
      </c>
      <c r="N39" s="39"/>
      <c r="O39" s="26">
        <v>5000</v>
      </c>
      <c r="P39" s="26"/>
      <c r="Q39" s="40" t="s">
        <v>111</v>
      </c>
      <c r="R39" s="39"/>
      <c r="S39" s="26">
        <v>5000</v>
      </c>
      <c r="T39" s="26"/>
      <c r="U39" s="34"/>
    </row>
    <row r="40" spans="1:21" x14ac:dyDescent="0.25">
      <c r="M40" s="40" t="s">
        <v>115</v>
      </c>
      <c r="N40" s="39"/>
      <c r="O40" s="42">
        <f>R5+R6</f>
        <v>7600</v>
      </c>
      <c r="P40" s="26"/>
      <c r="Q40" s="40" t="s">
        <v>115</v>
      </c>
      <c r="R40" s="39"/>
      <c r="S40" s="42">
        <f>O40</f>
        <v>7600</v>
      </c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1400</v>
      </c>
      <c r="I41" s="3"/>
      <c r="M41" s="40" t="s">
        <v>118</v>
      </c>
      <c r="N41" s="26"/>
      <c r="O41" s="42">
        <v>2000</v>
      </c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106</v>
      </c>
      <c r="B44" s="38">
        <f>E37</f>
        <v>93600</v>
      </c>
      <c r="C44" s="26"/>
      <c r="D44" s="26"/>
      <c r="E44" s="26" t="s">
        <v>106</v>
      </c>
      <c r="F44" s="28">
        <f>G37</f>
        <v>74000</v>
      </c>
      <c r="G44" s="26"/>
      <c r="H44" s="26"/>
      <c r="I44" s="34"/>
      <c r="M44" s="37" t="s">
        <v>11</v>
      </c>
      <c r="N44" s="44">
        <f>N34+N31+N32+N33-O35</f>
        <v>42743</v>
      </c>
      <c r="O44" s="44">
        <f>SUM(O37:O43)</f>
        <v>14600</v>
      </c>
      <c r="P44" s="44">
        <f>N44-O44</f>
        <v>28143</v>
      </c>
      <c r="Q44" s="37" t="s">
        <v>11</v>
      </c>
      <c r="R44" s="42">
        <f>R31+R32-S35</f>
        <v>23743</v>
      </c>
      <c r="S44" s="44">
        <f>SUM(S37:S43)</f>
        <v>12600</v>
      </c>
      <c r="T44" s="44">
        <f>R44-S44</f>
        <v>11143</v>
      </c>
      <c r="U44" s="3"/>
    </row>
    <row r="45" spans="1:21" x14ac:dyDescent="0.25">
      <c r="A45" s="26" t="s">
        <v>18</v>
      </c>
      <c r="B45" s="38">
        <f>APRIL21!D57</f>
        <v>58162</v>
      </c>
      <c r="C45" s="26"/>
      <c r="D45" s="26"/>
      <c r="E45" s="26" t="s">
        <v>18</v>
      </c>
      <c r="F45" s="38">
        <f>APRIL21!H57</f>
        <v>412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9360</v>
      </c>
      <c r="D48" s="26"/>
      <c r="E48" s="26" t="s">
        <v>20</v>
      </c>
      <c r="F48" s="38"/>
      <c r="G48" s="38">
        <f>F49*B44</f>
        <v>9360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110</v>
      </c>
      <c r="C51">
        <v>30105</v>
      </c>
      <c r="D51" s="42"/>
      <c r="E51" s="40" t="s">
        <v>110</v>
      </c>
      <c r="G51">
        <v>30105</v>
      </c>
      <c r="H51" s="26"/>
      <c r="I51" s="3"/>
    </row>
    <row r="52" spans="1:14" x14ac:dyDescent="0.25">
      <c r="A52" s="40" t="s">
        <v>111</v>
      </c>
      <c r="B52" s="39"/>
      <c r="C52" s="26">
        <v>25105</v>
      </c>
      <c r="D52" s="26"/>
      <c r="E52" s="40" t="s">
        <v>111</v>
      </c>
      <c r="F52" s="39"/>
      <c r="G52" s="26">
        <v>25105</v>
      </c>
      <c r="H52" s="26"/>
      <c r="I52" s="34"/>
    </row>
    <row r="53" spans="1:14" x14ac:dyDescent="0.25">
      <c r="A53" s="40" t="s">
        <v>114</v>
      </c>
      <c r="B53" s="39"/>
      <c r="C53" s="26">
        <v>7075</v>
      </c>
      <c r="D53" s="26"/>
      <c r="E53" s="40" t="s">
        <v>114</v>
      </c>
      <c r="F53" s="39"/>
      <c r="G53" s="26">
        <v>7075</v>
      </c>
      <c r="H53" s="26"/>
      <c r="I53" s="43"/>
    </row>
    <row r="54" spans="1:14" x14ac:dyDescent="0.25">
      <c r="A54" s="40"/>
      <c r="B54" s="26"/>
      <c r="C54" s="42"/>
      <c r="D54" s="26"/>
      <c r="E54" s="40"/>
      <c r="F54" s="26"/>
      <c r="G54" s="42"/>
      <c r="H54" s="26"/>
      <c r="J54" s="28"/>
    </row>
    <row r="55" spans="1:14" x14ac:dyDescent="0.25">
      <c r="A55" s="40"/>
      <c r="B55" s="26"/>
      <c r="C55" s="42"/>
      <c r="D55" s="26"/>
      <c r="E55" s="40"/>
      <c r="F55" s="26"/>
      <c r="G55" s="42"/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142402</v>
      </c>
      <c r="C57" s="44">
        <f>SUM(C50:C56)</f>
        <v>62285</v>
      </c>
      <c r="D57" s="44">
        <f>B57-C57</f>
        <v>80117</v>
      </c>
      <c r="E57" s="37" t="s">
        <v>11</v>
      </c>
      <c r="F57" s="42">
        <f>F44+F45-G48</f>
        <v>65052</v>
      </c>
      <c r="G57" s="44">
        <f>SUM(G50:G56)</f>
        <v>62285</v>
      </c>
      <c r="H57" s="44">
        <f>F57-G57</f>
        <v>2767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1" workbookViewId="0">
      <selection activeCell="M18" sqref="M18"/>
    </sheetView>
  </sheetViews>
  <sheetFormatPr defaultRowHeight="15" x14ac:dyDescent="0.25"/>
  <cols>
    <col min="1" max="1" width="29.7109375" customWidth="1"/>
    <col min="13" max="13" width="18.1406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112</v>
      </c>
      <c r="C3" s="1"/>
      <c r="D3" s="1"/>
      <c r="E3" s="1"/>
      <c r="F3" s="6"/>
      <c r="G3" s="7"/>
      <c r="H3" s="3"/>
      <c r="I3" s="3"/>
      <c r="N3" s="1" t="s">
        <v>112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1" x14ac:dyDescent="0.25">
      <c r="A5" s="51" t="s">
        <v>39</v>
      </c>
      <c r="B5" s="13">
        <v>1</v>
      </c>
      <c r="C5" s="14"/>
      <c r="D5" s="15">
        <f>'MAY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'MAY 21'!T5:T24</f>
        <v>0</v>
      </c>
      <c r="Q5" s="16">
        <v>2000</v>
      </c>
      <c r="R5" s="54">
        <f>O5+P5+Q5</f>
        <v>2000</v>
      </c>
      <c r="S5" s="16"/>
      <c r="T5" s="17">
        <f>R5-S5</f>
        <v>2000</v>
      </c>
      <c r="U5" s="15"/>
    </row>
    <row r="6" spans="1:21" x14ac:dyDescent="0.25">
      <c r="A6" s="48" t="s">
        <v>39</v>
      </c>
      <c r="B6" s="13">
        <v>2</v>
      </c>
      <c r="C6" s="14"/>
      <c r="D6" s="15">
        <f>'MAY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'MAY 21'!T6:T25</f>
        <v>0</v>
      </c>
      <c r="Q6" s="16">
        <v>2000</v>
      </c>
      <c r="R6" s="54">
        <f t="shared" ref="R6:R22" si="2">O6+P6+Q6</f>
        <v>2000</v>
      </c>
      <c r="S6" s="16"/>
      <c r="T6" s="17">
        <f t="shared" ref="T6:T24" si="3">R6-S6</f>
        <v>2000</v>
      </c>
      <c r="U6" s="15"/>
    </row>
    <row r="7" spans="1:21" x14ac:dyDescent="0.25">
      <c r="A7" s="18" t="s">
        <v>39</v>
      </c>
      <c r="B7" s="13">
        <v>3</v>
      </c>
      <c r="C7" s="14"/>
      <c r="D7" s="15">
        <f>'MAY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117</v>
      </c>
      <c r="N7" s="13">
        <v>13</v>
      </c>
      <c r="O7" s="14"/>
      <c r="P7" s="15"/>
      <c r="Q7" s="16"/>
      <c r="R7" s="54">
        <f t="shared" si="2"/>
        <v>0</v>
      </c>
      <c r="S7" s="16"/>
      <c r="T7" s="17">
        <f t="shared" si="3"/>
        <v>0</v>
      </c>
      <c r="U7" s="15"/>
    </row>
    <row r="8" spans="1:21" x14ac:dyDescent="0.25">
      <c r="A8" s="22" t="s">
        <v>119</v>
      </c>
      <c r="B8" s="13">
        <v>4</v>
      </c>
      <c r="C8" s="14"/>
      <c r="D8" s="15">
        <f>'MAY 21'!H8:H40</f>
        <v>2700</v>
      </c>
      <c r="E8" s="16">
        <v>2700</v>
      </c>
      <c r="F8" s="16">
        <f t="shared" si="0"/>
        <v>5400</v>
      </c>
      <c r="G8" s="16">
        <f>2700+2700</f>
        <v>5400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'MAY 21'!T8:T27</f>
        <v>0</v>
      </c>
      <c r="Q8" s="16">
        <v>2000</v>
      </c>
      <c r="R8" s="54">
        <f t="shared" si="2"/>
        <v>2000</v>
      </c>
      <c r="S8" s="16"/>
      <c r="T8" s="17">
        <f t="shared" si="3"/>
        <v>2000</v>
      </c>
      <c r="U8" s="15"/>
    </row>
    <row r="9" spans="1:21" x14ac:dyDescent="0.25">
      <c r="A9" s="24" t="s">
        <v>120</v>
      </c>
      <c r="B9" s="13">
        <v>5</v>
      </c>
      <c r="C9" s="14"/>
      <c r="D9" s="15">
        <f>'MAY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'MAY 21'!T9:T28</f>
        <v>0</v>
      </c>
      <c r="Q9" s="16">
        <v>2000</v>
      </c>
      <c r="R9" s="54">
        <f t="shared" si="2"/>
        <v>2000</v>
      </c>
      <c r="S9" s="16"/>
      <c r="T9" s="17">
        <f t="shared" si="3"/>
        <v>2000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'MAY 21'!H10:H42</f>
        <v>4350</v>
      </c>
      <c r="E10" s="16">
        <v>2700</v>
      </c>
      <c r="F10" s="16">
        <f>C10+D10+E10</f>
        <v>7050</v>
      </c>
      <c r="G10" s="16">
        <f>2200</f>
        <v>2200</v>
      </c>
      <c r="H10" s="17">
        <f t="shared" si="1"/>
        <v>4850</v>
      </c>
      <c r="I10" s="15"/>
      <c r="M10" s="20" t="s">
        <v>86</v>
      </c>
      <c r="N10" s="23">
        <v>16</v>
      </c>
      <c r="O10" s="14"/>
      <c r="P10" s="15">
        <f>'MAY 21'!T10:T29</f>
        <v>0</v>
      </c>
      <c r="Q10" s="16">
        <v>2000</v>
      </c>
      <c r="R10" s="54">
        <f t="shared" si="2"/>
        <v>2000</v>
      </c>
      <c r="S10" s="16">
        <f>2000</f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'MAY 21'!H11:H43</f>
        <v>1400</v>
      </c>
      <c r="E11" s="16">
        <v>2700</v>
      </c>
      <c r="F11" s="16">
        <f t="shared" si="0"/>
        <v>4100</v>
      </c>
      <c r="G11" s="16">
        <v>1500</v>
      </c>
      <c r="H11" s="17">
        <f t="shared" si="1"/>
        <v>2600</v>
      </c>
      <c r="I11" s="15"/>
      <c r="M11" s="20" t="s">
        <v>104</v>
      </c>
      <c r="N11" s="13">
        <v>17</v>
      </c>
      <c r="O11" s="14"/>
      <c r="P11" s="15">
        <f>'MAY 21'!T11:T30</f>
        <v>2000</v>
      </c>
      <c r="Q11" s="16">
        <v>2000</v>
      </c>
      <c r="R11" s="54">
        <f t="shared" si="2"/>
        <v>4000</v>
      </c>
      <c r="S11" s="16"/>
      <c r="T11" s="17">
        <f t="shared" si="3"/>
        <v>4000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'MAY 21'!H12:H44</f>
        <v>1400</v>
      </c>
      <c r="E12" s="16">
        <v>2700</v>
      </c>
      <c r="F12" s="16">
        <f t="shared" si="0"/>
        <v>4100</v>
      </c>
      <c r="G12" s="16">
        <f>3000</f>
        <v>3000</v>
      </c>
      <c r="H12" s="17">
        <f t="shared" si="1"/>
        <v>1100</v>
      </c>
      <c r="I12" s="15"/>
      <c r="M12" s="20" t="s">
        <v>109</v>
      </c>
      <c r="N12" s="23">
        <v>18</v>
      </c>
      <c r="O12" s="14"/>
      <c r="P12" s="15">
        <f>'MAY 21'!T12:T31</f>
        <v>2000</v>
      </c>
      <c r="Q12" s="16">
        <v>2000</v>
      </c>
      <c r="R12" s="54">
        <f>O12+P12+Q12</f>
        <v>4000</v>
      </c>
      <c r="S12" s="16"/>
      <c r="T12" s="17">
        <f t="shared" si="3"/>
        <v>4000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'MAY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'MAY 21'!T13:T32</f>
        <v>2000</v>
      </c>
      <c r="Q13" s="16">
        <v>2000</v>
      </c>
      <c r="R13" s="54">
        <f t="shared" si="2"/>
        <v>4000</v>
      </c>
      <c r="S13" s="16"/>
      <c r="T13" s="17">
        <f t="shared" si="3"/>
        <v>4000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'MAY 21'!H14:H46</f>
        <v>2900</v>
      </c>
      <c r="E14" s="16">
        <v>2700</v>
      </c>
      <c r="F14" s="16">
        <f t="shared" si="0"/>
        <v>5600</v>
      </c>
      <c r="G14" s="16">
        <f>2700+2700</f>
        <v>5400</v>
      </c>
      <c r="H14" s="17">
        <f t="shared" si="1"/>
        <v>200</v>
      </c>
      <c r="I14" s="15"/>
      <c r="M14" s="20" t="s">
        <v>88</v>
      </c>
      <c r="N14" s="23">
        <v>20</v>
      </c>
      <c r="O14" s="14"/>
      <c r="P14" s="15">
        <f>'MAY 21'!T14:T33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'MAY 21'!H15:H47</f>
        <v>2800</v>
      </c>
      <c r="E15" s="16">
        <v>2700</v>
      </c>
      <c r="F15" s="16">
        <f t="shared" si="0"/>
        <v>5500</v>
      </c>
      <c r="G15" s="16">
        <v>3000</v>
      </c>
      <c r="H15" s="17">
        <f t="shared" si="1"/>
        <v>2500</v>
      </c>
      <c r="I15" s="15"/>
      <c r="M15" s="51" t="s">
        <v>117</v>
      </c>
      <c r="N15" s="13">
        <v>21</v>
      </c>
      <c r="O15" s="14"/>
      <c r="P15" s="15">
        <f>'MAY 21'!T15:T34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'MAY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'MAY 21'!T16:T35</f>
        <v>1000</v>
      </c>
      <c r="Q16" s="16">
        <v>2000</v>
      </c>
      <c r="R16" s="54">
        <f t="shared" si="2"/>
        <v>3000</v>
      </c>
      <c r="S16" s="16"/>
      <c r="T16" s="17">
        <f t="shared" si="3"/>
        <v>3000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'MAY 21'!H17:H49</f>
        <v>1200</v>
      </c>
      <c r="E17" s="16">
        <v>2700</v>
      </c>
      <c r="F17" s="16">
        <f t="shared" si="0"/>
        <v>3900</v>
      </c>
      <c r="G17" s="16">
        <f>1400</f>
        <v>1400</v>
      </c>
      <c r="H17" s="17">
        <f t="shared" si="1"/>
        <v>2500</v>
      </c>
      <c r="I17" s="15"/>
      <c r="M17" s="18"/>
      <c r="N17" s="13">
        <v>23</v>
      </c>
      <c r="O17" s="14"/>
      <c r="P17" s="15">
        <f>'MAY 21'!T17:T36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'MAY 21'!H18:H50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51" t="s">
        <v>120</v>
      </c>
      <c r="N18" s="23">
        <v>24</v>
      </c>
      <c r="O18" s="14"/>
      <c r="P18" s="15">
        <f>'MAY 21'!T18:T37</f>
        <v>0</v>
      </c>
      <c r="Q18" s="16">
        <v>2000</v>
      </c>
      <c r="R18" s="54">
        <f t="shared" si="2"/>
        <v>2000</v>
      </c>
      <c r="S18" s="16"/>
      <c r="T18" s="17">
        <f t="shared" si="3"/>
        <v>2000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'MAY 21'!H19:H51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'MAY 21'!T19:T38</f>
        <v>2000</v>
      </c>
      <c r="Q19" s="16">
        <v>2000</v>
      </c>
      <c r="R19" s="54">
        <f t="shared" si="2"/>
        <v>4000</v>
      </c>
      <c r="S19" s="16">
        <f>2000</f>
        <v>2000</v>
      </c>
      <c r="T19" s="17">
        <f t="shared" si="3"/>
        <v>2000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'MAY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'MAY 21'!T20:T39</f>
        <v>4000</v>
      </c>
      <c r="Q20" s="16">
        <v>2000</v>
      </c>
      <c r="R20" s="54">
        <f t="shared" si="2"/>
        <v>6000</v>
      </c>
      <c r="S20" s="16"/>
      <c r="T20" s="17">
        <f t="shared" si="3"/>
        <v>6000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'MAY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'MAY 21'!T21:T40</f>
        <v>0</v>
      </c>
      <c r="Q21" s="16">
        <v>2000</v>
      </c>
      <c r="R21" s="54">
        <f t="shared" si="2"/>
        <v>2000</v>
      </c>
      <c r="S21" s="16"/>
      <c r="T21" s="17">
        <f t="shared" si="3"/>
        <v>2000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'MAY 21'!H22:H54</f>
        <v>0</v>
      </c>
      <c r="E22" s="16">
        <v>2700</v>
      </c>
      <c r="F22" s="16">
        <f>C22+D22+E22</f>
        <v>2700</v>
      </c>
      <c r="G22" s="16">
        <v>2600</v>
      </c>
      <c r="H22" s="17">
        <f t="shared" si="1"/>
        <v>100</v>
      </c>
      <c r="I22" s="15"/>
      <c r="M22" s="24" t="s">
        <v>117</v>
      </c>
      <c r="N22" s="23">
        <v>28</v>
      </c>
      <c r="O22" s="14"/>
      <c r="P22" s="15">
        <f>'MAY 21'!T22:T41</f>
        <v>0</v>
      </c>
      <c r="Q22" s="16"/>
      <c r="R22" s="54">
        <f t="shared" si="2"/>
        <v>0</v>
      </c>
      <c r="S22" s="16"/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'MAY 21'!H23:H55</f>
        <v>0</v>
      </c>
      <c r="E23" s="16">
        <v>2700</v>
      </c>
      <c r="F23" s="16">
        <f>C23+D23+E23</f>
        <v>2700</v>
      </c>
      <c r="G23" s="16">
        <f>300+1700+700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'MAY 21'!T23:T42</f>
        <v>4000</v>
      </c>
      <c r="Q23" s="16">
        <v>2000</v>
      </c>
      <c r="R23" s="54">
        <f>O23+P23+Q23</f>
        <v>6000</v>
      </c>
      <c r="S23" s="16"/>
      <c r="T23" s="17">
        <f t="shared" si="3"/>
        <v>6000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'MAY 21'!H24:H56</f>
        <v>9100</v>
      </c>
      <c r="E24" s="16">
        <v>2700</v>
      </c>
      <c r="F24" s="16">
        <f t="shared" si="0"/>
        <v>11800</v>
      </c>
      <c r="G24" s="16">
        <f>700+1000+700+900+1000</f>
        <v>4300</v>
      </c>
      <c r="H24" s="17">
        <f t="shared" si="1"/>
        <v>7500</v>
      </c>
      <c r="I24" s="15"/>
      <c r="M24" s="22" t="s">
        <v>94</v>
      </c>
      <c r="N24" s="23">
        <v>30</v>
      </c>
      <c r="O24" s="14"/>
      <c r="P24" s="15">
        <f>'MAY 21'!T24:T43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'MAY 21'!H25:H57</f>
        <v>0</v>
      </c>
      <c r="E25" s="16">
        <v>2700</v>
      </c>
      <c r="F25" s="16">
        <f t="shared" si="0"/>
        <v>2700</v>
      </c>
      <c r="G25" s="16"/>
      <c r="H25" s="17">
        <f t="shared" si="1"/>
        <v>2700</v>
      </c>
      <c r="I25" s="15"/>
      <c r="M25" s="25" t="s">
        <v>11</v>
      </c>
      <c r="N25" s="13"/>
      <c r="O25" s="14"/>
      <c r="P25" s="15">
        <f t="shared" ref="P25:U25" si="4">SUM(P5:P24)</f>
        <v>17000</v>
      </c>
      <c r="Q25" s="16">
        <f t="shared" si="4"/>
        <v>32000</v>
      </c>
      <c r="R25" s="54">
        <f t="shared" si="4"/>
        <v>49000</v>
      </c>
      <c r="S25" s="16">
        <f t="shared" si="4"/>
        <v>8000</v>
      </c>
      <c r="T25" s="16">
        <f t="shared" si="4"/>
        <v>41000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'MAY 21'!H26:H58</f>
        <v>4400</v>
      </c>
      <c r="E26" s="16">
        <v>2700</v>
      </c>
      <c r="F26" s="16">
        <f>C26+D26+E26</f>
        <v>7100</v>
      </c>
      <c r="G26" s="16">
        <f>2000+700</f>
        <v>2700</v>
      </c>
      <c r="H26" s="17">
        <f t="shared" si="1"/>
        <v>4400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'MAY 21'!H27:H59</f>
        <v>3900</v>
      </c>
      <c r="E27" s="16">
        <v>2700</v>
      </c>
      <c r="F27" s="16">
        <f t="shared" si="0"/>
        <v>6600</v>
      </c>
      <c r="G27" s="16">
        <f>2000+700</f>
        <v>2700</v>
      </c>
      <c r="H27" s="17">
        <f t="shared" si="1"/>
        <v>3900</v>
      </c>
      <c r="I27" s="15"/>
      <c r="J27" s="28"/>
    </row>
    <row r="28" spans="1:21" x14ac:dyDescent="0.25">
      <c r="A28" s="51" t="s">
        <v>39</v>
      </c>
      <c r="B28" s="23">
        <v>24</v>
      </c>
      <c r="C28" s="14"/>
      <c r="D28" s="15">
        <f>'MAY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'MAY 21'!H29:H61</f>
        <v>15600</v>
      </c>
      <c r="E29" s="16">
        <v>2700</v>
      </c>
      <c r="F29" s="16">
        <f>C29+D29+E29</f>
        <v>18300</v>
      </c>
      <c r="G29" s="16">
        <f>1000</f>
        <v>1000</v>
      </c>
      <c r="H29" s="17">
        <f>F29-G29</f>
        <v>17300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'MAY 21'!H30:H62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'MAY 21'!H31:H63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113</v>
      </c>
      <c r="N31" s="38">
        <f>Q25</f>
        <v>32000</v>
      </c>
      <c r="O31" s="26"/>
      <c r="P31" s="26"/>
      <c r="Q31" s="26" t="s">
        <v>113</v>
      </c>
      <c r="R31" s="28">
        <f>S25</f>
        <v>8000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'MAY 21'!H32:H64</f>
        <v>18600</v>
      </c>
      <c r="E32" s="16"/>
      <c r="F32" s="16">
        <f t="shared" si="5"/>
        <v>18600</v>
      </c>
      <c r="G32" s="16"/>
      <c r="H32" s="17">
        <f t="shared" si="6"/>
        <v>18600</v>
      </c>
      <c r="I32" s="15"/>
      <c r="M32" s="26" t="s">
        <v>18</v>
      </c>
      <c r="N32" s="38">
        <f>'MAY 21'!P44</f>
        <v>28143</v>
      </c>
      <c r="O32" s="26"/>
      <c r="P32" s="26"/>
      <c r="Q32" s="26" t="s">
        <v>18</v>
      </c>
      <c r="R32" s="38">
        <f>'MAY 21'!T44</f>
        <v>11143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'MAY 21'!H33:H65</f>
        <v>0</v>
      </c>
      <c r="E33" s="16">
        <v>6400</v>
      </c>
      <c r="F33" s="16">
        <f t="shared" si="5"/>
        <v>6400</v>
      </c>
      <c r="G33" s="16">
        <f>3000</f>
        <v>3000</v>
      </c>
      <c r="H33" s="17">
        <f t="shared" si="6"/>
        <v>3400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'MAY 21'!H34:H66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'MAY 21'!H35:H67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3200</v>
      </c>
      <c r="P35" s="26"/>
      <c r="Q35" s="26" t="s">
        <v>20</v>
      </c>
      <c r="R35" s="38"/>
      <c r="S35" s="38">
        <f>R36*N31</f>
        <v>3200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'MAY 21'!H36:H68</f>
        <v>18000</v>
      </c>
      <c r="E36" s="16">
        <v>14000</v>
      </c>
      <c r="F36" s="16">
        <f t="shared" si="5"/>
        <v>32000</v>
      </c>
      <c r="G36" s="16">
        <f>7000</f>
        <v>7000</v>
      </c>
      <c r="H36" s="17">
        <f t="shared" si="6"/>
        <v>25000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'MAY 21'!H37:H69</f>
        <v>88850</v>
      </c>
      <c r="E37" s="27">
        <f t="shared" si="7"/>
        <v>87200</v>
      </c>
      <c r="F37" s="16">
        <f t="shared" si="7"/>
        <v>176050</v>
      </c>
      <c r="G37" s="16">
        <f t="shared" si="7"/>
        <v>76900</v>
      </c>
      <c r="H37" s="16">
        <f t="shared" si="7"/>
        <v>99150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116</v>
      </c>
      <c r="N39" s="39"/>
      <c r="O39" s="26">
        <v>10097</v>
      </c>
      <c r="P39" s="26"/>
      <c r="Q39" s="40" t="s">
        <v>116</v>
      </c>
      <c r="R39" s="39"/>
      <c r="S39" s="26">
        <v>10097</v>
      </c>
      <c r="T39" s="26"/>
      <c r="U39" s="34"/>
    </row>
    <row r="40" spans="1:21" x14ac:dyDescent="0.25">
      <c r="M40" s="40" t="s">
        <v>124</v>
      </c>
      <c r="N40" s="39"/>
      <c r="O40" s="26">
        <f>6050+75</f>
        <v>6125</v>
      </c>
      <c r="P40" s="26"/>
      <c r="Q40" s="40" t="s">
        <v>124</v>
      </c>
      <c r="R40" s="39"/>
      <c r="S40" s="26">
        <f>6050+75</f>
        <v>6125</v>
      </c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1100</v>
      </c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113</v>
      </c>
      <c r="B44" s="38">
        <f>E37</f>
        <v>87200</v>
      </c>
      <c r="C44" s="26"/>
      <c r="D44" s="26"/>
      <c r="E44" s="26" t="s">
        <v>113</v>
      </c>
      <c r="F44" s="28">
        <f>G37</f>
        <v>76900</v>
      </c>
      <c r="G44" s="26"/>
      <c r="H44" s="26"/>
      <c r="I44" s="34"/>
      <c r="M44" s="37" t="s">
        <v>11</v>
      </c>
      <c r="N44" s="44">
        <f>N34+N31+N32+N33-O35</f>
        <v>56943</v>
      </c>
      <c r="O44" s="44">
        <f>SUM(O37:O43)</f>
        <v>16222</v>
      </c>
      <c r="P44" s="44">
        <f>N44-O44</f>
        <v>40721</v>
      </c>
      <c r="Q44" s="37" t="s">
        <v>11</v>
      </c>
      <c r="R44" s="42">
        <f>R31+R32-S35</f>
        <v>15943</v>
      </c>
      <c r="S44" s="44">
        <f>SUM(S37:S43)</f>
        <v>16222</v>
      </c>
      <c r="T44" s="44">
        <f>R44-S44</f>
        <v>-279</v>
      </c>
      <c r="U44" s="3"/>
    </row>
    <row r="45" spans="1:21" x14ac:dyDescent="0.25">
      <c r="A45" s="26" t="s">
        <v>18</v>
      </c>
      <c r="B45" s="38">
        <f>'MAY 21'!D57</f>
        <v>80117</v>
      </c>
      <c r="C45" s="26"/>
      <c r="D45" s="26"/>
      <c r="E45" s="26" t="s">
        <v>18</v>
      </c>
      <c r="F45" s="38">
        <f>'MAY 21'!H57</f>
        <v>2767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8720</v>
      </c>
      <c r="D48" s="26"/>
      <c r="E48" s="26" t="s">
        <v>20</v>
      </c>
      <c r="F48" s="38"/>
      <c r="G48" s="38">
        <f>F49*B44</f>
        <v>8720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116</v>
      </c>
      <c r="C51">
        <v>2000</v>
      </c>
      <c r="D51" s="42"/>
      <c r="E51" s="40" t="s">
        <v>116</v>
      </c>
      <c r="G51">
        <v>2000</v>
      </c>
      <c r="H51" s="26"/>
      <c r="I51" s="3"/>
    </row>
    <row r="52" spans="1:14" x14ac:dyDescent="0.25">
      <c r="A52" s="40" t="s">
        <v>121</v>
      </c>
      <c r="B52" s="39"/>
      <c r="C52" s="26">
        <v>40000</v>
      </c>
      <c r="D52" s="26"/>
      <c r="E52" s="40" t="s">
        <v>121</v>
      </c>
      <c r="F52" s="39"/>
      <c r="G52" s="26">
        <v>40000</v>
      </c>
      <c r="H52" s="26"/>
      <c r="I52" s="34"/>
    </row>
    <row r="53" spans="1:14" x14ac:dyDescent="0.25">
      <c r="A53" s="40" t="s">
        <v>122</v>
      </c>
      <c r="B53" s="39"/>
      <c r="C53" s="26">
        <v>13000</v>
      </c>
      <c r="D53" s="26"/>
      <c r="E53" s="40" t="s">
        <v>122</v>
      </c>
      <c r="F53" s="39"/>
      <c r="G53" s="26">
        <v>13000</v>
      </c>
      <c r="H53" s="26"/>
      <c r="I53" s="43"/>
    </row>
    <row r="54" spans="1:14" x14ac:dyDescent="0.25">
      <c r="A54" s="40" t="s">
        <v>123</v>
      </c>
      <c r="B54" s="26"/>
      <c r="C54" s="42">
        <v>18600</v>
      </c>
      <c r="D54" s="26"/>
      <c r="E54" s="40"/>
      <c r="F54" s="26"/>
      <c r="G54" s="42"/>
      <c r="H54" s="26"/>
      <c r="J54" s="28"/>
    </row>
    <row r="55" spans="1:14" x14ac:dyDescent="0.25">
      <c r="A55" s="40" t="s">
        <v>127</v>
      </c>
      <c r="B55" s="26"/>
      <c r="C55" s="42">
        <v>15097</v>
      </c>
      <c r="D55" s="26"/>
      <c r="E55" s="40" t="s">
        <v>127</v>
      </c>
      <c r="F55" s="26"/>
      <c r="G55" s="42">
        <v>15097</v>
      </c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158597</v>
      </c>
      <c r="C57" s="44">
        <f>SUM(C50:C56)</f>
        <v>88697</v>
      </c>
      <c r="D57" s="44">
        <f>B57-C57</f>
        <v>69900</v>
      </c>
      <c r="E57" s="37" t="s">
        <v>11</v>
      </c>
      <c r="F57" s="42">
        <f>F44+F45-G48</f>
        <v>70947</v>
      </c>
      <c r="G57" s="44">
        <f>SUM(G50:G56)</f>
        <v>70097</v>
      </c>
      <c r="H57" s="44">
        <f>F57-G57</f>
        <v>850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D16" workbookViewId="0">
      <selection activeCell="B49" sqref="B49"/>
    </sheetView>
  </sheetViews>
  <sheetFormatPr defaultRowHeight="15" x14ac:dyDescent="0.25"/>
  <cols>
    <col min="1" max="1" width="18.7109375" customWidth="1"/>
    <col min="13" max="13" width="19" customWidth="1"/>
  </cols>
  <sheetData>
    <row r="1" spans="1:22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2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2" ht="18.75" x14ac:dyDescent="0.3">
      <c r="A3" s="5"/>
      <c r="B3" s="1" t="s">
        <v>128</v>
      </c>
      <c r="C3" s="1"/>
      <c r="D3" s="1"/>
      <c r="E3" s="1"/>
      <c r="F3" s="6"/>
      <c r="G3" s="7"/>
      <c r="H3" s="3"/>
      <c r="I3" s="3"/>
      <c r="N3" s="1" t="s">
        <v>128</v>
      </c>
      <c r="O3" s="1"/>
      <c r="P3" s="1"/>
      <c r="Q3" s="1"/>
    </row>
    <row r="4" spans="1:22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2" x14ac:dyDescent="0.25">
      <c r="A5" s="51" t="s">
        <v>39</v>
      </c>
      <c r="B5" s="13">
        <v>1</v>
      </c>
      <c r="C5" s="14"/>
      <c r="D5" s="15">
        <f>'JUNE 21'!H5:H36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'JUNE 21'!T5:T24</f>
        <v>2000</v>
      </c>
      <c r="Q5" s="16">
        <v>2000</v>
      </c>
      <c r="R5" s="54">
        <f>O5+P5+Q5</f>
        <v>4000</v>
      </c>
      <c r="S5" s="16">
        <v>2000</v>
      </c>
      <c r="T5" s="17">
        <f>R5-S5</f>
        <v>2000</v>
      </c>
      <c r="U5" s="15"/>
    </row>
    <row r="6" spans="1:22" x14ac:dyDescent="0.25">
      <c r="A6" s="48" t="s">
        <v>39</v>
      </c>
      <c r="B6" s="13">
        <v>2</v>
      </c>
      <c r="C6" s="14"/>
      <c r="D6" s="15">
        <f>'JUNE 21'!H6:H37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'JUNE 21'!T6:T25</f>
        <v>2000</v>
      </c>
      <c r="Q6" s="16">
        <v>2000</v>
      </c>
      <c r="R6" s="54">
        <f t="shared" ref="R6:R22" si="2">O6+P6+Q6</f>
        <v>4000</v>
      </c>
      <c r="S6" s="16">
        <v>1800</v>
      </c>
      <c r="T6" s="17">
        <f t="shared" ref="T6:T24" si="3">R6-S6</f>
        <v>2200</v>
      </c>
      <c r="U6" s="15"/>
    </row>
    <row r="7" spans="1:22" x14ac:dyDescent="0.25">
      <c r="A7" s="18" t="s">
        <v>39</v>
      </c>
      <c r="B7" s="13">
        <v>3</v>
      </c>
      <c r="C7" s="14"/>
      <c r="D7" s="15">
        <f>'JUNE 21'!H7:H38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117</v>
      </c>
      <c r="N7" s="13">
        <v>13</v>
      </c>
      <c r="O7" s="14"/>
      <c r="P7" s="15">
        <f>'JUNE 21'!T7:T26</f>
        <v>0</v>
      </c>
      <c r="Q7" s="16"/>
      <c r="R7" s="54">
        <f t="shared" si="2"/>
        <v>0</v>
      </c>
      <c r="S7" s="16"/>
      <c r="T7" s="17">
        <f t="shared" si="3"/>
        <v>0</v>
      </c>
      <c r="U7" s="15"/>
    </row>
    <row r="8" spans="1:22" x14ac:dyDescent="0.25">
      <c r="A8" s="22" t="s">
        <v>119</v>
      </c>
      <c r="B8" s="13">
        <v>4</v>
      </c>
      <c r="C8" s="14"/>
      <c r="D8" s="15">
        <f>'JUNE 21'!H8:H39</f>
        <v>0</v>
      </c>
      <c r="E8" s="16">
        <v>2700</v>
      </c>
      <c r="F8" s="16">
        <f t="shared" si="0"/>
        <v>2700</v>
      </c>
      <c r="G8" s="16"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'JUNE 21'!T8:T27</f>
        <v>2000</v>
      </c>
      <c r="Q8" s="16">
        <v>2000</v>
      </c>
      <c r="R8" s="54">
        <f t="shared" si="2"/>
        <v>4000</v>
      </c>
      <c r="S8" s="16">
        <v>4000</v>
      </c>
      <c r="T8" s="17">
        <f t="shared" si="3"/>
        <v>0</v>
      </c>
      <c r="U8" s="15"/>
      <c r="V8" t="s">
        <v>101</v>
      </c>
    </row>
    <row r="9" spans="1:22" x14ac:dyDescent="0.25">
      <c r="A9" s="24" t="s">
        <v>129</v>
      </c>
      <c r="B9" s="13">
        <v>5</v>
      </c>
      <c r="C9" s="14"/>
      <c r="D9" s="15">
        <f>'JUNE 21'!H9:H40</f>
        <v>0</v>
      </c>
      <c r="E9" s="16">
        <v>2700</v>
      </c>
      <c r="F9" s="16">
        <f t="shared" si="0"/>
        <v>2700</v>
      </c>
      <c r="G9" s="16">
        <f>2200</f>
        <v>2200</v>
      </c>
      <c r="H9" s="17">
        <f t="shared" si="1"/>
        <v>500</v>
      </c>
      <c r="I9" s="15"/>
      <c r="M9" s="20" t="s">
        <v>85</v>
      </c>
      <c r="N9" s="13">
        <v>15</v>
      </c>
      <c r="O9" s="14"/>
      <c r="P9" s="15">
        <f>'JUNE 21'!T9:T28</f>
        <v>2000</v>
      </c>
      <c r="Q9" s="16"/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2" x14ac:dyDescent="0.25">
      <c r="A10" s="20" t="s">
        <v>41</v>
      </c>
      <c r="B10" s="13">
        <v>6</v>
      </c>
      <c r="C10" s="14"/>
      <c r="D10" s="15">
        <f>'JUNE 21'!H10:H41</f>
        <v>4850</v>
      </c>
      <c r="E10" s="16">
        <v>2700</v>
      </c>
      <c r="F10" s="16">
        <f>C10+D10+E10</f>
        <v>7550</v>
      </c>
      <c r="G10" s="16">
        <f>2000+4000</f>
        <v>6000</v>
      </c>
      <c r="H10" s="17">
        <f t="shared" si="1"/>
        <v>1550</v>
      </c>
      <c r="I10" s="15"/>
      <c r="M10" s="20" t="s">
        <v>86</v>
      </c>
      <c r="N10" s="23">
        <v>16</v>
      </c>
      <c r="O10" s="14"/>
      <c r="P10" s="15">
        <f>'JUNE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2" x14ac:dyDescent="0.25">
      <c r="A11" s="19" t="s">
        <v>42</v>
      </c>
      <c r="B11" s="13">
        <v>7</v>
      </c>
      <c r="C11" s="14"/>
      <c r="D11" s="15">
        <f>'JUNE 21'!H11:H42</f>
        <v>2600</v>
      </c>
      <c r="E11" s="16">
        <v>2700</v>
      </c>
      <c r="F11" s="16">
        <f t="shared" si="0"/>
        <v>5300</v>
      </c>
      <c r="G11" s="16">
        <f>1500</f>
        <v>1500</v>
      </c>
      <c r="H11" s="17">
        <f t="shared" si="1"/>
        <v>3800</v>
      </c>
      <c r="I11" s="15"/>
      <c r="M11" s="20" t="s">
        <v>104</v>
      </c>
      <c r="N11" s="13">
        <v>17</v>
      </c>
      <c r="O11" s="14"/>
      <c r="P11" s="15">
        <f>'JUNE 21'!T11:T30</f>
        <v>4000</v>
      </c>
      <c r="Q11" s="16">
        <v>2000</v>
      </c>
      <c r="R11" s="54">
        <f t="shared" si="2"/>
        <v>6000</v>
      </c>
      <c r="S11" s="16"/>
      <c r="T11" s="17">
        <f t="shared" si="3"/>
        <v>6000</v>
      </c>
      <c r="U11" s="15"/>
    </row>
    <row r="12" spans="1:22" x14ac:dyDescent="0.25">
      <c r="A12" s="21" t="s">
        <v>43</v>
      </c>
      <c r="B12" s="13">
        <v>8</v>
      </c>
      <c r="C12" s="14"/>
      <c r="D12" s="15">
        <f>'JUNE 21'!H12:H43</f>
        <v>1100</v>
      </c>
      <c r="E12" s="16">
        <v>2700</v>
      </c>
      <c r="F12" s="16">
        <f t="shared" si="0"/>
        <v>3800</v>
      </c>
      <c r="G12" s="16">
        <f>2700</f>
        <v>2700</v>
      </c>
      <c r="H12" s="17">
        <f t="shared" si="1"/>
        <v>1100</v>
      </c>
      <c r="I12" s="15"/>
      <c r="M12" s="20" t="s">
        <v>109</v>
      </c>
      <c r="N12" s="23">
        <v>18</v>
      </c>
      <c r="O12" s="14"/>
      <c r="P12" s="15">
        <f>'JUNE 21'!T12:T31</f>
        <v>4000</v>
      </c>
      <c r="Q12" s="16"/>
      <c r="R12" s="54">
        <f>O12+P12+Q12</f>
        <v>4000</v>
      </c>
      <c r="S12" s="16"/>
      <c r="T12" s="17"/>
      <c r="U12" s="15"/>
      <c r="V12" t="s">
        <v>74</v>
      </c>
    </row>
    <row r="13" spans="1:22" x14ac:dyDescent="0.25">
      <c r="A13" s="50" t="s">
        <v>39</v>
      </c>
      <c r="B13" s="13">
        <v>9</v>
      </c>
      <c r="C13" s="14"/>
      <c r="D13" s="15">
        <f>'JUNE 21'!H13:H44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'JUNE 21'!T13:T32</f>
        <v>4000</v>
      </c>
      <c r="Q13" s="16">
        <v>2000</v>
      </c>
      <c r="R13" s="54">
        <f t="shared" si="2"/>
        <v>6000</v>
      </c>
      <c r="S13" s="16">
        <v>6000</v>
      </c>
      <c r="T13" s="17">
        <f t="shared" si="3"/>
        <v>0</v>
      </c>
      <c r="U13" s="15"/>
      <c r="V13" t="s">
        <v>134</v>
      </c>
    </row>
    <row r="14" spans="1:22" x14ac:dyDescent="0.25">
      <c r="A14" s="22" t="s">
        <v>44</v>
      </c>
      <c r="B14" s="23">
        <v>10</v>
      </c>
      <c r="C14" s="14"/>
      <c r="D14" s="15">
        <f>'JUNE 21'!H14:H45</f>
        <v>200</v>
      </c>
      <c r="E14" s="16">
        <v>2700</v>
      </c>
      <c r="F14" s="16">
        <f t="shared" si="0"/>
        <v>2900</v>
      </c>
      <c r="G14" s="16">
        <v>2000</v>
      </c>
      <c r="H14" s="17">
        <f t="shared" si="1"/>
        <v>900</v>
      </c>
      <c r="I14" s="15"/>
      <c r="M14" s="20" t="s">
        <v>120</v>
      </c>
      <c r="N14" s="23">
        <v>20</v>
      </c>
      <c r="O14" s="14"/>
      <c r="P14" s="15">
        <v>2000</v>
      </c>
      <c r="Q14" s="16">
        <v>2000</v>
      </c>
      <c r="R14" s="54">
        <f t="shared" si="2"/>
        <v>4000</v>
      </c>
      <c r="S14" s="16">
        <v>4000</v>
      </c>
      <c r="T14" s="17">
        <f t="shared" si="3"/>
        <v>0</v>
      </c>
      <c r="U14" s="15"/>
      <c r="V14" t="s">
        <v>101</v>
      </c>
    </row>
    <row r="15" spans="1:22" x14ac:dyDescent="0.25">
      <c r="A15" s="20" t="s">
        <v>45</v>
      </c>
      <c r="B15" s="13">
        <v>11</v>
      </c>
      <c r="C15" s="14"/>
      <c r="D15" s="15">
        <f>'JUNE 21'!H15:H46</f>
        <v>2500</v>
      </c>
      <c r="E15" s="16">
        <v>2700</v>
      </c>
      <c r="F15" s="16">
        <f t="shared" si="0"/>
        <v>5200</v>
      </c>
      <c r="G15" s="16">
        <f>2000</f>
        <v>2000</v>
      </c>
      <c r="H15" s="17">
        <f t="shared" si="1"/>
        <v>3200</v>
      </c>
      <c r="I15" s="15"/>
      <c r="M15" s="51" t="s">
        <v>117</v>
      </c>
      <c r="N15" s="13">
        <v>21</v>
      </c>
      <c r="O15" s="14"/>
      <c r="P15" s="15">
        <f>'JUNE 21'!T15:T34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2" x14ac:dyDescent="0.25">
      <c r="A16" s="20" t="s">
        <v>46</v>
      </c>
      <c r="B16" s="23">
        <v>12</v>
      </c>
      <c r="C16" s="14"/>
      <c r="D16" s="15">
        <f>'JUNE 21'!H16:H47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'JUNE 21'!T16:T35</f>
        <v>3000</v>
      </c>
      <c r="Q16" s="16">
        <v>2000</v>
      </c>
      <c r="R16" s="54">
        <f t="shared" si="2"/>
        <v>5000</v>
      </c>
      <c r="S16" s="16"/>
      <c r="T16" s="17">
        <f t="shared" si="3"/>
        <v>5000</v>
      </c>
      <c r="U16" s="15"/>
    </row>
    <row r="17" spans="1:22" x14ac:dyDescent="0.25">
      <c r="A17" s="20" t="s">
        <v>47</v>
      </c>
      <c r="B17" s="13">
        <v>13</v>
      </c>
      <c r="C17" s="14"/>
      <c r="D17" s="15">
        <f>'JUNE 21'!H17:H48</f>
        <v>2500</v>
      </c>
      <c r="E17" s="16">
        <v>2700</v>
      </c>
      <c r="F17" s="16">
        <f t="shared" si="0"/>
        <v>5200</v>
      </c>
      <c r="G17" s="16">
        <f>200+2500</f>
        <v>2700</v>
      </c>
      <c r="H17" s="17">
        <f>F17-G17</f>
        <v>2500</v>
      </c>
      <c r="I17" s="15"/>
      <c r="M17" s="18"/>
      <c r="N17" s="13">
        <v>23</v>
      </c>
      <c r="O17" s="14"/>
      <c r="P17" s="15">
        <f>'JUNE 21'!T17:T36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2" x14ac:dyDescent="0.25">
      <c r="A18" s="20" t="s">
        <v>48</v>
      </c>
      <c r="B18" s="23">
        <v>14</v>
      </c>
      <c r="C18" s="14"/>
      <c r="D18" s="15">
        <f>'JUNE 21'!H18:H49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51" t="s">
        <v>120</v>
      </c>
      <c r="N18" s="23">
        <v>24</v>
      </c>
      <c r="O18" s="14"/>
      <c r="P18" s="15"/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2" x14ac:dyDescent="0.25">
      <c r="A19" s="20" t="s">
        <v>49</v>
      </c>
      <c r="B19" s="13">
        <v>15</v>
      </c>
      <c r="C19" s="14"/>
      <c r="D19" s="15">
        <f>'JUNE 21'!H19:H50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'JUNE 21'!T19:T38</f>
        <v>2000</v>
      </c>
      <c r="Q19" s="16">
        <v>2000</v>
      </c>
      <c r="R19" s="54">
        <f t="shared" si="2"/>
        <v>4000</v>
      </c>
      <c r="S19" s="16">
        <v>2000</v>
      </c>
      <c r="T19" s="17">
        <f t="shared" si="3"/>
        <v>2000</v>
      </c>
      <c r="U19" s="15"/>
      <c r="V19" t="s">
        <v>139</v>
      </c>
    </row>
    <row r="20" spans="1:22" x14ac:dyDescent="0.25">
      <c r="A20" s="20" t="s">
        <v>50</v>
      </c>
      <c r="B20" s="23">
        <v>16</v>
      </c>
      <c r="C20" s="14"/>
      <c r="D20" s="15">
        <f>'JUNE 21'!H20:H51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'JUNE 21'!T20:T39</f>
        <v>6000</v>
      </c>
      <c r="Q20" s="16">
        <v>2000</v>
      </c>
      <c r="R20" s="54">
        <f t="shared" si="2"/>
        <v>8000</v>
      </c>
      <c r="S20" s="16">
        <f>4000+2000</f>
        <v>6000</v>
      </c>
      <c r="T20" s="17">
        <f t="shared" si="3"/>
        <v>2000</v>
      </c>
      <c r="U20" s="15"/>
      <c r="V20" t="s">
        <v>141</v>
      </c>
    </row>
    <row r="21" spans="1:22" x14ac:dyDescent="0.25">
      <c r="A21" s="20" t="s">
        <v>51</v>
      </c>
      <c r="B21" s="13">
        <v>17</v>
      </c>
      <c r="C21" s="14"/>
      <c r="D21" s="15">
        <f>'JUNE 21'!H21:H52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'JUNE 21'!T21:T40</f>
        <v>2000</v>
      </c>
      <c r="Q21" s="16">
        <v>2000</v>
      </c>
      <c r="R21" s="54">
        <f t="shared" si="2"/>
        <v>4000</v>
      </c>
      <c r="S21" s="16">
        <f>2000+2000</f>
        <v>4000</v>
      </c>
      <c r="T21" s="17">
        <f t="shared" si="3"/>
        <v>0</v>
      </c>
      <c r="U21" s="15"/>
      <c r="V21" t="s">
        <v>139</v>
      </c>
    </row>
    <row r="22" spans="1:22" x14ac:dyDescent="0.25">
      <c r="A22" s="20" t="s">
        <v>52</v>
      </c>
      <c r="B22" s="23">
        <v>18</v>
      </c>
      <c r="C22" s="14"/>
      <c r="D22" s="15">
        <f>'JUNE 21'!H22:H53</f>
        <v>100</v>
      </c>
      <c r="E22" s="16">
        <v>2700</v>
      </c>
      <c r="F22" s="16">
        <f>C22+D22+E22</f>
        <v>2800</v>
      </c>
      <c r="G22" s="16">
        <v>2800</v>
      </c>
      <c r="H22" s="17">
        <f t="shared" si="1"/>
        <v>0</v>
      </c>
      <c r="I22" s="15"/>
      <c r="M22" s="24" t="s">
        <v>117</v>
      </c>
      <c r="N22" s="23">
        <v>28</v>
      </c>
      <c r="O22" s="14"/>
      <c r="P22" s="15">
        <f>'JUNE 21'!T22:T41</f>
        <v>0</v>
      </c>
      <c r="Q22" s="16"/>
      <c r="R22" s="54">
        <f t="shared" si="2"/>
        <v>0</v>
      </c>
      <c r="S22" s="16"/>
      <c r="T22" s="17">
        <f t="shared" si="3"/>
        <v>0</v>
      </c>
      <c r="U22" s="15"/>
    </row>
    <row r="23" spans="1:22" x14ac:dyDescent="0.25">
      <c r="A23" s="20" t="s">
        <v>53</v>
      </c>
      <c r="B23" s="13">
        <v>19</v>
      </c>
      <c r="C23" s="14"/>
      <c r="D23" s="15">
        <f>'JUNE 21'!H23:H54</f>
        <v>0</v>
      </c>
      <c r="E23" s="16">
        <v>2700</v>
      </c>
      <c r="F23" s="16">
        <f>C23+D23+E23</f>
        <v>2700</v>
      </c>
      <c r="G23" s="16">
        <f>2000+700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'JUNE 21'!T23:T42</f>
        <v>6000</v>
      </c>
      <c r="Q23" s="16"/>
      <c r="R23" s="54">
        <f>O23+P23+Q23</f>
        <v>6000</v>
      </c>
      <c r="S23" s="16"/>
      <c r="T23" s="17"/>
      <c r="U23" s="15"/>
      <c r="V23" t="s">
        <v>74</v>
      </c>
    </row>
    <row r="24" spans="1:22" x14ac:dyDescent="0.25">
      <c r="A24" s="20" t="s">
        <v>54</v>
      </c>
      <c r="B24" s="23">
        <v>20</v>
      </c>
      <c r="C24" s="14"/>
      <c r="D24" s="15">
        <f>'JUNE 21'!H24:H55</f>
        <v>7500</v>
      </c>
      <c r="E24" s="16">
        <v>2700</v>
      </c>
      <c r="F24" s="16">
        <f t="shared" si="0"/>
        <v>10200</v>
      </c>
      <c r="G24" s="16">
        <f>2700</f>
        <v>2700</v>
      </c>
      <c r="H24" s="17">
        <f t="shared" si="1"/>
        <v>7500</v>
      </c>
      <c r="I24" s="15"/>
      <c r="M24" s="22" t="s">
        <v>94</v>
      </c>
      <c r="N24" s="23">
        <v>30</v>
      </c>
      <c r="O24" s="14"/>
      <c r="P24" s="15">
        <f>'JUNE 21'!T24:T43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  <c r="V24" t="s">
        <v>134</v>
      </c>
    </row>
    <row r="25" spans="1:22" x14ac:dyDescent="0.25">
      <c r="A25" s="22" t="s">
        <v>108</v>
      </c>
      <c r="B25" s="13">
        <v>21</v>
      </c>
      <c r="C25" s="14"/>
      <c r="D25" s="15">
        <f>'JUNE 21'!H25:H56</f>
        <v>2700</v>
      </c>
      <c r="E25" s="16">
        <v>2700</v>
      </c>
      <c r="F25" s="16">
        <f t="shared" si="0"/>
        <v>5400</v>
      </c>
      <c r="G25" s="16">
        <f>2300</f>
        <v>2300</v>
      </c>
      <c r="H25" s="17">
        <f t="shared" si="1"/>
        <v>3100</v>
      </c>
      <c r="I25" s="15"/>
      <c r="M25" s="25" t="s">
        <v>11</v>
      </c>
      <c r="N25" s="13"/>
      <c r="O25" s="14"/>
      <c r="P25" s="15">
        <f t="shared" ref="P25:U25" si="4">SUM(P5:P24)</f>
        <v>41000</v>
      </c>
      <c r="Q25" s="16">
        <f t="shared" si="4"/>
        <v>26000</v>
      </c>
      <c r="R25" s="54">
        <f t="shared" si="4"/>
        <v>67000</v>
      </c>
      <c r="S25" s="16">
        <f t="shared" si="4"/>
        <v>37800</v>
      </c>
      <c r="T25" s="16">
        <f t="shared" si="4"/>
        <v>19200</v>
      </c>
      <c r="U25" s="17">
        <f t="shared" si="4"/>
        <v>0</v>
      </c>
    </row>
    <row r="26" spans="1:22" x14ac:dyDescent="0.25">
      <c r="A26" s="18" t="s">
        <v>72</v>
      </c>
      <c r="B26" s="23">
        <v>22</v>
      </c>
      <c r="C26" s="14"/>
      <c r="D26" s="15">
        <f>'JUNE 21'!H26:H57</f>
        <v>4400</v>
      </c>
      <c r="E26" s="16">
        <v>2700</v>
      </c>
      <c r="F26" s="16">
        <f>C26+D26+E26</f>
        <v>7100</v>
      </c>
      <c r="G26" s="16">
        <f>2000</f>
        <v>2000</v>
      </c>
      <c r="H26" s="17">
        <f t="shared" si="1"/>
        <v>5100</v>
      </c>
      <c r="I26" s="15"/>
    </row>
    <row r="27" spans="1:22" x14ac:dyDescent="0.25">
      <c r="A27" s="12" t="s">
        <v>56</v>
      </c>
      <c r="B27" s="13">
        <v>23</v>
      </c>
      <c r="C27" s="14"/>
      <c r="D27" s="15">
        <f>'JUNE 21'!H27:H58</f>
        <v>3900</v>
      </c>
      <c r="E27" s="16">
        <v>2700</v>
      </c>
      <c r="F27" s="16">
        <f t="shared" si="0"/>
        <v>6600</v>
      </c>
      <c r="G27" s="16">
        <f>700+1200</f>
        <v>1900</v>
      </c>
      <c r="H27" s="17">
        <f t="shared" si="1"/>
        <v>4700</v>
      </c>
      <c r="I27" s="15"/>
      <c r="J27" s="28"/>
    </row>
    <row r="28" spans="1:22" x14ac:dyDescent="0.25">
      <c r="A28" s="51" t="s">
        <v>39</v>
      </c>
      <c r="B28" s="23">
        <v>24</v>
      </c>
      <c r="C28" s="14"/>
      <c r="D28" s="15">
        <f>'JUNE 21'!H28:H59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2" x14ac:dyDescent="0.25">
      <c r="A29" s="12" t="s">
        <v>58</v>
      </c>
      <c r="B29" s="13">
        <v>25</v>
      </c>
      <c r="C29" s="14"/>
      <c r="D29" s="15">
        <f>'JUNE 21'!H29:H60</f>
        <v>17300</v>
      </c>
      <c r="E29" s="16"/>
      <c r="F29" s="16">
        <f>C29+D29+E29</f>
        <v>17300</v>
      </c>
      <c r="G29" s="16">
        <f>1000</f>
        <v>1000</v>
      </c>
      <c r="H29" s="17">
        <f>F29-G29</f>
        <v>16300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2" x14ac:dyDescent="0.25">
      <c r="A30" s="24" t="s">
        <v>39</v>
      </c>
      <c r="B30" s="23">
        <v>26</v>
      </c>
      <c r="C30" s="14"/>
      <c r="D30" s="15">
        <f>'JUNE 21'!H30:H61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2" x14ac:dyDescent="0.25">
      <c r="A31" s="22" t="s">
        <v>59</v>
      </c>
      <c r="B31" s="23" t="s">
        <v>33</v>
      </c>
      <c r="C31" s="14"/>
      <c r="D31" s="15">
        <f>'JUNE 21'!H31:H62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125</v>
      </c>
      <c r="N31" s="38">
        <f>Q25</f>
        <v>26000</v>
      </c>
      <c r="O31" s="26"/>
      <c r="P31" s="26"/>
      <c r="Q31" s="26" t="s">
        <v>125</v>
      </c>
      <c r="R31" s="28">
        <f>S25</f>
        <v>37800</v>
      </c>
      <c r="S31" s="26"/>
      <c r="T31" s="26"/>
      <c r="U31" s="34"/>
    </row>
    <row r="32" spans="1:22" x14ac:dyDescent="0.25">
      <c r="A32" s="22" t="s">
        <v>126</v>
      </c>
      <c r="B32" s="23" t="s">
        <v>34</v>
      </c>
      <c r="C32" s="14">
        <v>6400</v>
      </c>
      <c r="D32" s="15"/>
      <c r="E32" s="16">
        <v>6400</v>
      </c>
      <c r="F32" s="16">
        <f t="shared" si="5"/>
        <v>12800</v>
      </c>
      <c r="G32" s="16">
        <v>12800</v>
      </c>
      <c r="H32" s="17">
        <f t="shared" si="6"/>
        <v>0</v>
      </c>
      <c r="I32" s="15"/>
      <c r="M32" s="26" t="s">
        <v>18</v>
      </c>
      <c r="N32" s="38">
        <f>'JUNE 21'!P44</f>
        <v>40721</v>
      </c>
      <c r="O32" s="26"/>
      <c r="P32" s="26"/>
      <c r="Q32" s="26" t="s">
        <v>18</v>
      </c>
      <c r="R32" s="38">
        <f>'JUNE 21'!T44</f>
        <v>-279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'JUNE 21'!H33:H64</f>
        <v>3400</v>
      </c>
      <c r="E33" s="16">
        <v>6400</v>
      </c>
      <c r="F33" s="16">
        <f t="shared" si="5"/>
        <v>9800</v>
      </c>
      <c r="G33" s="16">
        <v>4500</v>
      </c>
      <c r="H33" s="17">
        <f t="shared" si="6"/>
        <v>5300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'JUNE 21'!H34:H65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'JUNE 21'!H35:H66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2600</v>
      </c>
      <c r="P35" s="26"/>
      <c r="Q35" s="26" t="s">
        <v>20</v>
      </c>
      <c r="R35" s="38"/>
      <c r="S35" s="38">
        <f>R36*N31</f>
        <v>2600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'JUNE 21'!H36:H67</f>
        <v>25000</v>
      </c>
      <c r="E36" s="16">
        <v>14000</v>
      </c>
      <c r="F36" s="16">
        <f t="shared" si="5"/>
        <v>39000</v>
      </c>
      <c r="G36" s="16">
        <f>7000</f>
        <v>7000</v>
      </c>
      <c r="H36" s="17">
        <f t="shared" si="6"/>
        <v>32000</v>
      </c>
      <c r="I36" s="15"/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6400</v>
      </c>
      <c r="D37" s="15">
        <f>SUM(D5:D36)</f>
        <v>80550</v>
      </c>
      <c r="E37" s="27">
        <f t="shared" si="7"/>
        <v>93600</v>
      </c>
      <c r="F37" s="16">
        <f t="shared" si="7"/>
        <v>180550</v>
      </c>
      <c r="G37" s="16">
        <f t="shared" si="7"/>
        <v>90500</v>
      </c>
      <c r="H37" s="16">
        <f t="shared" si="7"/>
        <v>90050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131</v>
      </c>
      <c r="O38">
        <v>8700</v>
      </c>
      <c r="P38" s="42"/>
      <c r="Q38" s="40" t="s">
        <v>131</v>
      </c>
      <c r="S38">
        <v>8700</v>
      </c>
      <c r="T38" s="26"/>
      <c r="U38" s="3"/>
    </row>
    <row r="39" spans="1:21" x14ac:dyDescent="0.25">
      <c r="M39" s="40" t="s">
        <v>132</v>
      </c>
      <c r="N39" s="39"/>
      <c r="O39" s="26">
        <v>4000</v>
      </c>
      <c r="P39" s="26"/>
      <c r="Q39" s="40" t="s">
        <v>132</v>
      </c>
      <c r="R39" s="39"/>
      <c r="S39" s="26">
        <v>4000</v>
      </c>
      <c r="T39" s="26"/>
      <c r="U39" s="34"/>
    </row>
    <row r="40" spans="1:21" x14ac:dyDescent="0.25">
      <c r="M40" s="40" t="s">
        <v>133</v>
      </c>
      <c r="N40" s="39"/>
      <c r="O40" s="26">
        <v>4000</v>
      </c>
      <c r="P40" s="26"/>
      <c r="Q40" s="40"/>
      <c r="R40" s="39"/>
      <c r="S40" s="26"/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1100</v>
      </c>
      <c r="I41" s="3"/>
      <c r="M41" s="40" t="s">
        <v>135</v>
      </c>
      <c r="N41" s="26"/>
      <c r="O41" s="42">
        <v>6000</v>
      </c>
      <c r="P41" s="26"/>
      <c r="Q41" s="40" t="s">
        <v>135</v>
      </c>
      <c r="R41" s="26"/>
      <c r="S41" s="42">
        <v>6000</v>
      </c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 t="s">
        <v>136</v>
      </c>
      <c r="N42" s="26"/>
      <c r="O42" s="42">
        <v>6000</v>
      </c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 t="s">
        <v>142</v>
      </c>
      <c r="N43" s="26"/>
      <c r="O43" s="42">
        <v>2000</v>
      </c>
      <c r="P43" s="26"/>
      <c r="Q43" s="40" t="s">
        <v>142</v>
      </c>
      <c r="R43" s="26"/>
      <c r="S43" s="42">
        <v>2000</v>
      </c>
      <c r="T43" s="26"/>
      <c r="U43" s="3"/>
    </row>
    <row r="44" spans="1:21" x14ac:dyDescent="0.25">
      <c r="A44" s="35"/>
      <c r="B44" s="35"/>
      <c r="C44" s="35"/>
      <c r="D44" s="36"/>
      <c r="E44" s="35"/>
      <c r="F44" s="33"/>
      <c r="G44" s="3"/>
      <c r="H44" s="3"/>
      <c r="I44" s="3"/>
      <c r="M44" s="40" t="s">
        <v>143</v>
      </c>
      <c r="N44" s="26"/>
      <c r="O44" s="42">
        <v>6000</v>
      </c>
      <c r="P44" s="26"/>
      <c r="Q44" s="40" t="s">
        <v>143</v>
      </c>
      <c r="R44" s="26"/>
      <c r="S44" s="42">
        <v>6000</v>
      </c>
      <c r="T44" s="26"/>
      <c r="U44" s="3"/>
    </row>
    <row r="45" spans="1:21" x14ac:dyDescent="0.25">
      <c r="A45" s="35"/>
      <c r="B45" s="35"/>
      <c r="C45" s="35"/>
      <c r="D45" s="36"/>
      <c r="E45" s="35"/>
      <c r="F45" s="33"/>
      <c r="G45" s="3"/>
      <c r="H45" s="3"/>
      <c r="I45" s="3"/>
      <c r="M45" s="40" t="s">
        <v>140</v>
      </c>
      <c r="N45" s="26"/>
      <c r="O45" s="42">
        <v>4000</v>
      </c>
      <c r="P45" s="26"/>
      <c r="Q45" s="40" t="s">
        <v>140</v>
      </c>
      <c r="R45" s="26"/>
      <c r="S45" s="42">
        <v>4000</v>
      </c>
      <c r="T45" s="26"/>
      <c r="U45" s="3"/>
    </row>
    <row r="46" spans="1:21" x14ac:dyDescent="0.25">
      <c r="A46" s="37" t="s">
        <v>14</v>
      </c>
      <c r="B46" s="37" t="s">
        <v>15</v>
      </c>
      <c r="C46" s="37" t="s">
        <v>16</v>
      </c>
      <c r="D46" s="37" t="s">
        <v>17</v>
      </c>
      <c r="E46" s="37" t="s">
        <v>14</v>
      </c>
      <c r="F46" s="37" t="s">
        <v>15</v>
      </c>
      <c r="G46" s="37" t="s">
        <v>16</v>
      </c>
      <c r="H46" s="37" t="s">
        <v>17</v>
      </c>
      <c r="I46" s="3"/>
      <c r="M46" s="40" t="s">
        <v>137</v>
      </c>
      <c r="N46" s="26"/>
      <c r="O46" s="42">
        <f>2000+2000</f>
        <v>4000</v>
      </c>
      <c r="P46" s="26"/>
      <c r="Q46" s="40" t="s">
        <v>137</v>
      </c>
      <c r="R46" s="26"/>
      <c r="S46" s="42">
        <f>2000+2000</f>
        <v>4000</v>
      </c>
      <c r="T46" s="26"/>
    </row>
    <row r="47" spans="1:21" x14ac:dyDescent="0.25">
      <c r="A47" s="26" t="s">
        <v>125</v>
      </c>
      <c r="B47" s="38">
        <f>E37</f>
        <v>93600</v>
      </c>
      <c r="C47" s="26"/>
      <c r="D47" s="26"/>
      <c r="E47" s="26" t="s">
        <v>125</v>
      </c>
      <c r="F47" s="28">
        <f>G37</f>
        <v>90500</v>
      </c>
      <c r="G47" s="26"/>
      <c r="H47" s="26"/>
      <c r="I47" s="34"/>
      <c r="M47" s="37" t="s">
        <v>11</v>
      </c>
      <c r="N47" s="44">
        <f>N34+N31+N32+N33-O35</f>
        <v>64121</v>
      </c>
      <c r="O47" s="44">
        <f>SUM(O37:O46)</f>
        <v>44700</v>
      </c>
      <c r="P47" s="44">
        <f>N47-O47</f>
        <v>19421</v>
      </c>
      <c r="Q47" s="37" t="s">
        <v>11</v>
      </c>
      <c r="R47" s="42">
        <f>R31+R32-S35</f>
        <v>34921</v>
      </c>
      <c r="S47" s="44">
        <f>SUM(S37:S46)</f>
        <v>34700</v>
      </c>
      <c r="T47" s="44">
        <f>R47-S47</f>
        <v>221</v>
      </c>
      <c r="U47" s="3"/>
    </row>
    <row r="48" spans="1:21" x14ac:dyDescent="0.25">
      <c r="A48" s="26" t="s">
        <v>18</v>
      </c>
      <c r="B48" s="38">
        <f>'JUNE 21'!D57</f>
        <v>69900</v>
      </c>
      <c r="C48" s="26"/>
      <c r="D48" s="26"/>
      <c r="E48" s="26" t="s">
        <v>18</v>
      </c>
      <c r="F48" s="38">
        <f>'JUNE 21'!H57</f>
        <v>850</v>
      </c>
      <c r="G48" s="26"/>
      <c r="H48" s="26"/>
      <c r="I48" s="34"/>
      <c r="M48" s="45" t="s">
        <v>24</v>
      </c>
      <c r="N48" s="46"/>
      <c r="O48" s="46" t="s">
        <v>25</v>
      </c>
      <c r="P48" s="47"/>
      <c r="Q48" s="45"/>
      <c r="R48" s="44"/>
      <c r="S48" s="3"/>
      <c r="T48" s="3"/>
      <c r="U48" s="3"/>
    </row>
    <row r="49" spans="1:21" x14ac:dyDescent="0.25">
      <c r="A49" s="26" t="s">
        <v>9</v>
      </c>
      <c r="B49" s="38">
        <f>I37</f>
        <v>0</v>
      </c>
      <c r="C49" s="26"/>
      <c r="D49" s="26"/>
      <c r="E49" s="26"/>
      <c r="F49" s="38">
        <f>'[2]DECEMBER 20'!H54</f>
        <v>0</v>
      </c>
      <c r="G49" s="26"/>
      <c r="H49" s="26"/>
      <c r="I49" s="34" t="s">
        <v>19</v>
      </c>
      <c r="M49" s="45" t="s">
        <v>27</v>
      </c>
      <c r="N49" s="46"/>
      <c r="O49" s="46" t="s">
        <v>10</v>
      </c>
      <c r="P49" s="47"/>
      <c r="Q49" s="45"/>
      <c r="R49" s="45" t="s">
        <v>26</v>
      </c>
      <c r="S49" s="3"/>
      <c r="T49" s="34"/>
      <c r="U49" s="43"/>
    </row>
    <row r="50" spans="1:21" x14ac:dyDescent="0.25">
      <c r="A50" s="26" t="s">
        <v>31</v>
      </c>
      <c r="B50" s="38">
        <f>C37</f>
        <v>6400</v>
      </c>
      <c r="C50" s="26"/>
      <c r="D50" s="26"/>
      <c r="E50" s="26"/>
      <c r="F50" s="38"/>
      <c r="G50" s="26"/>
      <c r="H50" s="26"/>
      <c r="I50" s="3"/>
      <c r="R50" s="45" t="s">
        <v>32</v>
      </c>
    </row>
    <row r="51" spans="1:21" x14ac:dyDescent="0.25">
      <c r="A51" s="26" t="s">
        <v>20</v>
      </c>
      <c r="B51" s="39">
        <v>0.1</v>
      </c>
      <c r="C51" s="38">
        <f>B51*B47</f>
        <v>9360</v>
      </c>
      <c r="D51" s="26"/>
      <c r="E51" s="26" t="s">
        <v>20</v>
      </c>
      <c r="F51" s="38"/>
      <c r="G51" s="38">
        <f>F52*B47</f>
        <v>9360</v>
      </c>
      <c r="H51" s="26"/>
      <c r="I51" s="3"/>
    </row>
    <row r="52" spans="1:21" x14ac:dyDescent="0.25">
      <c r="A52" s="37" t="s">
        <v>21</v>
      </c>
      <c r="B52" s="26" t="s">
        <v>22</v>
      </c>
      <c r="C52" s="26"/>
      <c r="D52" s="26"/>
      <c r="E52" s="37" t="s">
        <v>21</v>
      </c>
      <c r="F52" s="39">
        <v>0.1</v>
      </c>
      <c r="G52" s="26"/>
      <c r="H52" s="26"/>
      <c r="I52" s="34"/>
    </row>
    <row r="53" spans="1:21" x14ac:dyDescent="0.25">
      <c r="A53" s="41" t="s">
        <v>23</v>
      </c>
      <c r="B53" s="39">
        <v>0.3</v>
      </c>
      <c r="C53" s="42"/>
      <c r="D53" s="26"/>
      <c r="E53" s="41" t="s">
        <v>23</v>
      </c>
      <c r="F53" s="40"/>
      <c r="G53" s="42"/>
      <c r="H53" s="26"/>
      <c r="I53" s="3"/>
    </row>
    <row r="54" spans="1:21" x14ac:dyDescent="0.25">
      <c r="A54" s="40" t="s">
        <v>130</v>
      </c>
      <c r="C54">
        <v>30105</v>
      </c>
      <c r="D54" s="42"/>
      <c r="E54" s="40" t="s">
        <v>130</v>
      </c>
      <c r="G54">
        <v>30105</v>
      </c>
      <c r="H54" s="26"/>
      <c r="I54" s="3"/>
    </row>
    <row r="55" spans="1:21" x14ac:dyDescent="0.25">
      <c r="A55" s="40" t="s">
        <v>131</v>
      </c>
      <c r="B55" s="39"/>
      <c r="C55" s="26">
        <v>14000</v>
      </c>
      <c r="D55" s="26"/>
      <c r="E55" s="40" t="s">
        <v>131</v>
      </c>
      <c r="F55" s="39"/>
      <c r="G55" s="26">
        <v>14000</v>
      </c>
      <c r="H55" s="26"/>
      <c r="I55" s="34"/>
      <c r="J55" s="28"/>
      <c r="M55">
        <f>O38+G55</f>
        <v>22700</v>
      </c>
    </row>
    <row r="56" spans="1:21" x14ac:dyDescent="0.25">
      <c r="A56" s="40" t="s">
        <v>138</v>
      </c>
      <c r="B56" s="39"/>
      <c r="C56" s="26">
        <v>30105</v>
      </c>
      <c r="D56" s="26"/>
      <c r="E56" s="40" t="s">
        <v>138</v>
      </c>
      <c r="F56" s="39"/>
      <c r="G56" s="26">
        <v>30105</v>
      </c>
      <c r="H56" s="26"/>
      <c r="I56" s="43"/>
      <c r="J56" s="52"/>
    </row>
    <row r="57" spans="1:21" x14ac:dyDescent="0.25">
      <c r="A57" s="40"/>
      <c r="B57" s="26"/>
      <c r="C57" s="42"/>
      <c r="D57" s="26"/>
      <c r="E57" s="40"/>
      <c r="F57" s="26"/>
      <c r="G57" s="42"/>
      <c r="H57" s="26"/>
      <c r="J57" s="28"/>
    </row>
    <row r="58" spans="1:21" x14ac:dyDescent="0.25">
      <c r="A58" s="40"/>
      <c r="B58" s="26"/>
      <c r="C58" s="42"/>
      <c r="D58" s="26"/>
      <c r="E58" s="40"/>
      <c r="F58" s="26"/>
      <c r="G58" s="42"/>
      <c r="H58" s="26"/>
      <c r="I58" s="3"/>
      <c r="N58" s="28"/>
    </row>
    <row r="59" spans="1:21" x14ac:dyDescent="0.25">
      <c r="A59" s="40"/>
      <c r="B59" s="26"/>
      <c r="C59" s="42"/>
      <c r="D59" s="26"/>
      <c r="E59" s="40"/>
      <c r="F59" s="26"/>
      <c r="G59" s="42"/>
      <c r="H59" s="26"/>
    </row>
    <row r="60" spans="1:21" x14ac:dyDescent="0.25">
      <c r="A60" s="37" t="s">
        <v>11</v>
      </c>
      <c r="B60" s="44">
        <f>B50+B47+B48+B49-C51</f>
        <v>160540</v>
      </c>
      <c r="C60" s="44">
        <f>SUM(C53:C59)</f>
        <v>74210</v>
      </c>
      <c r="D60" s="44">
        <f>B60-C60</f>
        <v>86330</v>
      </c>
      <c r="E60" s="37" t="s">
        <v>11</v>
      </c>
      <c r="F60" s="42">
        <f>F47+F48-G51</f>
        <v>81990</v>
      </c>
      <c r="G60" s="44">
        <f>SUM(G53:G59)</f>
        <v>74210</v>
      </c>
      <c r="H60" s="44">
        <f>F60-G60</f>
        <v>7780</v>
      </c>
      <c r="I60" s="3"/>
      <c r="L60" s="52"/>
    </row>
    <row r="61" spans="1:21" x14ac:dyDescent="0.25">
      <c r="A61" s="45" t="s">
        <v>24</v>
      </c>
      <c r="B61" s="46"/>
      <c r="C61" s="46" t="s">
        <v>25</v>
      </c>
      <c r="D61" s="47"/>
      <c r="E61" s="45"/>
      <c r="F61" s="44"/>
      <c r="G61" s="3"/>
      <c r="H61" s="3"/>
      <c r="I61" s="3"/>
    </row>
    <row r="62" spans="1:21" x14ac:dyDescent="0.25">
      <c r="A62" s="45" t="s">
        <v>27</v>
      </c>
      <c r="B62" s="46"/>
      <c r="C62" s="46" t="s">
        <v>10</v>
      </c>
      <c r="D62" s="47"/>
      <c r="E62" s="45"/>
      <c r="F62" s="45" t="s">
        <v>26</v>
      </c>
      <c r="G62" s="3"/>
      <c r="H62" s="34"/>
      <c r="I62" s="43"/>
    </row>
    <row r="63" spans="1:21" x14ac:dyDescent="0.25">
      <c r="F63" s="45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110" zoomScaleNormal="110" workbookViewId="0">
      <selection activeCell="M14" sqref="M14"/>
    </sheetView>
  </sheetViews>
  <sheetFormatPr defaultRowHeight="15" x14ac:dyDescent="0.25"/>
  <cols>
    <col min="1" max="1" width="17.42578125" customWidth="1"/>
    <col min="13" max="13" width="16.85546875" customWidth="1"/>
  </cols>
  <sheetData>
    <row r="1" spans="1:22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2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2" ht="18.75" x14ac:dyDescent="0.3">
      <c r="A3" s="5"/>
      <c r="B3" s="1" t="s">
        <v>145</v>
      </c>
      <c r="C3" s="1"/>
      <c r="D3" s="1"/>
      <c r="E3" s="1"/>
      <c r="F3" s="6"/>
      <c r="G3" s="7"/>
      <c r="H3" s="3"/>
      <c r="I3" s="3"/>
      <c r="N3" s="1" t="s">
        <v>145</v>
      </c>
      <c r="O3" s="1"/>
      <c r="P3" s="1"/>
      <c r="Q3" s="1"/>
    </row>
    <row r="4" spans="1:22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2" x14ac:dyDescent="0.25">
      <c r="A5" s="51" t="s">
        <v>39</v>
      </c>
      <c r="B5" s="13">
        <v>1</v>
      </c>
      <c r="C5" s="14"/>
      <c r="D5" s="15">
        <f>'JULY 21'!H5:H36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'JULY 21'!T5:T24</f>
        <v>2000</v>
      </c>
      <c r="Q5" s="16">
        <v>2000</v>
      </c>
      <c r="R5" s="54">
        <f>O5+P5+Q5</f>
        <v>4000</v>
      </c>
      <c r="S5" s="16">
        <f>2000</f>
        <v>2000</v>
      </c>
      <c r="T5" s="17">
        <f>R5-S5</f>
        <v>2000</v>
      </c>
      <c r="U5" s="15"/>
    </row>
    <row r="6" spans="1:22" x14ac:dyDescent="0.25">
      <c r="A6" s="48" t="s">
        <v>39</v>
      </c>
      <c r="B6" s="13">
        <v>2</v>
      </c>
      <c r="C6" s="14"/>
      <c r="D6" s="15">
        <f>'JULY 21'!H6:H37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'JULY 21'!T6:T25</f>
        <v>2200</v>
      </c>
      <c r="Q6" s="16">
        <v>2000</v>
      </c>
      <c r="R6" s="54">
        <f t="shared" ref="R6:R22" si="2">O6+P6+Q6</f>
        <v>4200</v>
      </c>
      <c r="S6" s="16">
        <f>1800</f>
        <v>1800</v>
      </c>
      <c r="T6" s="17">
        <f t="shared" ref="T6:T23" si="3">R6-S6</f>
        <v>2400</v>
      </c>
      <c r="U6" s="15"/>
    </row>
    <row r="7" spans="1:22" x14ac:dyDescent="0.25">
      <c r="A7" s="18" t="s">
        <v>39</v>
      </c>
      <c r="B7" s="13">
        <v>3</v>
      </c>
      <c r="C7" s="14"/>
      <c r="D7" s="15">
        <f>'JULY 21'!H7:H38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120</v>
      </c>
      <c r="N7" s="13">
        <v>13</v>
      </c>
      <c r="O7" s="14"/>
      <c r="P7" s="15">
        <f>'JULY 21'!T7:T26</f>
        <v>0</v>
      </c>
      <c r="Q7" s="16">
        <v>2000</v>
      </c>
      <c r="R7" s="54">
        <f t="shared" si="2"/>
        <v>2000</v>
      </c>
      <c r="S7" s="16">
        <v>2000</v>
      </c>
      <c r="T7" s="17">
        <f t="shared" si="3"/>
        <v>0</v>
      </c>
      <c r="U7" s="15"/>
      <c r="V7" t="s">
        <v>101</v>
      </c>
    </row>
    <row r="8" spans="1:22" x14ac:dyDescent="0.25">
      <c r="A8" s="22" t="s">
        <v>119</v>
      </c>
      <c r="B8" s="13">
        <v>4</v>
      </c>
      <c r="C8" s="14"/>
      <c r="D8" s="15">
        <f>'JULY 21'!H8:H39</f>
        <v>0</v>
      </c>
      <c r="E8" s="16">
        <v>2700</v>
      </c>
      <c r="F8" s="16">
        <f t="shared" si="0"/>
        <v>2700</v>
      </c>
      <c r="G8" s="16"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'JULY 21'!T8:T27</f>
        <v>0</v>
      </c>
      <c r="Q8" s="16">
        <v>2000</v>
      </c>
      <c r="R8" s="54">
        <f t="shared" si="2"/>
        <v>2000</v>
      </c>
      <c r="S8" s="16"/>
      <c r="T8" s="17">
        <f t="shared" si="3"/>
        <v>2000</v>
      </c>
      <c r="U8" s="15"/>
    </row>
    <row r="9" spans="1:22" x14ac:dyDescent="0.25">
      <c r="A9" s="24" t="s">
        <v>129</v>
      </c>
      <c r="B9" s="13">
        <v>5</v>
      </c>
      <c r="C9" s="14"/>
      <c r="D9" s="15">
        <f>'JULY 21'!H9:H40</f>
        <v>500</v>
      </c>
      <c r="E9" s="16">
        <v>2700</v>
      </c>
      <c r="F9" s="16">
        <f t="shared" si="0"/>
        <v>3200</v>
      </c>
      <c r="G9" s="16">
        <f>1700</f>
        <v>1700</v>
      </c>
      <c r="H9" s="17">
        <f t="shared" si="1"/>
        <v>1500</v>
      </c>
      <c r="I9" s="15"/>
      <c r="M9" s="20" t="s">
        <v>85</v>
      </c>
      <c r="N9" s="13">
        <v>15</v>
      </c>
      <c r="O9" s="14"/>
      <c r="P9" s="15">
        <f>'JULY 21'!T9:T28</f>
        <v>0</v>
      </c>
      <c r="Q9" s="16">
        <v>2000</v>
      </c>
      <c r="R9" s="54">
        <f t="shared" si="2"/>
        <v>2000</v>
      </c>
      <c r="S9" s="16"/>
      <c r="T9" s="17">
        <f t="shared" si="3"/>
        <v>2000</v>
      </c>
      <c r="U9" s="15"/>
    </row>
    <row r="10" spans="1:22" x14ac:dyDescent="0.25">
      <c r="A10" s="20" t="s">
        <v>41</v>
      </c>
      <c r="B10" s="13">
        <v>6</v>
      </c>
      <c r="C10" s="14"/>
      <c r="D10" s="15">
        <f>'JULY 21'!H10:H41</f>
        <v>1550</v>
      </c>
      <c r="E10" s="16">
        <v>2700</v>
      </c>
      <c r="F10" s="16">
        <f>C10+D10+E10</f>
        <v>4250</v>
      </c>
      <c r="G10" s="16"/>
      <c r="H10" s="17">
        <f t="shared" si="1"/>
        <v>4250</v>
      </c>
      <c r="I10" s="15"/>
      <c r="M10" s="20" t="s">
        <v>86</v>
      </c>
      <c r="N10" s="23">
        <v>16</v>
      </c>
      <c r="O10" s="14"/>
      <c r="P10" s="15">
        <f>'JULY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  <c r="V10" t="s">
        <v>101</v>
      </c>
    </row>
    <row r="11" spans="1:22" x14ac:dyDescent="0.25">
      <c r="A11" s="19" t="s">
        <v>42</v>
      </c>
      <c r="B11" s="13">
        <v>7</v>
      </c>
      <c r="C11" s="14"/>
      <c r="D11" s="15">
        <f>'JULY 21'!H11:H42</f>
        <v>3800</v>
      </c>
      <c r="E11" s="16">
        <v>2700</v>
      </c>
      <c r="F11" s="16">
        <f t="shared" si="0"/>
        <v>6500</v>
      </c>
      <c r="G11" s="16">
        <f>2000+2000</f>
        <v>4000</v>
      </c>
      <c r="H11" s="17">
        <f t="shared" si="1"/>
        <v>2500</v>
      </c>
      <c r="I11" s="15"/>
      <c r="M11" s="20" t="s">
        <v>104</v>
      </c>
      <c r="N11" s="13">
        <v>17</v>
      </c>
      <c r="O11" s="14"/>
      <c r="P11" s="15">
        <f>'JULY 21'!T11:T30</f>
        <v>6000</v>
      </c>
      <c r="Q11" s="16">
        <v>2000</v>
      </c>
      <c r="R11" s="54">
        <f t="shared" si="2"/>
        <v>8000</v>
      </c>
      <c r="S11" s="16">
        <f>2000</f>
        <v>2000</v>
      </c>
      <c r="T11" s="17">
        <f t="shared" si="3"/>
        <v>6000</v>
      </c>
      <c r="U11" s="15"/>
    </row>
    <row r="12" spans="1:22" x14ac:dyDescent="0.25">
      <c r="A12" s="21" t="s">
        <v>43</v>
      </c>
      <c r="B12" s="13">
        <v>8</v>
      </c>
      <c r="C12" s="14"/>
      <c r="D12" s="15">
        <f>'JULY 21'!H12:H45</f>
        <v>1100</v>
      </c>
      <c r="E12" s="16">
        <v>2700</v>
      </c>
      <c r="F12" s="16">
        <f t="shared" si="0"/>
        <v>3800</v>
      </c>
      <c r="G12" s="16"/>
      <c r="H12" s="17">
        <f t="shared" si="1"/>
        <v>3800</v>
      </c>
      <c r="I12" s="15"/>
      <c r="M12" s="51" t="s">
        <v>39</v>
      </c>
      <c r="N12" s="23">
        <v>18</v>
      </c>
      <c r="O12" s="14"/>
      <c r="P12" s="15"/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2" x14ac:dyDescent="0.25">
      <c r="A13" s="50" t="s">
        <v>39</v>
      </c>
      <c r="B13" s="13">
        <v>9</v>
      </c>
      <c r="C13" s="14"/>
      <c r="D13" s="15">
        <f>'JULY 21'!H13:H46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39</v>
      </c>
      <c r="N13" s="13">
        <v>19</v>
      </c>
      <c r="O13" s="14"/>
      <c r="P13" s="15">
        <f>'JULY 21'!T13:T32</f>
        <v>0</v>
      </c>
      <c r="Q13" s="16"/>
      <c r="R13" s="54">
        <f t="shared" si="2"/>
        <v>0</v>
      </c>
      <c r="S13" s="16"/>
      <c r="T13" s="17">
        <f t="shared" si="3"/>
        <v>0</v>
      </c>
      <c r="U13" s="15"/>
    </row>
    <row r="14" spans="1:22" x14ac:dyDescent="0.25">
      <c r="A14" s="22" t="s">
        <v>44</v>
      </c>
      <c r="B14" s="23">
        <v>10</v>
      </c>
      <c r="C14" s="14"/>
      <c r="D14" s="15">
        <f>'JULY 21'!H14:H47</f>
        <v>900</v>
      </c>
      <c r="E14" s="16">
        <v>2700</v>
      </c>
      <c r="F14" s="16">
        <f t="shared" si="0"/>
        <v>3600</v>
      </c>
      <c r="G14" s="16">
        <f>2200</f>
        <v>2200</v>
      </c>
      <c r="H14" s="17">
        <f t="shared" si="1"/>
        <v>1400</v>
      </c>
      <c r="I14" s="15"/>
      <c r="M14" s="20" t="s">
        <v>120</v>
      </c>
      <c r="N14" s="23">
        <v>20</v>
      </c>
      <c r="O14" s="14"/>
      <c r="P14" s="15">
        <f>'JULY 21'!T14:T33</f>
        <v>0</v>
      </c>
      <c r="Q14" s="16">
        <v>2000</v>
      </c>
      <c r="R14" s="54">
        <f t="shared" si="2"/>
        <v>2000</v>
      </c>
      <c r="S14" s="16">
        <v>2000</v>
      </c>
      <c r="T14" s="17">
        <f t="shared" si="3"/>
        <v>0</v>
      </c>
      <c r="U14" s="15"/>
      <c r="V14" t="s">
        <v>101</v>
      </c>
    </row>
    <row r="15" spans="1:22" x14ac:dyDescent="0.25">
      <c r="A15" s="20" t="s">
        <v>45</v>
      </c>
      <c r="B15" s="13">
        <v>11</v>
      </c>
      <c r="C15" s="14"/>
      <c r="D15" s="15">
        <f>'JULY 21'!H15:H48</f>
        <v>3200</v>
      </c>
      <c r="E15" s="16">
        <v>2700</v>
      </c>
      <c r="F15" s="16">
        <f t="shared" si="0"/>
        <v>5900</v>
      </c>
      <c r="G15" s="16">
        <f>2700</f>
        <v>2700</v>
      </c>
      <c r="H15" s="17">
        <f t="shared" si="1"/>
        <v>3200</v>
      </c>
      <c r="I15" s="15"/>
      <c r="M15" s="20" t="s">
        <v>120</v>
      </c>
      <c r="N15" s="13">
        <v>21</v>
      </c>
      <c r="O15" s="14"/>
      <c r="P15" s="15">
        <f>'JULY 21'!T15:T34</f>
        <v>0</v>
      </c>
      <c r="Q15" s="16">
        <v>2000</v>
      </c>
      <c r="R15" s="54">
        <f t="shared" si="2"/>
        <v>2000</v>
      </c>
      <c r="S15" s="16">
        <v>2000</v>
      </c>
      <c r="T15" s="17">
        <f t="shared" si="3"/>
        <v>0</v>
      </c>
      <c r="U15" s="15"/>
      <c r="V15" t="s">
        <v>101</v>
      </c>
    </row>
    <row r="16" spans="1:22" x14ac:dyDescent="0.25">
      <c r="A16" s="20" t="s">
        <v>46</v>
      </c>
      <c r="B16" s="23">
        <v>12</v>
      </c>
      <c r="C16" s="14"/>
      <c r="D16" s="15">
        <f>'JULY 21'!H16:H49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'JULY 21'!T16:T35</f>
        <v>5000</v>
      </c>
      <c r="Q16" s="16">
        <v>2000</v>
      </c>
      <c r="R16" s="54">
        <f t="shared" si="2"/>
        <v>7000</v>
      </c>
      <c r="S16" s="16"/>
      <c r="T16" s="17">
        <f t="shared" si="3"/>
        <v>7000</v>
      </c>
      <c r="U16" s="15"/>
    </row>
    <row r="17" spans="1:22" x14ac:dyDescent="0.25">
      <c r="A17" s="20" t="s">
        <v>47</v>
      </c>
      <c r="B17" s="13">
        <v>13</v>
      </c>
      <c r="C17" s="14"/>
      <c r="D17" s="15">
        <f>'JULY 21'!H17:H50</f>
        <v>2500</v>
      </c>
      <c r="E17" s="16">
        <v>2700</v>
      </c>
      <c r="F17" s="16">
        <f t="shared" si="0"/>
        <v>5200</v>
      </c>
      <c r="G17" s="16"/>
      <c r="H17" s="17">
        <f>F17-G17</f>
        <v>5200</v>
      </c>
      <c r="I17" s="15"/>
      <c r="M17" s="18" t="s">
        <v>120</v>
      </c>
      <c r="N17" s="13">
        <v>23</v>
      </c>
      <c r="O17" s="14"/>
      <c r="P17" s="15">
        <f>'JULY 21'!T17:T36</f>
        <v>0</v>
      </c>
      <c r="Q17" s="16">
        <v>2000</v>
      </c>
      <c r="R17" s="54">
        <f t="shared" si="2"/>
        <v>2000</v>
      </c>
      <c r="S17" s="16">
        <v>2000</v>
      </c>
      <c r="T17" s="17">
        <f t="shared" si="3"/>
        <v>0</v>
      </c>
      <c r="U17" s="15"/>
      <c r="V17" t="s">
        <v>101</v>
      </c>
    </row>
    <row r="18" spans="1:22" x14ac:dyDescent="0.25">
      <c r="A18" s="20" t="s">
        <v>48</v>
      </c>
      <c r="B18" s="23">
        <v>14</v>
      </c>
      <c r="C18" s="14"/>
      <c r="D18" s="15">
        <f>'JULY 21'!H18:H51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20" t="s">
        <v>120</v>
      </c>
      <c r="N18" s="23">
        <v>24</v>
      </c>
      <c r="O18" s="14"/>
      <c r="P18" s="15">
        <f>'JULY 21'!T18:T37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  <c r="V18" t="s">
        <v>101</v>
      </c>
    </row>
    <row r="19" spans="1:22" x14ac:dyDescent="0.25">
      <c r="A19" s="20" t="s">
        <v>49</v>
      </c>
      <c r="B19" s="13">
        <v>15</v>
      </c>
      <c r="C19" s="14"/>
      <c r="D19" s="15">
        <f>'JULY 21'!H19:H52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'JULY 21'!T19:T38</f>
        <v>2000</v>
      </c>
      <c r="Q19" s="16">
        <v>2000</v>
      </c>
      <c r="R19" s="54">
        <f t="shared" si="2"/>
        <v>4000</v>
      </c>
      <c r="S19" s="16"/>
      <c r="T19" s="17">
        <f t="shared" si="3"/>
        <v>4000</v>
      </c>
      <c r="U19" s="15"/>
    </row>
    <row r="20" spans="1:22" x14ac:dyDescent="0.25">
      <c r="A20" s="20" t="s">
        <v>50</v>
      </c>
      <c r="B20" s="23">
        <v>16</v>
      </c>
      <c r="C20" s="14"/>
      <c r="D20" s="15">
        <f>'JULY 21'!H20:H53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'JULY 21'!T20:T39</f>
        <v>2000</v>
      </c>
      <c r="Q20" s="16">
        <v>2000</v>
      </c>
      <c r="R20" s="54">
        <f t="shared" si="2"/>
        <v>4000</v>
      </c>
      <c r="S20" s="16"/>
      <c r="T20" s="17">
        <f t="shared" si="3"/>
        <v>4000</v>
      </c>
      <c r="U20" s="15"/>
    </row>
    <row r="21" spans="1:22" x14ac:dyDescent="0.25">
      <c r="A21" s="20" t="s">
        <v>51</v>
      </c>
      <c r="B21" s="13">
        <v>17</v>
      </c>
      <c r="C21" s="14"/>
      <c r="D21" s="15">
        <f>'JULY 21'!H21:H54</f>
        <v>0</v>
      </c>
      <c r="E21" s="49">
        <v>2200</v>
      </c>
      <c r="F21" s="16">
        <f>C21+D21+E21</f>
        <v>2200</v>
      </c>
      <c r="G21" s="16">
        <f>2200</f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'JULY 21'!T21:T40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  <c r="V21" t="s">
        <v>101</v>
      </c>
    </row>
    <row r="22" spans="1:22" x14ac:dyDescent="0.25">
      <c r="A22" s="20" t="s">
        <v>52</v>
      </c>
      <c r="B22" s="23">
        <v>18</v>
      </c>
      <c r="C22" s="14"/>
      <c r="D22" s="15">
        <f>'JULY 21'!H22:H55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120</v>
      </c>
      <c r="N22" s="23">
        <v>28</v>
      </c>
      <c r="O22" s="14"/>
      <c r="P22" s="15">
        <f>'JULY 21'!T22:T41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  <c r="V22" t="s">
        <v>101</v>
      </c>
    </row>
    <row r="23" spans="1:22" x14ac:dyDescent="0.25">
      <c r="A23" s="20" t="s">
        <v>53</v>
      </c>
      <c r="B23" s="13">
        <v>19</v>
      </c>
      <c r="C23" s="14"/>
      <c r="D23" s="15">
        <f>'JULY 21'!H23:H56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4" t="s">
        <v>39</v>
      </c>
      <c r="N23" s="13">
        <v>29</v>
      </c>
      <c r="O23" s="14"/>
      <c r="P23" s="15"/>
      <c r="Q23" s="16"/>
      <c r="R23" s="54">
        <f>O23+P23+Q23</f>
        <v>0</v>
      </c>
      <c r="S23" s="16"/>
      <c r="T23" s="17">
        <f t="shared" si="3"/>
        <v>0</v>
      </c>
      <c r="U23" s="15"/>
    </row>
    <row r="24" spans="1:22" x14ac:dyDescent="0.25">
      <c r="A24" s="20" t="s">
        <v>54</v>
      </c>
      <c r="B24" s="23">
        <v>20</v>
      </c>
      <c r="C24" s="14"/>
      <c r="D24" s="15">
        <f>'JULY 21'!H24:H57</f>
        <v>7500</v>
      </c>
      <c r="E24" s="16">
        <v>2700</v>
      </c>
      <c r="F24" s="16">
        <f t="shared" si="0"/>
        <v>10200</v>
      </c>
      <c r="G24" s="16">
        <f>2800</f>
        <v>2800</v>
      </c>
      <c r="H24" s="17">
        <f t="shared" si="1"/>
        <v>7400</v>
      </c>
      <c r="I24" s="15"/>
      <c r="M24" s="22" t="s">
        <v>94</v>
      </c>
      <c r="N24" s="23">
        <v>30</v>
      </c>
      <c r="O24" s="14"/>
      <c r="P24" s="15">
        <f>'JULY 21'!T24:T45</f>
        <v>0</v>
      </c>
      <c r="Q24" s="16">
        <v>2000</v>
      </c>
      <c r="R24" s="54">
        <f>O24+P24+Q24</f>
        <v>2000</v>
      </c>
      <c r="S24" s="16"/>
      <c r="T24" s="17">
        <f>R24-S24</f>
        <v>2000</v>
      </c>
      <c r="U24" s="15"/>
    </row>
    <row r="25" spans="1:22" x14ac:dyDescent="0.25">
      <c r="A25" s="22" t="s">
        <v>108</v>
      </c>
      <c r="B25" s="13">
        <v>21</v>
      </c>
      <c r="C25" s="14"/>
      <c r="D25" s="15">
        <f>'JULY 21'!H25:H58</f>
        <v>3100</v>
      </c>
      <c r="E25" s="16">
        <v>2700</v>
      </c>
      <c r="F25" s="16">
        <f t="shared" si="0"/>
        <v>5800</v>
      </c>
      <c r="G25" s="16"/>
      <c r="H25" s="17">
        <f t="shared" si="1"/>
        <v>5800</v>
      </c>
      <c r="I25" s="15"/>
      <c r="M25" s="25" t="s">
        <v>11</v>
      </c>
      <c r="N25" s="13"/>
      <c r="O25" s="14"/>
      <c r="P25" s="15">
        <f t="shared" ref="P25:U25" si="4">SUM(P5:P24)</f>
        <v>19200</v>
      </c>
      <c r="Q25" s="16">
        <f t="shared" si="4"/>
        <v>34000</v>
      </c>
      <c r="R25" s="54">
        <f t="shared" si="4"/>
        <v>53200</v>
      </c>
      <c r="S25" s="16">
        <f t="shared" si="4"/>
        <v>21800</v>
      </c>
      <c r="T25" s="16">
        <f t="shared" si="4"/>
        <v>31400</v>
      </c>
      <c r="U25" s="17">
        <f t="shared" si="4"/>
        <v>0</v>
      </c>
    </row>
    <row r="26" spans="1:22" x14ac:dyDescent="0.25">
      <c r="A26" s="18" t="s">
        <v>72</v>
      </c>
      <c r="B26" s="23">
        <v>22</v>
      </c>
      <c r="C26" s="14"/>
      <c r="D26" s="15">
        <f>'JULY 21'!H26:H59</f>
        <v>5100</v>
      </c>
      <c r="E26" s="16">
        <v>2700</v>
      </c>
      <c r="F26" s="16">
        <f>C26+D26+E26</f>
        <v>7800</v>
      </c>
      <c r="G26" s="16">
        <f>2000</f>
        <v>2000</v>
      </c>
      <c r="H26" s="17">
        <f t="shared" si="1"/>
        <v>5800</v>
      </c>
      <c r="I26" s="15"/>
    </row>
    <row r="27" spans="1:22" x14ac:dyDescent="0.25">
      <c r="A27" s="12" t="s">
        <v>56</v>
      </c>
      <c r="B27" s="13">
        <v>23</v>
      </c>
      <c r="C27" s="14"/>
      <c r="D27" s="15">
        <f>'JULY 21'!H27:H60</f>
        <v>4700</v>
      </c>
      <c r="E27" s="16">
        <v>2700</v>
      </c>
      <c r="F27" s="16">
        <f t="shared" si="0"/>
        <v>7400</v>
      </c>
      <c r="G27" s="16">
        <f>1000+700+1300</f>
        <v>3000</v>
      </c>
      <c r="H27" s="17">
        <f t="shared" si="1"/>
        <v>4400</v>
      </c>
      <c r="I27" s="15"/>
      <c r="J27" s="28"/>
    </row>
    <row r="28" spans="1:22" x14ac:dyDescent="0.25">
      <c r="A28" s="51" t="s">
        <v>62</v>
      </c>
      <c r="B28" s="23">
        <v>24</v>
      </c>
      <c r="C28" s="14"/>
      <c r="D28" s="15">
        <f>'JULY 21'!H28:H61</f>
        <v>0</v>
      </c>
      <c r="E28" s="16">
        <v>2700</v>
      </c>
      <c r="F28" s="16">
        <f>C28+D28+E28</f>
        <v>2700</v>
      </c>
      <c r="G28" s="16">
        <v>2700</v>
      </c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2" x14ac:dyDescent="0.25">
      <c r="A29" s="12"/>
      <c r="B29" s="13">
        <v>25</v>
      </c>
      <c r="C29" s="14"/>
      <c r="D29" s="15"/>
      <c r="E29" s="16"/>
      <c r="F29" s="16">
        <f>C29+D29+E29</f>
        <v>0</v>
      </c>
      <c r="G29" s="16"/>
      <c r="H29" s="17">
        <f>F29-G29</f>
        <v>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2" x14ac:dyDescent="0.25">
      <c r="A30" s="24" t="s">
        <v>39</v>
      </c>
      <c r="B30" s="23">
        <v>26</v>
      </c>
      <c r="C30" s="14"/>
      <c r="D30" s="15">
        <f>'JULY 21'!H30:H63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2" x14ac:dyDescent="0.25">
      <c r="A31" s="22" t="s">
        <v>59</v>
      </c>
      <c r="B31" s="23" t="s">
        <v>33</v>
      </c>
      <c r="C31" s="14"/>
      <c r="D31" s="15">
        <f>'JULY 21'!H31:H64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144</v>
      </c>
      <c r="N31" s="38">
        <f>Q25</f>
        <v>34000</v>
      </c>
      <c r="O31" s="26"/>
      <c r="P31" s="26"/>
      <c r="Q31" s="26" t="s">
        <v>144</v>
      </c>
      <c r="R31" s="28">
        <f>S25</f>
        <v>21800</v>
      </c>
      <c r="S31" s="26"/>
      <c r="T31" s="26"/>
      <c r="U31" s="34"/>
    </row>
    <row r="32" spans="1:22" x14ac:dyDescent="0.25">
      <c r="A32" s="22" t="s">
        <v>126</v>
      </c>
      <c r="B32" s="23" t="s">
        <v>34</v>
      </c>
      <c r="C32" s="14"/>
      <c r="D32" s="15">
        <f>'JULY 21'!H32:H65</f>
        <v>0</v>
      </c>
      <c r="E32" s="16">
        <v>6400</v>
      </c>
      <c r="F32" s="16">
        <f t="shared" si="5"/>
        <v>6400</v>
      </c>
      <c r="G32" s="16">
        <f>6400</f>
        <v>6400</v>
      </c>
      <c r="H32" s="17">
        <f t="shared" si="6"/>
        <v>0</v>
      </c>
      <c r="I32" s="15"/>
      <c r="M32" s="26" t="s">
        <v>18</v>
      </c>
      <c r="N32" s="38">
        <f>'JULY 21'!P47</f>
        <v>19421</v>
      </c>
      <c r="O32" s="26"/>
      <c r="P32" s="26"/>
      <c r="Q32" s="26" t="s">
        <v>18</v>
      </c>
      <c r="R32" s="38">
        <f>'JULY 21'!T47</f>
        <v>221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'JULY 21'!H33:H66</f>
        <v>5300</v>
      </c>
      <c r="E33" s="16">
        <v>6400</v>
      </c>
      <c r="F33" s="16">
        <f t="shared" si="5"/>
        <v>11700</v>
      </c>
      <c r="G33" s="16">
        <f>10000+1700</f>
        <v>11700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'JULY 21'!H34:H67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'JULY 21'!H35:H68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3400</v>
      </c>
      <c r="P35" s="26"/>
      <c r="Q35" s="26" t="s">
        <v>20</v>
      </c>
      <c r="R35" s="38"/>
      <c r="S35" s="38">
        <f>R36*N31</f>
        <v>3400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'JULY 21'!H36:H69</f>
        <v>32000</v>
      </c>
      <c r="E36" s="16">
        <v>14000</v>
      </c>
      <c r="F36" s="16">
        <f t="shared" si="5"/>
        <v>46000</v>
      </c>
      <c r="G36" s="16">
        <f>7000+39000</f>
        <v>46000</v>
      </c>
      <c r="H36" s="17">
        <f t="shared" si="6"/>
        <v>0</v>
      </c>
      <c r="I36" s="15"/>
      <c r="J36" t="s">
        <v>154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73750</v>
      </c>
      <c r="E37" s="27">
        <f t="shared" si="7"/>
        <v>96300</v>
      </c>
      <c r="F37" s="16">
        <f t="shared" si="7"/>
        <v>170050</v>
      </c>
      <c r="G37" s="16">
        <f t="shared" si="7"/>
        <v>122300</v>
      </c>
      <c r="H37" s="16">
        <f t="shared" si="7"/>
        <v>47750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148</v>
      </c>
      <c r="N39" s="39"/>
      <c r="O39" s="42">
        <f>S7+S10+S14+S15+S17+S18+S21+S22</f>
        <v>16000</v>
      </c>
      <c r="P39" s="26"/>
      <c r="Q39" s="40" t="s">
        <v>148</v>
      </c>
      <c r="R39" s="39"/>
      <c r="S39" s="42">
        <f>Q7+Q10+Q14+Q15+Q17+Q18+Q21+Q22</f>
        <v>16000</v>
      </c>
      <c r="T39" s="26"/>
      <c r="U39" s="34"/>
    </row>
    <row r="40" spans="1:21" ht="15.75" x14ac:dyDescent="0.25">
      <c r="B40" s="1" t="s">
        <v>28</v>
      </c>
      <c r="C40" s="1"/>
      <c r="D40" s="1"/>
      <c r="E40" s="1"/>
      <c r="F40" s="2"/>
      <c r="G40" s="3"/>
      <c r="H40" s="3"/>
      <c r="I40" s="3"/>
      <c r="N40" s="1"/>
      <c r="O40" s="1"/>
      <c r="P40" s="1"/>
      <c r="Q40" s="1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/>
      <c r="I41" s="3"/>
      <c r="M41" s="40" t="s">
        <v>153</v>
      </c>
      <c r="N41" s="26"/>
      <c r="O41" s="42">
        <v>2400</v>
      </c>
      <c r="P41" s="26"/>
      <c r="Q41" s="40" t="s">
        <v>153</v>
      </c>
      <c r="R41" s="26"/>
      <c r="S41" s="42">
        <v>2400</v>
      </c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/>
      <c r="N43" s="26"/>
      <c r="O43" s="42"/>
      <c r="P43" s="26"/>
      <c r="Q43" s="40"/>
      <c r="R43" s="26"/>
      <c r="S43" s="42"/>
      <c r="T43" s="26"/>
      <c r="U43" s="3"/>
    </row>
    <row r="44" spans="1:21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"/>
      <c r="M44" s="40"/>
      <c r="N44" s="26"/>
      <c r="O44" s="42"/>
      <c r="P44" s="26"/>
      <c r="Q44" s="40"/>
      <c r="R44" s="26"/>
      <c r="S44" s="42"/>
      <c r="T44" s="26"/>
    </row>
    <row r="45" spans="1:21" x14ac:dyDescent="0.25">
      <c r="A45" s="26" t="s">
        <v>144</v>
      </c>
      <c r="B45" s="38">
        <f>E37</f>
        <v>96300</v>
      </c>
      <c r="C45" s="26"/>
      <c r="D45" s="26"/>
      <c r="E45" s="26" t="s">
        <v>144</v>
      </c>
      <c r="F45" s="28">
        <f>G37</f>
        <v>122300</v>
      </c>
      <c r="G45" s="26"/>
      <c r="H45" s="26"/>
      <c r="I45" s="34"/>
      <c r="M45" s="37" t="s">
        <v>11</v>
      </c>
      <c r="N45" s="44">
        <f>N34+N31+N32+N33-O35</f>
        <v>50021</v>
      </c>
      <c r="O45" s="44">
        <f>SUM(O37:O44)</f>
        <v>18400</v>
      </c>
      <c r="P45" s="44">
        <f>N45-O45</f>
        <v>31621</v>
      </c>
      <c r="Q45" s="37" t="s">
        <v>11</v>
      </c>
      <c r="R45" s="42">
        <f>R31+R32-S35</f>
        <v>18621</v>
      </c>
      <c r="S45" s="44">
        <f>SUM(S37:S44)</f>
        <v>18400</v>
      </c>
      <c r="T45" s="44">
        <f>R45-S45</f>
        <v>221</v>
      </c>
      <c r="U45" s="3"/>
    </row>
    <row r="46" spans="1:21" x14ac:dyDescent="0.25">
      <c r="A46" s="26" t="s">
        <v>18</v>
      </c>
      <c r="B46" s="38">
        <f>'JULY 21'!D60</f>
        <v>86330</v>
      </c>
      <c r="C46" s="26"/>
      <c r="D46" s="26"/>
      <c r="E46" s="26" t="s">
        <v>18</v>
      </c>
      <c r="F46" s="38">
        <f>'JULY 21'!H60</f>
        <v>7780</v>
      </c>
      <c r="G46" s="26"/>
      <c r="H46" s="26"/>
      <c r="I46" s="34"/>
      <c r="M46" s="45" t="s">
        <v>24</v>
      </c>
      <c r="N46" s="46"/>
      <c r="O46" s="46" t="s">
        <v>25</v>
      </c>
      <c r="P46" s="47"/>
      <c r="Q46" s="45"/>
      <c r="R46" s="44"/>
      <c r="S46" s="3"/>
      <c r="T46" s="3"/>
      <c r="U46" s="3"/>
    </row>
    <row r="47" spans="1:21" x14ac:dyDescent="0.25">
      <c r="A47" s="26" t="s">
        <v>9</v>
      </c>
      <c r="B47" s="38">
        <f>I37</f>
        <v>0</v>
      </c>
      <c r="C47" s="26"/>
      <c r="D47" s="26"/>
      <c r="E47" s="26"/>
      <c r="F47" s="38">
        <f>'[2]DECEMBER 20'!H54</f>
        <v>0</v>
      </c>
      <c r="G47" s="26"/>
      <c r="H47" s="26"/>
      <c r="I47" s="34" t="s">
        <v>19</v>
      </c>
      <c r="M47" s="45" t="s">
        <v>27</v>
      </c>
      <c r="N47" s="46"/>
      <c r="O47" s="46" t="s">
        <v>10</v>
      </c>
      <c r="P47" s="47"/>
      <c r="Q47" s="45"/>
      <c r="R47" s="45" t="s">
        <v>26</v>
      </c>
      <c r="S47" s="3"/>
      <c r="T47" s="34"/>
      <c r="U47" s="43"/>
    </row>
    <row r="48" spans="1:21" x14ac:dyDescent="0.25">
      <c r="A48" s="26" t="s">
        <v>31</v>
      </c>
      <c r="B48" s="38">
        <f>C37</f>
        <v>0</v>
      </c>
      <c r="C48" s="26"/>
      <c r="D48" s="26"/>
      <c r="E48" s="26"/>
      <c r="F48" s="38"/>
      <c r="G48" s="26"/>
      <c r="H48" s="26"/>
      <c r="I48" s="3"/>
      <c r="R48" s="45" t="s">
        <v>32</v>
      </c>
    </row>
    <row r="49" spans="1:14" x14ac:dyDescent="0.25">
      <c r="A49" s="26" t="s">
        <v>20</v>
      </c>
      <c r="B49" s="39">
        <v>0.1</v>
      </c>
      <c r="C49" s="38">
        <f>B49*B45</f>
        <v>9630</v>
      </c>
      <c r="D49" s="26"/>
      <c r="E49" s="26" t="s">
        <v>20</v>
      </c>
      <c r="F49" s="38"/>
      <c r="G49" s="38">
        <f>F50*B45</f>
        <v>9630</v>
      </c>
      <c r="H49" s="26"/>
      <c r="I49" s="3"/>
    </row>
    <row r="50" spans="1:14" x14ac:dyDescent="0.25">
      <c r="A50" s="37" t="s">
        <v>21</v>
      </c>
      <c r="B50" s="26" t="s">
        <v>22</v>
      </c>
      <c r="C50" s="26"/>
      <c r="D50" s="26"/>
      <c r="E50" s="37" t="s">
        <v>21</v>
      </c>
      <c r="F50" s="39">
        <v>0.1</v>
      </c>
      <c r="G50" s="26"/>
      <c r="H50" s="26"/>
      <c r="I50" s="34"/>
    </row>
    <row r="51" spans="1:14" x14ac:dyDescent="0.25">
      <c r="A51" s="41" t="s">
        <v>23</v>
      </c>
      <c r="B51" s="39">
        <v>0.3</v>
      </c>
      <c r="C51" s="42"/>
      <c r="D51" s="26"/>
      <c r="E51" s="41" t="s">
        <v>23</v>
      </c>
      <c r="F51" s="40"/>
      <c r="G51" s="42"/>
      <c r="H51" s="26"/>
      <c r="I51" s="3"/>
    </row>
    <row r="52" spans="1:14" x14ac:dyDescent="0.25">
      <c r="A52" s="40" t="s">
        <v>146</v>
      </c>
      <c r="C52">
        <v>9400</v>
      </c>
      <c r="D52" s="42"/>
      <c r="E52" s="40" t="s">
        <v>146</v>
      </c>
      <c r="G52">
        <v>9400</v>
      </c>
      <c r="H52" s="26"/>
      <c r="I52" s="3"/>
    </row>
    <row r="53" spans="1:14" x14ac:dyDescent="0.25">
      <c r="A53" s="40" t="s">
        <v>147</v>
      </c>
      <c r="B53" s="39"/>
      <c r="C53" s="26">
        <v>20102</v>
      </c>
      <c r="D53" s="26"/>
      <c r="E53" s="40" t="s">
        <v>147</v>
      </c>
      <c r="F53" s="39"/>
      <c r="G53" s="26">
        <v>20102</v>
      </c>
      <c r="H53" s="26"/>
      <c r="I53" s="34"/>
      <c r="J53" s="28"/>
      <c r="M53" s="52">
        <f>H58+T45</f>
        <v>4377</v>
      </c>
    </row>
    <row r="54" spans="1:14" x14ac:dyDescent="0.25">
      <c r="A54" s="40" t="s">
        <v>149</v>
      </c>
      <c r="B54" s="39"/>
      <c r="C54" s="26">
        <v>30105</v>
      </c>
      <c r="D54" s="26"/>
      <c r="E54" s="40" t="s">
        <v>149</v>
      </c>
      <c r="F54" s="39"/>
      <c r="G54" s="26">
        <v>30105</v>
      </c>
      <c r="H54" s="26"/>
      <c r="I54" s="43"/>
      <c r="J54" s="52"/>
    </row>
    <row r="55" spans="1:14" x14ac:dyDescent="0.25">
      <c r="A55" s="40" t="s">
        <v>150</v>
      </c>
      <c r="B55" s="26"/>
      <c r="C55" s="42">
        <v>7000</v>
      </c>
      <c r="D55" s="26"/>
      <c r="E55" s="40" t="s">
        <v>150</v>
      </c>
      <c r="F55" s="26"/>
      <c r="G55" s="42">
        <v>7000</v>
      </c>
      <c r="H55" s="26"/>
      <c r="J55" s="28"/>
      <c r="N55" s="28"/>
    </row>
    <row r="56" spans="1:14" x14ac:dyDescent="0.25">
      <c r="A56" s="40" t="s">
        <v>153</v>
      </c>
      <c r="B56" s="26"/>
      <c r="C56" s="42">
        <v>13000</v>
      </c>
      <c r="D56" s="26"/>
      <c r="E56" s="40" t="s">
        <v>153</v>
      </c>
      <c r="F56" s="26"/>
      <c r="G56" s="42">
        <v>10687</v>
      </c>
      <c r="H56" s="26"/>
      <c r="I56" s="3"/>
      <c r="M56" s="52">
        <f>H58+T45</f>
        <v>4377</v>
      </c>
      <c r="N56">
        <f>20000-7000</f>
        <v>13000</v>
      </c>
    </row>
    <row r="57" spans="1:14" x14ac:dyDescent="0.25">
      <c r="A57" s="40" t="s">
        <v>100</v>
      </c>
      <c r="B57" s="26"/>
      <c r="C57" s="42">
        <v>39000</v>
      </c>
      <c r="D57" s="26"/>
      <c r="E57" s="40" t="s">
        <v>100</v>
      </c>
      <c r="F57" s="26"/>
      <c r="G57" s="42">
        <v>39000</v>
      </c>
      <c r="H57" s="26"/>
      <c r="I57" s="28">
        <f>G53+G54+G55+G56</f>
        <v>67894</v>
      </c>
      <c r="J57" s="28"/>
      <c r="M57">
        <f>7000+6000</f>
        <v>13000</v>
      </c>
    </row>
    <row r="58" spans="1:14" x14ac:dyDescent="0.25">
      <c r="A58" s="37" t="s">
        <v>11</v>
      </c>
      <c r="B58" s="44">
        <f>B48+B45+B46+B47-C49</f>
        <v>173000</v>
      </c>
      <c r="C58" s="44">
        <f>SUM(C51:C57)</f>
        <v>118607</v>
      </c>
      <c r="D58" s="44">
        <f>B58-C58</f>
        <v>54393</v>
      </c>
      <c r="E58" s="37" t="s">
        <v>11</v>
      </c>
      <c r="F58" s="42">
        <f>F45+F46-G49</f>
        <v>120450</v>
      </c>
      <c r="G58" s="44">
        <f>SUM(G51:G57)</f>
        <v>116294</v>
      </c>
      <c r="H58" s="44">
        <f>F58-G58</f>
        <v>4156</v>
      </c>
      <c r="I58" s="3"/>
      <c r="J58" s="28"/>
      <c r="L58" s="52"/>
      <c r="M58" s="52">
        <f>M56-M57</f>
        <v>-8623</v>
      </c>
    </row>
    <row r="59" spans="1:14" x14ac:dyDescent="0.25">
      <c r="A59" s="45" t="s">
        <v>24</v>
      </c>
      <c r="B59" s="46"/>
      <c r="C59" s="46" t="s">
        <v>25</v>
      </c>
      <c r="D59" s="47"/>
      <c r="E59" s="45"/>
      <c r="F59" s="44"/>
      <c r="G59" s="3"/>
      <c r="H59" s="3"/>
      <c r="I59" s="3"/>
    </row>
    <row r="60" spans="1:14" x14ac:dyDescent="0.25">
      <c r="A60" s="45" t="s">
        <v>27</v>
      </c>
      <c r="B60" s="46"/>
      <c r="C60" s="46" t="s">
        <v>10</v>
      </c>
      <c r="D60" s="47"/>
      <c r="E60" s="45"/>
      <c r="F60" s="45" t="s">
        <v>26</v>
      </c>
      <c r="G60" s="3"/>
      <c r="H60" s="34"/>
      <c r="I60" s="43"/>
      <c r="M60">
        <f>N56-2400</f>
        <v>10600</v>
      </c>
    </row>
    <row r="61" spans="1:14" x14ac:dyDescent="0.25">
      <c r="F61" s="45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C37" workbookViewId="0">
      <selection activeCell="H37" sqref="H37"/>
    </sheetView>
  </sheetViews>
  <sheetFormatPr defaultRowHeight="15" x14ac:dyDescent="0.25"/>
  <cols>
    <col min="1" max="1" width="20.7109375" customWidth="1"/>
    <col min="13" max="13" width="17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151</v>
      </c>
      <c r="C3" s="1"/>
      <c r="D3" s="1"/>
      <c r="E3" s="1"/>
      <c r="F3" s="6"/>
      <c r="G3" s="7"/>
      <c r="H3" s="3"/>
      <c r="I3" s="3"/>
      <c r="N3" s="1" t="s">
        <v>155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/>
    </row>
    <row r="5" spans="1:21" x14ac:dyDescent="0.25">
      <c r="A5" s="51" t="s">
        <v>39</v>
      </c>
      <c r="B5" s="13">
        <v>1</v>
      </c>
      <c r="C5" s="14"/>
      <c r="D5" s="15">
        <f>'AUGUST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'AUGUST 21'!T5:T24</f>
        <v>2000</v>
      </c>
      <c r="Q5" s="16">
        <v>2000</v>
      </c>
      <c r="R5" s="54">
        <f>O5+P5+Q5</f>
        <v>4000</v>
      </c>
      <c r="S5" s="16">
        <f>2000</f>
        <v>2000</v>
      </c>
      <c r="T5" s="17">
        <f>R5-S5</f>
        <v>2000</v>
      </c>
      <c r="U5" s="15"/>
    </row>
    <row r="6" spans="1:21" x14ac:dyDescent="0.25">
      <c r="A6" s="48" t="s">
        <v>156</v>
      </c>
      <c r="B6" s="13">
        <v>2</v>
      </c>
      <c r="C6" s="14"/>
      <c r="D6" s="15">
        <f>'AUGUST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'AUGUST 21'!T6:T25</f>
        <v>2400</v>
      </c>
      <c r="Q6" s="16">
        <v>2000</v>
      </c>
      <c r="R6" s="54">
        <f t="shared" ref="R6:R22" si="2">O6+P6+Q6</f>
        <v>4400</v>
      </c>
      <c r="S6" s="16">
        <f>800</f>
        <v>800</v>
      </c>
      <c r="T6" s="17">
        <f t="shared" ref="T6:T24" si="3">R6-S6</f>
        <v>3600</v>
      </c>
      <c r="U6" s="15"/>
    </row>
    <row r="7" spans="1:21" x14ac:dyDescent="0.25">
      <c r="A7" s="18" t="s">
        <v>157</v>
      </c>
      <c r="B7" s="13">
        <v>3</v>
      </c>
      <c r="C7" s="14"/>
      <c r="D7" s="15">
        <f>'AUGUST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120</v>
      </c>
      <c r="N7" s="13">
        <v>13</v>
      </c>
      <c r="O7" s="14"/>
      <c r="P7" s="15">
        <f>'AUGUST 21'!T7:T26</f>
        <v>0</v>
      </c>
      <c r="Q7" s="16">
        <v>2000</v>
      </c>
      <c r="R7" s="54">
        <f t="shared" si="2"/>
        <v>2000</v>
      </c>
      <c r="S7" s="16"/>
      <c r="T7" s="17">
        <f t="shared" si="3"/>
        <v>2000</v>
      </c>
      <c r="U7" s="15"/>
    </row>
    <row r="8" spans="1:21" x14ac:dyDescent="0.25">
      <c r="A8" s="22" t="s">
        <v>119</v>
      </c>
      <c r="B8" s="13">
        <v>4</v>
      </c>
      <c r="C8" s="14"/>
      <c r="D8" s="15">
        <f>'AUGUST 21'!H8:H40</f>
        <v>0</v>
      </c>
      <c r="E8" s="16">
        <v>2700</v>
      </c>
      <c r="F8" s="16">
        <f t="shared" si="0"/>
        <v>2700</v>
      </c>
      <c r="G8" s="16">
        <f>2700</f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'AUGUST 21'!T8:T27</f>
        <v>2000</v>
      </c>
      <c r="Q8" s="16">
        <v>2000</v>
      </c>
      <c r="R8" s="54">
        <f t="shared" si="2"/>
        <v>4000</v>
      </c>
      <c r="S8" s="16"/>
      <c r="T8" s="17">
        <f t="shared" si="3"/>
        <v>4000</v>
      </c>
      <c r="U8" s="15"/>
    </row>
    <row r="9" spans="1:21" x14ac:dyDescent="0.25">
      <c r="A9" s="24" t="s">
        <v>129</v>
      </c>
      <c r="B9" s="13">
        <v>5</v>
      </c>
      <c r="C9" s="14"/>
      <c r="D9" s="15">
        <f>'AUGUST 21'!H9:H41</f>
        <v>1500</v>
      </c>
      <c r="E9" s="16">
        <v>2700</v>
      </c>
      <c r="F9" s="16">
        <f t="shared" si="0"/>
        <v>4200</v>
      </c>
      <c r="G9" s="16">
        <v>2000</v>
      </c>
      <c r="H9" s="17">
        <f t="shared" si="1"/>
        <v>2200</v>
      </c>
      <c r="I9" s="15"/>
      <c r="M9" s="20" t="s">
        <v>85</v>
      </c>
      <c r="N9" s="13">
        <v>15</v>
      </c>
      <c r="O9" s="14"/>
      <c r="P9" s="15">
        <f>'AUGUST 21'!T9:T28</f>
        <v>2000</v>
      </c>
      <c r="Q9" s="16">
        <v>2000</v>
      </c>
      <c r="R9" s="54">
        <f t="shared" si="2"/>
        <v>4000</v>
      </c>
      <c r="S9" s="16">
        <v>2000</v>
      </c>
      <c r="T9" s="17">
        <f t="shared" si="3"/>
        <v>2000</v>
      </c>
      <c r="U9" s="15" t="s">
        <v>101</v>
      </c>
    </row>
    <row r="10" spans="1:21" x14ac:dyDescent="0.25">
      <c r="A10" s="20" t="s">
        <v>41</v>
      </c>
      <c r="B10" s="13">
        <v>6</v>
      </c>
      <c r="C10" s="14"/>
      <c r="D10" s="15">
        <f>'AUGUST 21'!H10:H42</f>
        <v>4250</v>
      </c>
      <c r="E10" s="16">
        <v>2700</v>
      </c>
      <c r="F10" s="16">
        <f>C10+D10+E10</f>
        <v>6950</v>
      </c>
      <c r="G10" s="16">
        <v>5000</v>
      </c>
      <c r="H10" s="17">
        <f t="shared" si="1"/>
        <v>1950</v>
      </c>
      <c r="I10" s="15"/>
      <c r="M10" s="20" t="s">
        <v>86</v>
      </c>
      <c r="N10" s="23">
        <v>16</v>
      </c>
      <c r="O10" s="14"/>
      <c r="P10" s="15">
        <f>'AUGUST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 t="s">
        <v>101</v>
      </c>
    </row>
    <row r="11" spans="1:21" x14ac:dyDescent="0.25">
      <c r="A11" s="19" t="s">
        <v>42</v>
      </c>
      <c r="B11" s="13">
        <v>7</v>
      </c>
      <c r="C11" s="14"/>
      <c r="D11" s="15">
        <f>'AUGUST 21'!H11:H43</f>
        <v>2500</v>
      </c>
      <c r="E11" s="16">
        <v>2700</v>
      </c>
      <c r="F11" s="16">
        <f t="shared" si="0"/>
        <v>5200</v>
      </c>
      <c r="G11" s="16"/>
      <c r="H11" s="17">
        <f t="shared" si="1"/>
        <v>5200</v>
      </c>
      <c r="I11" s="15"/>
      <c r="M11" s="20" t="s">
        <v>104</v>
      </c>
      <c r="N11" s="13">
        <v>17</v>
      </c>
      <c r="O11" s="14"/>
      <c r="P11" s="15">
        <f>'AUGUST 21'!T11:T30</f>
        <v>6000</v>
      </c>
      <c r="Q11" s="16">
        <v>2000</v>
      </c>
      <c r="R11" s="54">
        <f t="shared" si="2"/>
        <v>8000</v>
      </c>
      <c r="S11" s="16"/>
      <c r="T11" s="17">
        <f t="shared" si="3"/>
        <v>8000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'AUGUST 21'!H12:H44</f>
        <v>3800</v>
      </c>
      <c r="E12" s="16">
        <v>2700</v>
      </c>
      <c r="F12" s="16">
        <f t="shared" si="0"/>
        <v>6500</v>
      </c>
      <c r="G12" s="16">
        <f>2500+3000</f>
        <v>5500</v>
      </c>
      <c r="H12" s="17">
        <f t="shared" si="1"/>
        <v>1000</v>
      </c>
      <c r="I12" s="15"/>
      <c r="M12" s="51" t="s">
        <v>39</v>
      </c>
      <c r="N12" s="23">
        <v>18</v>
      </c>
      <c r="O12" s="14"/>
      <c r="P12" s="15">
        <f>'AUGUST 21'!T12:T31</f>
        <v>0</v>
      </c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'AUGUST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'AUGUST 21'!T13:T32</f>
        <v>0</v>
      </c>
      <c r="Q13" s="16"/>
      <c r="R13" s="54">
        <f t="shared" si="2"/>
        <v>0</v>
      </c>
      <c r="S13" s="16"/>
      <c r="T13" s="17">
        <f t="shared" si="3"/>
        <v>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'AUGUST 21'!H14:H46</f>
        <v>1400</v>
      </c>
      <c r="E14" s="16">
        <v>2700</v>
      </c>
      <c r="F14" s="16">
        <f t="shared" si="0"/>
        <v>4100</v>
      </c>
      <c r="G14" s="16"/>
      <c r="H14" s="17">
        <f t="shared" si="1"/>
        <v>4100</v>
      </c>
      <c r="I14" s="15"/>
      <c r="M14" s="20" t="s">
        <v>120</v>
      </c>
      <c r="N14" s="23">
        <v>20</v>
      </c>
      <c r="O14" s="14"/>
      <c r="P14" s="15">
        <f>'AUGUST 21'!T14:T33</f>
        <v>0</v>
      </c>
      <c r="Q14" s="16">
        <v>2000</v>
      </c>
      <c r="R14" s="54">
        <f t="shared" si="2"/>
        <v>2000</v>
      </c>
      <c r="S14" s="16">
        <v>2000</v>
      </c>
      <c r="T14" s="17">
        <f t="shared" si="3"/>
        <v>0</v>
      </c>
      <c r="U14" s="15" t="s">
        <v>101</v>
      </c>
    </row>
    <row r="15" spans="1:21" x14ac:dyDescent="0.25">
      <c r="A15" s="20" t="s">
        <v>45</v>
      </c>
      <c r="B15" s="13">
        <v>11</v>
      </c>
      <c r="C15" s="14"/>
      <c r="D15" s="15">
        <f>'AUGUST 21'!H15:H47</f>
        <v>3200</v>
      </c>
      <c r="E15" s="16">
        <v>2700</v>
      </c>
      <c r="F15" s="16">
        <f t="shared" si="0"/>
        <v>5900</v>
      </c>
      <c r="G15" s="16">
        <v>2000</v>
      </c>
      <c r="H15" s="17">
        <f t="shared" si="1"/>
        <v>3900</v>
      </c>
      <c r="I15" s="15"/>
      <c r="M15" s="20" t="s">
        <v>120</v>
      </c>
      <c r="N15" s="13">
        <v>21</v>
      </c>
      <c r="O15" s="14"/>
      <c r="P15" s="15">
        <f>'AUGUST 21'!T15:T34</f>
        <v>0</v>
      </c>
      <c r="Q15" s="16">
        <v>2000</v>
      </c>
      <c r="R15" s="54">
        <f t="shared" si="2"/>
        <v>2000</v>
      </c>
      <c r="S15" s="16"/>
      <c r="T15" s="17">
        <f t="shared" si="3"/>
        <v>2000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'AUGUST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'AUGUST 21'!T16:T35</f>
        <v>7000</v>
      </c>
      <c r="Q16" s="16">
        <v>2000</v>
      </c>
      <c r="R16" s="54">
        <f t="shared" si="2"/>
        <v>9000</v>
      </c>
      <c r="S16" s="16"/>
      <c r="T16" s="17">
        <f t="shared" si="3"/>
        <v>9000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'AUGUST 21'!H17:H49</f>
        <v>5200</v>
      </c>
      <c r="E17" s="16">
        <v>2700</v>
      </c>
      <c r="F17" s="16">
        <f t="shared" si="0"/>
        <v>7900</v>
      </c>
      <c r="G17" s="16">
        <f>6000+1500</f>
        <v>7500</v>
      </c>
      <c r="H17" s="17">
        <f>F17-G17</f>
        <v>400</v>
      </c>
      <c r="I17" s="15"/>
      <c r="M17" s="18" t="s">
        <v>120</v>
      </c>
      <c r="N17" s="13">
        <v>23</v>
      </c>
      <c r="O17" s="14"/>
      <c r="P17" s="15">
        <f>'AUGUST 21'!T17:T36</f>
        <v>0</v>
      </c>
      <c r="Q17" s="16">
        <v>2000</v>
      </c>
      <c r="R17" s="54">
        <f t="shared" si="2"/>
        <v>2000</v>
      </c>
      <c r="S17" s="16"/>
      <c r="T17" s="17">
        <f t="shared" si="3"/>
        <v>2000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'AUGUST 21'!H18:H50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20" t="s">
        <v>120</v>
      </c>
      <c r="N18" s="23">
        <v>24</v>
      </c>
      <c r="O18" s="14"/>
      <c r="P18" s="15">
        <f>'AUGUST 21'!T18:T37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 t="s">
        <v>101</v>
      </c>
    </row>
    <row r="19" spans="1:21" x14ac:dyDescent="0.25">
      <c r="A19" s="20" t="s">
        <v>49</v>
      </c>
      <c r="B19" s="13">
        <v>15</v>
      </c>
      <c r="C19" s="14"/>
      <c r="D19" s="15">
        <f>'AUGUST 21'!H19:H51</f>
        <v>0</v>
      </c>
      <c r="E19" s="16">
        <v>1500</v>
      </c>
      <c r="F19" s="16">
        <f>C19+D19+E19</f>
        <v>1500</v>
      </c>
      <c r="G19" s="16">
        <v>900</v>
      </c>
      <c r="H19" s="17">
        <f t="shared" si="1"/>
        <v>600</v>
      </c>
      <c r="I19" s="15"/>
      <c r="M19" s="20" t="s">
        <v>95</v>
      </c>
      <c r="N19" s="13">
        <v>25</v>
      </c>
      <c r="O19" s="14"/>
      <c r="P19" s="15">
        <f>'AUGUST 21'!T19:T38</f>
        <v>4000</v>
      </c>
      <c r="Q19" s="16">
        <v>2000</v>
      </c>
      <c r="R19" s="54">
        <f t="shared" si="2"/>
        <v>6000</v>
      </c>
      <c r="S19" s="16"/>
      <c r="T19" s="17">
        <f t="shared" si="3"/>
        <v>6000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'AUGUST 21'!H20:H52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'AUGUST 21'!T20:T39</f>
        <v>4000</v>
      </c>
      <c r="Q20" s="16">
        <v>2000</v>
      </c>
      <c r="R20" s="54">
        <f t="shared" si="2"/>
        <v>6000</v>
      </c>
      <c r="S20" s="16"/>
      <c r="T20" s="17">
        <f t="shared" si="3"/>
        <v>6000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'AUGUST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'AUGUST 21'!T21:T40</f>
        <v>0</v>
      </c>
      <c r="Q21" s="16">
        <v>2000</v>
      </c>
      <c r="R21" s="54">
        <f t="shared" si="2"/>
        <v>2000</v>
      </c>
      <c r="S21" s="16"/>
      <c r="T21" s="17">
        <f t="shared" si="3"/>
        <v>2000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'AUGUST 21'!H22:H54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120</v>
      </c>
      <c r="N22" s="23">
        <v>28</v>
      </c>
      <c r="O22" s="14"/>
      <c r="P22" s="15">
        <f>'AUGUST 21'!T22:T41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 t="s">
        <v>101</v>
      </c>
    </row>
    <row r="23" spans="1:21" x14ac:dyDescent="0.25">
      <c r="A23" s="20" t="s">
        <v>53</v>
      </c>
      <c r="B23" s="13">
        <v>19</v>
      </c>
      <c r="C23" s="14"/>
      <c r="D23" s="15">
        <f>'AUGUST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4" t="s">
        <v>39</v>
      </c>
      <c r="N23" s="13">
        <v>29</v>
      </c>
      <c r="O23" s="14"/>
      <c r="P23" s="15">
        <f>'AUGUST 21'!T23:T42</f>
        <v>0</v>
      </c>
      <c r="Q23" s="16"/>
      <c r="R23" s="54">
        <f>O23+P23+Q23</f>
        <v>0</v>
      </c>
      <c r="S23" s="16"/>
      <c r="T23" s="17">
        <f t="shared" si="3"/>
        <v>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'AUGUST 21'!H24:H56</f>
        <v>7400</v>
      </c>
      <c r="E24" s="16">
        <v>2700</v>
      </c>
      <c r="F24" s="16">
        <f t="shared" si="0"/>
        <v>10100</v>
      </c>
      <c r="G24" s="16"/>
      <c r="H24" s="17">
        <f t="shared" si="1"/>
        <v>10100</v>
      </c>
      <c r="I24" s="15"/>
      <c r="J24" t="s">
        <v>168</v>
      </c>
      <c r="M24" s="22" t="s">
        <v>94</v>
      </c>
      <c r="N24" s="23">
        <v>30</v>
      </c>
      <c r="O24" s="14"/>
      <c r="P24" s="15">
        <f>'AUGUST 21'!T24:T43</f>
        <v>2000</v>
      </c>
      <c r="Q24" s="16">
        <v>2000</v>
      </c>
      <c r="R24" s="54">
        <f>O24+P24+Q24</f>
        <v>4000</v>
      </c>
      <c r="S24" s="16"/>
      <c r="T24" s="17">
        <f t="shared" si="3"/>
        <v>4000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'AUGUST 21'!H25:H57</f>
        <v>5800</v>
      </c>
      <c r="E25" s="16">
        <v>2700</v>
      </c>
      <c r="F25" s="16">
        <f t="shared" si="0"/>
        <v>8500</v>
      </c>
      <c r="G25" s="16">
        <v>6100</v>
      </c>
      <c r="H25" s="17">
        <f t="shared" si="1"/>
        <v>2400</v>
      </c>
      <c r="I25" s="15"/>
      <c r="M25" s="25" t="s">
        <v>11</v>
      </c>
      <c r="N25" s="13"/>
      <c r="O25" s="14"/>
      <c r="P25" s="15">
        <f t="shared" ref="P25:U25" si="4">SUM(P5:P24)</f>
        <v>31400</v>
      </c>
      <c r="Q25" s="16">
        <f t="shared" si="4"/>
        <v>34000</v>
      </c>
      <c r="R25" s="54">
        <f t="shared" si="4"/>
        <v>65400</v>
      </c>
      <c r="S25" s="16">
        <f t="shared" si="4"/>
        <v>12800</v>
      </c>
      <c r="T25" s="16">
        <f t="shared" si="4"/>
        <v>52600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'AUGUST 21'!H26:H58</f>
        <v>5800</v>
      </c>
      <c r="E26" s="16">
        <v>2700</v>
      </c>
      <c r="F26" s="16">
        <f>C26+D26+E26</f>
        <v>8500</v>
      </c>
      <c r="G26" s="16">
        <v>2000</v>
      </c>
      <c r="H26" s="17">
        <f t="shared" si="1"/>
        <v>6500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'AUGUST 21'!H27:H59</f>
        <v>4400</v>
      </c>
      <c r="E27" s="16">
        <v>2700</v>
      </c>
      <c r="F27" s="16">
        <f t="shared" si="0"/>
        <v>7100</v>
      </c>
      <c r="G27" s="16">
        <f>1400+2700</f>
        <v>4100</v>
      </c>
      <c r="H27" s="17">
        <f t="shared" si="1"/>
        <v>3000</v>
      </c>
      <c r="I27" s="15"/>
      <c r="J27" s="28"/>
    </row>
    <row r="28" spans="1:21" x14ac:dyDescent="0.25">
      <c r="A28" s="51" t="s">
        <v>62</v>
      </c>
      <c r="B28" s="23">
        <v>24</v>
      </c>
      <c r="C28" s="14"/>
      <c r="D28" s="15">
        <f>'AUGUST 21'!H28:H60</f>
        <v>0</v>
      </c>
      <c r="E28" s="16">
        <v>2700</v>
      </c>
      <c r="F28" s="16">
        <f>C28+D28+E28</f>
        <v>2700</v>
      </c>
      <c r="G28" s="16">
        <v>2700</v>
      </c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'AUGUST 21'!H29:H61</f>
        <v>0</v>
      </c>
      <c r="E29" s="16"/>
      <c r="F29" s="16">
        <f>C29+D29+E29</f>
        <v>0</v>
      </c>
      <c r="G29" s="16"/>
      <c r="H29" s="17">
        <f>F29-G29</f>
        <v>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'AUGUST 21'!H30:H62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'AUGUST 21'!H31:H63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152</v>
      </c>
      <c r="N31" s="38">
        <f>Q25</f>
        <v>34000</v>
      </c>
      <c r="O31" s="26"/>
      <c r="P31" s="26"/>
      <c r="Q31" s="26" t="s">
        <v>152</v>
      </c>
      <c r="R31" s="28">
        <f>S25</f>
        <v>12800</v>
      </c>
      <c r="S31" s="26"/>
      <c r="T31" s="26"/>
      <c r="U31" s="34"/>
    </row>
    <row r="32" spans="1:21" x14ac:dyDescent="0.25">
      <c r="A32" s="22" t="s">
        <v>126</v>
      </c>
      <c r="B32" s="23" t="s">
        <v>34</v>
      </c>
      <c r="C32" s="14"/>
      <c r="D32" s="15">
        <f>'AUGUST 21'!H32:H64</f>
        <v>0</v>
      </c>
      <c r="E32" s="16">
        <v>6400</v>
      </c>
      <c r="F32" s="16">
        <f t="shared" si="5"/>
        <v>6400</v>
      </c>
      <c r="G32" s="16">
        <v>6400</v>
      </c>
      <c r="H32" s="17">
        <f t="shared" si="6"/>
        <v>0</v>
      </c>
      <c r="I32" s="15"/>
      <c r="M32" s="26" t="s">
        <v>18</v>
      </c>
      <c r="N32" s="38">
        <f>'AUGUST 21'!P45</f>
        <v>31621</v>
      </c>
      <c r="O32" s="26"/>
      <c r="P32" s="26"/>
      <c r="Q32" s="26" t="s">
        <v>18</v>
      </c>
      <c r="R32" s="38">
        <f>'AUGUST 21'!T45</f>
        <v>221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'AUGUST 21'!H33:H65</f>
        <v>0</v>
      </c>
      <c r="E33" s="16">
        <v>6400</v>
      </c>
      <c r="F33" s="16">
        <f t="shared" si="5"/>
        <v>6400</v>
      </c>
      <c r="G33" s="16">
        <v>6400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'AUGUST 21'!H34:H66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'AUGUST 21'!H35:H67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3400</v>
      </c>
      <c r="P35" s="26"/>
      <c r="Q35" s="26" t="s">
        <v>20</v>
      </c>
      <c r="R35" s="38"/>
      <c r="S35" s="38">
        <f>R36*N31</f>
        <v>3400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'AUGUST 21'!H36:H68</f>
        <v>0</v>
      </c>
      <c r="E36" s="16">
        <v>10000</v>
      </c>
      <c r="F36" s="16">
        <f t="shared" si="5"/>
        <v>10000</v>
      </c>
      <c r="G36" s="16">
        <v>10000</v>
      </c>
      <c r="H36" s="17">
        <f t="shared" si="6"/>
        <v>0</v>
      </c>
      <c r="I36" s="15"/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47750</v>
      </c>
      <c r="E37" s="27">
        <f t="shared" si="7"/>
        <v>92300</v>
      </c>
      <c r="F37" s="16">
        <f t="shared" si="7"/>
        <v>140050</v>
      </c>
      <c r="G37" s="16">
        <f t="shared" si="7"/>
        <v>96200</v>
      </c>
      <c r="H37" s="16">
        <f t="shared" si="7"/>
        <v>43850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158</v>
      </c>
      <c r="O38" s="28">
        <f>S9+S10+S14+S18+S22</f>
        <v>10000</v>
      </c>
      <c r="P38" s="42"/>
      <c r="Q38" s="40" t="s">
        <v>158</v>
      </c>
      <c r="S38" s="28">
        <f>S9+S10+S14+S18+S22</f>
        <v>10000</v>
      </c>
      <c r="T38" s="26"/>
      <c r="U38" s="3"/>
    </row>
    <row r="39" spans="1:21" x14ac:dyDescent="0.25">
      <c r="M39" s="40"/>
      <c r="N39" s="39"/>
      <c r="O39" s="42"/>
      <c r="P39" s="26"/>
      <c r="Q39" s="40"/>
      <c r="R39" s="39"/>
      <c r="S39" s="42"/>
      <c r="T39" s="26"/>
      <c r="U39" s="34"/>
    </row>
    <row r="40" spans="1:21" ht="15.75" x14ac:dyDescent="0.25">
      <c r="B40" s="1"/>
      <c r="C40" s="1"/>
      <c r="D40" s="1"/>
      <c r="E40" s="1"/>
      <c r="F40" s="2"/>
      <c r="G40" s="3"/>
      <c r="H40" s="3"/>
      <c r="I40" s="3"/>
      <c r="N40" s="1"/>
      <c r="O40" s="1"/>
      <c r="P40" s="1"/>
      <c r="Q40" s="1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/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/>
      <c r="N43" s="26"/>
      <c r="O43" s="42"/>
      <c r="P43" s="26"/>
      <c r="Q43" s="40"/>
      <c r="R43" s="26"/>
      <c r="S43" s="42"/>
      <c r="T43" s="26"/>
      <c r="U43" s="3"/>
    </row>
    <row r="44" spans="1:21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"/>
      <c r="M44" s="40"/>
      <c r="N44" s="26"/>
      <c r="O44" s="42"/>
      <c r="P44" s="26"/>
      <c r="Q44" s="40"/>
      <c r="R44" s="26"/>
      <c r="S44" s="42"/>
      <c r="T44" s="26"/>
    </row>
    <row r="45" spans="1:21" x14ac:dyDescent="0.25">
      <c r="A45" s="26" t="s">
        <v>152</v>
      </c>
      <c r="B45" s="38">
        <f>E37</f>
        <v>92300</v>
      </c>
      <c r="C45" s="26"/>
      <c r="D45" s="26"/>
      <c r="E45" s="26" t="s">
        <v>152</v>
      </c>
      <c r="F45" s="28">
        <f>G37</f>
        <v>96200</v>
      </c>
      <c r="G45" s="26"/>
      <c r="H45" s="26"/>
      <c r="I45" s="34"/>
      <c r="M45" s="37" t="s">
        <v>11</v>
      </c>
      <c r="N45" s="44">
        <f>N34+N31+N32+N33-O35</f>
        <v>62221</v>
      </c>
      <c r="O45" s="44">
        <f>SUM(O37:O44)</f>
        <v>10000</v>
      </c>
      <c r="P45" s="44">
        <f>N45-O45</f>
        <v>52221</v>
      </c>
      <c r="Q45" s="37" t="s">
        <v>11</v>
      </c>
      <c r="R45" s="42">
        <f>R31+R32-S35</f>
        <v>9621</v>
      </c>
      <c r="S45" s="44">
        <f>SUM(S37:S44)</f>
        <v>10000</v>
      </c>
      <c r="T45" s="44">
        <f>R45-S45</f>
        <v>-379</v>
      </c>
      <c r="U45" s="3"/>
    </row>
    <row r="46" spans="1:21" x14ac:dyDescent="0.25">
      <c r="A46" s="26" t="s">
        <v>18</v>
      </c>
      <c r="B46" s="38">
        <f>'AUGUST 21'!D58</f>
        <v>54393</v>
      </c>
      <c r="C46" s="26"/>
      <c r="D46" s="26"/>
      <c r="E46" s="26" t="s">
        <v>18</v>
      </c>
      <c r="F46" s="38">
        <f>'AUGUST 21'!H58</f>
        <v>4156</v>
      </c>
      <c r="G46" s="26"/>
      <c r="H46" s="26"/>
      <c r="I46" s="34"/>
      <c r="M46" s="45" t="s">
        <v>24</v>
      </c>
      <c r="N46" s="46"/>
      <c r="O46" s="46" t="s">
        <v>25</v>
      </c>
      <c r="P46" s="47"/>
      <c r="Q46" s="45"/>
      <c r="R46" s="44"/>
      <c r="S46" s="3"/>
      <c r="T46" s="3"/>
      <c r="U46" s="3"/>
    </row>
    <row r="47" spans="1:21" x14ac:dyDescent="0.25">
      <c r="A47" s="26" t="s">
        <v>9</v>
      </c>
      <c r="B47" s="38">
        <f>I37</f>
        <v>0</v>
      </c>
      <c r="C47" s="26"/>
      <c r="D47" s="26"/>
      <c r="E47" s="26"/>
      <c r="F47" s="38">
        <f>'[2]DECEMBER 20'!H54</f>
        <v>0</v>
      </c>
      <c r="G47" s="26"/>
      <c r="H47" s="26"/>
      <c r="I47" s="34" t="s">
        <v>19</v>
      </c>
      <c r="M47" s="45" t="s">
        <v>27</v>
      </c>
      <c r="N47" s="46"/>
      <c r="O47" s="46" t="s">
        <v>10</v>
      </c>
      <c r="P47" s="47"/>
      <c r="Q47" s="45"/>
      <c r="R47" s="45" t="s">
        <v>26</v>
      </c>
      <c r="S47" s="3"/>
      <c r="T47" s="34"/>
      <c r="U47" s="43"/>
    </row>
    <row r="48" spans="1:21" x14ac:dyDescent="0.25">
      <c r="A48" s="26" t="s">
        <v>31</v>
      </c>
      <c r="B48" s="38">
        <f>C37</f>
        <v>0</v>
      </c>
      <c r="C48" s="26"/>
      <c r="D48" s="26"/>
      <c r="E48" s="26"/>
      <c r="F48" s="38"/>
      <c r="G48" s="26"/>
      <c r="H48" s="26"/>
      <c r="I48" s="3"/>
      <c r="R48" s="45" t="s">
        <v>32</v>
      </c>
    </row>
    <row r="49" spans="1:14" x14ac:dyDescent="0.25">
      <c r="A49" s="26" t="s">
        <v>20</v>
      </c>
      <c r="B49" s="39">
        <v>0.1</v>
      </c>
      <c r="C49" s="38">
        <f>B49*B45</f>
        <v>9230</v>
      </c>
      <c r="D49" s="26"/>
      <c r="E49" s="26" t="s">
        <v>20</v>
      </c>
      <c r="F49" s="38"/>
      <c r="G49" s="38">
        <f>F50*B45</f>
        <v>9230</v>
      </c>
      <c r="H49" s="26"/>
      <c r="I49" s="3"/>
    </row>
    <row r="50" spans="1:14" x14ac:dyDescent="0.25">
      <c r="A50" s="37" t="s">
        <v>21</v>
      </c>
      <c r="B50" s="26" t="s">
        <v>22</v>
      </c>
      <c r="C50" s="26"/>
      <c r="D50" s="26"/>
      <c r="E50" s="37" t="s">
        <v>21</v>
      </c>
      <c r="F50" s="39">
        <v>0.1</v>
      </c>
      <c r="G50" s="26"/>
      <c r="H50" s="26"/>
      <c r="I50" s="34"/>
    </row>
    <row r="51" spans="1:14" x14ac:dyDescent="0.25">
      <c r="A51" s="41" t="s">
        <v>23</v>
      </c>
      <c r="B51" s="39">
        <v>0.3</v>
      </c>
      <c r="C51" s="42"/>
      <c r="D51" s="26"/>
      <c r="E51" s="41" t="s">
        <v>23</v>
      </c>
      <c r="F51" s="40"/>
      <c r="G51" s="42"/>
      <c r="H51" s="26"/>
      <c r="I51" s="3"/>
    </row>
    <row r="52" spans="1:14" x14ac:dyDescent="0.25">
      <c r="A52" s="40" t="s">
        <v>159</v>
      </c>
      <c r="C52">
        <v>50105</v>
      </c>
      <c r="D52" s="42"/>
      <c r="E52" s="40" t="s">
        <v>159</v>
      </c>
      <c r="G52">
        <v>50105</v>
      </c>
      <c r="H52" s="26"/>
      <c r="I52" s="3"/>
    </row>
    <row r="53" spans="1:14" x14ac:dyDescent="0.25">
      <c r="A53" s="40" t="s">
        <v>163</v>
      </c>
      <c r="B53" s="39"/>
      <c r="C53" s="26">
        <v>31000</v>
      </c>
      <c r="D53" s="26"/>
      <c r="E53" s="40" t="s">
        <v>163</v>
      </c>
      <c r="F53" s="39"/>
      <c r="G53" s="26">
        <v>31000</v>
      </c>
      <c r="H53" s="26"/>
      <c r="I53" s="34"/>
      <c r="J53" s="28"/>
      <c r="M53" s="52"/>
    </row>
    <row r="54" spans="1:14" x14ac:dyDescent="0.25">
      <c r="A54" s="40" t="s">
        <v>169</v>
      </c>
      <c r="B54" s="39"/>
      <c r="C54" s="26">
        <v>10100</v>
      </c>
      <c r="D54" s="26"/>
      <c r="E54" s="40"/>
      <c r="F54" s="39"/>
      <c r="G54" s="26"/>
      <c r="H54" s="26"/>
      <c r="I54" s="43"/>
      <c r="J54" s="52"/>
    </row>
    <row r="55" spans="1:14" x14ac:dyDescent="0.25">
      <c r="A55" s="40"/>
      <c r="B55" s="26"/>
      <c r="C55" s="42"/>
      <c r="D55" s="26"/>
      <c r="E55" s="40"/>
      <c r="F55" s="26"/>
      <c r="G55" s="42"/>
      <c r="H55" s="26"/>
      <c r="J55" s="28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  <c r="I56" s="3"/>
      <c r="M56" s="52"/>
    </row>
    <row r="57" spans="1:14" x14ac:dyDescent="0.25">
      <c r="A57" s="40"/>
      <c r="B57" s="26"/>
      <c r="C57" s="42"/>
      <c r="D57" s="26"/>
      <c r="E57" s="40"/>
      <c r="F57" s="26"/>
      <c r="G57" s="42"/>
      <c r="H57" s="26"/>
    </row>
    <row r="58" spans="1:14" x14ac:dyDescent="0.25">
      <c r="A58" s="37" t="s">
        <v>11</v>
      </c>
      <c r="B58" s="44">
        <f>B48+B45+B46+B47-C49</f>
        <v>137463</v>
      </c>
      <c r="C58" s="44">
        <f>SUM(C51:C57)</f>
        <v>91205</v>
      </c>
      <c r="D58" s="44">
        <f>B58-C58</f>
        <v>46258</v>
      </c>
      <c r="E58" s="37" t="s">
        <v>11</v>
      </c>
      <c r="F58" s="42">
        <f>F45+F46-G49</f>
        <v>91126</v>
      </c>
      <c r="G58" s="44">
        <f>SUM(G51:G57)</f>
        <v>81105</v>
      </c>
      <c r="H58" s="44">
        <f>F58-G58</f>
        <v>10021</v>
      </c>
      <c r="I58" s="3"/>
      <c r="L58" s="52"/>
      <c r="M58" s="52"/>
    </row>
    <row r="59" spans="1:14" x14ac:dyDescent="0.25">
      <c r="A59" s="45" t="s">
        <v>24</v>
      </c>
      <c r="B59" s="46"/>
      <c r="C59" s="46" t="s">
        <v>25</v>
      </c>
      <c r="D59" s="47"/>
      <c r="E59" s="45"/>
      <c r="F59" s="44"/>
      <c r="G59" s="3"/>
      <c r="H59" s="3"/>
      <c r="I59" s="3"/>
    </row>
    <row r="60" spans="1:14" x14ac:dyDescent="0.25">
      <c r="A60" s="45" t="s">
        <v>27</v>
      </c>
      <c r="B60" s="46"/>
      <c r="C60" s="46" t="s">
        <v>10</v>
      </c>
      <c r="D60" s="47"/>
      <c r="E60" s="45"/>
      <c r="F60" s="45" t="s">
        <v>26</v>
      </c>
      <c r="G60" s="3"/>
      <c r="H60" s="34"/>
      <c r="I60" s="43"/>
    </row>
    <row r="61" spans="1:14" x14ac:dyDescent="0.25">
      <c r="F61" s="45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22" workbookViewId="0">
      <selection activeCell="M13" sqref="M13"/>
    </sheetView>
  </sheetViews>
  <sheetFormatPr defaultRowHeight="15" x14ac:dyDescent="0.25"/>
  <cols>
    <col min="1" max="1" width="22.42578125" style="56" customWidth="1"/>
    <col min="2" max="12" width="9.140625" style="56"/>
    <col min="13" max="13" width="20.85546875" style="56" customWidth="1"/>
    <col min="14" max="16384" width="9.140625" style="56"/>
  </cols>
  <sheetData>
    <row r="1" spans="1:21" ht="15.75" x14ac:dyDescent="0.25">
      <c r="B1" s="1" t="s">
        <v>28</v>
      </c>
      <c r="C1" s="1"/>
      <c r="D1" s="1"/>
      <c r="E1" s="1"/>
      <c r="F1" s="4"/>
      <c r="G1" s="35"/>
      <c r="H1" s="35"/>
      <c r="I1" s="35"/>
      <c r="N1" s="1" t="s">
        <v>28</v>
      </c>
      <c r="O1" s="1"/>
      <c r="P1" s="1"/>
      <c r="Q1" s="1"/>
    </row>
    <row r="2" spans="1:21" ht="15.75" x14ac:dyDescent="0.25">
      <c r="A2" s="35"/>
      <c r="B2" s="1" t="s">
        <v>0</v>
      </c>
      <c r="D2" s="1"/>
      <c r="E2" s="1"/>
      <c r="F2" s="4"/>
      <c r="G2" s="35"/>
      <c r="H2" s="35"/>
      <c r="I2" s="35"/>
      <c r="N2" s="1" t="s">
        <v>0</v>
      </c>
      <c r="P2" s="1"/>
      <c r="Q2" s="1"/>
    </row>
    <row r="3" spans="1:21" ht="18.75" x14ac:dyDescent="0.3">
      <c r="A3" s="5"/>
      <c r="B3" s="1" t="s">
        <v>160</v>
      </c>
      <c r="C3" s="1"/>
      <c r="D3" s="1"/>
      <c r="E3" s="1"/>
      <c r="F3" s="57"/>
      <c r="G3" s="58"/>
      <c r="H3" s="35"/>
      <c r="I3" s="35"/>
      <c r="N3" s="1" t="s">
        <v>161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</row>
    <row r="5" spans="1:21" x14ac:dyDescent="0.25">
      <c r="A5" s="59" t="s">
        <v>39</v>
      </c>
      <c r="B5" s="60">
        <v>1</v>
      </c>
      <c r="C5" s="61"/>
      <c r="D5" s="62">
        <f>'SEPTEMBER 21'!H5:H37</f>
        <v>0</v>
      </c>
      <c r="E5" s="63"/>
      <c r="F5" s="63">
        <f>C5+D5+E5</f>
        <v>0</v>
      </c>
      <c r="G5" s="63"/>
      <c r="H5" s="64">
        <f>F5-G5</f>
        <v>0</v>
      </c>
      <c r="I5" s="62"/>
      <c r="M5" s="65" t="s">
        <v>83</v>
      </c>
      <c r="N5" s="60">
        <v>11</v>
      </c>
      <c r="O5" s="61"/>
      <c r="P5" s="62">
        <f>'SEPTEMBER 21'!T5:T25</f>
        <v>2000</v>
      </c>
      <c r="Q5" s="63">
        <v>2000</v>
      </c>
      <c r="R5" s="66">
        <f>O5+P5+Q5</f>
        <v>4000</v>
      </c>
      <c r="S5" s="63">
        <v>2000</v>
      </c>
      <c r="T5" s="64">
        <f>R5-S5</f>
        <v>2000</v>
      </c>
    </row>
    <row r="6" spans="1:21" x14ac:dyDescent="0.25">
      <c r="A6" s="67"/>
      <c r="B6" s="60">
        <v>2</v>
      </c>
      <c r="C6" s="61"/>
      <c r="D6" s="62">
        <f>'SEPTEMBER 21'!H6:H38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M6" s="65" t="s">
        <v>83</v>
      </c>
      <c r="N6" s="68">
        <v>12</v>
      </c>
      <c r="O6" s="61"/>
      <c r="P6" s="62">
        <f>'SEPTEMBER 21'!T6:T26</f>
        <v>3600</v>
      </c>
      <c r="Q6" s="63">
        <v>2000</v>
      </c>
      <c r="R6" s="66">
        <f t="shared" ref="R6:R22" si="2">O6+P6+Q6</f>
        <v>5600</v>
      </c>
      <c r="S6" s="63">
        <v>2000</v>
      </c>
      <c r="T6" s="64">
        <f t="shared" ref="T6:T24" si="3">R6-S6</f>
        <v>3600</v>
      </c>
    </row>
    <row r="7" spans="1:21" x14ac:dyDescent="0.25">
      <c r="A7" s="69"/>
      <c r="B7" s="60">
        <v>3</v>
      </c>
      <c r="C7" s="61"/>
      <c r="D7" s="62">
        <f>'SEPTEMBER 21'!H7:H39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M7" s="65" t="s">
        <v>120</v>
      </c>
      <c r="N7" s="60">
        <v>13</v>
      </c>
      <c r="O7" s="61"/>
      <c r="P7" s="62">
        <f>'SEPTEMBER 21'!T7:T27</f>
        <v>2000</v>
      </c>
      <c r="Q7" s="63">
        <v>2000</v>
      </c>
      <c r="R7" s="66">
        <f t="shared" si="2"/>
        <v>4000</v>
      </c>
      <c r="S7" s="63">
        <v>2000</v>
      </c>
      <c r="T7" s="64">
        <f t="shared" si="3"/>
        <v>2000</v>
      </c>
      <c r="U7" s="56" t="s">
        <v>101</v>
      </c>
    </row>
    <row r="8" spans="1:21" x14ac:dyDescent="0.25">
      <c r="A8" s="25" t="s">
        <v>119</v>
      </c>
      <c r="B8" s="60">
        <v>4</v>
      </c>
      <c r="C8" s="61"/>
      <c r="D8" s="62">
        <f>'SEPTEMBER 21'!H8:H40</f>
        <v>0</v>
      </c>
      <c r="E8" s="63">
        <v>2700</v>
      </c>
      <c r="F8" s="63">
        <f t="shared" si="0"/>
        <v>2700</v>
      </c>
      <c r="G8" s="63">
        <v>2700</v>
      </c>
      <c r="H8" s="64">
        <f>F8-G8</f>
        <v>0</v>
      </c>
      <c r="I8" s="62"/>
      <c r="M8" s="65" t="s">
        <v>97</v>
      </c>
      <c r="N8" s="68">
        <v>14</v>
      </c>
      <c r="O8" s="61"/>
      <c r="P8" s="62">
        <f>'SEPTEMBER 21'!T8:T28</f>
        <v>4000</v>
      </c>
      <c r="Q8" s="63">
        <v>2000</v>
      </c>
      <c r="R8" s="66">
        <f t="shared" si="2"/>
        <v>6000</v>
      </c>
      <c r="S8" s="63"/>
      <c r="T8" s="64">
        <f t="shared" si="3"/>
        <v>6000</v>
      </c>
    </row>
    <row r="9" spans="1:21" x14ac:dyDescent="0.25">
      <c r="A9" s="70" t="s">
        <v>129</v>
      </c>
      <c r="B9" s="60">
        <v>5</v>
      </c>
      <c r="C9" s="61"/>
      <c r="D9" s="62">
        <f>'SEPTEMBER 21'!H9:H41</f>
        <v>2200</v>
      </c>
      <c r="E9" s="63">
        <v>2700</v>
      </c>
      <c r="F9" s="63">
        <f t="shared" si="0"/>
        <v>4900</v>
      </c>
      <c r="G9" s="63"/>
      <c r="H9" s="64">
        <f t="shared" si="1"/>
        <v>4900</v>
      </c>
      <c r="I9" s="62"/>
      <c r="M9" s="65" t="s">
        <v>85</v>
      </c>
      <c r="N9" s="60">
        <v>15</v>
      </c>
      <c r="O9" s="61"/>
      <c r="P9" s="62">
        <f>'SEPTEMBER 21'!T9:T29</f>
        <v>2000</v>
      </c>
      <c r="Q9" s="63">
        <v>2000</v>
      </c>
      <c r="R9" s="66">
        <f t="shared" si="2"/>
        <v>4000</v>
      </c>
      <c r="S9" s="63"/>
      <c r="T9" s="64">
        <f t="shared" si="3"/>
        <v>4000</v>
      </c>
    </row>
    <row r="10" spans="1:21" x14ac:dyDescent="0.25">
      <c r="A10" s="65" t="s">
        <v>41</v>
      </c>
      <c r="B10" s="60">
        <v>6</v>
      </c>
      <c r="C10" s="61"/>
      <c r="D10" s="62">
        <f>'SEPTEMBER 21'!H10:H42</f>
        <v>1950</v>
      </c>
      <c r="E10" s="63">
        <v>2700</v>
      </c>
      <c r="F10" s="63">
        <f>C10+D10+E10</f>
        <v>4650</v>
      </c>
      <c r="G10" s="63">
        <v>2000</v>
      </c>
      <c r="H10" s="64">
        <f t="shared" si="1"/>
        <v>2650</v>
      </c>
      <c r="I10" s="62"/>
      <c r="M10" s="65" t="s">
        <v>86</v>
      </c>
      <c r="N10" s="68">
        <v>16</v>
      </c>
      <c r="O10" s="61"/>
      <c r="P10" s="62">
        <f>'SEPTEMBER 21'!T10:T30</f>
        <v>0</v>
      </c>
      <c r="Q10" s="63">
        <v>2000</v>
      </c>
      <c r="R10" s="66">
        <f t="shared" si="2"/>
        <v>2000</v>
      </c>
      <c r="S10" s="63">
        <v>2000</v>
      </c>
      <c r="T10" s="64">
        <f t="shared" si="3"/>
        <v>0</v>
      </c>
      <c r="U10" s="56" t="s">
        <v>101</v>
      </c>
    </row>
    <row r="11" spans="1:21" x14ac:dyDescent="0.25">
      <c r="A11" s="71" t="s">
        <v>42</v>
      </c>
      <c r="B11" s="60">
        <v>7</v>
      </c>
      <c r="C11" s="61"/>
      <c r="D11" s="62">
        <f>'SEPTEMBER 21'!H11:H43</f>
        <v>5200</v>
      </c>
      <c r="E11" s="63">
        <v>2700</v>
      </c>
      <c r="F11" s="63">
        <f t="shared" si="0"/>
        <v>7900</v>
      </c>
      <c r="G11" s="63">
        <v>2700</v>
      </c>
      <c r="H11" s="64">
        <f t="shared" si="1"/>
        <v>5200</v>
      </c>
      <c r="I11" s="62"/>
      <c r="M11" s="65" t="s">
        <v>104</v>
      </c>
      <c r="N11" s="60">
        <v>17</v>
      </c>
      <c r="O11" s="61"/>
      <c r="P11" s="62">
        <f>'SEPTEMBER 21'!T11:T31</f>
        <v>8000</v>
      </c>
      <c r="Q11" s="63">
        <v>2000</v>
      </c>
      <c r="R11" s="66">
        <f t="shared" si="2"/>
        <v>10000</v>
      </c>
      <c r="S11" s="63"/>
      <c r="T11" s="64">
        <f t="shared" si="3"/>
        <v>10000</v>
      </c>
    </row>
    <row r="12" spans="1:21" x14ac:dyDescent="0.25">
      <c r="A12" s="72" t="s">
        <v>43</v>
      </c>
      <c r="B12" s="60">
        <v>8</v>
      </c>
      <c r="C12" s="61"/>
      <c r="D12" s="62">
        <f>'SEPTEMBER 21'!H12:H44</f>
        <v>1000</v>
      </c>
      <c r="E12" s="63">
        <v>2700</v>
      </c>
      <c r="F12" s="63">
        <f t="shared" si="0"/>
        <v>3700</v>
      </c>
      <c r="G12" s="63"/>
      <c r="H12" s="64">
        <f t="shared" si="1"/>
        <v>3700</v>
      </c>
      <c r="I12" s="62"/>
      <c r="M12" s="59" t="s">
        <v>120</v>
      </c>
      <c r="N12" s="68">
        <v>18</v>
      </c>
      <c r="O12" s="61"/>
      <c r="P12" s="62">
        <f>'SEPTEMBER 21'!T12:T32</f>
        <v>0</v>
      </c>
      <c r="Q12" s="63">
        <v>2000</v>
      </c>
      <c r="R12" s="66">
        <f>O12+P12+Q12</f>
        <v>2000</v>
      </c>
      <c r="S12" s="63">
        <v>2000</v>
      </c>
      <c r="T12" s="64">
        <f t="shared" si="3"/>
        <v>0</v>
      </c>
      <c r="U12" s="56" t="s">
        <v>101</v>
      </c>
    </row>
    <row r="13" spans="1:21" x14ac:dyDescent="0.25">
      <c r="A13" s="73" t="s">
        <v>39</v>
      </c>
      <c r="B13" s="60">
        <v>9</v>
      </c>
      <c r="C13" s="61"/>
      <c r="D13" s="62">
        <f>'SEPTEMBER 21'!H13:H45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M13" s="65"/>
      <c r="N13" s="60">
        <v>19</v>
      </c>
      <c r="O13" s="61"/>
      <c r="P13" s="62">
        <f>'SEPTEMBER 21'!T13:T33</f>
        <v>0</v>
      </c>
      <c r="Q13" s="63"/>
      <c r="R13" s="66">
        <f t="shared" si="2"/>
        <v>0</v>
      </c>
      <c r="S13" s="63"/>
      <c r="T13" s="64">
        <f t="shared" si="3"/>
        <v>0</v>
      </c>
    </row>
    <row r="14" spans="1:21" x14ac:dyDescent="0.25">
      <c r="A14" s="25" t="s">
        <v>44</v>
      </c>
      <c r="B14" s="68">
        <v>10</v>
      </c>
      <c r="C14" s="61"/>
      <c r="D14" s="62">
        <f>'SEPTEMBER 21'!H14:H46</f>
        <v>4100</v>
      </c>
      <c r="E14" s="63">
        <v>2700</v>
      </c>
      <c r="F14" s="63">
        <f t="shared" si="0"/>
        <v>6800</v>
      </c>
      <c r="G14" s="63">
        <v>1400</v>
      </c>
      <c r="H14" s="64">
        <f t="shared" si="1"/>
        <v>5400</v>
      </c>
      <c r="I14" s="62"/>
      <c r="M14" s="65" t="s">
        <v>120</v>
      </c>
      <c r="N14" s="68">
        <v>20</v>
      </c>
      <c r="O14" s="61"/>
      <c r="P14" s="62">
        <f>'SEPTEMBER 21'!T14:T34</f>
        <v>0</v>
      </c>
      <c r="Q14" s="63">
        <v>2000</v>
      </c>
      <c r="R14" s="66">
        <f t="shared" si="2"/>
        <v>2000</v>
      </c>
      <c r="S14" s="63">
        <v>2000</v>
      </c>
      <c r="T14" s="64">
        <f t="shared" si="3"/>
        <v>0</v>
      </c>
      <c r="U14" s="56" t="s">
        <v>101</v>
      </c>
    </row>
    <row r="15" spans="1:21" x14ac:dyDescent="0.25">
      <c r="A15" s="65" t="s">
        <v>45</v>
      </c>
      <c r="B15" s="60">
        <v>11</v>
      </c>
      <c r="C15" s="61"/>
      <c r="D15" s="62">
        <f>'SEPTEMBER 21'!H15:H47</f>
        <v>3900</v>
      </c>
      <c r="E15" s="63">
        <v>2700</v>
      </c>
      <c r="F15" s="63">
        <f t="shared" si="0"/>
        <v>6600</v>
      </c>
      <c r="G15" s="63">
        <f>2000</f>
        <v>2000</v>
      </c>
      <c r="H15" s="64">
        <f t="shared" si="1"/>
        <v>4600</v>
      </c>
      <c r="I15" s="62"/>
      <c r="M15" s="65" t="s">
        <v>120</v>
      </c>
      <c r="N15" s="60">
        <v>21</v>
      </c>
      <c r="O15" s="61"/>
      <c r="P15" s="62">
        <f>'SEPTEMBER 21'!T15:T35</f>
        <v>2000</v>
      </c>
      <c r="Q15" s="63">
        <v>2000</v>
      </c>
      <c r="R15" s="66">
        <f t="shared" si="2"/>
        <v>4000</v>
      </c>
      <c r="S15" s="63"/>
      <c r="T15" s="64">
        <f t="shared" si="3"/>
        <v>4000</v>
      </c>
    </row>
    <row r="16" spans="1:21" x14ac:dyDescent="0.25">
      <c r="A16" s="65" t="s">
        <v>46</v>
      </c>
      <c r="B16" s="68">
        <v>12</v>
      </c>
      <c r="C16" s="61"/>
      <c r="D16" s="62">
        <f>'SEPTEMBER 21'!H16:H48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M16" s="25" t="s">
        <v>89</v>
      </c>
      <c r="N16" s="68">
        <v>22</v>
      </c>
      <c r="O16" s="61"/>
      <c r="P16" s="62">
        <f>'SEPTEMBER 21'!T16:T36</f>
        <v>9000</v>
      </c>
      <c r="Q16" s="63">
        <v>2000</v>
      </c>
      <c r="R16" s="66">
        <f t="shared" si="2"/>
        <v>11000</v>
      </c>
      <c r="S16" s="63"/>
      <c r="T16" s="64">
        <f t="shared" si="3"/>
        <v>11000</v>
      </c>
    </row>
    <row r="17" spans="1:20" x14ac:dyDescent="0.25">
      <c r="A17" s="65" t="s">
        <v>47</v>
      </c>
      <c r="B17" s="60">
        <v>13</v>
      </c>
      <c r="C17" s="61"/>
      <c r="D17" s="62">
        <f>'SEPTEMBER 21'!H17:H49</f>
        <v>400</v>
      </c>
      <c r="E17" s="63">
        <v>2700</v>
      </c>
      <c r="F17" s="63">
        <f t="shared" si="0"/>
        <v>3100</v>
      </c>
      <c r="G17" s="63"/>
      <c r="H17" s="64">
        <f>F17-G17</f>
        <v>3100</v>
      </c>
      <c r="I17" s="62"/>
      <c r="M17" s="69" t="s">
        <v>120</v>
      </c>
      <c r="N17" s="60">
        <v>23</v>
      </c>
      <c r="O17" s="61"/>
      <c r="P17" s="62">
        <f>'SEPTEMBER 21'!T17:T37</f>
        <v>2000</v>
      </c>
      <c r="Q17" s="63">
        <v>2000</v>
      </c>
      <c r="R17" s="66">
        <f t="shared" si="2"/>
        <v>4000</v>
      </c>
      <c r="S17" s="63"/>
      <c r="T17" s="64">
        <f t="shared" si="3"/>
        <v>4000</v>
      </c>
    </row>
    <row r="18" spans="1:20" x14ac:dyDescent="0.25">
      <c r="A18" s="65" t="s">
        <v>48</v>
      </c>
      <c r="B18" s="68">
        <v>14</v>
      </c>
      <c r="C18" s="61"/>
      <c r="D18" s="62">
        <f>'SEPTEMBER 21'!H18:H50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M18" s="65" t="s">
        <v>120</v>
      </c>
      <c r="N18" s="68">
        <v>24</v>
      </c>
      <c r="O18" s="61"/>
      <c r="P18" s="62">
        <f>'SEPTEMBER 21'!T18:T38</f>
        <v>0</v>
      </c>
      <c r="Q18" s="63">
        <v>2000</v>
      </c>
      <c r="R18" s="66">
        <f t="shared" si="2"/>
        <v>2000</v>
      </c>
      <c r="S18" s="63"/>
      <c r="T18" s="64">
        <f t="shared" si="3"/>
        <v>2000</v>
      </c>
    </row>
    <row r="19" spans="1:20" x14ac:dyDescent="0.25">
      <c r="A19" s="65" t="s">
        <v>49</v>
      </c>
      <c r="B19" s="60">
        <v>15</v>
      </c>
      <c r="C19" s="61"/>
      <c r="D19" s="62">
        <f>'SEPTEMBER 21'!H19:H51</f>
        <v>600</v>
      </c>
      <c r="E19" s="63">
        <v>1500</v>
      </c>
      <c r="F19" s="63">
        <f>C19+D19+E19</f>
        <v>2100</v>
      </c>
      <c r="G19" s="63">
        <f>900</f>
        <v>900</v>
      </c>
      <c r="H19" s="64">
        <f t="shared" si="1"/>
        <v>1200</v>
      </c>
      <c r="I19" s="62"/>
      <c r="M19" s="65" t="s">
        <v>95</v>
      </c>
      <c r="N19" s="60">
        <v>25</v>
      </c>
      <c r="O19" s="61"/>
      <c r="P19" s="62">
        <f>'SEPTEMBER 21'!T19:T39</f>
        <v>6000</v>
      </c>
      <c r="Q19" s="63">
        <v>2000</v>
      </c>
      <c r="R19" s="66">
        <f t="shared" si="2"/>
        <v>8000</v>
      </c>
      <c r="S19" s="63"/>
      <c r="T19" s="64">
        <f t="shared" si="3"/>
        <v>8000</v>
      </c>
    </row>
    <row r="20" spans="1:20" x14ac:dyDescent="0.25">
      <c r="A20" s="65" t="s">
        <v>50</v>
      </c>
      <c r="B20" s="68">
        <v>16</v>
      </c>
      <c r="C20" s="61"/>
      <c r="D20" s="62">
        <f>'SEPTEMBER 21'!H20:H52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M20" s="74" t="s">
        <v>96</v>
      </c>
      <c r="N20" s="68">
        <v>26</v>
      </c>
      <c r="O20" s="61"/>
      <c r="P20" s="62">
        <f>'SEPTEMBER 21'!T20:T40</f>
        <v>6000</v>
      </c>
      <c r="Q20" s="63">
        <v>2000</v>
      </c>
      <c r="R20" s="66">
        <f t="shared" si="2"/>
        <v>8000</v>
      </c>
      <c r="S20" s="63"/>
      <c r="T20" s="64">
        <f t="shared" si="3"/>
        <v>8000</v>
      </c>
    </row>
    <row r="21" spans="1:20" x14ac:dyDescent="0.25">
      <c r="A21" s="65" t="s">
        <v>51</v>
      </c>
      <c r="B21" s="60">
        <v>17</v>
      </c>
      <c r="C21" s="61"/>
      <c r="D21" s="62">
        <f>'SEPTEMBER 21'!H21:H53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M21" s="25" t="s">
        <v>91</v>
      </c>
      <c r="N21" s="60">
        <v>27</v>
      </c>
      <c r="O21" s="61"/>
      <c r="P21" s="62">
        <f>'SEPTEMBER 21'!T21:T41</f>
        <v>2000</v>
      </c>
      <c r="Q21" s="63">
        <v>2000</v>
      </c>
      <c r="R21" s="66">
        <f t="shared" si="2"/>
        <v>4000</v>
      </c>
      <c r="S21" s="63"/>
      <c r="T21" s="64">
        <f t="shared" si="3"/>
        <v>4000</v>
      </c>
    </row>
    <row r="22" spans="1:20" x14ac:dyDescent="0.25">
      <c r="A22" s="65" t="s">
        <v>52</v>
      </c>
      <c r="B22" s="68">
        <v>18</v>
      </c>
      <c r="C22" s="61"/>
      <c r="D22" s="62">
        <f>'SEPTEMBER 21'!H22:H54</f>
        <v>0</v>
      </c>
      <c r="E22" s="63">
        <v>2700</v>
      </c>
      <c r="F22" s="63">
        <f>C22+D22+E22</f>
        <v>2700</v>
      </c>
      <c r="G22" s="63">
        <v>2700</v>
      </c>
      <c r="H22" s="64">
        <f t="shared" si="1"/>
        <v>0</v>
      </c>
      <c r="I22" s="62"/>
      <c r="M22" s="25" t="s">
        <v>120</v>
      </c>
      <c r="N22" s="68">
        <v>28</v>
      </c>
      <c r="O22" s="61"/>
      <c r="P22" s="62">
        <f>'SEPTEMBER 21'!T22:T42</f>
        <v>0</v>
      </c>
      <c r="Q22" s="63">
        <v>2000</v>
      </c>
      <c r="R22" s="66">
        <f t="shared" si="2"/>
        <v>2000</v>
      </c>
      <c r="S22" s="63"/>
      <c r="T22" s="64">
        <f t="shared" si="3"/>
        <v>2000</v>
      </c>
    </row>
    <row r="23" spans="1:20" x14ac:dyDescent="0.25">
      <c r="A23" s="65" t="s">
        <v>53</v>
      </c>
      <c r="B23" s="60">
        <v>19</v>
      </c>
      <c r="C23" s="61"/>
      <c r="D23" s="62">
        <f>'SEPTEMBER 21'!H23:H55</f>
        <v>0</v>
      </c>
      <c r="E23" s="63">
        <v>2700</v>
      </c>
      <c r="F23" s="63">
        <f>C23+D23+E23</f>
        <v>2700</v>
      </c>
      <c r="G23" s="63">
        <v>2700</v>
      </c>
      <c r="H23" s="64">
        <f t="shared" si="1"/>
        <v>0</v>
      </c>
      <c r="I23" s="62"/>
      <c r="M23" s="70" t="s">
        <v>39</v>
      </c>
      <c r="N23" s="60">
        <v>29</v>
      </c>
      <c r="O23" s="61"/>
      <c r="P23" s="62">
        <f>'SEPTEMBER 21'!T23:T43</f>
        <v>0</v>
      </c>
      <c r="Q23" s="63"/>
      <c r="R23" s="66">
        <f>O23+P23+Q23</f>
        <v>0</v>
      </c>
      <c r="S23" s="63"/>
      <c r="T23" s="64">
        <f t="shared" si="3"/>
        <v>0</v>
      </c>
    </row>
    <row r="24" spans="1:20" x14ac:dyDescent="0.25">
      <c r="A24" s="65" t="s">
        <v>54</v>
      </c>
      <c r="B24" s="68">
        <v>20</v>
      </c>
      <c r="C24" s="61"/>
      <c r="D24" s="62">
        <f>'SEPTEMBER 21'!H24:H56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M24" s="25" t="s">
        <v>94</v>
      </c>
      <c r="N24" s="68">
        <v>30</v>
      </c>
      <c r="O24" s="61"/>
      <c r="P24" s="62">
        <f>'SEPTEMBER 21'!T24:T44</f>
        <v>4000</v>
      </c>
      <c r="Q24" s="63">
        <v>2000</v>
      </c>
      <c r="R24" s="66">
        <f>O24+P24+Q24</f>
        <v>6000</v>
      </c>
      <c r="S24" s="63"/>
      <c r="T24" s="64">
        <f t="shared" si="3"/>
        <v>6000</v>
      </c>
    </row>
    <row r="25" spans="1:20" x14ac:dyDescent="0.25">
      <c r="A25" s="25" t="s">
        <v>108</v>
      </c>
      <c r="B25" s="60">
        <v>21</v>
      </c>
      <c r="C25" s="61"/>
      <c r="D25" s="62">
        <f>'SEPTEMBER 21'!H25:H57</f>
        <v>2400</v>
      </c>
      <c r="E25" s="63">
        <v>2700</v>
      </c>
      <c r="F25" s="63">
        <f t="shared" si="0"/>
        <v>5100</v>
      </c>
      <c r="G25" s="63"/>
      <c r="H25" s="64">
        <f t="shared" si="1"/>
        <v>5100</v>
      </c>
      <c r="I25" s="62"/>
      <c r="M25" s="25" t="s">
        <v>11</v>
      </c>
      <c r="N25" s="60"/>
      <c r="O25" s="61"/>
      <c r="P25" s="62">
        <f>'SEPTEMBER 21'!T25:T45</f>
        <v>52600</v>
      </c>
      <c r="Q25" s="63">
        <f t="shared" ref="Q25:T25" si="4">SUM(Q5:Q24)</f>
        <v>36000</v>
      </c>
      <c r="R25" s="66">
        <f t="shared" si="4"/>
        <v>88600</v>
      </c>
      <c r="S25" s="63">
        <f t="shared" si="4"/>
        <v>12000</v>
      </c>
      <c r="T25" s="63">
        <f t="shared" si="4"/>
        <v>76600</v>
      </c>
    </row>
    <row r="26" spans="1:20" x14ac:dyDescent="0.25">
      <c r="A26" s="69" t="s">
        <v>72</v>
      </c>
      <c r="B26" s="68">
        <v>22</v>
      </c>
      <c r="C26" s="61"/>
      <c r="D26" s="62">
        <f>'SEPTEMBER 21'!H26:H58</f>
        <v>6500</v>
      </c>
      <c r="E26" s="63">
        <v>2700</v>
      </c>
      <c r="F26" s="63">
        <f>C26+D26+E26</f>
        <v>9200</v>
      </c>
      <c r="G26" s="63"/>
      <c r="H26" s="64">
        <f t="shared" si="1"/>
        <v>9200</v>
      </c>
      <c r="I26" s="62"/>
    </row>
    <row r="27" spans="1:20" x14ac:dyDescent="0.25">
      <c r="A27" s="74" t="s">
        <v>56</v>
      </c>
      <c r="B27" s="60">
        <v>23</v>
      </c>
      <c r="C27" s="61"/>
      <c r="D27" s="62">
        <f>'SEPTEMBER 21'!H27:H59</f>
        <v>3000</v>
      </c>
      <c r="E27" s="63">
        <v>2700</v>
      </c>
      <c r="F27" s="63">
        <f t="shared" si="0"/>
        <v>5700</v>
      </c>
      <c r="G27" s="63">
        <f>2000</f>
        <v>2000</v>
      </c>
      <c r="H27" s="64">
        <f t="shared" si="1"/>
        <v>3700</v>
      </c>
      <c r="I27" s="62"/>
      <c r="J27" s="76"/>
    </row>
    <row r="28" spans="1:20" x14ac:dyDescent="0.25">
      <c r="A28" s="59" t="s">
        <v>157</v>
      </c>
      <c r="B28" s="68">
        <v>24</v>
      </c>
      <c r="C28" s="61"/>
      <c r="D28" s="62">
        <f>'SEPTEMBER 21'!H28:H60</f>
        <v>0</v>
      </c>
      <c r="E28" s="63">
        <v>2700</v>
      </c>
      <c r="F28" s="63">
        <f>C28+D28+E28</f>
        <v>2700</v>
      </c>
      <c r="G28" s="63">
        <v>2700</v>
      </c>
      <c r="H28" s="64">
        <f>F28-G28</f>
        <v>0</v>
      </c>
      <c r="I28" s="62"/>
      <c r="M28" s="35" t="s">
        <v>12</v>
      </c>
      <c r="N28" s="29"/>
      <c r="O28" s="30"/>
      <c r="P28" s="31"/>
      <c r="Q28" s="32"/>
      <c r="S28" s="32"/>
      <c r="T28" s="77"/>
    </row>
    <row r="29" spans="1:20" x14ac:dyDescent="0.25">
      <c r="A29" s="74" t="s">
        <v>58</v>
      </c>
      <c r="B29" s="60">
        <v>25</v>
      </c>
      <c r="C29" s="61"/>
      <c r="D29" s="62">
        <f>'SEPTEMBER 21'!H29:H61</f>
        <v>0</v>
      </c>
      <c r="E29" s="63"/>
      <c r="F29" s="63">
        <f>C29+D29+E29</f>
        <v>0</v>
      </c>
      <c r="G29" s="63"/>
      <c r="H29" s="64">
        <f>F29-G29</f>
        <v>0</v>
      </c>
      <c r="I29" s="62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</row>
    <row r="30" spans="1:20" x14ac:dyDescent="0.25">
      <c r="A30" s="70" t="s">
        <v>39</v>
      </c>
      <c r="B30" s="68">
        <v>26</v>
      </c>
      <c r="C30" s="61"/>
      <c r="D30" s="62">
        <f>'SEPTEMBER 21'!H30:H62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</row>
    <row r="31" spans="1:20" x14ac:dyDescent="0.25">
      <c r="A31" s="25" t="s">
        <v>59</v>
      </c>
      <c r="B31" s="68" t="s">
        <v>33</v>
      </c>
      <c r="C31" s="61"/>
      <c r="D31" s="62">
        <f>'SEPTEMBER 21'!H31:H63</f>
        <v>0</v>
      </c>
      <c r="E31" s="63">
        <v>6400</v>
      </c>
      <c r="F31" s="63">
        <f>C31+D31+E31</f>
        <v>6400</v>
      </c>
      <c r="G31" s="63">
        <v>6400</v>
      </c>
      <c r="H31" s="64">
        <f t="shared" si="6"/>
        <v>0</v>
      </c>
      <c r="I31" s="62"/>
      <c r="M31" s="37" t="s">
        <v>162</v>
      </c>
      <c r="N31" s="44">
        <f>Q25</f>
        <v>36000</v>
      </c>
      <c r="O31" s="37"/>
      <c r="P31" s="37"/>
      <c r="Q31" s="37" t="s">
        <v>162</v>
      </c>
      <c r="R31" s="76">
        <f>S25</f>
        <v>12000</v>
      </c>
      <c r="S31" s="37"/>
      <c r="T31" s="37"/>
    </row>
    <row r="32" spans="1:20" x14ac:dyDescent="0.25">
      <c r="A32" s="25" t="s">
        <v>126</v>
      </c>
      <c r="B32" s="68" t="s">
        <v>34</v>
      </c>
      <c r="C32" s="61"/>
      <c r="D32" s="62">
        <f>'SEPTEMBER 21'!H32:H64</f>
        <v>0</v>
      </c>
      <c r="E32" s="63">
        <v>6400</v>
      </c>
      <c r="F32" s="63">
        <f t="shared" si="5"/>
        <v>6400</v>
      </c>
      <c r="G32" s="63">
        <f>6000</f>
        <v>6000</v>
      </c>
      <c r="H32" s="64">
        <f t="shared" si="6"/>
        <v>400</v>
      </c>
      <c r="I32" s="62"/>
      <c r="M32" s="37" t="s">
        <v>18</v>
      </c>
      <c r="N32" s="44">
        <f>'SEPTEMBER 21'!P45</f>
        <v>52221</v>
      </c>
      <c r="O32" s="37"/>
      <c r="P32" s="37"/>
      <c r="Q32" s="37" t="s">
        <v>18</v>
      </c>
      <c r="R32" s="44">
        <f>'SEPTEMBER 21'!T45</f>
        <v>-379</v>
      </c>
      <c r="S32" s="37"/>
      <c r="T32" s="37"/>
    </row>
    <row r="33" spans="1:20" x14ac:dyDescent="0.25">
      <c r="A33" s="25" t="s">
        <v>61</v>
      </c>
      <c r="B33" s="68" t="s">
        <v>35</v>
      </c>
      <c r="C33" s="61"/>
      <c r="D33" s="62">
        <f>'SEPTEMBER 21'!H33:H65</f>
        <v>0</v>
      </c>
      <c r="E33" s="63">
        <v>6400</v>
      </c>
      <c r="F33" s="63">
        <f t="shared" si="5"/>
        <v>6400</v>
      </c>
      <c r="G33" s="63">
        <v>6400</v>
      </c>
      <c r="H33" s="64">
        <f t="shared" si="6"/>
        <v>0</v>
      </c>
      <c r="I33" s="62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</row>
    <row r="34" spans="1:20" x14ac:dyDescent="0.25">
      <c r="A34" s="25" t="s">
        <v>62</v>
      </c>
      <c r="B34" s="68" t="s">
        <v>36</v>
      </c>
      <c r="C34" s="61"/>
      <c r="D34" s="62">
        <f>'SEPTEMBER 21'!H34:H66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M34" s="37" t="s">
        <v>31</v>
      </c>
      <c r="N34" s="44"/>
      <c r="O34" s="37"/>
      <c r="P34" s="37"/>
      <c r="Q34" s="37"/>
      <c r="R34" s="44"/>
      <c r="S34" s="37"/>
      <c r="T34" s="37"/>
    </row>
    <row r="35" spans="1:20" x14ac:dyDescent="0.25">
      <c r="A35" s="25" t="s">
        <v>63</v>
      </c>
      <c r="B35" s="68" t="s">
        <v>37</v>
      </c>
      <c r="C35" s="61"/>
      <c r="D35" s="62">
        <f>'SEPTEMBER 21'!H35:H67</f>
        <v>2500</v>
      </c>
      <c r="E35" s="63">
        <v>7000</v>
      </c>
      <c r="F35" s="63">
        <f t="shared" si="5"/>
        <v>9500</v>
      </c>
      <c r="G35" s="63">
        <f>7000</f>
        <v>7000</v>
      </c>
      <c r="H35" s="64">
        <f t="shared" si="6"/>
        <v>2500</v>
      </c>
      <c r="I35" s="62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</row>
    <row r="36" spans="1:20" x14ac:dyDescent="0.25">
      <c r="A36" s="25" t="s">
        <v>64</v>
      </c>
      <c r="B36" s="68" t="s">
        <v>38</v>
      </c>
      <c r="C36" s="61"/>
      <c r="D36" s="62">
        <f>'SEPTEMBER 21'!H36:H68</f>
        <v>0</v>
      </c>
      <c r="E36" s="63">
        <v>10000</v>
      </c>
      <c r="F36" s="63">
        <f t="shared" si="5"/>
        <v>10000</v>
      </c>
      <c r="G36" s="63">
        <v>10000</v>
      </c>
      <c r="H36" s="64">
        <f t="shared" si="6"/>
        <v>0</v>
      </c>
      <c r="I36" s="62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</row>
    <row r="37" spans="1:20" x14ac:dyDescent="0.25">
      <c r="A37" s="25" t="s">
        <v>11</v>
      </c>
      <c r="B37" s="37"/>
      <c r="C37" s="61">
        <f t="shared" ref="C37:H37" si="7">SUM(C5:C36)</f>
        <v>0</v>
      </c>
      <c r="D37" s="62">
        <f>'SEPTEMBER 21'!H37:H69</f>
        <v>43850</v>
      </c>
      <c r="E37" s="27">
        <f t="shared" si="7"/>
        <v>89600</v>
      </c>
      <c r="F37" s="63">
        <f t="shared" si="7"/>
        <v>133450</v>
      </c>
      <c r="G37" s="63">
        <f t="shared" si="7"/>
        <v>71700</v>
      </c>
      <c r="H37" s="63">
        <f t="shared" si="7"/>
        <v>61750</v>
      </c>
      <c r="I37" s="62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</row>
    <row r="38" spans="1:20" x14ac:dyDescent="0.25">
      <c r="D38" s="62">
        <f>'SEPTEMBER 21'!H38:H70</f>
        <v>0</v>
      </c>
      <c r="F38" s="63"/>
      <c r="H38" s="76"/>
      <c r="I38" s="35"/>
      <c r="M38" s="81" t="s">
        <v>171</v>
      </c>
      <c r="O38" s="76">
        <f>Q7+Q10+Q12+Q14</f>
        <v>8000</v>
      </c>
      <c r="P38" s="80"/>
      <c r="Q38" s="81" t="s">
        <v>171</v>
      </c>
      <c r="S38" s="76">
        <f>O38</f>
        <v>8000</v>
      </c>
      <c r="T38" s="37"/>
    </row>
    <row r="39" spans="1:20" x14ac:dyDescent="0.25">
      <c r="M39" s="81"/>
      <c r="N39" s="78"/>
      <c r="O39" s="80"/>
      <c r="P39" s="37"/>
      <c r="Q39" s="81"/>
      <c r="R39" s="78"/>
      <c r="S39" s="80"/>
      <c r="T39" s="37"/>
    </row>
    <row r="40" spans="1:20" ht="15.75" x14ac:dyDescent="0.25">
      <c r="B40" s="1"/>
      <c r="C40" s="1"/>
      <c r="D40" s="1"/>
      <c r="E40" s="1"/>
      <c r="F40" s="4"/>
      <c r="G40" s="35"/>
      <c r="H40" s="35"/>
      <c r="I40" s="35"/>
      <c r="N40" s="1"/>
      <c r="O40" s="1"/>
      <c r="P40" s="1"/>
      <c r="Q40" s="1"/>
    </row>
    <row r="41" spans="1:20" x14ac:dyDescent="0.25">
      <c r="A41" s="35" t="s">
        <v>12</v>
      </c>
      <c r="B41" s="29"/>
      <c r="C41" s="30"/>
      <c r="D41" s="31"/>
      <c r="E41" s="32"/>
      <c r="G41" s="32"/>
      <c r="H41" s="77"/>
      <c r="I41" s="35"/>
      <c r="M41" s="81"/>
      <c r="N41" s="37"/>
      <c r="O41" s="80"/>
      <c r="P41" s="37"/>
      <c r="Q41" s="81"/>
      <c r="R41" s="37"/>
      <c r="S41" s="80"/>
      <c r="T41" s="37"/>
    </row>
    <row r="42" spans="1:20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M42" s="81"/>
      <c r="N42" s="37"/>
      <c r="O42" s="80"/>
      <c r="P42" s="37"/>
      <c r="Q42" s="81"/>
      <c r="R42" s="37"/>
      <c r="S42" s="80"/>
      <c r="T42" s="37"/>
    </row>
    <row r="43" spans="1:20" x14ac:dyDescent="0.25">
      <c r="A43" s="35"/>
      <c r="B43" s="35"/>
      <c r="C43" s="35"/>
      <c r="D43" s="36"/>
      <c r="E43" s="35"/>
      <c r="F43" s="33"/>
      <c r="G43" s="35"/>
      <c r="H43" s="35"/>
      <c r="I43" s="35"/>
      <c r="M43" s="81"/>
      <c r="N43" s="37"/>
      <c r="O43" s="80"/>
      <c r="P43" s="37"/>
      <c r="Q43" s="81"/>
      <c r="R43" s="37"/>
      <c r="S43" s="80"/>
      <c r="T43" s="37"/>
    </row>
    <row r="44" spans="1:20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M44" s="81"/>
      <c r="N44" s="37"/>
      <c r="O44" s="80"/>
      <c r="P44" s="37"/>
      <c r="Q44" s="81"/>
      <c r="R44" s="37"/>
      <c r="S44" s="80"/>
      <c r="T44" s="37"/>
    </row>
    <row r="45" spans="1:20" x14ac:dyDescent="0.25">
      <c r="A45" s="37" t="s">
        <v>162</v>
      </c>
      <c r="B45" s="44">
        <f>E37</f>
        <v>89600</v>
      </c>
      <c r="C45" s="37"/>
      <c r="D45" s="37"/>
      <c r="E45" s="37" t="s">
        <v>162</v>
      </c>
      <c r="F45" s="76">
        <f>G37</f>
        <v>71700</v>
      </c>
      <c r="G45" s="37"/>
      <c r="H45" s="37"/>
      <c r="I45" s="77"/>
      <c r="M45" s="37" t="s">
        <v>11</v>
      </c>
      <c r="N45" s="44">
        <f>N34+N31+N32+N33-O35</f>
        <v>84621</v>
      </c>
      <c r="O45" s="44">
        <f>SUM(O37:O44)</f>
        <v>8000</v>
      </c>
      <c r="P45" s="44">
        <f>N45-O45</f>
        <v>76621</v>
      </c>
      <c r="Q45" s="37" t="s">
        <v>11</v>
      </c>
      <c r="R45" s="80">
        <f>R31+R32-S35</f>
        <v>8021</v>
      </c>
      <c r="S45" s="44">
        <f>SUM(S37:S44)</f>
        <v>8000</v>
      </c>
      <c r="T45" s="44">
        <f>R45-S45</f>
        <v>21</v>
      </c>
    </row>
    <row r="46" spans="1:20" x14ac:dyDescent="0.25">
      <c r="A46" s="37" t="s">
        <v>18</v>
      </c>
      <c r="B46" s="44">
        <f>'SEPTEMBER 21'!D58</f>
        <v>46258</v>
      </c>
      <c r="C46" s="37"/>
      <c r="D46" s="37"/>
      <c r="E46" s="37" t="s">
        <v>18</v>
      </c>
      <c r="F46" s="44">
        <f>'SEPTEMBER 21'!H58</f>
        <v>10021</v>
      </c>
      <c r="G46" s="37"/>
      <c r="H46" s="37"/>
      <c r="I46" s="77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</row>
    <row r="47" spans="1:20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</row>
    <row r="48" spans="1:20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R48" s="82" t="s">
        <v>32</v>
      </c>
    </row>
    <row r="49" spans="1:14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</row>
    <row r="50" spans="1:14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</row>
    <row r="51" spans="1:14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</row>
    <row r="52" spans="1:14" x14ac:dyDescent="0.25">
      <c r="A52" s="81" t="s">
        <v>164</v>
      </c>
      <c r="C52" s="56">
        <v>10087</v>
      </c>
      <c r="D52" s="80"/>
      <c r="E52" s="81" t="s">
        <v>164</v>
      </c>
      <c r="G52" s="56">
        <v>10087</v>
      </c>
      <c r="H52" s="37"/>
      <c r="I52" s="35"/>
    </row>
    <row r="53" spans="1:14" x14ac:dyDescent="0.25">
      <c r="A53" s="81" t="s">
        <v>165</v>
      </c>
      <c r="B53" s="78"/>
      <c r="C53" s="37">
        <v>41105</v>
      </c>
      <c r="D53" s="37"/>
      <c r="E53" s="81" t="s">
        <v>165</v>
      </c>
      <c r="F53" s="78"/>
      <c r="G53" s="37">
        <v>41105</v>
      </c>
      <c r="H53" s="37"/>
      <c r="I53" s="77"/>
      <c r="J53" s="76"/>
      <c r="M53" s="85"/>
    </row>
    <row r="54" spans="1:14" x14ac:dyDescent="0.25">
      <c r="A54" s="81" t="s">
        <v>170</v>
      </c>
      <c r="B54" s="78"/>
      <c r="C54" s="37">
        <v>15160</v>
      </c>
      <c r="D54" s="37"/>
      <c r="E54" s="81" t="s">
        <v>170</v>
      </c>
      <c r="F54" s="78"/>
      <c r="G54" s="37">
        <v>15160</v>
      </c>
      <c r="H54" s="37"/>
      <c r="I54" s="86"/>
      <c r="J54" s="85"/>
    </row>
    <row r="55" spans="1:14" x14ac:dyDescent="0.25">
      <c r="A55" s="81" t="s">
        <v>173</v>
      </c>
      <c r="B55" s="37"/>
      <c r="C55" s="80">
        <v>10100</v>
      </c>
      <c r="D55" s="37"/>
      <c r="E55" s="81"/>
      <c r="F55" s="37"/>
      <c r="G55" s="80"/>
      <c r="H55" s="37"/>
      <c r="J55" s="76"/>
      <c r="N55" s="76"/>
    </row>
    <row r="56" spans="1:14" x14ac:dyDescent="0.25">
      <c r="A56" s="81" t="s">
        <v>174</v>
      </c>
      <c r="B56" s="37"/>
      <c r="C56" s="80">
        <v>9200</v>
      </c>
      <c r="D56" s="37"/>
      <c r="E56" s="81"/>
      <c r="F56" s="37"/>
      <c r="G56" s="80"/>
      <c r="H56" s="37"/>
      <c r="I56" s="35"/>
      <c r="M56" s="85"/>
    </row>
    <row r="57" spans="1:14" x14ac:dyDescent="0.25">
      <c r="A57" s="81"/>
      <c r="B57" s="37"/>
      <c r="C57" s="80"/>
      <c r="D57" s="37"/>
      <c r="E57" s="81"/>
      <c r="F57" s="37"/>
      <c r="G57" s="80"/>
      <c r="H57" s="37"/>
    </row>
    <row r="58" spans="1:14" x14ac:dyDescent="0.25">
      <c r="A58" s="37" t="s">
        <v>11</v>
      </c>
      <c r="B58" s="44">
        <f>B48+B45+B46+B47-C49</f>
        <v>126898</v>
      </c>
      <c r="C58" s="44">
        <f>SUM(C51:C57)</f>
        <v>85652</v>
      </c>
      <c r="D58" s="44">
        <f>B58-C58</f>
        <v>41246</v>
      </c>
      <c r="E58" s="37" t="s">
        <v>11</v>
      </c>
      <c r="F58" s="80">
        <f>F45+F46-G49</f>
        <v>72761</v>
      </c>
      <c r="G58" s="44">
        <f>SUM(G51:G57)</f>
        <v>66352</v>
      </c>
      <c r="H58" s="44">
        <f>F58-G58</f>
        <v>6409</v>
      </c>
      <c r="I58" s="35"/>
      <c r="L58" s="85"/>
      <c r="M58" s="85"/>
    </row>
    <row r="59" spans="1:14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</row>
    <row r="60" spans="1:14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</row>
    <row r="61" spans="1:14" x14ac:dyDescent="0.25">
      <c r="F61" s="82" t="s">
        <v>32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2021-01-28T11:40:32Z</dcterms:created>
  <dcterms:modified xsi:type="dcterms:W3CDTF">2021-12-16T08:50:33Z</dcterms:modified>
</cp:coreProperties>
</file>