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310" tabRatio="494" firstSheet="10" activeTab="13"/>
  </bookViews>
  <sheets>
    <sheet name="NOVEMBER 20" sheetId="1" r:id="rId1"/>
    <sheet name="DECEMBER 20" sheetId="2" r:id="rId2"/>
    <sheet name="JANUARY 21" sheetId="3" r:id="rId3"/>
    <sheet name="FEBRUARY21" sheetId="4" r:id="rId4"/>
    <sheet name="MARCH 21" sheetId="5" r:id="rId5"/>
    <sheet name="APRIL 21" sheetId="6" r:id="rId6"/>
    <sheet name="MAY 21" sheetId="7" r:id="rId7"/>
    <sheet name="JUNE21" sheetId="8" r:id="rId8"/>
    <sheet name="JULY 21" sheetId="9" r:id="rId9"/>
    <sheet name="AUGUST 21" sheetId="10" r:id="rId10"/>
    <sheet name="SEPTEMBER 21" sheetId="11" r:id="rId11"/>
    <sheet name="OCTOBER 21" sheetId="12" r:id="rId12"/>
    <sheet name="NOVEMBER 21" sheetId="13" r:id="rId13"/>
    <sheet name="DECEMBER 21" sheetId="14" r:id="rId14"/>
  </sheets>
  <externalReferences>
    <externalReference r:id="rId15"/>
  </externalReferences>
  <calcPr calcId="144525"/>
  <fileRecoveryPr repairLoad="1"/>
</workbook>
</file>

<file path=xl/calcChain.xml><?xml version="1.0" encoding="utf-8"?>
<calcChain xmlns="http://schemas.openxmlformats.org/spreadsheetml/2006/main">
  <c r="K46" i="14" l="1"/>
  <c r="K45" i="14"/>
  <c r="K44" i="14"/>
  <c r="K42" i="14"/>
  <c r="B37" i="14"/>
  <c r="K37" i="14"/>
  <c r="K34" i="14"/>
  <c r="B35" i="12"/>
  <c r="G13" i="13" l="1"/>
  <c r="G8" i="14" l="1"/>
  <c r="G17" i="13" l="1"/>
  <c r="G48" i="14"/>
  <c r="C48" i="14"/>
  <c r="I28" i="14"/>
  <c r="C28" i="14"/>
  <c r="G28" i="14"/>
  <c r="F34" i="14" s="1"/>
  <c r="E8" i="14"/>
  <c r="E28" i="14" s="1"/>
  <c r="B34" i="14" l="1"/>
  <c r="G15" i="13"/>
  <c r="G38" i="14" l="1"/>
  <c r="C38" i="14"/>
  <c r="K35" i="14" s="1"/>
  <c r="K36" i="14" s="1"/>
  <c r="K38" i="14" s="1"/>
  <c r="K40" i="14" s="1"/>
  <c r="K51" i="12"/>
  <c r="K53" i="12" s="1"/>
  <c r="K55" i="12" s="1"/>
  <c r="K56" i="12" s="1"/>
  <c r="K37" i="12"/>
  <c r="G21" i="12" l="1"/>
  <c r="G48" i="13" l="1"/>
  <c r="C48" i="13"/>
  <c r="N40" i="13"/>
  <c r="I28" i="13"/>
  <c r="C28" i="13"/>
  <c r="F19" i="13"/>
  <c r="H19" i="13" s="1"/>
  <c r="D19" i="14" s="1"/>
  <c r="F19" i="14" s="1"/>
  <c r="H19" i="14" s="1"/>
  <c r="G28" i="13"/>
  <c r="F34" i="13" s="1"/>
  <c r="E8" i="13"/>
  <c r="E28" i="13" l="1"/>
  <c r="K34" i="13" s="1"/>
  <c r="G10" i="12"/>
  <c r="B34" i="13" l="1"/>
  <c r="G13" i="12"/>
  <c r="G19" i="12"/>
  <c r="G38" i="13" l="1"/>
  <c r="C38" i="13"/>
  <c r="K39" i="12"/>
  <c r="K34" i="12"/>
  <c r="K35" i="13" l="1"/>
  <c r="K36" i="13" s="1"/>
  <c r="K38" i="13" s="1"/>
  <c r="K40" i="13" s="1"/>
  <c r="N40" i="12"/>
  <c r="G48" i="12" l="1"/>
  <c r="C48" i="12"/>
  <c r="I28" i="12"/>
  <c r="C28" i="12"/>
  <c r="G28" i="12"/>
  <c r="F34" i="12" s="1"/>
  <c r="E8" i="12"/>
  <c r="E28" i="12" s="1"/>
  <c r="B34" i="12" s="1"/>
  <c r="G38" i="12" l="1"/>
  <c r="C38" i="12"/>
  <c r="K35" i="12" s="1"/>
  <c r="K36" i="12" s="1"/>
  <c r="K38" i="12" s="1"/>
  <c r="K40" i="12" s="1"/>
  <c r="G8" i="11"/>
  <c r="G10" i="11" l="1"/>
  <c r="M39" i="11" l="1"/>
  <c r="G21" i="11"/>
  <c r="G11" i="11" l="1"/>
  <c r="G8" i="10" l="1"/>
  <c r="G48" i="11"/>
  <c r="C48" i="11"/>
  <c r="I28" i="11"/>
  <c r="C28" i="11"/>
  <c r="B37" i="11" s="1"/>
  <c r="E8" i="11"/>
  <c r="E28" i="11" s="1"/>
  <c r="G28" i="11"/>
  <c r="F34" i="11" s="1"/>
  <c r="B34" i="11" l="1"/>
  <c r="M36" i="11"/>
  <c r="C38" i="11"/>
  <c r="M37" i="11" s="1"/>
  <c r="G11" i="10"/>
  <c r="F12" i="10"/>
  <c r="G38" i="11" l="1"/>
  <c r="F17" i="12"/>
  <c r="H17" i="12" s="1"/>
  <c r="D17" i="13" s="1"/>
  <c r="F17" i="13" s="1"/>
  <c r="H17" i="13" s="1"/>
  <c r="D17" i="14" s="1"/>
  <c r="M38" i="11"/>
  <c r="M40" i="11" s="1"/>
  <c r="G17" i="10"/>
  <c r="F17" i="14" l="1"/>
  <c r="G14" i="10"/>
  <c r="G21" i="10"/>
  <c r="H17" i="14" l="1"/>
  <c r="G7" i="10"/>
  <c r="G15" i="10" l="1"/>
  <c r="G17" i="9" l="1"/>
  <c r="M49" i="9" l="1"/>
  <c r="M50" i="9" s="1"/>
  <c r="G48" i="10" l="1"/>
  <c r="C48" i="10"/>
  <c r="I28" i="10"/>
  <c r="C28" i="10"/>
  <c r="G28" i="10"/>
  <c r="F34" i="10" s="1"/>
  <c r="H12" i="10"/>
  <c r="D12" i="11" s="1"/>
  <c r="F12" i="11" s="1"/>
  <c r="H12" i="11" s="1"/>
  <c r="D12" i="12" s="1"/>
  <c r="F12" i="12" s="1"/>
  <c r="E8" i="10"/>
  <c r="E28" i="10" s="1"/>
  <c r="B34" i="10" s="1"/>
  <c r="H12" i="12" l="1"/>
  <c r="D12" i="13" s="1"/>
  <c r="F12" i="13" s="1"/>
  <c r="H12" i="13" s="1"/>
  <c r="D12" i="14" s="1"/>
  <c r="F12" i="14" s="1"/>
  <c r="H12" i="14" s="1"/>
  <c r="C38" i="10"/>
  <c r="G38" i="10"/>
  <c r="I46" i="9"/>
  <c r="I44" i="9"/>
  <c r="I42" i="9"/>
  <c r="G8" i="8"/>
  <c r="G16" i="9" l="1"/>
  <c r="G15" i="9" l="1"/>
  <c r="D10" i="9" l="1"/>
  <c r="D11" i="9"/>
  <c r="G48" i="9"/>
  <c r="C48" i="9"/>
  <c r="I28" i="9"/>
  <c r="C28" i="9"/>
  <c r="F15" i="9"/>
  <c r="H15" i="9" s="1"/>
  <c r="D15" i="10" s="1"/>
  <c r="F15" i="10" s="1"/>
  <c r="H15" i="10" s="1"/>
  <c r="D15" i="11" s="1"/>
  <c r="F15" i="11" s="1"/>
  <c r="H15" i="11" s="1"/>
  <c r="D15" i="12" s="1"/>
  <c r="F15" i="12" s="1"/>
  <c r="H15" i="12" s="1"/>
  <c r="F15" i="13" s="1"/>
  <c r="H15" i="13" s="1"/>
  <c r="D15" i="14" s="1"/>
  <c r="F15" i="14" s="1"/>
  <c r="H15" i="14" s="1"/>
  <c r="F11" i="9"/>
  <c r="H11" i="9" s="1"/>
  <c r="D11" i="10" s="1"/>
  <c r="F11" i="10" s="1"/>
  <c r="H11" i="10" s="1"/>
  <c r="D11" i="11" s="1"/>
  <c r="F11" i="11" s="1"/>
  <c r="H11" i="11" s="1"/>
  <c r="D11" i="12" s="1"/>
  <c r="F11" i="12" s="1"/>
  <c r="H11" i="12" s="1"/>
  <c r="D11" i="13" s="1"/>
  <c r="F11" i="13" s="1"/>
  <c r="H11" i="13" s="1"/>
  <c r="D11" i="14" s="1"/>
  <c r="F11" i="14" s="1"/>
  <c r="H11" i="14" s="1"/>
  <c r="F10" i="9"/>
  <c r="H10" i="9" s="1"/>
  <c r="D10" i="10" s="1"/>
  <c r="F10" i="10" s="1"/>
  <c r="H10" i="10" s="1"/>
  <c r="D10" i="11" s="1"/>
  <c r="F10" i="11" s="1"/>
  <c r="H10" i="11" s="1"/>
  <c r="D10" i="12" s="1"/>
  <c r="F10" i="12" s="1"/>
  <c r="H10" i="12" s="1"/>
  <c r="D10" i="13" s="1"/>
  <c r="F10" i="13" s="1"/>
  <c r="H10" i="13" s="1"/>
  <c r="D10" i="14" s="1"/>
  <c r="F10" i="14" s="1"/>
  <c r="H10" i="14" s="1"/>
  <c r="E8" i="9"/>
  <c r="E28" i="9" s="1"/>
  <c r="B34" i="9" s="1"/>
  <c r="F7" i="9"/>
  <c r="H7" i="9" s="1"/>
  <c r="D7" i="10" s="1"/>
  <c r="F7" i="10" s="1"/>
  <c r="H7" i="10" s="1"/>
  <c r="D7" i="11" s="1"/>
  <c r="F7" i="11" s="1"/>
  <c r="H7" i="11" s="1"/>
  <c r="D7" i="12" s="1"/>
  <c r="F7" i="12" s="1"/>
  <c r="H7" i="12" s="1"/>
  <c r="D7" i="13" s="1"/>
  <c r="F7" i="13" s="1"/>
  <c r="H7" i="13" s="1"/>
  <c r="D7" i="14" s="1"/>
  <c r="F7" i="14" s="1"/>
  <c r="H7" i="14" s="1"/>
  <c r="G28" i="9"/>
  <c r="F34" i="9" s="1"/>
  <c r="G17" i="8"/>
  <c r="G7" i="8"/>
  <c r="G38" i="9" l="1"/>
  <c r="C38" i="9"/>
  <c r="I41" i="9" s="1"/>
  <c r="I43" i="9" s="1"/>
  <c r="I45" i="9" s="1"/>
  <c r="I47" i="9" s="1"/>
  <c r="G15" i="8"/>
  <c r="G9" i="8" l="1"/>
  <c r="G12" i="8" l="1"/>
  <c r="O31" i="8" l="1"/>
  <c r="O29" i="8"/>
  <c r="O28" i="8"/>
  <c r="J35" i="7"/>
  <c r="B37" i="7"/>
  <c r="O30" i="8" l="1"/>
  <c r="O32" i="8" s="1"/>
  <c r="O34" i="8" s="1"/>
  <c r="O36" i="8" s="1"/>
  <c r="O37" i="8" s="1"/>
  <c r="J36" i="7"/>
  <c r="J37" i="7" s="1"/>
  <c r="G6" i="8"/>
  <c r="G16" i="8" l="1"/>
  <c r="G10" i="8" l="1"/>
  <c r="G14" i="8" l="1"/>
  <c r="D10" i="8" l="1"/>
  <c r="F10" i="8" s="1"/>
  <c r="D11" i="8"/>
  <c r="F11" i="8" s="1"/>
  <c r="G48" i="8"/>
  <c r="C48" i="8"/>
  <c r="I28" i="8"/>
  <c r="C28" i="8"/>
  <c r="F15" i="8"/>
  <c r="H15" i="8" s="1"/>
  <c r="E8" i="8"/>
  <c r="E28" i="8" s="1"/>
  <c r="B34" i="8" s="1"/>
  <c r="G28" i="8"/>
  <c r="F34" i="8" s="1"/>
  <c r="G38" i="8" l="1"/>
  <c r="C38" i="8"/>
  <c r="G15" i="7"/>
  <c r="G7" i="7"/>
  <c r="G17" i="7" l="1"/>
  <c r="G12" i="7"/>
  <c r="M51" i="7" l="1"/>
  <c r="M49" i="7"/>
  <c r="M50" i="7" s="1"/>
  <c r="K50" i="7"/>
  <c r="K44" i="7"/>
  <c r="K42" i="7"/>
  <c r="M53" i="7" l="1"/>
  <c r="K45" i="7"/>
  <c r="K47" i="7" s="1"/>
  <c r="G16" i="7"/>
  <c r="G9" i="7" l="1"/>
  <c r="G14" i="7" l="1"/>
  <c r="G10" i="7" l="1"/>
  <c r="G21" i="7" l="1"/>
  <c r="G8" i="7" l="1"/>
  <c r="D10" i="7" l="1"/>
  <c r="F10" i="7" s="1"/>
  <c r="G48" i="7"/>
  <c r="C48" i="7"/>
  <c r="I28" i="7"/>
  <c r="C28" i="7"/>
  <c r="F19" i="7"/>
  <c r="H19" i="7" s="1"/>
  <c r="D19" i="8" s="1"/>
  <c r="F19" i="8" s="1"/>
  <c r="H19" i="8" s="1"/>
  <c r="D19" i="9" s="1"/>
  <c r="F19" i="9" s="1"/>
  <c r="H19" i="9" s="1"/>
  <c r="D19" i="10" s="1"/>
  <c r="F19" i="10" s="1"/>
  <c r="H19" i="10" s="1"/>
  <c r="D19" i="11" s="1"/>
  <c r="F19" i="11" s="1"/>
  <c r="H19" i="11" s="1"/>
  <c r="D19" i="12" s="1"/>
  <c r="F19" i="12" s="1"/>
  <c r="H19" i="12" s="1"/>
  <c r="F17" i="7"/>
  <c r="H17" i="7" s="1"/>
  <c r="D17" i="8" s="1"/>
  <c r="F17" i="8" s="1"/>
  <c r="H17" i="8" s="1"/>
  <c r="D17" i="9" s="1"/>
  <c r="F17" i="9" s="1"/>
  <c r="H17" i="9" s="1"/>
  <c r="D17" i="10" s="1"/>
  <c r="F17" i="10" s="1"/>
  <c r="H17" i="10" s="1"/>
  <c r="G28" i="7"/>
  <c r="F34" i="7" s="1"/>
  <c r="E8" i="7"/>
  <c r="E28" i="7" s="1"/>
  <c r="B34" i="7" s="1"/>
  <c r="F7" i="7"/>
  <c r="H7" i="7" s="1"/>
  <c r="D7" i="8" s="1"/>
  <c r="F7" i="8" s="1"/>
  <c r="H7" i="8" s="1"/>
  <c r="D17" i="11" l="1"/>
  <c r="F17" i="11" s="1"/>
  <c r="H17" i="11" s="1"/>
  <c r="G38" i="7"/>
  <c r="C38" i="7"/>
  <c r="K48" i="7" s="1"/>
  <c r="K49" i="7" s="1"/>
  <c r="K52" i="7" s="1"/>
  <c r="F6" i="7"/>
  <c r="G8" i="5"/>
  <c r="G11" i="6"/>
  <c r="J17" i="6"/>
  <c r="H6" i="7" l="1"/>
  <c r="D6" i="8" s="1"/>
  <c r="F6" i="8" s="1"/>
  <c r="C45" i="6"/>
  <c r="H6" i="8" l="1"/>
  <c r="G21" i="6"/>
  <c r="D6" i="9" l="1"/>
  <c r="G10" i="6"/>
  <c r="F6" i="9" l="1"/>
  <c r="G16" i="6"/>
  <c r="H6" i="9" l="1"/>
  <c r="D6" i="10" s="1"/>
  <c r="F6" i="10" s="1"/>
  <c r="G14" i="6"/>
  <c r="H6" i="10" l="1"/>
  <c r="G9" i="6"/>
  <c r="D6" i="11" l="1"/>
  <c r="F6" i="11" l="1"/>
  <c r="G17" i="6"/>
  <c r="G41" i="6"/>
  <c r="C41" i="6"/>
  <c r="H6" i="11" l="1"/>
  <c r="D6" i="12" s="1"/>
  <c r="G8" i="6"/>
  <c r="F6" i="12" l="1"/>
  <c r="G12" i="5"/>
  <c r="H6" i="12" l="1"/>
  <c r="G17" i="3"/>
  <c r="D10" i="6"/>
  <c r="F10" i="6" s="1"/>
  <c r="G48" i="6"/>
  <c r="C48" i="6"/>
  <c r="I28" i="6"/>
  <c r="C28" i="6"/>
  <c r="G28" i="6"/>
  <c r="F34" i="6" s="1"/>
  <c r="E8" i="6"/>
  <c r="E28" i="6" s="1"/>
  <c r="B34" i="6" s="1"/>
  <c r="D6" i="13" l="1"/>
  <c r="C38" i="6"/>
  <c r="G38" i="6"/>
  <c r="G11" i="5"/>
  <c r="F6" i="13" l="1"/>
  <c r="G7" i="5"/>
  <c r="H6" i="13" l="1"/>
  <c r="D6" i="14" s="1"/>
  <c r="G13" i="5"/>
  <c r="G16" i="5"/>
  <c r="F6" i="14" l="1"/>
  <c r="G17" i="5"/>
  <c r="H6" i="14" l="1"/>
  <c r="G15" i="5"/>
  <c r="G14" i="5" l="1"/>
  <c r="G9" i="5" l="1"/>
  <c r="G48" i="5" l="1"/>
  <c r="C48" i="5"/>
  <c r="I28" i="5"/>
  <c r="C28" i="5"/>
  <c r="E8" i="5"/>
  <c r="E28" i="5" s="1"/>
  <c r="B34" i="5" s="1"/>
  <c r="G28" i="5"/>
  <c r="L15" i="3"/>
  <c r="K14" i="3"/>
  <c r="F34" i="5" l="1"/>
  <c r="G38" i="5"/>
  <c r="C38" i="5"/>
  <c r="G11" i="4"/>
  <c r="G7" i="4" l="1"/>
  <c r="G19" i="4"/>
  <c r="G6" i="4"/>
  <c r="G16" i="4" l="1"/>
  <c r="G15" i="4" l="1"/>
  <c r="G9" i="4" l="1"/>
  <c r="G14" i="4" l="1"/>
  <c r="G7" i="2" l="1"/>
  <c r="G21" i="4" l="1"/>
  <c r="G8" i="4" l="1"/>
  <c r="G8" i="3" l="1"/>
  <c r="G48" i="4" l="1"/>
  <c r="C48" i="4"/>
  <c r="I28" i="4"/>
  <c r="C28" i="4"/>
  <c r="E8" i="4"/>
  <c r="E28" i="4" s="1"/>
  <c r="B34" i="4" s="1"/>
  <c r="G28" i="4"/>
  <c r="F34" i="4" s="1"/>
  <c r="G38" i="4" l="1"/>
  <c r="C38" i="4"/>
  <c r="K40" i="4" s="1"/>
  <c r="K41" i="4" s="1"/>
  <c r="G9" i="3" l="1"/>
  <c r="G12" i="3" l="1"/>
  <c r="G10" i="3" l="1"/>
  <c r="G21" i="3" l="1"/>
  <c r="G15" i="3" l="1"/>
  <c r="G13" i="3" l="1"/>
  <c r="G6" i="3" l="1"/>
  <c r="C44" i="2" l="1"/>
  <c r="G19" i="2" l="1"/>
  <c r="F18" i="2" l="1"/>
  <c r="G48" i="3"/>
  <c r="C48" i="3"/>
  <c r="D29" i="3"/>
  <c r="I28" i="3"/>
  <c r="C28" i="3"/>
  <c r="G28" i="3"/>
  <c r="E8" i="3"/>
  <c r="E28" i="3" s="1"/>
  <c r="F34" i="3" l="1"/>
  <c r="B34" i="3"/>
  <c r="G38" i="3" s="1"/>
  <c r="C38" i="3" l="1"/>
  <c r="K40" i="3" s="1"/>
  <c r="K41" i="3" s="1"/>
  <c r="G11" i="1"/>
  <c r="G21" i="2" l="1"/>
  <c r="G18" i="2" l="1"/>
  <c r="G14" i="2" l="1"/>
  <c r="G10" i="2" l="1"/>
  <c r="E8" i="2" l="1"/>
  <c r="G13" i="2" l="1"/>
  <c r="G21" i="1" l="1"/>
  <c r="G48" i="2" l="1"/>
  <c r="C48" i="2"/>
  <c r="D29" i="2"/>
  <c r="I28" i="2"/>
  <c r="E28" i="2"/>
  <c r="B34" i="2" s="1"/>
  <c r="D28" i="2"/>
  <c r="C28" i="2"/>
  <c r="F27" i="2"/>
  <c r="H27" i="2" s="1"/>
  <c r="D27" i="3" s="1"/>
  <c r="F27" i="3" s="1"/>
  <c r="H27" i="3" s="1"/>
  <c r="D27" i="4" s="1"/>
  <c r="F27" i="4" s="1"/>
  <c r="H27" i="4" s="1"/>
  <c r="D27" i="5" s="1"/>
  <c r="F27" i="5" s="1"/>
  <c r="H27" i="5" s="1"/>
  <c r="D27" i="6" s="1"/>
  <c r="F27" i="6" s="1"/>
  <c r="H27" i="6" s="1"/>
  <c r="D27" i="7" s="1"/>
  <c r="F27" i="7" s="1"/>
  <c r="H27" i="7" s="1"/>
  <c r="D27" i="8" s="1"/>
  <c r="F27" i="8" s="1"/>
  <c r="H27" i="8" s="1"/>
  <c r="D27" i="9" s="1"/>
  <c r="F27" i="9" s="1"/>
  <c r="H27" i="9" s="1"/>
  <c r="D27" i="10" s="1"/>
  <c r="F27" i="10" s="1"/>
  <c r="H27" i="10" s="1"/>
  <c r="D27" i="11" s="1"/>
  <c r="F27" i="11" s="1"/>
  <c r="H27" i="11" s="1"/>
  <c r="D27" i="12" s="1"/>
  <c r="F27" i="12" s="1"/>
  <c r="H27" i="12" s="1"/>
  <c r="D27" i="13" s="1"/>
  <c r="F27" i="13" s="1"/>
  <c r="H27" i="13" s="1"/>
  <c r="D27" i="14" s="1"/>
  <c r="F27" i="14" s="1"/>
  <c r="H27" i="14" s="1"/>
  <c r="F26" i="2"/>
  <c r="H26" i="2" s="1"/>
  <c r="D26" i="3" s="1"/>
  <c r="F26" i="3" s="1"/>
  <c r="H26" i="3" s="1"/>
  <c r="D26" i="4" s="1"/>
  <c r="F26" i="4" s="1"/>
  <c r="H26" i="4" s="1"/>
  <c r="D26" i="5" s="1"/>
  <c r="F26" i="5" s="1"/>
  <c r="H26" i="5" s="1"/>
  <c r="D26" i="6" s="1"/>
  <c r="F26" i="6" s="1"/>
  <c r="H26" i="6" s="1"/>
  <c r="D26" i="7" s="1"/>
  <c r="F26" i="7" s="1"/>
  <c r="H26" i="7" s="1"/>
  <c r="D26" i="8" s="1"/>
  <c r="F26" i="8" s="1"/>
  <c r="H26" i="8" s="1"/>
  <c r="D26" i="9" s="1"/>
  <c r="F26" i="9" s="1"/>
  <c r="H26" i="9" s="1"/>
  <c r="D26" i="10" s="1"/>
  <c r="F26" i="10" s="1"/>
  <c r="H26" i="10" s="1"/>
  <c r="D26" i="11" s="1"/>
  <c r="F26" i="11" s="1"/>
  <c r="H26" i="11" s="1"/>
  <c r="D26" i="12" s="1"/>
  <c r="F26" i="12" s="1"/>
  <c r="H26" i="12" s="1"/>
  <c r="D26" i="13" s="1"/>
  <c r="F26" i="13" s="1"/>
  <c r="H26" i="13" s="1"/>
  <c r="D26" i="14" s="1"/>
  <c r="F26" i="14" s="1"/>
  <c r="H26" i="14" s="1"/>
  <c r="F25" i="2"/>
  <c r="H25" i="2" s="1"/>
  <c r="D25" i="3" s="1"/>
  <c r="F25" i="3" s="1"/>
  <c r="H25" i="3" s="1"/>
  <c r="D25" i="4" s="1"/>
  <c r="F25" i="4" s="1"/>
  <c r="H25" i="4" s="1"/>
  <c r="D25" i="5" s="1"/>
  <c r="F25" i="5" s="1"/>
  <c r="H25" i="5" s="1"/>
  <c r="D25" i="6" s="1"/>
  <c r="F25" i="6" s="1"/>
  <c r="H25" i="6" s="1"/>
  <c r="D25" i="7" s="1"/>
  <c r="F25" i="7" s="1"/>
  <c r="H25" i="7" s="1"/>
  <c r="D25" i="8" s="1"/>
  <c r="F25" i="8" s="1"/>
  <c r="H25" i="8" s="1"/>
  <c r="D25" i="9" s="1"/>
  <c r="F25" i="9" s="1"/>
  <c r="H25" i="9" s="1"/>
  <c r="D25" i="10" s="1"/>
  <c r="F25" i="10" s="1"/>
  <c r="H25" i="10" s="1"/>
  <c r="D25" i="11" s="1"/>
  <c r="F25" i="11" s="1"/>
  <c r="H25" i="11" s="1"/>
  <c r="D25" i="12" s="1"/>
  <c r="F25" i="12" s="1"/>
  <c r="H25" i="12" s="1"/>
  <c r="D25" i="13" s="1"/>
  <c r="F25" i="13" s="1"/>
  <c r="H25" i="13" s="1"/>
  <c r="D25" i="14" s="1"/>
  <c r="F25" i="14" s="1"/>
  <c r="H25" i="14" s="1"/>
  <c r="F24" i="2"/>
  <c r="H24" i="2" s="1"/>
  <c r="D24" i="3" s="1"/>
  <c r="F24" i="3" s="1"/>
  <c r="H24" i="3" s="1"/>
  <c r="D24" i="4" s="1"/>
  <c r="F24" i="4" s="1"/>
  <c r="H24" i="4" s="1"/>
  <c r="D24" i="5" s="1"/>
  <c r="F24" i="5" s="1"/>
  <c r="H24" i="5" s="1"/>
  <c r="D24" i="6" s="1"/>
  <c r="F24" i="6" s="1"/>
  <c r="H24" i="6" s="1"/>
  <c r="D24" i="7" s="1"/>
  <c r="F24" i="7" s="1"/>
  <c r="H24" i="7" s="1"/>
  <c r="D24" i="8" s="1"/>
  <c r="F24" i="8" s="1"/>
  <c r="H24" i="8" s="1"/>
  <c r="D24" i="9" s="1"/>
  <c r="F24" i="9" s="1"/>
  <c r="H24" i="9" s="1"/>
  <c r="D24" i="10" s="1"/>
  <c r="F24" i="10" s="1"/>
  <c r="H24" i="10" s="1"/>
  <c r="D24" i="11" s="1"/>
  <c r="F24" i="11" s="1"/>
  <c r="H24" i="11" s="1"/>
  <c r="D24" i="12" s="1"/>
  <c r="F24" i="12" s="1"/>
  <c r="H24" i="12" s="1"/>
  <c r="D24" i="13" s="1"/>
  <c r="F24" i="13" s="1"/>
  <c r="H24" i="13" s="1"/>
  <c r="D24" i="14" s="1"/>
  <c r="F24" i="14" s="1"/>
  <c r="H24" i="14" s="1"/>
  <c r="F23" i="2"/>
  <c r="H23" i="2" s="1"/>
  <c r="D23" i="3" s="1"/>
  <c r="F23" i="3" s="1"/>
  <c r="H23" i="3" s="1"/>
  <c r="D23" i="4" s="1"/>
  <c r="F23" i="4" s="1"/>
  <c r="H23" i="4" s="1"/>
  <c r="D23" i="5" s="1"/>
  <c r="F23" i="5" s="1"/>
  <c r="H23" i="5" s="1"/>
  <c r="D23" i="6" s="1"/>
  <c r="F23" i="6" s="1"/>
  <c r="H23" i="6" s="1"/>
  <c r="D23" i="7" s="1"/>
  <c r="F23" i="7" s="1"/>
  <c r="H23" i="7" s="1"/>
  <c r="D23" i="8" s="1"/>
  <c r="F23" i="8" s="1"/>
  <c r="H23" i="8" s="1"/>
  <c r="D23" i="9" s="1"/>
  <c r="F23" i="9" s="1"/>
  <c r="H23" i="9" s="1"/>
  <c r="D23" i="10" s="1"/>
  <c r="F23" i="10" s="1"/>
  <c r="H23" i="10" s="1"/>
  <c r="D23" i="11" s="1"/>
  <c r="F23" i="11" s="1"/>
  <c r="H23" i="11" s="1"/>
  <c r="D23" i="12" s="1"/>
  <c r="F23" i="12" s="1"/>
  <c r="H23" i="12" s="1"/>
  <c r="D23" i="13" s="1"/>
  <c r="F23" i="13" s="1"/>
  <c r="H23" i="13" s="1"/>
  <c r="D23" i="14" s="1"/>
  <c r="F23" i="14" s="1"/>
  <c r="H23" i="14" s="1"/>
  <c r="F22" i="2"/>
  <c r="H22" i="2" s="1"/>
  <c r="D22" i="3" s="1"/>
  <c r="F22" i="3" s="1"/>
  <c r="H22" i="3" s="1"/>
  <c r="D22" i="4" s="1"/>
  <c r="F22" i="4" s="1"/>
  <c r="H22" i="4" s="1"/>
  <c r="D22" i="5" s="1"/>
  <c r="F22" i="5" s="1"/>
  <c r="H22" i="5" s="1"/>
  <c r="D22" i="6" s="1"/>
  <c r="F22" i="6" s="1"/>
  <c r="H22" i="6" s="1"/>
  <c r="D22" i="7" s="1"/>
  <c r="F22" i="7" s="1"/>
  <c r="H22" i="7" s="1"/>
  <c r="D22" i="8" s="1"/>
  <c r="F22" i="8" s="1"/>
  <c r="H22" i="8" s="1"/>
  <c r="D22" i="9" s="1"/>
  <c r="F22" i="9" s="1"/>
  <c r="H22" i="9" s="1"/>
  <c r="D22" i="10" s="1"/>
  <c r="F22" i="10" s="1"/>
  <c r="H22" i="10" s="1"/>
  <c r="D22" i="11" s="1"/>
  <c r="F22" i="11" s="1"/>
  <c r="H22" i="11" s="1"/>
  <c r="D22" i="12" s="1"/>
  <c r="F22" i="12" s="1"/>
  <c r="H22" i="12" s="1"/>
  <c r="D22" i="13" s="1"/>
  <c r="F22" i="13" s="1"/>
  <c r="H22" i="13" s="1"/>
  <c r="D22" i="14" s="1"/>
  <c r="F22" i="14" s="1"/>
  <c r="H22" i="14" s="1"/>
  <c r="F21" i="2"/>
  <c r="H21" i="2" s="1"/>
  <c r="D21" i="3" s="1"/>
  <c r="F21" i="3" s="1"/>
  <c r="H21" i="3" s="1"/>
  <c r="D21" i="4" s="1"/>
  <c r="F21" i="4" s="1"/>
  <c r="H21" i="4" s="1"/>
  <c r="D21" i="5" s="1"/>
  <c r="F21" i="5" s="1"/>
  <c r="H21" i="5" s="1"/>
  <c r="D21" i="6" s="1"/>
  <c r="F21" i="6" s="1"/>
  <c r="H21" i="6" s="1"/>
  <c r="D21" i="7" s="1"/>
  <c r="F21" i="7" s="1"/>
  <c r="H21" i="7" s="1"/>
  <c r="D21" i="8" s="1"/>
  <c r="F21" i="8" s="1"/>
  <c r="H21" i="8" s="1"/>
  <c r="D21" i="9" s="1"/>
  <c r="F21" i="9" s="1"/>
  <c r="H21" i="9" s="1"/>
  <c r="D21" i="10" s="1"/>
  <c r="F21" i="10" s="1"/>
  <c r="H21" i="10" s="1"/>
  <c r="D21" i="11" s="1"/>
  <c r="F21" i="11" s="1"/>
  <c r="H21" i="11" s="1"/>
  <c r="D21" i="12" s="1"/>
  <c r="F21" i="12" s="1"/>
  <c r="H21" i="12" s="1"/>
  <c r="D21" i="13" s="1"/>
  <c r="F21" i="13" s="1"/>
  <c r="H21" i="13" s="1"/>
  <c r="D21" i="14" s="1"/>
  <c r="F21" i="14" s="1"/>
  <c r="H21" i="14" s="1"/>
  <c r="F20" i="2"/>
  <c r="H20" i="2" s="1"/>
  <c r="D20" i="3" s="1"/>
  <c r="F20" i="3" s="1"/>
  <c r="H20" i="3" s="1"/>
  <c r="D20" i="4" s="1"/>
  <c r="F20" i="4" s="1"/>
  <c r="H20" i="4" s="1"/>
  <c r="D20" i="5" s="1"/>
  <c r="F20" i="5" s="1"/>
  <c r="H20" i="5" s="1"/>
  <c r="D20" i="6" s="1"/>
  <c r="F20" i="6" s="1"/>
  <c r="H20" i="6" s="1"/>
  <c r="D20" i="7" s="1"/>
  <c r="F20" i="7" s="1"/>
  <c r="H20" i="7" s="1"/>
  <c r="D20" i="8" s="1"/>
  <c r="F20" i="8" s="1"/>
  <c r="H20" i="8" s="1"/>
  <c r="D20" i="9" s="1"/>
  <c r="F20" i="9" s="1"/>
  <c r="H20" i="9" s="1"/>
  <c r="D20" i="10" s="1"/>
  <c r="F20" i="10" s="1"/>
  <c r="H20" i="10" s="1"/>
  <c r="D20" i="11" s="1"/>
  <c r="F20" i="11" s="1"/>
  <c r="H20" i="11" s="1"/>
  <c r="D20" i="12" s="1"/>
  <c r="F20" i="12" s="1"/>
  <c r="H20" i="12" s="1"/>
  <c r="D20" i="13" s="1"/>
  <c r="F20" i="13" s="1"/>
  <c r="H20" i="13" s="1"/>
  <c r="D20" i="14" s="1"/>
  <c r="F20" i="14" s="1"/>
  <c r="H20" i="14" s="1"/>
  <c r="F19" i="2"/>
  <c r="H19" i="2" s="1"/>
  <c r="D19" i="3" s="1"/>
  <c r="H18" i="2"/>
  <c r="D18" i="3" s="1"/>
  <c r="F18" i="3" s="1"/>
  <c r="H18" i="3" s="1"/>
  <c r="D18" i="4" s="1"/>
  <c r="F18" i="4" s="1"/>
  <c r="H18" i="4" s="1"/>
  <c r="D18" i="5" s="1"/>
  <c r="F18" i="5" s="1"/>
  <c r="H18" i="5" s="1"/>
  <c r="D18" i="6" s="1"/>
  <c r="F18" i="6" s="1"/>
  <c r="H18" i="6" s="1"/>
  <c r="D18" i="7" s="1"/>
  <c r="F18" i="7" s="1"/>
  <c r="H18" i="7" s="1"/>
  <c r="D18" i="8" s="1"/>
  <c r="F18" i="8" s="1"/>
  <c r="H18" i="8" s="1"/>
  <c r="D18" i="9" s="1"/>
  <c r="F18" i="9" s="1"/>
  <c r="H18" i="9" s="1"/>
  <c r="D18" i="10" s="1"/>
  <c r="F18" i="10" s="1"/>
  <c r="H18" i="10" s="1"/>
  <c r="D18" i="11" s="1"/>
  <c r="F18" i="11" s="1"/>
  <c r="H18" i="11" s="1"/>
  <c r="D18" i="12" s="1"/>
  <c r="F18" i="12" s="1"/>
  <c r="H18" i="12" s="1"/>
  <c r="D18" i="13" s="1"/>
  <c r="F18" i="13" s="1"/>
  <c r="H18" i="13" s="1"/>
  <c r="D18" i="14" s="1"/>
  <c r="F18" i="14" s="1"/>
  <c r="H18" i="14" s="1"/>
  <c r="F17" i="2"/>
  <c r="H17" i="2" s="1"/>
  <c r="D17" i="3" s="1"/>
  <c r="F17" i="3" s="1"/>
  <c r="H17" i="3" s="1"/>
  <c r="D17" i="4" s="1"/>
  <c r="F16" i="2"/>
  <c r="H16" i="2" s="1"/>
  <c r="D16" i="3" s="1"/>
  <c r="F15" i="2"/>
  <c r="H15" i="2" s="1"/>
  <c r="D15" i="3" s="1"/>
  <c r="F15" i="3" s="1"/>
  <c r="H15" i="3" s="1"/>
  <c r="D15" i="4" s="1"/>
  <c r="F15" i="4" s="1"/>
  <c r="H15" i="4" s="1"/>
  <c r="D15" i="5" s="1"/>
  <c r="F15" i="5" s="1"/>
  <c r="H15" i="5" s="1"/>
  <c r="D15" i="6" s="1"/>
  <c r="F15" i="6" s="1"/>
  <c r="H15" i="6" s="1"/>
  <c r="D15" i="7" s="1"/>
  <c r="F15" i="7" s="1"/>
  <c r="H15" i="7" s="1"/>
  <c r="F14" i="2"/>
  <c r="H14" i="2" s="1"/>
  <c r="D14" i="3" s="1"/>
  <c r="F14" i="3" s="1"/>
  <c r="H14" i="3" s="1"/>
  <c r="D14" i="4" s="1"/>
  <c r="F14" i="4" s="1"/>
  <c r="H14" i="4" s="1"/>
  <c r="D14" i="5" s="1"/>
  <c r="F14" i="5" s="1"/>
  <c r="H14" i="5" s="1"/>
  <c r="D14" i="6" s="1"/>
  <c r="F14" i="6" s="1"/>
  <c r="H14" i="6" s="1"/>
  <c r="D14" i="7" s="1"/>
  <c r="F14" i="7" s="1"/>
  <c r="H14" i="7" s="1"/>
  <c r="D14" i="8" s="1"/>
  <c r="F14" i="8" s="1"/>
  <c r="H14" i="8" s="1"/>
  <c r="D14" i="9" s="1"/>
  <c r="F14" i="9" s="1"/>
  <c r="H14" i="9" s="1"/>
  <c r="D14" i="10" s="1"/>
  <c r="F14" i="10" s="1"/>
  <c r="H14" i="10" s="1"/>
  <c r="D14" i="11" s="1"/>
  <c r="F14" i="11" s="1"/>
  <c r="H14" i="11" s="1"/>
  <c r="D14" i="12" s="1"/>
  <c r="F14" i="12" s="1"/>
  <c r="H14" i="12" s="1"/>
  <c r="D14" i="13" s="1"/>
  <c r="F14" i="13" s="1"/>
  <c r="H14" i="13" s="1"/>
  <c r="D14" i="14" s="1"/>
  <c r="F14" i="14" s="1"/>
  <c r="H14" i="14" s="1"/>
  <c r="F13" i="2"/>
  <c r="H13" i="2" s="1"/>
  <c r="D13" i="3" s="1"/>
  <c r="F13" i="3" s="1"/>
  <c r="H13" i="3" s="1"/>
  <c r="D13" i="4" s="1"/>
  <c r="F13" i="4" s="1"/>
  <c r="H13" i="4" s="1"/>
  <c r="D13" i="5" s="1"/>
  <c r="F13" i="5" s="1"/>
  <c r="H13" i="5" s="1"/>
  <c r="D13" i="6" s="1"/>
  <c r="F13" i="6" s="1"/>
  <c r="H13" i="6" s="1"/>
  <c r="D13" i="7" s="1"/>
  <c r="F13" i="7" s="1"/>
  <c r="H13" i="7" s="1"/>
  <c r="D13" i="8" s="1"/>
  <c r="F13" i="8" s="1"/>
  <c r="H13" i="8" s="1"/>
  <c r="D13" i="9" s="1"/>
  <c r="F13" i="9" s="1"/>
  <c r="H13" i="9" s="1"/>
  <c r="D13" i="10" s="1"/>
  <c r="F13" i="10" s="1"/>
  <c r="H13" i="10" s="1"/>
  <c r="D13" i="11" s="1"/>
  <c r="F13" i="11" s="1"/>
  <c r="H13" i="11" s="1"/>
  <c r="D13" i="12" s="1"/>
  <c r="F13" i="12" s="1"/>
  <c r="H13" i="12" s="1"/>
  <c r="D13" i="13" s="1"/>
  <c r="F13" i="13" s="1"/>
  <c r="H13" i="13" s="1"/>
  <c r="D13" i="14" s="1"/>
  <c r="F13" i="14" s="1"/>
  <c r="H13" i="14" s="1"/>
  <c r="F12" i="2"/>
  <c r="H12" i="2" s="1"/>
  <c r="D12" i="3" s="1"/>
  <c r="F12" i="3" s="1"/>
  <c r="H12" i="3" s="1"/>
  <c r="D12" i="4" s="1"/>
  <c r="F12" i="4" s="1"/>
  <c r="H12" i="4" s="1"/>
  <c r="D12" i="5" s="1"/>
  <c r="F12" i="5" s="1"/>
  <c r="H12" i="5" s="1"/>
  <c r="D12" i="6" s="1"/>
  <c r="F12" i="6" s="1"/>
  <c r="H12" i="6" s="1"/>
  <c r="D12" i="7" s="1"/>
  <c r="F12" i="7" s="1"/>
  <c r="H12" i="7" s="1"/>
  <c r="D12" i="8" s="1"/>
  <c r="F12" i="8" s="1"/>
  <c r="H12" i="8" s="1"/>
  <c r="D12" i="9" s="1"/>
  <c r="F12" i="9" s="1"/>
  <c r="H12" i="9" s="1"/>
  <c r="F11" i="2"/>
  <c r="D11" i="3" s="1"/>
  <c r="F11" i="3" s="1"/>
  <c r="H11" i="3" s="1"/>
  <c r="D11" i="4" s="1"/>
  <c r="F11" i="4" s="1"/>
  <c r="H11" i="4" s="1"/>
  <c r="D11" i="5" s="1"/>
  <c r="F11" i="5" s="1"/>
  <c r="H11" i="5" s="1"/>
  <c r="D11" i="6" s="1"/>
  <c r="F11" i="6" s="1"/>
  <c r="H11" i="6" s="1"/>
  <c r="D11" i="7" s="1"/>
  <c r="F11" i="7" s="1"/>
  <c r="G28" i="2"/>
  <c r="F34" i="2" s="1"/>
  <c r="F10" i="2"/>
  <c r="H10" i="2" s="1"/>
  <c r="D10" i="3" s="1"/>
  <c r="F10" i="3" s="1"/>
  <c r="H10" i="3" s="1"/>
  <c r="D10" i="4" s="1"/>
  <c r="F10" i="4" s="1"/>
  <c r="H10" i="4" s="1"/>
  <c r="D10" i="5" s="1"/>
  <c r="F10" i="5" s="1"/>
  <c r="F9" i="2"/>
  <c r="H9" i="2" s="1"/>
  <c r="D9" i="3" s="1"/>
  <c r="F9" i="3" s="1"/>
  <c r="H9" i="3" s="1"/>
  <c r="D9" i="4" s="1"/>
  <c r="F9" i="4" s="1"/>
  <c r="H9" i="4" s="1"/>
  <c r="D9" i="5" s="1"/>
  <c r="F9" i="5" s="1"/>
  <c r="H9" i="5" s="1"/>
  <c r="D9" i="6" s="1"/>
  <c r="F9" i="6" s="1"/>
  <c r="H9" i="6" s="1"/>
  <c r="D9" i="7" s="1"/>
  <c r="F9" i="7" s="1"/>
  <c r="H9" i="7" s="1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D9" i="12" s="1"/>
  <c r="F9" i="12" s="1"/>
  <c r="H9" i="12" s="1"/>
  <c r="D9" i="13" s="1"/>
  <c r="F9" i="13" s="1"/>
  <c r="H9" i="13" s="1"/>
  <c r="D9" i="14" s="1"/>
  <c r="F9" i="14" s="1"/>
  <c r="H9" i="14" s="1"/>
  <c r="F8" i="2"/>
  <c r="H8" i="2" s="1"/>
  <c r="D8" i="3" s="1"/>
  <c r="F8" i="3" s="1"/>
  <c r="H8" i="3" s="1"/>
  <c r="D8" i="4" s="1"/>
  <c r="F8" i="4" s="1"/>
  <c r="F7" i="2"/>
  <c r="H7" i="2" s="1"/>
  <c r="D7" i="3" s="1"/>
  <c r="F7" i="3" s="1"/>
  <c r="H7" i="3" s="1"/>
  <c r="D7" i="4" s="1"/>
  <c r="F6" i="2"/>
  <c r="F16" i="3" l="1"/>
  <c r="H16" i="3" s="1"/>
  <c r="D16" i="4" s="1"/>
  <c r="F16" i="4" s="1"/>
  <c r="H16" i="4" s="1"/>
  <c r="D16" i="5" s="1"/>
  <c r="F16" i="5" s="1"/>
  <c r="H16" i="5" s="1"/>
  <c r="D16" i="6" s="1"/>
  <c r="F16" i="6" s="1"/>
  <c r="H16" i="6" s="1"/>
  <c r="D16" i="7" s="1"/>
  <c r="F16" i="7" s="1"/>
  <c r="H16" i="7" s="1"/>
  <c r="D16" i="8" s="1"/>
  <c r="F16" i="8" s="1"/>
  <c r="H16" i="8" s="1"/>
  <c r="D16" i="9" s="1"/>
  <c r="F16" i="9" s="1"/>
  <c r="H16" i="9" s="1"/>
  <c r="D16" i="10" s="1"/>
  <c r="F16" i="10" s="1"/>
  <c r="H16" i="10" s="1"/>
  <c r="D16" i="11" s="1"/>
  <c r="F16" i="11" s="1"/>
  <c r="H16" i="11" s="1"/>
  <c r="D16" i="12" s="1"/>
  <c r="F16" i="12" s="1"/>
  <c r="H16" i="12" s="1"/>
  <c r="D16" i="13" s="1"/>
  <c r="F16" i="13" s="1"/>
  <c r="H16" i="13" s="1"/>
  <c r="D16" i="14" s="1"/>
  <c r="F16" i="14" s="1"/>
  <c r="H16" i="14" s="1"/>
  <c r="F17" i="4"/>
  <c r="H17" i="4" s="1"/>
  <c r="F7" i="4"/>
  <c r="H7" i="4" s="1"/>
  <c r="D7" i="5" s="1"/>
  <c r="F7" i="5" s="1"/>
  <c r="H7" i="5" s="1"/>
  <c r="D7" i="6" s="1"/>
  <c r="F7" i="6" s="1"/>
  <c r="H7" i="6" s="1"/>
  <c r="H8" i="4"/>
  <c r="D8" i="5" s="1"/>
  <c r="F8" i="5" s="1"/>
  <c r="H8" i="5" s="1"/>
  <c r="F19" i="3"/>
  <c r="F28" i="2"/>
  <c r="G38" i="2"/>
  <c r="C38" i="2"/>
  <c r="H6" i="2"/>
  <c r="G19" i="1"/>
  <c r="G16" i="1"/>
  <c r="D8" i="6" l="1"/>
  <c r="F8" i="6" s="1"/>
  <c r="H8" i="6" s="1"/>
  <c r="D8" i="7" s="1"/>
  <c r="D17" i="5"/>
  <c r="H28" i="2"/>
  <c r="H29" i="2" s="1"/>
  <c r="D6" i="3"/>
  <c r="H19" i="3"/>
  <c r="D19" i="4" s="1"/>
  <c r="F19" i="4" s="1"/>
  <c r="H19" i="4" s="1"/>
  <c r="D19" i="5" s="1"/>
  <c r="F19" i="5" s="1"/>
  <c r="H19" i="5" s="1"/>
  <c r="D19" i="6" s="1"/>
  <c r="F19" i="6" s="1"/>
  <c r="H19" i="6" s="1"/>
  <c r="K40" i="2"/>
  <c r="K41" i="2" s="1"/>
  <c r="M40" i="1"/>
  <c r="D28" i="7" l="1"/>
  <c r="F8" i="7"/>
  <c r="F17" i="5"/>
  <c r="F6" i="3"/>
  <c r="D28" i="3"/>
  <c r="M19" i="1"/>
  <c r="M18" i="1"/>
  <c r="M17" i="1"/>
  <c r="G10" i="1"/>
  <c r="G17" i="1"/>
  <c r="G14" i="1"/>
  <c r="H8" i="7" l="1"/>
  <c r="F28" i="7"/>
  <c r="H17" i="5"/>
  <c r="M20" i="1"/>
  <c r="M24" i="1" s="1"/>
  <c r="H6" i="3"/>
  <c r="F28" i="3"/>
  <c r="I28" i="1"/>
  <c r="G28" i="1"/>
  <c r="F34" i="1" s="1"/>
  <c r="F21" i="1"/>
  <c r="H21" i="1" s="1"/>
  <c r="G48" i="1"/>
  <c r="C48" i="1"/>
  <c r="D29" i="1"/>
  <c r="E28" i="1"/>
  <c r="B34" i="1" s="1"/>
  <c r="D28" i="1"/>
  <c r="C28" i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H28" i="3" l="1"/>
  <c r="H29" i="3" s="1"/>
  <c r="D6" i="4"/>
  <c r="D8" i="8"/>
  <c r="F8" i="8" s="1"/>
  <c r="H28" i="7"/>
  <c r="D17" i="6"/>
  <c r="G38" i="1"/>
  <c r="F48" i="1" s="1"/>
  <c r="H48" i="1" s="1"/>
  <c r="F35" i="2" s="1"/>
  <c r="F48" i="2" s="1"/>
  <c r="H48" i="2" s="1"/>
  <c r="H30" i="2" s="1"/>
  <c r="H28" i="1"/>
  <c r="F28" i="1"/>
  <c r="C38" i="1"/>
  <c r="K27" i="1" s="1"/>
  <c r="K28" i="1" s="1"/>
  <c r="H29" i="7" l="1"/>
  <c r="D28" i="8"/>
  <c r="F6" i="4"/>
  <c r="D28" i="4"/>
  <c r="H8" i="8"/>
  <c r="F28" i="8"/>
  <c r="D29" i="6"/>
  <c r="D29" i="5"/>
  <c r="D29" i="4"/>
  <c r="F17" i="6"/>
  <c r="F35" i="3"/>
  <c r="F48" i="3" s="1"/>
  <c r="H48" i="3" s="1"/>
  <c r="F35" i="4" s="1"/>
  <c r="F48" i="4" s="1"/>
  <c r="H48" i="4" s="1"/>
  <c r="F35" i="5" s="1"/>
  <c r="F48" i="5" s="1"/>
  <c r="H48" i="5" s="1"/>
  <c r="B48" i="1"/>
  <c r="D48" i="1" s="1"/>
  <c r="B35" i="2" s="1"/>
  <c r="B48" i="2" s="1"/>
  <c r="D48" i="2" s="1"/>
  <c r="B35" i="3" s="1"/>
  <c r="B48" i="3" s="1"/>
  <c r="D48" i="3" s="1"/>
  <c r="B35" i="4" s="1"/>
  <c r="B48" i="4" s="1"/>
  <c r="D48" i="4" s="1"/>
  <c r="B35" i="5" s="1"/>
  <c r="B48" i="5" s="1"/>
  <c r="D48" i="5" s="1"/>
  <c r="B35" i="6" s="1"/>
  <c r="B48" i="6" s="1"/>
  <c r="D48" i="6" s="1"/>
  <c r="B35" i="7" s="1"/>
  <c r="B48" i="7" s="1"/>
  <c r="D48" i="7" s="1"/>
  <c r="B35" i="8" s="1"/>
  <c r="B48" i="8" s="1"/>
  <c r="D48" i="8" s="1"/>
  <c r="B35" i="9" s="1"/>
  <c r="B48" i="9" s="1"/>
  <c r="D48" i="9" s="1"/>
  <c r="B35" i="10" s="1"/>
  <c r="B48" i="10" s="1"/>
  <c r="D48" i="10" s="1"/>
  <c r="M25" i="1"/>
  <c r="K40" i="1"/>
  <c r="K41" i="1" s="1"/>
  <c r="B35" i="11" l="1"/>
  <c r="B48" i="11" s="1"/>
  <c r="D48" i="11" s="1"/>
  <c r="B48" i="12" s="1"/>
  <c r="D48" i="12" s="1"/>
  <c r="D8" i="9"/>
  <c r="H28" i="8"/>
  <c r="H29" i="8" s="1"/>
  <c r="H6" i="4"/>
  <c r="F28" i="4"/>
  <c r="D29" i="9"/>
  <c r="D29" i="8"/>
  <c r="H17" i="6"/>
  <c r="I51" i="5"/>
  <c r="F35" i="6"/>
  <c r="F48" i="6" s="1"/>
  <c r="H48" i="6" s="1"/>
  <c r="F35" i="7" s="1"/>
  <c r="F48" i="7" s="1"/>
  <c r="H48" i="7" s="1"/>
  <c r="F35" i="8" s="1"/>
  <c r="F48" i="8" s="1"/>
  <c r="H48" i="8" s="1"/>
  <c r="F35" i="9" s="1"/>
  <c r="F48" i="9" s="1"/>
  <c r="H48" i="9" s="1"/>
  <c r="F35" i="10" s="1"/>
  <c r="F48" i="10" s="1"/>
  <c r="H48" i="10" s="1"/>
  <c r="F35" i="11" s="1"/>
  <c r="F48" i="11" s="1"/>
  <c r="H48" i="11" s="1"/>
  <c r="F35" i="12" s="1"/>
  <c r="F48" i="12" s="1"/>
  <c r="H48" i="12" s="1"/>
  <c r="F35" i="13" s="1"/>
  <c r="F48" i="13" s="1"/>
  <c r="H48" i="13" s="1"/>
  <c r="F35" i="14" s="1"/>
  <c r="F48" i="14" s="1"/>
  <c r="H48" i="14" s="1"/>
  <c r="H52" i="2"/>
  <c r="B35" i="13" l="1"/>
  <c r="B48" i="13" s="1"/>
  <c r="D48" i="13" s="1"/>
  <c r="B35" i="14" s="1"/>
  <c r="B48" i="14" s="1"/>
  <c r="D48" i="14" s="1"/>
  <c r="D6" i="5"/>
  <c r="H28" i="4"/>
  <c r="H29" i="4" s="1"/>
  <c r="F8" i="9"/>
  <c r="D28" i="9"/>
  <c r="H8" i="9" l="1"/>
  <c r="F28" i="9"/>
  <c r="F6" i="5"/>
  <c r="D28" i="5"/>
  <c r="H6" i="5" l="1"/>
  <c r="F28" i="5"/>
  <c r="H28" i="9"/>
  <c r="D8" i="10"/>
  <c r="F8" i="10" s="1"/>
  <c r="H8" i="10" l="1"/>
  <c r="F28" i="10"/>
  <c r="H29" i="9"/>
  <c r="D29" i="14" s="1"/>
  <c r="D28" i="10"/>
  <c r="D6" i="6"/>
  <c r="I32" i="5"/>
  <c r="J43" i="5" s="1"/>
  <c r="H28" i="5"/>
  <c r="H29" i="5" s="1"/>
  <c r="F6" i="6" l="1"/>
  <c r="D28" i="6"/>
  <c r="D29" i="10"/>
  <c r="D29" i="13"/>
  <c r="D29" i="12"/>
  <c r="D29" i="11"/>
  <c r="D8" i="11"/>
  <c r="H28" i="10"/>
  <c r="H29" i="10" s="1"/>
  <c r="F8" i="11" l="1"/>
  <c r="D28" i="11"/>
  <c r="H6" i="6"/>
  <c r="F28" i="6"/>
  <c r="I32" i="6" l="1"/>
  <c r="H28" i="6"/>
  <c r="H29" i="6" s="1"/>
  <c r="H8" i="11"/>
  <c r="F28" i="11"/>
  <c r="D29" i="7" l="1"/>
  <c r="J42" i="6"/>
  <c r="H28" i="11"/>
  <c r="H29" i="11" s="1"/>
  <c r="D8" i="12"/>
  <c r="F8" i="12" l="1"/>
  <c r="D28" i="12"/>
  <c r="H8" i="12" l="1"/>
  <c r="F28" i="12"/>
  <c r="D8" i="13" l="1"/>
  <c r="H28" i="12"/>
  <c r="F8" i="13" l="1"/>
  <c r="D28" i="13"/>
  <c r="H8" i="13" l="1"/>
  <c r="F28" i="13"/>
  <c r="H28" i="13" l="1"/>
  <c r="D8" i="14"/>
  <c r="F8" i="14" l="1"/>
  <c r="D28" i="14"/>
  <c r="H8" i="14" l="1"/>
  <c r="H28" i="14" s="1"/>
  <c r="F28" i="14"/>
</calcChain>
</file>

<file path=xl/sharedStrings.xml><?xml version="1.0" encoding="utf-8"?>
<sst xmlns="http://schemas.openxmlformats.org/spreadsheetml/2006/main" count="1065" uniqueCount="140">
  <si>
    <t xml:space="preserve">RENT STATEMENT </t>
  </si>
  <si>
    <t>FOR THE MONTH OF NOVEMBER 2020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</si>
  <si>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</si>
  <si>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</si>
  <si>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</si>
  <si>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</si>
  <si>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</si>
  <si>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</si>
  <si>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</si>
  <si>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</si>
  <si>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</si>
  <si>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</si>
  <si>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</si>
  <si>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</si>
  <si>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</si>
  <si>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</si>
  <si>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</si>
  <si>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</si>
  <si>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NOVEMBER</t>
  </si>
  <si>
    <t>BF</t>
  </si>
  <si>
    <t>.</t>
  </si>
  <si>
    <t>COMM</t>
  </si>
  <si>
    <t>PAYMENTS</t>
  </si>
  <si>
    <t xml:space="preserve"> </t>
  </si>
  <si>
    <t>LETTING FEE</t>
  </si>
  <si>
    <t>PREPARED BY</t>
  </si>
  <si>
    <t>APPROVED BY</t>
  </si>
  <si>
    <t xml:space="preserve">RECEIVED  BY </t>
  </si>
  <si>
    <t>FLORENCE</t>
  </si>
  <si>
    <t>GRACE</t>
  </si>
  <si>
    <t>JACOB/PURITY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</si>
  <si>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</si>
  <si>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</si>
  <si>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</si>
  <si>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</si>
  <si>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</si>
  <si>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</si>
  <si>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</si>
  <si>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</si>
  <si>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</si>
  <si>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KINANYIA SIAMETO</t>
  </si>
  <si>
    <t>JACK MAINA</t>
  </si>
  <si>
    <t>BENSON GISHIAMBU</t>
  </si>
  <si>
    <t>SAFARI MBITHI</t>
  </si>
  <si>
    <t>NICKSON KIRUTI</t>
  </si>
  <si>
    <t>CHRISTINE</t>
  </si>
  <si>
    <t>PETER BARASA</t>
  </si>
  <si>
    <t>HEZILA MWIALI</t>
  </si>
  <si>
    <t>FRANCIS ODHIAMBO</t>
  </si>
  <si>
    <t>PETER SAYOLE</t>
  </si>
  <si>
    <t>CHURCH</t>
  </si>
  <si>
    <t>SAMUEL MAINA</t>
  </si>
  <si>
    <t>SHADRACK MUOKI</t>
  </si>
  <si>
    <t>STEPHEN WAMUGUNDA</t>
  </si>
  <si>
    <t>LUCY KIVUVA</t>
  </si>
  <si>
    <t>PAID ON 12/11</t>
  </si>
  <si>
    <t>FOR THE MONTH OF DECEMBER 2020</t>
  </si>
  <si>
    <t>DECEMBER</t>
  </si>
  <si>
    <t>PAID ON 24/11</t>
  </si>
  <si>
    <t>PURITY/JACOB</t>
  </si>
  <si>
    <t>PURITY/ JACOB</t>
  </si>
  <si>
    <t>PAID ON 16/11</t>
  </si>
  <si>
    <t>PAID ON 8/12</t>
  </si>
  <si>
    <t>PAID ON 22/12</t>
  </si>
  <si>
    <t>FOR THE MONTH OF JANUARY 2021</t>
  </si>
  <si>
    <t>JANUARY</t>
  </si>
  <si>
    <t>NICKSON VACCATED</t>
  </si>
  <si>
    <t>PAID ON 31/12</t>
  </si>
  <si>
    <t>VACCANT</t>
  </si>
  <si>
    <t>PAID ON 15/1</t>
  </si>
  <si>
    <t>FOR THE MONTH OF FEBRUARY 2021</t>
  </si>
  <si>
    <t>FEBRUARY</t>
  </si>
  <si>
    <t>FOR THE MONTH OF MARCH 2021</t>
  </si>
  <si>
    <t>MARCH</t>
  </si>
  <si>
    <t>BENSON no.3 ON DEP</t>
  </si>
  <si>
    <t>PAID ON 17/3</t>
  </si>
  <si>
    <t>LUCY VACCATED</t>
  </si>
  <si>
    <t>FOR THE MONTH OF APRIL 2021</t>
  </si>
  <si>
    <t>APRIL</t>
  </si>
  <si>
    <t>PAID ON 1/4</t>
  </si>
  <si>
    <t>DAVID</t>
  </si>
  <si>
    <t>PAID ON 12/4</t>
  </si>
  <si>
    <t>KINANYIA VACCATED</t>
  </si>
  <si>
    <t>PETER VACCATED</t>
  </si>
  <si>
    <t>FRANCIS NO 12 VACCATED</t>
  </si>
  <si>
    <t>ON DEP</t>
  </si>
  <si>
    <t>FOR THE MONTH OF MAY 2021</t>
  </si>
  <si>
    <t>MAY</t>
  </si>
  <si>
    <t>jack hse 2 vaccated</t>
  </si>
  <si>
    <t>SAMUEL VACCATED</t>
  </si>
  <si>
    <t>VACCATED</t>
  </si>
  <si>
    <t>DAVID KINUTHIA</t>
  </si>
  <si>
    <t>LOAN</t>
  </si>
  <si>
    <t>B/F FROM APRIL</t>
  </si>
  <si>
    <t>BALANCE</t>
  </si>
  <si>
    <t>PAID ON 17/5</t>
  </si>
  <si>
    <t>PETER KIPUA</t>
  </si>
  <si>
    <t>JANET</t>
  </si>
  <si>
    <t>JOHN MWANGI</t>
  </si>
  <si>
    <t>DEPOSITNO.12,10</t>
  </si>
  <si>
    <t>FOR THE MONTH OF JUNE 2021</t>
  </si>
  <si>
    <t>JUNE</t>
  </si>
  <si>
    <t>PAID ON 15/6</t>
  </si>
  <si>
    <t>DEPOSITNO.10</t>
  </si>
  <si>
    <t>FOR THE MONTH OF JULY 2021</t>
  </si>
  <si>
    <t>JULY</t>
  </si>
  <si>
    <t>ISAAC NYONGESA</t>
  </si>
  <si>
    <t>PAID ON 1/7</t>
  </si>
  <si>
    <t>PAID ON 13/7</t>
  </si>
  <si>
    <t>PIUS</t>
  </si>
  <si>
    <t>PAID ON 15/7</t>
  </si>
  <si>
    <t>FOR THE MONTH OF AUGUST 2021</t>
  </si>
  <si>
    <t>AUGUST</t>
  </si>
  <si>
    <t>PAID ON 19/7</t>
  </si>
  <si>
    <t>SHADRCK NO.6 VACATED</t>
  </si>
  <si>
    <t>PAID ON 13/8</t>
  </si>
  <si>
    <t>NEW</t>
  </si>
  <si>
    <t>SEPTEMBER</t>
  </si>
  <si>
    <t>FOR THE MONTH OF SEPTEMBER 2021</t>
  </si>
  <si>
    <t>PAID ON 28/8</t>
  </si>
  <si>
    <t>PAID ON 13/9</t>
  </si>
  <si>
    <t>FOR THE MONTH OF OCTOBER 2021</t>
  </si>
  <si>
    <t>OCTOBER</t>
  </si>
  <si>
    <t>MWANGI WARUI</t>
  </si>
  <si>
    <t>peter no.12 vaccated</t>
  </si>
  <si>
    <t>ONDIEK M</t>
  </si>
  <si>
    <t>PAID ON 9/10</t>
  </si>
  <si>
    <t>PAID ON 13/10</t>
  </si>
  <si>
    <t>FOR THE MONTH OF NOVEMBER 2021</t>
  </si>
  <si>
    <t>NOV</t>
  </si>
  <si>
    <t>NO.10 VACCATED</t>
  </si>
  <si>
    <t>STEPHEN ESALA</t>
  </si>
  <si>
    <t>PAID ON 25/10</t>
  </si>
  <si>
    <t>PAID ON 4/11</t>
  </si>
  <si>
    <t>PAID ON 10/11</t>
  </si>
  <si>
    <t>DEC</t>
  </si>
  <si>
    <t>FOR THE MONTH OF DECEMBER 2021</t>
  </si>
  <si>
    <t>DEPOSIT NO.12</t>
  </si>
  <si>
    <t>PAID ON 4/12</t>
  </si>
  <si>
    <t>PAID ON 15/12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</si>
</sst>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43" fontId="11" fillId="0" borderId="1" xfId="1" applyFont="1" applyBorder="1" applyAlignment="1">
      <alignment horizontal="left"/>
    </xf>
    <xf numFmtId="0" fontId="11" fillId="0" borderId="1" xfId="0" applyFont="1" applyBorder="1"/>
    <xf numFmtId="0" fontId="4" fillId="0" borderId="1" xfId="0" applyFont="1" applyBorder="1" applyAlignment="1">
      <alignment horizontal="center"/>
    </xf>
    <xf numFmtId="0" fontId="11" fillId="0" borderId="1" xfId="0" applyFont="1" applyFill="1" applyBorder="1"/>
    <xf numFmtId="0" fontId="10" fillId="0" borderId="1" xfId="0" applyFont="1" applyBorder="1"/>
    <xf numFmtId="0" fontId="12" fillId="0" borderId="1" xfId="0" applyFont="1" applyBorder="1"/>
    <xf numFmtId="0" fontId="4" fillId="0" borderId="1" xfId="0" applyFont="1" applyBorder="1"/>
    <xf numFmtId="164" fontId="13" fillId="0" borderId="2" xfId="0" applyNumberFormat="1" applyFont="1" applyBorder="1" applyAlignment="1">
      <alignment horizontal="right"/>
    </xf>
    <xf numFmtId="164" fontId="0" fillId="0" borderId="0" xfId="0" applyNumberFormat="1"/>
    <xf numFmtId="49" fontId="14" fillId="0" borderId="0" xfId="1" applyNumberFormat="1" applyFont="1" applyBorder="1" applyAlignment="1">
      <alignment horizontal="right"/>
    </xf>
    <xf numFmtId="49" fontId="14" fillId="0" borderId="0" xfId="0" applyNumberFormat="1" applyFont="1" applyBorder="1" applyAlignment="1">
      <alignment horizontal="right"/>
    </xf>
    <xf numFmtId="0" fontId="15" fillId="0" borderId="0" xfId="0" applyFont="1" applyBorder="1"/>
    <xf numFmtId="4" fontId="15" fillId="0" borderId="0" xfId="0" applyNumberFormat="1" applyFont="1" applyBorder="1"/>
    <xf numFmtId="165" fontId="14" fillId="0" borderId="0" xfId="0" applyNumberFormat="1" applyFont="1" applyBorder="1"/>
    <xf numFmtId="164" fontId="4" fillId="0" borderId="0" xfId="0" applyNumberFormat="1" applyFont="1"/>
    <xf numFmtId="0" fontId="15" fillId="0" borderId="0" xfId="0" applyFont="1"/>
    <xf numFmtId="0" fontId="15" fillId="0" borderId="3" xfId="0" applyFont="1" applyBorder="1"/>
    <xf numFmtId="0" fontId="15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0" fillId="0" borderId="0" xfId="0" applyNumberFormat="1"/>
    <xf numFmtId="3" fontId="15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10" fillId="0" borderId="1" xfId="0" applyFont="1" applyFill="1" applyBorder="1"/>
    <xf numFmtId="0" fontId="16" fillId="0" borderId="0" xfId="0" applyFont="1"/>
    <xf numFmtId="0" fontId="17" fillId="0" borderId="1" xfId="0" applyFont="1" applyBorder="1" applyAlignment="1">
      <alignment horizontal="right"/>
    </xf>
    <xf numFmtId="164" fontId="17" fillId="0" borderId="1" xfId="1" applyNumberFormat="1" applyFont="1" applyBorder="1" applyAlignment="1">
      <alignment horizontal="right"/>
    </xf>
    <xf numFmtId="0" fontId="16" fillId="0" borderId="1" xfId="0" applyFont="1" applyBorder="1"/>
    <xf numFmtId="0" fontId="17" fillId="0" borderId="1" xfId="0" applyFont="1" applyBorder="1" applyAlignment="1">
      <alignment horizontal="center"/>
    </xf>
    <xf numFmtId="0" fontId="18" fillId="0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YCE%20SWAKE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"/>
      <sheetName val="NOVEMBER20"/>
      <sheetName val="DECEMBER 20"/>
      <sheetName val="JANUARY 21"/>
      <sheetName val="FEBRUARY 21"/>
      <sheetName val="MARCH 21"/>
      <sheetName val="APRIL 21"/>
      <sheetName val="MAY 21"/>
      <sheetName val="JUNE 21"/>
      <sheetName val="JULY 21"/>
      <sheetName val="AUGUST 21"/>
      <sheetName val="SEPT 21"/>
      <sheetName val="OCTOBER 21"/>
      <sheetName val="NOVEMBER 21"/>
      <sheetName val="DECEMBER 21"/>
    </sheetNames>
    <sheetDataSet>
      <sheetData sheetId="0">
        <row r="33">
          <cell r="H33" t="str">
            <v>BL</v>
          </cell>
        </row>
        <row r="46">
          <cell r="H46">
            <v>893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0"/>
  <sheetViews>
    <sheetView topLeftCell="A13" workbookViewId="0">
      <selection activeCell="C20" sqref="C20"/>
    </sheetView>
  </sheetViews>
  <sheetFormatPr defaultRowHeight="15" x14ac:dyDescent="0.25"/>
  <cols>
    <col min="1" max="1" width="26.85546875" bestFit="1" customWidth="1"/>
    <col min="5" max="5" width="11" customWidth="1"/>
  </cols>
  <sheetData>
    <row r="2" spans="1:9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40</v>
      </c>
      <c r="B6" s="13">
        <v>1</v>
      </c>
      <c r="C6" s="14"/>
      <c r="D6" s="15"/>
      <c r="E6" s="16">
        <v>2500</v>
      </c>
      <c r="F6" s="16">
        <f>C6+D6+E6</f>
        <v>2500</v>
      </c>
      <c r="G6" s="16">
        <v>2500</v>
      </c>
      <c r="H6" s="17">
        <f>F6-G6</f>
        <v>0</v>
      </c>
      <c r="I6" s="15"/>
    </row>
    <row r="7" spans="1:9" x14ac:dyDescent="0.25">
      <c r="A7" t="s">
        <v>41</v>
      </c>
      <c r="B7" s="13">
        <v>2</v>
      </c>
      <c r="C7" s="14"/>
      <c r="D7" s="15"/>
      <c r="E7" s="16">
        <v>2500</v>
      </c>
      <c r="F7" s="16">
        <f t="shared" ref="F7:F27" si="0">C7+D7+E7</f>
        <v>2500</v>
      </c>
      <c r="G7" s="16">
        <v>2500</v>
      </c>
      <c r="H7" s="17">
        <f t="shared" ref="H7:H27" si="1">F7-G7</f>
        <v>0</v>
      </c>
      <c r="I7" s="15"/>
    </row>
    <row r="8" spans="1:9" x14ac:dyDescent="0.25">
      <c r="A8" s="18" t="s">
        <v>42</v>
      </c>
      <c r="B8" s="13">
        <v>3</v>
      </c>
      <c r="C8" s="14"/>
      <c r="D8" s="15"/>
      <c r="E8" s="16">
        <v>2500</v>
      </c>
      <c r="F8" s="16">
        <f t="shared" si="0"/>
        <v>2500</v>
      </c>
      <c r="G8" s="16">
        <v>2500</v>
      </c>
      <c r="H8" s="17">
        <f t="shared" si="1"/>
        <v>0</v>
      </c>
      <c r="I8" s="15"/>
    </row>
    <row r="9" spans="1:9" x14ac:dyDescent="0.25">
      <c r="A9" s="19" t="s">
        <v>53</v>
      </c>
      <c r="B9" s="13">
        <v>4</v>
      </c>
      <c r="C9" s="14"/>
      <c r="D9" s="15"/>
      <c r="E9" s="16">
        <v>2500</v>
      </c>
      <c r="F9" s="16">
        <f t="shared" si="0"/>
        <v>2500</v>
      </c>
      <c r="G9" s="16">
        <v>2500</v>
      </c>
      <c r="H9" s="17">
        <f>F9-G9</f>
        <v>0</v>
      </c>
      <c r="I9" s="15"/>
    </row>
    <row r="10" spans="1:9" x14ac:dyDescent="0.25">
      <c r="A10" s="19" t="s">
        <v>54</v>
      </c>
      <c r="B10" s="13">
        <v>5</v>
      </c>
      <c r="C10" s="14"/>
      <c r="D10" s="15"/>
      <c r="E10" s="16">
        <v>2500</v>
      </c>
      <c r="F10" s="16">
        <f t="shared" si="0"/>
        <v>2500</v>
      </c>
      <c r="G10" s="16">
        <f>2500</f>
        <v>2500</v>
      </c>
      <c r="H10" s="17">
        <f t="shared" si="1"/>
        <v>0</v>
      </c>
      <c r="I10" s="15"/>
    </row>
    <row r="11" spans="1:9" x14ac:dyDescent="0.25">
      <c r="A11" s="23" t="s">
        <v>44</v>
      </c>
      <c r="B11" s="13">
        <v>6</v>
      </c>
      <c r="C11" s="14"/>
      <c r="D11" s="15"/>
      <c r="E11" s="16">
        <v>2000</v>
      </c>
      <c r="F11" s="16">
        <f>C11+D11+E11</f>
        <v>2000</v>
      </c>
      <c r="G11" s="16">
        <f>1000+1000</f>
        <v>2000</v>
      </c>
      <c r="H11" s="17">
        <f t="shared" si="1"/>
        <v>0</v>
      </c>
      <c r="I11" s="15"/>
    </row>
    <row r="12" spans="1:9" x14ac:dyDescent="0.25">
      <c r="A12" s="19" t="s">
        <v>52</v>
      </c>
      <c r="B12" s="13">
        <v>7</v>
      </c>
      <c r="C12" s="14"/>
      <c r="D12" s="15"/>
      <c r="E12" s="16">
        <v>2500</v>
      </c>
      <c r="F12" s="16">
        <f t="shared" si="0"/>
        <v>2500</v>
      </c>
      <c r="G12" s="16">
        <v>2500</v>
      </c>
      <c r="H12" s="17">
        <f t="shared" si="1"/>
        <v>0</v>
      </c>
      <c r="I12" s="15"/>
    </row>
    <row r="13" spans="1:9" x14ac:dyDescent="0.25">
      <c r="A13" s="20" t="s">
        <v>43</v>
      </c>
      <c r="B13" s="13">
        <v>8</v>
      </c>
      <c r="C13" s="14"/>
      <c r="D13" s="15"/>
      <c r="E13" s="16">
        <v>2000</v>
      </c>
      <c r="F13" s="16">
        <f t="shared" si="0"/>
        <v>2000</v>
      </c>
      <c r="G13" s="16">
        <v>2000</v>
      </c>
      <c r="H13" s="17">
        <f t="shared" si="1"/>
        <v>0</v>
      </c>
      <c r="I13" s="15"/>
    </row>
    <row r="14" spans="1:9" x14ac:dyDescent="0.25">
      <c r="A14" s="20" t="s">
        <v>45</v>
      </c>
      <c r="B14" s="13">
        <v>9</v>
      </c>
      <c r="C14" s="14"/>
      <c r="D14" s="15"/>
      <c r="E14" s="16">
        <v>2000</v>
      </c>
      <c r="F14" s="16">
        <f t="shared" si="0"/>
        <v>2000</v>
      </c>
      <c r="G14" s="16">
        <f>2000</f>
        <v>2000</v>
      </c>
      <c r="H14" s="17">
        <f t="shared" si="1"/>
        <v>0</v>
      </c>
      <c r="I14" s="15"/>
    </row>
    <row r="15" spans="1:9" x14ac:dyDescent="0.25">
      <c r="A15" s="21" t="s">
        <v>46</v>
      </c>
      <c r="B15" s="22">
        <v>10</v>
      </c>
      <c r="C15" s="14"/>
      <c r="D15" s="15"/>
      <c r="E15" s="16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</row>
    <row r="16" spans="1:9" x14ac:dyDescent="0.25">
      <c r="A16" s="23" t="s">
        <v>47</v>
      </c>
      <c r="B16" s="13">
        <v>11</v>
      </c>
      <c r="C16" s="14"/>
      <c r="D16" s="15"/>
      <c r="E16" s="16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</row>
    <row r="17" spans="1:14" x14ac:dyDescent="0.25">
      <c r="A17" s="23" t="s">
        <v>48</v>
      </c>
      <c r="B17" s="13">
        <v>12</v>
      </c>
      <c r="C17" s="14">
        <v>2000</v>
      </c>
      <c r="D17" s="15"/>
      <c r="E17" s="16">
        <v>2000</v>
      </c>
      <c r="F17" s="16">
        <f t="shared" si="0"/>
        <v>4000</v>
      </c>
      <c r="G17" s="16">
        <f>1000+1000</f>
        <v>2000</v>
      </c>
      <c r="H17" s="17">
        <f t="shared" si="1"/>
        <v>2000</v>
      </c>
      <c r="I17" s="15"/>
      <c r="M17">
        <f>2500*6</f>
        <v>15000</v>
      </c>
    </row>
    <row r="18" spans="1:14" x14ac:dyDescent="0.25">
      <c r="A18" s="21" t="s">
        <v>49</v>
      </c>
      <c r="B18" s="13" t="s">
        <v>31</v>
      </c>
      <c r="C18" s="14"/>
      <c r="D18" s="15"/>
      <c r="E18" s="16">
        <v>4000</v>
      </c>
      <c r="F18" s="16">
        <f t="shared" si="0"/>
        <v>4000</v>
      </c>
      <c r="G18" s="16">
        <v>4000</v>
      </c>
      <c r="H18" s="17">
        <f t="shared" si="1"/>
        <v>0</v>
      </c>
      <c r="I18" s="15"/>
      <c r="M18">
        <f>2000*6</f>
        <v>12000</v>
      </c>
    </row>
    <row r="19" spans="1:14" x14ac:dyDescent="0.25">
      <c r="A19" s="18" t="s">
        <v>51</v>
      </c>
      <c r="B19" s="13" t="s">
        <v>32</v>
      </c>
      <c r="C19" s="14"/>
      <c r="D19" s="15"/>
      <c r="E19" s="16">
        <v>4000</v>
      </c>
      <c r="F19" s="16">
        <f t="shared" si="0"/>
        <v>4000</v>
      </c>
      <c r="G19" s="16">
        <f>3500+500</f>
        <v>4000</v>
      </c>
      <c r="H19" s="17">
        <f t="shared" si="1"/>
        <v>0</v>
      </c>
      <c r="I19" s="15"/>
      <c r="M19">
        <f>4500*3</f>
        <v>13500</v>
      </c>
    </row>
    <row r="20" spans="1:14" x14ac:dyDescent="0.25">
      <c r="A20" s="12"/>
      <c r="B20" s="13" t="s">
        <v>33</v>
      </c>
      <c r="C20" s="14"/>
      <c r="D20" s="15"/>
      <c r="E20" s="16"/>
      <c r="F20" s="16">
        <f t="shared" si="0"/>
        <v>0</v>
      </c>
      <c r="G20" s="16"/>
      <c r="H20" s="17">
        <f t="shared" si="1"/>
        <v>0</v>
      </c>
      <c r="I20" s="15"/>
      <c r="M20">
        <f>SUM(M17:M19)</f>
        <v>40500</v>
      </c>
    </row>
    <row r="21" spans="1:14" x14ac:dyDescent="0.25">
      <c r="A21" s="12" t="s">
        <v>50</v>
      </c>
      <c r="B21" s="13" t="s">
        <v>34</v>
      </c>
      <c r="C21" s="14"/>
      <c r="D21" s="15"/>
      <c r="E21" s="16">
        <v>4500</v>
      </c>
      <c r="F21" s="16">
        <f>C21+D21+E21</f>
        <v>4500</v>
      </c>
      <c r="G21" s="16">
        <f>4000+500</f>
        <v>4500</v>
      </c>
      <c r="H21" s="17">
        <f t="shared" ref="H21:H26" si="2">F21-G21</f>
        <v>0</v>
      </c>
      <c r="I21" s="15"/>
    </row>
    <row r="22" spans="1:14" x14ac:dyDescent="0.25">
      <c r="A22" s="12"/>
      <c r="B22" s="13" t="s">
        <v>35</v>
      </c>
      <c r="C22" s="14"/>
      <c r="D22" s="15"/>
      <c r="E22" s="16"/>
      <c r="F22" s="16">
        <f>C22+D22+E22</f>
        <v>0</v>
      </c>
      <c r="G22" s="16"/>
      <c r="H22" s="17">
        <f t="shared" si="2"/>
        <v>0</v>
      </c>
      <c r="I22" s="15"/>
    </row>
    <row r="23" spans="1:14" x14ac:dyDescent="0.25">
      <c r="A23" s="21"/>
      <c r="B23" s="13" t="s">
        <v>36</v>
      </c>
      <c r="C23" s="14"/>
      <c r="D23" s="15"/>
      <c r="E23" s="16"/>
      <c r="F23" s="16">
        <f t="shared" si="0"/>
        <v>0</v>
      </c>
      <c r="G23" s="16"/>
      <c r="H23" s="17">
        <f t="shared" si="2"/>
        <v>0</v>
      </c>
      <c r="I23" s="15"/>
    </row>
    <row r="24" spans="1:14" x14ac:dyDescent="0.25">
      <c r="A24" s="24"/>
      <c r="B24" s="13" t="s">
        <v>37</v>
      </c>
      <c r="C24" s="14"/>
      <c r="D24" s="15"/>
      <c r="E24" s="16"/>
      <c r="F24" s="16">
        <f t="shared" si="0"/>
        <v>0</v>
      </c>
      <c r="G24" s="16"/>
      <c r="H24" s="17">
        <f t="shared" si="2"/>
        <v>0</v>
      </c>
      <c r="I24" s="15"/>
      <c r="M24">
        <f>M20-4500-2500-2000</f>
        <v>31500</v>
      </c>
    </row>
    <row r="25" spans="1:14" x14ac:dyDescent="0.25">
      <c r="A25" s="21"/>
      <c r="B25" s="13" t="s">
        <v>38</v>
      </c>
      <c r="C25" s="14"/>
      <c r="D25" s="15"/>
      <c r="E25" s="16"/>
      <c r="F25" s="16">
        <f t="shared" si="0"/>
        <v>0</v>
      </c>
      <c r="G25" s="16"/>
      <c r="H25" s="17">
        <f t="shared" si="2"/>
        <v>0</v>
      </c>
      <c r="I25" s="15"/>
      <c r="M25" s="44">
        <f>M24-C38</f>
        <v>27550</v>
      </c>
    </row>
    <row r="26" spans="1:14" x14ac:dyDescent="0.25">
      <c r="A26" s="21"/>
      <c r="B26" s="13" t="s">
        <v>39</v>
      </c>
      <c r="C26" s="14"/>
      <c r="D26" s="15"/>
      <c r="E26" s="16"/>
      <c r="F26" s="16">
        <f>C26+D26+E26</f>
        <v>0</v>
      </c>
      <c r="G26" s="16"/>
      <c r="H26" s="17">
        <f t="shared" si="2"/>
        <v>0</v>
      </c>
      <c r="I26" s="15"/>
      <c r="N26" s="44"/>
    </row>
    <row r="27" spans="1:14" x14ac:dyDescent="0.25">
      <c r="A27" s="21"/>
      <c r="B27" s="13"/>
      <c r="C27" s="14"/>
      <c r="D27" s="15"/>
      <c r="E27" s="16"/>
      <c r="F27" s="16">
        <f t="shared" si="0"/>
        <v>0</v>
      </c>
      <c r="G27" s="16"/>
      <c r="H27" s="17">
        <f t="shared" si="1"/>
        <v>0</v>
      </c>
      <c r="I27" s="15"/>
      <c r="K27" s="44">
        <f>B34-C38</f>
        <v>35550</v>
      </c>
    </row>
    <row r="28" spans="1:14" x14ac:dyDescent="0.25">
      <c r="A28" s="25" t="s">
        <v>11</v>
      </c>
      <c r="B28" s="26"/>
      <c r="C28" s="14">
        <f t="shared" ref="C28:I28" si="3">SUM(C6:C27)</f>
        <v>2000</v>
      </c>
      <c r="D28" s="15">
        <f t="shared" si="3"/>
        <v>0</v>
      </c>
      <c r="E28" s="27">
        <f t="shared" si="3"/>
        <v>39500</v>
      </c>
      <c r="F28" s="16">
        <f t="shared" si="3"/>
        <v>41500</v>
      </c>
      <c r="G28" s="16">
        <f t="shared" si="3"/>
        <v>39500</v>
      </c>
      <c r="H28" s="16">
        <f t="shared" si="3"/>
        <v>2000</v>
      </c>
      <c r="I28" s="15">
        <f t="shared" si="3"/>
        <v>0</v>
      </c>
      <c r="K28" s="28">
        <f>K27-C45</f>
        <v>8100</v>
      </c>
    </row>
    <row r="29" spans="1:14" x14ac:dyDescent="0.25">
      <c r="D29" s="15">
        <f>'[1]OCTOBER 20'!H29:H51</f>
        <v>0</v>
      </c>
      <c r="H29" s="28"/>
      <c r="I29" s="3"/>
    </row>
    <row r="31" spans="1:14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14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3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3" x14ac:dyDescent="0.25">
      <c r="A34" s="26" t="s">
        <v>18</v>
      </c>
      <c r="B34" s="38">
        <f>E28</f>
        <v>39500</v>
      </c>
      <c r="C34" s="26"/>
      <c r="D34" s="26"/>
      <c r="E34" s="26" t="s">
        <v>18</v>
      </c>
      <c r="F34" s="38">
        <f>G28</f>
        <v>39500</v>
      </c>
      <c r="G34" s="26"/>
      <c r="H34" s="26"/>
      <c r="I34" s="34"/>
    </row>
    <row r="35" spans="1:13" x14ac:dyDescent="0.25">
      <c r="A35" s="26" t="s">
        <v>19</v>
      </c>
      <c r="B35" s="38"/>
      <c r="C35" s="26"/>
      <c r="D35" s="26"/>
      <c r="E35" s="26" t="s">
        <v>19</v>
      </c>
      <c r="F35" s="38"/>
      <c r="G35" s="26"/>
      <c r="H35" s="26"/>
      <c r="I35" s="34"/>
    </row>
    <row r="36" spans="1:13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</row>
    <row r="37" spans="1:13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3" x14ac:dyDescent="0.25">
      <c r="A38" s="26" t="s">
        <v>21</v>
      </c>
      <c r="B38" s="39">
        <v>0.1</v>
      </c>
      <c r="C38" s="38">
        <f>B38*B34</f>
        <v>3950</v>
      </c>
      <c r="D38" s="26"/>
      <c r="E38" s="26" t="s">
        <v>21</v>
      </c>
      <c r="F38" s="39">
        <v>0.1</v>
      </c>
      <c r="G38" s="38">
        <f>F38*B34</f>
        <v>3950</v>
      </c>
      <c r="H38" s="26"/>
      <c r="I38" s="3"/>
    </row>
    <row r="39" spans="1:13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</row>
    <row r="40" spans="1:13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  <c r="K40" s="44">
        <f>B34-C38</f>
        <v>35550</v>
      </c>
      <c r="M40">
        <f>4050/2</f>
        <v>2025</v>
      </c>
    </row>
    <row r="41" spans="1:13" x14ac:dyDescent="0.25">
      <c r="A41" s="40"/>
      <c r="D41" s="42"/>
      <c r="E41" s="40"/>
      <c r="H41" s="26"/>
      <c r="I41" s="3"/>
      <c r="K41">
        <f>K40*3</f>
        <v>106650</v>
      </c>
    </row>
    <row r="42" spans="1:13" x14ac:dyDescent="0.25">
      <c r="A42" s="40"/>
      <c r="B42" s="39"/>
      <c r="C42" s="26"/>
      <c r="D42" s="26"/>
      <c r="E42" s="40"/>
      <c r="F42" s="39"/>
      <c r="G42" s="26"/>
      <c r="H42" s="26"/>
      <c r="I42" s="34"/>
    </row>
    <row r="43" spans="1:13" x14ac:dyDescent="0.25">
      <c r="A43" s="40"/>
      <c r="B43" s="39"/>
      <c r="C43" s="26"/>
      <c r="D43" s="26"/>
      <c r="E43" s="40"/>
      <c r="F43" s="39"/>
      <c r="G43" s="26"/>
      <c r="H43" s="26"/>
      <c r="I43" s="43"/>
      <c r="J43" s="28"/>
    </row>
    <row r="44" spans="1:13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3" x14ac:dyDescent="0.25">
      <c r="A45" s="40" t="s">
        <v>55</v>
      </c>
      <c r="B45" s="26"/>
      <c r="C45" s="42">
        <v>27450</v>
      </c>
      <c r="D45" s="26"/>
      <c r="E45" s="40" t="s">
        <v>55</v>
      </c>
      <c r="F45" s="26"/>
      <c r="G45" s="42">
        <v>27450</v>
      </c>
      <c r="H45" s="26"/>
      <c r="I45" s="3"/>
    </row>
    <row r="46" spans="1:13" x14ac:dyDescent="0.25">
      <c r="A46" s="40" t="s">
        <v>61</v>
      </c>
      <c r="B46" s="26"/>
      <c r="C46" s="42">
        <v>50000</v>
      </c>
      <c r="D46" s="26"/>
      <c r="E46" s="40" t="s">
        <v>61</v>
      </c>
      <c r="F46" s="26"/>
      <c r="G46" s="42">
        <v>50000</v>
      </c>
      <c r="H46" s="26"/>
      <c r="I46" s="3"/>
    </row>
    <row r="47" spans="1:13" x14ac:dyDescent="0.25">
      <c r="A47" s="40" t="s">
        <v>58</v>
      </c>
      <c r="B47" s="26"/>
      <c r="C47" s="42">
        <v>30000</v>
      </c>
      <c r="D47" s="26"/>
      <c r="E47" s="40" t="s">
        <v>58</v>
      </c>
      <c r="F47" s="26"/>
      <c r="G47" s="42">
        <v>30000</v>
      </c>
      <c r="H47" s="26"/>
      <c r="I47" s="3"/>
      <c r="J47" s="44"/>
    </row>
    <row r="48" spans="1:13" x14ac:dyDescent="0.25">
      <c r="A48" s="37" t="s">
        <v>11</v>
      </c>
      <c r="B48" s="45">
        <f>B37+B34+B35+B36-C38</f>
        <v>35550</v>
      </c>
      <c r="C48" s="45">
        <f>SUM(C40:C47)</f>
        <v>107450</v>
      </c>
      <c r="D48" s="45">
        <f>B48-C48</f>
        <v>-71900</v>
      </c>
      <c r="E48" s="37" t="s">
        <v>11</v>
      </c>
      <c r="F48" s="45">
        <f>F34+F35+F37-G38</f>
        <v>35550</v>
      </c>
      <c r="G48" s="45">
        <f>SUM(G40:G47)</f>
        <v>107450</v>
      </c>
      <c r="H48" s="45">
        <f>F48-G48</f>
        <v>-71900</v>
      </c>
      <c r="I48" s="43"/>
    </row>
    <row r="49" spans="1:9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9" x14ac:dyDescent="0.25">
      <c r="A50" s="46" t="s">
        <v>28</v>
      </c>
      <c r="B50" s="47"/>
      <c r="C50" s="47" t="s">
        <v>29</v>
      </c>
      <c r="D50" s="48"/>
      <c r="E50" s="46"/>
      <c r="F50" s="46" t="s">
        <v>59</v>
      </c>
      <c r="G50" s="3"/>
      <c r="H50" s="3"/>
      <c r="I50" s="43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topLeftCell="A13" workbookViewId="0">
      <selection activeCell="M31" sqref="M31"/>
    </sheetView>
  </sheetViews>
  <sheetFormatPr defaultRowHeight="15" x14ac:dyDescent="0.25"/>
  <cols>
    <col min="1" max="1" width="20.7109375" customWidth="1"/>
  </cols>
  <sheetData>
    <row r="2" spans="1:10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10" ht="15.75" x14ac:dyDescent="0.25"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111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2" t="s">
        <v>91</v>
      </c>
      <c r="B6" s="13">
        <v>1</v>
      </c>
      <c r="C6" s="14"/>
      <c r="D6" s="15">
        <f>'JULY 21'!H6:H29</f>
        <v>0</v>
      </c>
      <c r="E6" s="16">
        <v>2500</v>
      </c>
      <c r="F6" s="16">
        <f>C6+D6+E6</f>
        <v>2500</v>
      </c>
      <c r="G6" s="16">
        <v>2500</v>
      </c>
      <c r="H6" s="17">
        <f>F6-G6</f>
        <v>0</v>
      </c>
      <c r="I6" s="15"/>
    </row>
    <row r="7" spans="1:10" x14ac:dyDescent="0.25">
      <c r="A7" t="s">
        <v>106</v>
      </c>
      <c r="B7" s="13">
        <v>2</v>
      </c>
      <c r="C7" s="14"/>
      <c r="D7" s="15">
        <f>'JULY 21'!H7:H30</f>
        <v>0</v>
      </c>
      <c r="E7" s="16">
        <v>2500</v>
      </c>
      <c r="F7" s="16">
        <f>C7+D7+E7</f>
        <v>2500</v>
      </c>
      <c r="G7" s="16">
        <f>2500</f>
        <v>2500</v>
      </c>
      <c r="H7" s="17">
        <f t="shared" ref="H7:H27" si="0">F7-G7</f>
        <v>0</v>
      </c>
      <c r="I7" s="15"/>
    </row>
    <row r="8" spans="1:10" x14ac:dyDescent="0.25">
      <c r="A8" s="18" t="s">
        <v>42</v>
      </c>
      <c r="B8" s="13">
        <v>3</v>
      </c>
      <c r="C8" s="14"/>
      <c r="D8" s="15">
        <f>'JULY 21'!H8:H31</f>
        <v>1250</v>
      </c>
      <c r="E8" s="16">
        <f>2500</f>
        <v>2500</v>
      </c>
      <c r="F8" s="16">
        <f>C8+D8+E8</f>
        <v>3750</v>
      </c>
      <c r="G8" s="16">
        <f>2000+500</f>
        <v>2500</v>
      </c>
      <c r="H8" s="17">
        <f t="shared" si="0"/>
        <v>1250</v>
      </c>
      <c r="I8" s="15"/>
    </row>
    <row r="9" spans="1:10" x14ac:dyDescent="0.25">
      <c r="A9" s="19" t="s">
        <v>53</v>
      </c>
      <c r="B9" s="13">
        <v>4</v>
      </c>
      <c r="C9" s="14"/>
      <c r="D9" s="15">
        <f>'JULY 21'!H9:H32</f>
        <v>0</v>
      </c>
      <c r="E9" s="16">
        <v>2500</v>
      </c>
      <c r="F9" s="16">
        <f>C9+D9+E9</f>
        <v>2500</v>
      </c>
      <c r="G9" s="16">
        <v>2500</v>
      </c>
      <c r="H9" s="17">
        <f>F9-G9</f>
        <v>0</v>
      </c>
      <c r="I9" s="15"/>
    </row>
    <row r="10" spans="1:10" x14ac:dyDescent="0.25">
      <c r="A10" s="19" t="s">
        <v>46</v>
      </c>
      <c r="B10" s="13">
        <v>5</v>
      </c>
      <c r="C10" s="14"/>
      <c r="D10" s="15">
        <f>'JULY 21'!H10:H33</f>
        <v>500</v>
      </c>
      <c r="E10" s="16">
        <v>2500</v>
      </c>
      <c r="F10" s="16">
        <f t="shared" ref="F10:F27" si="1">C10+D10+E10</f>
        <v>3000</v>
      </c>
      <c r="G10" s="16">
        <v>1000</v>
      </c>
      <c r="H10" s="17">
        <f>F10-G10</f>
        <v>2000</v>
      </c>
      <c r="I10" s="15"/>
    </row>
    <row r="11" spans="1:10" x14ac:dyDescent="0.25">
      <c r="A11" s="49" t="s">
        <v>46</v>
      </c>
      <c r="B11" s="13">
        <v>6</v>
      </c>
      <c r="C11" s="14"/>
      <c r="D11" s="15">
        <f>'JULY 21'!H11:H34</f>
        <v>0</v>
      </c>
      <c r="E11" s="16">
        <v>2500</v>
      </c>
      <c r="F11" s="52">
        <f t="shared" si="1"/>
        <v>2500</v>
      </c>
      <c r="G11" s="16">
        <f>2000</f>
        <v>2000</v>
      </c>
      <c r="H11" s="17">
        <f>F11-G11</f>
        <v>500</v>
      </c>
      <c r="I11" s="15"/>
      <c r="J11" s="50"/>
    </row>
    <row r="12" spans="1:10" x14ac:dyDescent="0.25">
      <c r="A12" s="19" t="s">
        <v>116</v>
      </c>
      <c r="B12" s="13">
        <v>7</v>
      </c>
      <c r="C12" s="14"/>
      <c r="D12" s="15"/>
      <c r="E12" s="16">
        <v>2500</v>
      </c>
      <c r="F12" s="52">
        <f t="shared" si="1"/>
        <v>2500</v>
      </c>
      <c r="G12" s="16">
        <v>2500</v>
      </c>
      <c r="H12" s="17">
        <f t="shared" si="0"/>
        <v>0</v>
      </c>
      <c r="I12" s="15"/>
    </row>
    <row r="13" spans="1:10" x14ac:dyDescent="0.25">
      <c r="A13" s="20" t="s">
        <v>43</v>
      </c>
      <c r="B13" s="13">
        <v>8</v>
      </c>
      <c r="C13" s="14"/>
      <c r="D13" s="15">
        <f>'JULY 21'!H13:H36</f>
        <v>0</v>
      </c>
      <c r="E13" s="16">
        <v>2000</v>
      </c>
      <c r="F13" s="16">
        <f t="shared" si="1"/>
        <v>2000</v>
      </c>
      <c r="G13" s="16">
        <v>2000</v>
      </c>
      <c r="H13" s="17">
        <f t="shared" si="0"/>
        <v>0</v>
      </c>
      <c r="I13" s="15"/>
    </row>
    <row r="14" spans="1:10" x14ac:dyDescent="0.25">
      <c r="A14" s="20" t="s">
        <v>45</v>
      </c>
      <c r="B14" s="13">
        <v>9</v>
      </c>
      <c r="C14" s="14"/>
      <c r="D14" s="15">
        <f>'JULY 21'!H14:H37</f>
        <v>0</v>
      </c>
      <c r="E14" s="16">
        <v>2000</v>
      </c>
      <c r="F14" s="16">
        <f t="shared" si="1"/>
        <v>2000</v>
      </c>
      <c r="G14" s="16">
        <f>2000</f>
        <v>2000</v>
      </c>
      <c r="H14" s="17">
        <f t="shared" si="0"/>
        <v>0</v>
      </c>
      <c r="I14" s="15"/>
    </row>
    <row r="15" spans="1:10" x14ac:dyDescent="0.25">
      <c r="A15" s="21" t="s">
        <v>98</v>
      </c>
      <c r="B15" s="22">
        <v>10</v>
      </c>
      <c r="C15" s="14"/>
      <c r="D15" s="15">
        <f>'JULY 21'!H15:H38</f>
        <v>500</v>
      </c>
      <c r="E15" s="16">
        <v>2000</v>
      </c>
      <c r="F15" s="16">
        <f t="shared" si="1"/>
        <v>2500</v>
      </c>
      <c r="G15" s="16">
        <f>2000</f>
        <v>2000</v>
      </c>
      <c r="H15" s="17">
        <f t="shared" si="0"/>
        <v>500</v>
      </c>
      <c r="I15" s="15"/>
    </row>
    <row r="16" spans="1:10" x14ac:dyDescent="0.25">
      <c r="A16" s="23" t="s">
        <v>47</v>
      </c>
      <c r="B16" s="13">
        <v>11</v>
      </c>
      <c r="C16" s="14"/>
      <c r="D16" s="15">
        <f>'JULY 21'!H16:H39</f>
        <v>1000</v>
      </c>
      <c r="E16" s="16">
        <v>2000</v>
      </c>
      <c r="F16" s="16">
        <f>C16+D16+E16</f>
        <v>3000</v>
      </c>
      <c r="G16" s="16">
        <v>2000</v>
      </c>
      <c r="H16" s="17">
        <f t="shared" si="0"/>
        <v>1000</v>
      </c>
      <c r="I16" s="15"/>
    </row>
    <row r="17" spans="1:9" x14ac:dyDescent="0.25">
      <c r="A17" s="55" t="s">
        <v>96</v>
      </c>
      <c r="B17" s="13">
        <v>12</v>
      </c>
      <c r="C17" s="14"/>
      <c r="D17" s="15">
        <f>'JULY 21'!H17:H40</f>
        <v>0</v>
      </c>
      <c r="E17" s="16">
        <v>2000</v>
      </c>
      <c r="F17" s="16">
        <f t="shared" si="1"/>
        <v>2000</v>
      </c>
      <c r="G17" s="16">
        <f>1500</f>
        <v>1500</v>
      </c>
      <c r="H17" s="17">
        <f t="shared" si="0"/>
        <v>500</v>
      </c>
      <c r="I17" s="15"/>
    </row>
    <row r="18" spans="1:9" x14ac:dyDescent="0.25">
      <c r="A18" s="21" t="s">
        <v>80</v>
      </c>
      <c r="B18" s="13" t="s">
        <v>31</v>
      </c>
      <c r="C18" s="14"/>
      <c r="D18" s="15">
        <f>'JULY 21'!H18:H41</f>
        <v>0</v>
      </c>
      <c r="E18" s="16">
        <v>4000</v>
      </c>
      <c r="F18" s="16">
        <f t="shared" si="1"/>
        <v>4000</v>
      </c>
      <c r="G18" s="16">
        <v>4000</v>
      </c>
      <c r="H18" s="17">
        <f t="shared" si="0"/>
        <v>0</v>
      </c>
      <c r="I18" s="15"/>
    </row>
    <row r="19" spans="1:9" x14ac:dyDescent="0.25">
      <c r="A19" s="53" t="s">
        <v>68</v>
      </c>
      <c r="B19" s="54" t="s">
        <v>32</v>
      </c>
      <c r="C19" s="14"/>
      <c r="D19" s="15">
        <f>'JULY 21'!H19:H42</f>
        <v>0</v>
      </c>
      <c r="E19" s="16"/>
      <c r="F19" s="16">
        <f t="shared" si="1"/>
        <v>0</v>
      </c>
      <c r="G19" s="16"/>
      <c r="H19" s="17">
        <f t="shared" si="0"/>
        <v>0</v>
      </c>
      <c r="I19" s="15"/>
    </row>
    <row r="20" spans="1:9" x14ac:dyDescent="0.25">
      <c r="A20" s="12"/>
      <c r="B20" s="13" t="s">
        <v>33</v>
      </c>
      <c r="C20" s="14"/>
      <c r="D20" s="15">
        <f>'JULY 21'!H20:H43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12" t="s">
        <v>50</v>
      </c>
      <c r="B21" s="13" t="s">
        <v>34</v>
      </c>
      <c r="C21" s="14"/>
      <c r="D21" s="15">
        <f>'JULY 21'!H21:H44</f>
        <v>2000</v>
      </c>
      <c r="E21" s="16">
        <v>4500</v>
      </c>
      <c r="F21" s="16">
        <f>C21+D21+E21</f>
        <v>6500</v>
      </c>
      <c r="G21" s="16">
        <f>4000</f>
        <v>4000</v>
      </c>
      <c r="H21" s="17">
        <f t="shared" ref="H21:H26" si="2">F21-G21</f>
        <v>2500</v>
      </c>
      <c r="I21" s="15"/>
    </row>
    <row r="22" spans="1:9" x14ac:dyDescent="0.25">
      <c r="A22" s="12"/>
      <c r="B22" s="13" t="s">
        <v>35</v>
      </c>
      <c r="C22" s="14"/>
      <c r="D22" s="15">
        <f>'JULY 21'!H22:H45</f>
        <v>0</v>
      </c>
      <c r="E22" s="16"/>
      <c r="F22" s="16">
        <f>C22+D22+E22</f>
        <v>0</v>
      </c>
      <c r="G22" s="16"/>
      <c r="H22" s="17">
        <f t="shared" si="2"/>
        <v>0</v>
      </c>
      <c r="I22" s="15"/>
    </row>
    <row r="23" spans="1:9" x14ac:dyDescent="0.25">
      <c r="A23" s="21"/>
      <c r="B23" s="13" t="s">
        <v>36</v>
      </c>
      <c r="C23" s="14"/>
      <c r="D23" s="15">
        <f>'JULY 21'!H23:H46</f>
        <v>0</v>
      </c>
      <c r="E23" s="16"/>
      <c r="F23" s="16">
        <f t="shared" si="1"/>
        <v>0</v>
      </c>
      <c r="G23" s="16"/>
      <c r="H23" s="17">
        <f t="shared" si="2"/>
        <v>0</v>
      </c>
      <c r="I23" s="15"/>
    </row>
    <row r="24" spans="1:9" x14ac:dyDescent="0.25">
      <c r="A24" s="24"/>
      <c r="B24" s="13" t="s">
        <v>37</v>
      </c>
      <c r="C24" s="14"/>
      <c r="D24" s="15">
        <f>'JULY 21'!H24:H47</f>
        <v>0</v>
      </c>
      <c r="E24" s="16"/>
      <c r="F24" s="16">
        <f t="shared" si="1"/>
        <v>0</v>
      </c>
      <c r="G24" s="16"/>
      <c r="H24" s="17">
        <f t="shared" si="2"/>
        <v>0</v>
      </c>
      <c r="I24" s="15"/>
    </row>
    <row r="25" spans="1:9" x14ac:dyDescent="0.25">
      <c r="A25" s="21"/>
      <c r="B25" s="13" t="s">
        <v>38</v>
      </c>
      <c r="C25" s="14"/>
      <c r="D25" s="15">
        <f>'JULY 21'!H25:H48</f>
        <v>0</v>
      </c>
      <c r="E25" s="16"/>
      <c r="F25" s="16">
        <f t="shared" si="1"/>
        <v>0</v>
      </c>
      <c r="G25" s="16"/>
      <c r="H25" s="17">
        <f t="shared" si="2"/>
        <v>0</v>
      </c>
      <c r="I25" s="15"/>
    </row>
    <row r="26" spans="1:9" x14ac:dyDescent="0.25">
      <c r="A26" s="21"/>
      <c r="B26" s="13" t="s">
        <v>39</v>
      </c>
      <c r="C26" s="14"/>
      <c r="D26" s="15">
        <f>'JULY 21'!H26:H49</f>
        <v>0</v>
      </c>
      <c r="E26" s="16"/>
      <c r="F26" s="16">
        <f>C26+D26+E26</f>
        <v>0</v>
      </c>
      <c r="G26" s="16"/>
      <c r="H26" s="17">
        <f t="shared" si="2"/>
        <v>0</v>
      </c>
      <c r="I26" s="15"/>
    </row>
    <row r="27" spans="1:9" x14ac:dyDescent="0.25">
      <c r="A27" s="21"/>
      <c r="B27" s="13"/>
      <c r="C27" s="14"/>
      <c r="D27" s="15">
        <f>'JULY 21'!H27:H50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5" t="s">
        <v>11</v>
      </c>
      <c r="B28" s="26"/>
      <c r="C28" s="14">
        <f t="shared" ref="C28:I28" si="3">SUM(C6:C27)</f>
        <v>0</v>
      </c>
      <c r="D28" s="15">
        <f>'JULY 21'!H28:H51</f>
        <v>8250</v>
      </c>
      <c r="E28" s="27">
        <f t="shared" si="3"/>
        <v>36000</v>
      </c>
      <c r="F28" s="16">
        <f t="shared" si="3"/>
        <v>41250</v>
      </c>
      <c r="G28" s="16">
        <f t="shared" si="3"/>
        <v>33000</v>
      </c>
      <c r="H28" s="16">
        <f t="shared" si="3"/>
        <v>8250</v>
      </c>
      <c r="I28" s="15">
        <f t="shared" si="3"/>
        <v>0</v>
      </c>
    </row>
    <row r="29" spans="1:9" x14ac:dyDescent="0.25">
      <c r="D29" s="15">
        <f>'JULY 21'!H29:H52</f>
        <v>8250</v>
      </c>
      <c r="H29" s="28">
        <f>H28-H19-H17-H6</f>
        <v>7750</v>
      </c>
      <c r="I29" s="3"/>
    </row>
    <row r="31" spans="1:9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4"/>
    </row>
    <row r="33" spans="1:11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1" x14ac:dyDescent="0.25">
      <c r="A34" s="26" t="s">
        <v>112</v>
      </c>
      <c r="B34" s="38">
        <f>E28</f>
        <v>36000</v>
      </c>
      <c r="C34" s="26"/>
      <c r="D34" s="26"/>
      <c r="E34" s="26" t="s">
        <v>112</v>
      </c>
      <c r="F34" s="38">
        <f>G28</f>
        <v>33000</v>
      </c>
      <c r="G34" s="26"/>
      <c r="H34" s="26"/>
      <c r="I34" s="34"/>
    </row>
    <row r="35" spans="1:11" x14ac:dyDescent="0.25">
      <c r="A35" s="26" t="s">
        <v>19</v>
      </c>
      <c r="B35" s="38">
        <f>'JULY 21'!D48</f>
        <v>0</v>
      </c>
      <c r="C35" s="26"/>
      <c r="D35" s="26"/>
      <c r="E35" s="26" t="s">
        <v>19</v>
      </c>
      <c r="F35" s="38">
        <f>'JULY 21'!H48</f>
        <v>-7750</v>
      </c>
      <c r="G35" s="26"/>
      <c r="H35" s="26"/>
      <c r="I35" s="34"/>
    </row>
    <row r="36" spans="1:11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</row>
    <row r="37" spans="1:11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1" x14ac:dyDescent="0.25">
      <c r="A38" s="26" t="s">
        <v>21</v>
      </c>
      <c r="B38" s="39">
        <v>0.1</v>
      </c>
      <c r="C38" s="38">
        <f>B38*B34</f>
        <v>3600</v>
      </c>
      <c r="D38" s="26"/>
      <c r="E38" s="26" t="s">
        <v>21</v>
      </c>
      <c r="F38" s="39">
        <v>0.1</v>
      </c>
      <c r="G38" s="38">
        <f>F38*B34</f>
        <v>3600</v>
      </c>
      <c r="H38" s="26"/>
      <c r="I38" s="3"/>
    </row>
    <row r="39" spans="1:11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</row>
    <row r="40" spans="1:11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</row>
    <row r="41" spans="1:11" x14ac:dyDescent="0.25">
      <c r="A41" s="40"/>
      <c r="D41" s="42"/>
      <c r="E41" s="40"/>
      <c r="H41" s="26"/>
      <c r="I41" s="43"/>
    </row>
    <row r="42" spans="1:11" x14ac:dyDescent="0.25">
      <c r="A42" s="40" t="s">
        <v>92</v>
      </c>
      <c r="B42" s="39"/>
      <c r="C42" s="26">
        <v>10000</v>
      </c>
      <c r="D42" s="26"/>
      <c r="E42" s="40" t="s">
        <v>92</v>
      </c>
      <c r="F42" s="39"/>
      <c r="G42" s="26">
        <v>10000</v>
      </c>
      <c r="H42" s="26"/>
      <c r="I42" s="34"/>
      <c r="J42" s="28"/>
    </row>
    <row r="43" spans="1:11" x14ac:dyDescent="0.25">
      <c r="A43" s="40" t="s">
        <v>114</v>
      </c>
      <c r="B43" s="39"/>
      <c r="C43" s="26">
        <v>3000</v>
      </c>
      <c r="D43" s="26"/>
      <c r="E43" s="40"/>
      <c r="F43" s="39"/>
      <c r="G43" s="26"/>
      <c r="H43" s="26"/>
      <c r="I43" s="43"/>
      <c r="J43" s="28"/>
    </row>
    <row r="44" spans="1:11" x14ac:dyDescent="0.25">
      <c r="A44" s="40" t="s">
        <v>115</v>
      </c>
      <c r="B44" s="26"/>
      <c r="C44" s="42">
        <v>20150</v>
      </c>
      <c r="D44" s="26"/>
      <c r="E44" s="40" t="s">
        <v>115</v>
      </c>
      <c r="F44" s="26"/>
      <c r="G44" s="42">
        <v>20150</v>
      </c>
      <c r="H44" s="26"/>
      <c r="I44" s="3"/>
    </row>
    <row r="45" spans="1:11" x14ac:dyDescent="0.25">
      <c r="A45" s="40" t="s">
        <v>119</v>
      </c>
      <c r="B45" s="26"/>
      <c r="C45" s="42">
        <v>2032</v>
      </c>
      <c r="D45" s="26"/>
      <c r="E45" s="40" t="s">
        <v>119</v>
      </c>
      <c r="F45" s="26"/>
      <c r="G45" s="42">
        <v>2032</v>
      </c>
      <c r="H45" s="26"/>
      <c r="I45" s="43"/>
      <c r="J45" s="28"/>
    </row>
    <row r="46" spans="1:11" x14ac:dyDescent="0.25">
      <c r="A46" s="40"/>
      <c r="B46" s="26"/>
      <c r="C46" s="42"/>
      <c r="D46" s="26"/>
      <c r="E46" s="40"/>
      <c r="F46" s="26"/>
      <c r="G46" s="42"/>
      <c r="H46" s="26"/>
      <c r="I46" s="3"/>
      <c r="K46" s="44"/>
    </row>
    <row r="47" spans="1:11" x14ac:dyDescent="0.25">
      <c r="A47" s="40"/>
      <c r="B47" s="26"/>
      <c r="C47" s="42"/>
      <c r="D47" s="26"/>
      <c r="E47" s="40"/>
      <c r="F47" s="26"/>
      <c r="G47" s="42"/>
      <c r="H47" s="26"/>
      <c r="I47" s="43"/>
      <c r="J47" s="44"/>
    </row>
    <row r="48" spans="1:11" x14ac:dyDescent="0.25">
      <c r="A48" s="37" t="s">
        <v>11</v>
      </c>
      <c r="B48" s="45">
        <f>B37+B34+B35+B36-C38</f>
        <v>32400</v>
      </c>
      <c r="C48" s="45">
        <f>SUM(C40:C47)</f>
        <v>35182</v>
      </c>
      <c r="D48" s="45">
        <f>B48-C48</f>
        <v>-2782</v>
      </c>
      <c r="E48" s="37" t="s">
        <v>11</v>
      </c>
      <c r="F48" s="45">
        <f>F34+F35+F37-G38</f>
        <v>21650</v>
      </c>
      <c r="G48" s="45">
        <f>SUM(G40:G47)</f>
        <v>32182</v>
      </c>
      <c r="H48" s="45">
        <f>F48-G48</f>
        <v>-10532</v>
      </c>
      <c r="I48" s="43"/>
    </row>
    <row r="49" spans="1:9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9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</row>
    <row r="51" spans="1:9" x14ac:dyDescent="0.25">
      <c r="I51" s="4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topLeftCell="A31" workbookViewId="0">
      <selection activeCell="B65" sqref="B65"/>
    </sheetView>
  </sheetViews>
  <sheetFormatPr defaultRowHeight="15" x14ac:dyDescent="0.25"/>
  <cols>
    <col min="1" max="1" width="21.140625" customWidth="1"/>
  </cols>
  <sheetData>
    <row r="2" spans="1:10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10" ht="15.75" x14ac:dyDescent="0.25"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118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2" t="s">
        <v>91</v>
      </c>
      <c r="B6" s="13">
        <v>1</v>
      </c>
      <c r="C6" s="14"/>
      <c r="D6" s="15">
        <f>'AUGUST 21'!H6:H27</f>
        <v>0</v>
      </c>
      <c r="E6" s="16">
        <v>2500</v>
      </c>
      <c r="F6" s="16">
        <f>C6+D6+E6</f>
        <v>2500</v>
      </c>
      <c r="G6" s="16">
        <v>2500</v>
      </c>
      <c r="H6" s="17">
        <f>F6-G6</f>
        <v>0</v>
      </c>
      <c r="I6" s="15"/>
    </row>
    <row r="7" spans="1:10" x14ac:dyDescent="0.25">
      <c r="A7" t="s">
        <v>106</v>
      </c>
      <c r="B7" s="13">
        <v>2</v>
      </c>
      <c r="C7" s="14"/>
      <c r="D7" s="15">
        <f>'AUGUST 21'!H7:H28</f>
        <v>0</v>
      </c>
      <c r="E7" s="16">
        <v>2500</v>
      </c>
      <c r="F7" s="16">
        <f>C7+D7+E7</f>
        <v>2500</v>
      </c>
      <c r="G7" s="16">
        <v>2500</v>
      </c>
      <c r="H7" s="17">
        <f t="shared" ref="H7:H27" si="0">F7-G7</f>
        <v>0</v>
      </c>
      <c r="I7" s="15"/>
    </row>
    <row r="8" spans="1:10" x14ac:dyDescent="0.25">
      <c r="A8" s="18" t="s">
        <v>42</v>
      </c>
      <c r="B8" s="13">
        <v>3</v>
      </c>
      <c r="C8" s="14"/>
      <c r="D8" s="15">
        <f>'AUGUST 21'!H8:H29</f>
        <v>1250</v>
      </c>
      <c r="E8" s="16">
        <f>2500</f>
        <v>2500</v>
      </c>
      <c r="F8" s="16">
        <f>C8+D8+E8</f>
        <v>3750</v>
      </c>
      <c r="G8" s="16">
        <f>2500</f>
        <v>2500</v>
      </c>
      <c r="H8" s="17">
        <f t="shared" si="0"/>
        <v>1250</v>
      </c>
      <c r="I8" s="15"/>
    </row>
    <row r="9" spans="1:10" x14ac:dyDescent="0.25">
      <c r="A9" s="19" t="s">
        <v>53</v>
      </c>
      <c r="B9" s="13">
        <v>4</v>
      </c>
      <c r="C9" s="14"/>
      <c r="D9" s="15">
        <f>'AUGUST 21'!H9:H30</f>
        <v>0</v>
      </c>
      <c r="E9" s="16">
        <v>2500</v>
      </c>
      <c r="F9" s="16">
        <f>C9+D9+E9</f>
        <v>2500</v>
      </c>
      <c r="G9" s="16">
        <v>2500</v>
      </c>
      <c r="H9" s="17">
        <f>F9-G9</f>
        <v>0</v>
      </c>
      <c r="I9" s="15"/>
    </row>
    <row r="10" spans="1:10" x14ac:dyDescent="0.25">
      <c r="A10" s="19" t="s">
        <v>46</v>
      </c>
      <c r="B10" s="13">
        <v>5</v>
      </c>
      <c r="C10" s="14"/>
      <c r="D10" s="15">
        <f>'AUGUST 21'!H10:H31</f>
        <v>2000</v>
      </c>
      <c r="E10" s="16">
        <v>2500</v>
      </c>
      <c r="F10" s="16">
        <f t="shared" ref="F10:F27" si="1">C10+D10+E10</f>
        <v>4500</v>
      </c>
      <c r="G10" s="16">
        <f>2500</f>
        <v>2500</v>
      </c>
      <c r="H10" s="17">
        <f>F10-G10</f>
        <v>2000</v>
      </c>
      <c r="I10" s="15"/>
    </row>
    <row r="11" spans="1:10" x14ac:dyDescent="0.25">
      <c r="A11" s="49" t="s">
        <v>46</v>
      </c>
      <c r="B11" s="13">
        <v>6</v>
      </c>
      <c r="C11" s="14"/>
      <c r="D11" s="15">
        <f>'AUGUST 21'!H11:H32</f>
        <v>500</v>
      </c>
      <c r="E11" s="16">
        <v>2500</v>
      </c>
      <c r="F11" s="52">
        <f t="shared" si="1"/>
        <v>3000</v>
      </c>
      <c r="G11" s="16">
        <f>2500</f>
        <v>2500</v>
      </c>
      <c r="H11" s="17">
        <f>F11-G11</f>
        <v>500</v>
      </c>
      <c r="I11" s="15"/>
      <c r="J11" s="50"/>
    </row>
    <row r="12" spans="1:10" x14ac:dyDescent="0.25">
      <c r="A12" s="19" t="s">
        <v>123</v>
      </c>
      <c r="B12" s="13">
        <v>7</v>
      </c>
      <c r="C12" s="14">
        <v>2500</v>
      </c>
      <c r="D12" s="15">
        <f>'AUGUST 21'!H12:H33</f>
        <v>0</v>
      </c>
      <c r="E12" s="16">
        <v>1000</v>
      </c>
      <c r="F12" s="52">
        <f t="shared" si="1"/>
        <v>3500</v>
      </c>
      <c r="G12" s="16">
        <v>3500</v>
      </c>
      <c r="H12" s="17">
        <f t="shared" si="0"/>
        <v>0</v>
      </c>
      <c r="I12" s="15"/>
    </row>
    <row r="13" spans="1:10" x14ac:dyDescent="0.25">
      <c r="A13" s="20" t="s">
        <v>43</v>
      </c>
      <c r="B13" s="13">
        <v>8</v>
      </c>
      <c r="C13" s="14"/>
      <c r="D13" s="15">
        <f>'AUGUST 21'!H13:H34</f>
        <v>0</v>
      </c>
      <c r="E13" s="16">
        <v>2000</v>
      </c>
      <c r="F13" s="16">
        <f t="shared" si="1"/>
        <v>2000</v>
      </c>
      <c r="G13" s="16"/>
      <c r="H13" s="17">
        <f t="shared" si="0"/>
        <v>2000</v>
      </c>
      <c r="I13" s="15"/>
    </row>
    <row r="14" spans="1:10" x14ac:dyDescent="0.25">
      <c r="A14" s="20" t="s">
        <v>45</v>
      </c>
      <c r="B14" s="13">
        <v>9</v>
      </c>
      <c r="C14" s="14"/>
      <c r="D14" s="15">
        <f>'AUGUST 21'!H14:H35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/>
    </row>
    <row r="15" spans="1:10" x14ac:dyDescent="0.25">
      <c r="A15" s="21" t="s">
        <v>98</v>
      </c>
      <c r="B15" s="22">
        <v>10</v>
      </c>
      <c r="C15" s="14"/>
      <c r="D15" s="15">
        <f>'AUGUST 21'!H15:H36</f>
        <v>500</v>
      </c>
      <c r="E15" s="16">
        <v>2000</v>
      </c>
      <c r="F15" s="16">
        <f t="shared" si="1"/>
        <v>2500</v>
      </c>
      <c r="G15" s="16">
        <v>2000</v>
      </c>
      <c r="H15" s="17">
        <f t="shared" si="0"/>
        <v>500</v>
      </c>
      <c r="I15" s="15"/>
    </row>
    <row r="16" spans="1:10" x14ac:dyDescent="0.25">
      <c r="A16" s="23" t="s">
        <v>47</v>
      </c>
      <c r="B16" s="13">
        <v>11</v>
      </c>
      <c r="C16" s="14"/>
      <c r="D16" s="15">
        <f>'AUGUST 21'!H16:H37</f>
        <v>1000</v>
      </c>
      <c r="E16" s="16">
        <v>2000</v>
      </c>
      <c r="F16" s="16">
        <f>C16+D16+E16</f>
        <v>3000</v>
      </c>
      <c r="G16" s="16">
        <v>2000</v>
      </c>
      <c r="H16" s="17">
        <f t="shared" si="0"/>
        <v>1000</v>
      </c>
      <c r="I16" s="15"/>
    </row>
    <row r="17" spans="1:9" x14ac:dyDescent="0.25">
      <c r="A17" s="55" t="s">
        <v>96</v>
      </c>
      <c r="B17" s="13">
        <v>12</v>
      </c>
      <c r="C17" s="14"/>
      <c r="D17" s="15">
        <f>'AUGUST 21'!H17:H38</f>
        <v>500</v>
      </c>
      <c r="E17" s="16">
        <v>2000</v>
      </c>
      <c r="F17" s="16">
        <f t="shared" si="1"/>
        <v>2500</v>
      </c>
      <c r="G17" s="16"/>
      <c r="H17" s="17">
        <f t="shared" si="0"/>
        <v>2500</v>
      </c>
      <c r="I17" s="15"/>
    </row>
    <row r="18" spans="1:9" x14ac:dyDescent="0.25">
      <c r="A18" s="21" t="s">
        <v>80</v>
      </c>
      <c r="B18" s="13" t="s">
        <v>31</v>
      </c>
      <c r="C18" s="14"/>
      <c r="D18" s="15">
        <f>'AUGUST 21'!H18:H39</f>
        <v>0</v>
      </c>
      <c r="E18" s="16">
        <v>4000</v>
      </c>
      <c r="F18" s="16">
        <f t="shared" si="1"/>
        <v>4000</v>
      </c>
      <c r="G18" s="16">
        <v>4000</v>
      </c>
      <c r="H18" s="17">
        <f t="shared" si="0"/>
        <v>0</v>
      </c>
      <c r="I18" s="15"/>
    </row>
    <row r="19" spans="1:9" x14ac:dyDescent="0.25">
      <c r="A19" s="53" t="s">
        <v>68</v>
      </c>
      <c r="B19" s="54" t="s">
        <v>32</v>
      </c>
      <c r="C19" s="14"/>
      <c r="D19" s="15">
        <f>'AUGUST 21'!H19:H40</f>
        <v>0</v>
      </c>
      <c r="E19" s="16"/>
      <c r="F19" s="16">
        <f t="shared" si="1"/>
        <v>0</v>
      </c>
      <c r="G19" s="16"/>
      <c r="H19" s="17">
        <f t="shared" si="0"/>
        <v>0</v>
      </c>
      <c r="I19" s="15"/>
    </row>
    <row r="20" spans="1:9" x14ac:dyDescent="0.25">
      <c r="A20" s="12"/>
      <c r="B20" s="13" t="s">
        <v>33</v>
      </c>
      <c r="C20" s="14"/>
      <c r="D20" s="15">
        <f>'AUGUST 21'!H20:H41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12" t="s">
        <v>50</v>
      </c>
      <c r="B21" s="13" t="s">
        <v>34</v>
      </c>
      <c r="C21" s="14"/>
      <c r="D21" s="15">
        <f>'AUGUST 21'!H21:H42</f>
        <v>2500</v>
      </c>
      <c r="E21" s="16">
        <v>4500</v>
      </c>
      <c r="F21" s="16">
        <f>C21+D21+E21</f>
        <v>7000</v>
      </c>
      <c r="G21" s="16">
        <f>5000</f>
        <v>5000</v>
      </c>
      <c r="H21" s="17">
        <f t="shared" ref="H21:H26" si="2">F21-G21</f>
        <v>2000</v>
      </c>
      <c r="I21" s="15"/>
    </row>
    <row r="22" spans="1:9" x14ac:dyDescent="0.25">
      <c r="A22" s="12"/>
      <c r="B22" s="13" t="s">
        <v>35</v>
      </c>
      <c r="C22" s="14"/>
      <c r="D22" s="15">
        <f>'AUGUST 21'!H22:H43</f>
        <v>0</v>
      </c>
      <c r="E22" s="16"/>
      <c r="F22" s="16">
        <f>C22+D22+E22</f>
        <v>0</v>
      </c>
      <c r="G22" s="16"/>
      <c r="H22" s="17">
        <f t="shared" si="2"/>
        <v>0</v>
      </c>
      <c r="I22" s="15"/>
    </row>
    <row r="23" spans="1:9" x14ac:dyDescent="0.25">
      <c r="A23" s="21"/>
      <c r="B23" s="13" t="s">
        <v>36</v>
      </c>
      <c r="C23" s="14"/>
      <c r="D23" s="15">
        <f>'AUGUST 21'!H23:H44</f>
        <v>0</v>
      </c>
      <c r="E23" s="16"/>
      <c r="F23" s="16">
        <f t="shared" si="1"/>
        <v>0</v>
      </c>
      <c r="G23" s="16"/>
      <c r="H23" s="17">
        <f t="shared" si="2"/>
        <v>0</v>
      </c>
      <c r="I23" s="15"/>
    </row>
    <row r="24" spans="1:9" x14ac:dyDescent="0.25">
      <c r="A24" s="24"/>
      <c r="B24" s="13" t="s">
        <v>37</v>
      </c>
      <c r="C24" s="14"/>
      <c r="D24" s="15">
        <f>'AUGUST 21'!H24:H45</f>
        <v>0</v>
      </c>
      <c r="E24" s="16"/>
      <c r="F24" s="16">
        <f t="shared" si="1"/>
        <v>0</v>
      </c>
      <c r="G24" s="16"/>
      <c r="H24" s="17">
        <f t="shared" si="2"/>
        <v>0</v>
      </c>
      <c r="I24" s="15"/>
    </row>
    <row r="25" spans="1:9" x14ac:dyDescent="0.25">
      <c r="A25" s="21"/>
      <c r="B25" s="13" t="s">
        <v>38</v>
      </c>
      <c r="C25" s="14"/>
      <c r="D25" s="15">
        <f>'AUGUST 21'!H25:H46</f>
        <v>0</v>
      </c>
      <c r="E25" s="16"/>
      <c r="F25" s="16">
        <f t="shared" si="1"/>
        <v>0</v>
      </c>
      <c r="G25" s="16"/>
      <c r="H25" s="17">
        <f t="shared" si="2"/>
        <v>0</v>
      </c>
      <c r="I25" s="15"/>
    </row>
    <row r="26" spans="1:9" x14ac:dyDescent="0.25">
      <c r="A26" s="21"/>
      <c r="B26" s="13" t="s">
        <v>39</v>
      </c>
      <c r="C26" s="14"/>
      <c r="D26" s="15">
        <f>'AUGUST 21'!H26:H47</f>
        <v>0</v>
      </c>
      <c r="E26" s="16"/>
      <c r="F26" s="16">
        <f>C26+D26+E26</f>
        <v>0</v>
      </c>
      <c r="G26" s="16"/>
      <c r="H26" s="17">
        <f t="shared" si="2"/>
        <v>0</v>
      </c>
      <c r="I26" s="15"/>
    </row>
    <row r="27" spans="1:9" x14ac:dyDescent="0.25">
      <c r="A27" s="21"/>
      <c r="B27" s="13"/>
      <c r="C27" s="14"/>
      <c r="D27" s="15">
        <f>'AUGUST 21'!H27:H48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5" t="s">
        <v>11</v>
      </c>
      <c r="B28" s="26"/>
      <c r="C28" s="14">
        <f t="shared" ref="C28:I28" si="3">SUM(C6:C27)</f>
        <v>2500</v>
      </c>
      <c r="D28" s="15">
        <f>SUM(D6:D27)</f>
        <v>8250</v>
      </c>
      <c r="E28" s="27">
        <f t="shared" si="3"/>
        <v>34500</v>
      </c>
      <c r="F28" s="16">
        <f t="shared" si="3"/>
        <v>45250</v>
      </c>
      <c r="G28" s="16">
        <f t="shared" si="3"/>
        <v>33500</v>
      </c>
      <c r="H28" s="16">
        <f t="shared" si="3"/>
        <v>11750</v>
      </c>
      <c r="I28" s="15">
        <f t="shared" si="3"/>
        <v>0</v>
      </c>
    </row>
    <row r="29" spans="1:9" x14ac:dyDescent="0.25">
      <c r="D29" s="15">
        <f>'JULY 21'!H29:H52</f>
        <v>8250</v>
      </c>
      <c r="H29" s="28">
        <f>H28-H19-H17-H6</f>
        <v>9250</v>
      </c>
      <c r="I29" s="3"/>
    </row>
    <row r="31" spans="1:9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4"/>
    </row>
    <row r="33" spans="1:13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3" x14ac:dyDescent="0.25">
      <c r="A34" s="26" t="s">
        <v>117</v>
      </c>
      <c r="B34" s="38">
        <f>E28</f>
        <v>34500</v>
      </c>
      <c r="C34" s="26"/>
      <c r="D34" s="26"/>
      <c r="E34" s="26" t="s">
        <v>117</v>
      </c>
      <c r="F34" s="38">
        <f>G28</f>
        <v>33500</v>
      </c>
      <c r="G34" s="26"/>
      <c r="H34" s="26"/>
      <c r="I34" s="34"/>
    </row>
    <row r="35" spans="1:13" x14ac:dyDescent="0.25">
      <c r="A35" s="26" t="s">
        <v>19</v>
      </c>
      <c r="B35" s="38">
        <f>'AUGUST 21'!D48</f>
        <v>-2782</v>
      </c>
      <c r="C35" s="26"/>
      <c r="D35" s="26"/>
      <c r="E35" s="26" t="s">
        <v>19</v>
      </c>
      <c r="F35" s="38">
        <f>'AUGUST 21'!H48</f>
        <v>-10532</v>
      </c>
      <c r="G35" s="26"/>
      <c r="H35" s="26"/>
      <c r="I35" s="34"/>
    </row>
    <row r="36" spans="1:13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  <c r="M36" s="28">
        <f>E28</f>
        <v>34500</v>
      </c>
    </row>
    <row r="37" spans="1:13" x14ac:dyDescent="0.25">
      <c r="A37" s="26" t="s">
        <v>4</v>
      </c>
      <c r="B37" s="38">
        <f>C28</f>
        <v>2500</v>
      </c>
      <c r="C37" s="26"/>
      <c r="D37" s="26"/>
      <c r="E37" s="26"/>
      <c r="F37" s="38"/>
      <c r="G37" s="26"/>
      <c r="H37" s="26"/>
      <c r="I37" s="3"/>
      <c r="L37" t="s">
        <v>21</v>
      </c>
      <c r="M37" s="44">
        <f>C38</f>
        <v>3450</v>
      </c>
    </row>
    <row r="38" spans="1:13" x14ac:dyDescent="0.25">
      <c r="A38" s="26" t="s">
        <v>21</v>
      </c>
      <c r="B38" s="39">
        <v>0.1</v>
      </c>
      <c r="C38" s="38">
        <f>B38*B34</f>
        <v>3450</v>
      </c>
      <c r="D38" s="26"/>
      <c r="E38" s="26" t="s">
        <v>21</v>
      </c>
      <c r="F38" s="39">
        <v>0.1</v>
      </c>
      <c r="G38" s="38">
        <f>F38*B34</f>
        <v>3450</v>
      </c>
      <c r="H38" s="26"/>
      <c r="I38" s="3"/>
      <c r="M38" s="28">
        <f>M36-M37</f>
        <v>31050</v>
      </c>
    </row>
    <row r="39" spans="1:13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  <c r="L39" t="s">
        <v>92</v>
      </c>
      <c r="M39">
        <f>C42</f>
        <v>10000</v>
      </c>
    </row>
    <row r="40" spans="1:13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  <c r="M40" s="28">
        <f>M38-M39</f>
        <v>21050</v>
      </c>
    </row>
    <row r="41" spans="1:13" x14ac:dyDescent="0.25">
      <c r="A41" s="40"/>
      <c r="D41" s="42"/>
      <c r="E41" s="40"/>
      <c r="H41" s="26"/>
      <c r="I41" s="43"/>
    </row>
    <row r="42" spans="1:13" x14ac:dyDescent="0.25">
      <c r="A42" s="40" t="s">
        <v>92</v>
      </c>
      <c r="B42" s="39"/>
      <c r="C42" s="26">
        <v>10000</v>
      </c>
      <c r="D42" s="26"/>
      <c r="E42" s="40" t="s">
        <v>92</v>
      </c>
      <c r="F42" s="39"/>
      <c r="G42" s="26">
        <v>10000</v>
      </c>
      <c r="H42" s="26"/>
      <c r="I42" s="34"/>
      <c r="J42" s="28"/>
    </row>
    <row r="43" spans="1:13" x14ac:dyDescent="0.25">
      <c r="A43" s="40" t="s">
        <v>120</v>
      </c>
      <c r="B43" s="39"/>
      <c r="C43" s="26">
        <v>20150</v>
      </c>
      <c r="D43" s="26"/>
      <c r="E43" s="40" t="s">
        <v>120</v>
      </c>
      <c r="F43" s="39"/>
      <c r="G43" s="26">
        <v>20150</v>
      </c>
      <c r="H43" s="26"/>
      <c r="I43" s="43"/>
      <c r="J43" s="28"/>
    </row>
    <row r="44" spans="1:13" x14ac:dyDescent="0.25">
      <c r="A44" s="40" t="s">
        <v>124</v>
      </c>
      <c r="B44" s="26"/>
      <c r="C44" s="42">
        <v>2500</v>
      </c>
      <c r="D44" s="26"/>
      <c r="E44" s="40"/>
      <c r="F44" s="26"/>
      <c r="G44" s="42"/>
      <c r="H44" s="26"/>
      <c r="I44" s="3"/>
    </row>
    <row r="45" spans="1:13" x14ac:dyDescent="0.25">
      <c r="A45" s="40"/>
      <c r="B45" s="26"/>
      <c r="C45" s="42"/>
      <c r="D45" s="26"/>
      <c r="E45" s="40"/>
      <c r="F45" s="26"/>
      <c r="G45" s="42"/>
      <c r="H45" s="26"/>
      <c r="I45" s="43"/>
      <c r="J45" s="28"/>
    </row>
    <row r="46" spans="1:13" x14ac:dyDescent="0.25">
      <c r="A46" s="40"/>
      <c r="B46" s="26"/>
      <c r="C46" s="42"/>
      <c r="D46" s="26"/>
      <c r="E46" s="40"/>
      <c r="F46" s="26"/>
      <c r="G46" s="42"/>
      <c r="H46" s="26"/>
      <c r="I46" s="3"/>
      <c r="K46" s="44"/>
    </row>
    <row r="47" spans="1:13" x14ac:dyDescent="0.25">
      <c r="A47" s="40"/>
      <c r="B47" s="26"/>
      <c r="C47" s="42"/>
      <c r="D47" s="26"/>
      <c r="E47" s="40"/>
      <c r="F47" s="26"/>
      <c r="G47" s="42"/>
      <c r="H47" s="26"/>
      <c r="I47" s="43"/>
      <c r="J47" s="44"/>
    </row>
    <row r="48" spans="1:13" x14ac:dyDescent="0.25">
      <c r="A48" s="37" t="s">
        <v>11</v>
      </c>
      <c r="B48" s="45">
        <f>B37+B34+B35+B36-C38</f>
        <v>30768</v>
      </c>
      <c r="C48" s="45">
        <f>SUM(C40:C47)</f>
        <v>32650</v>
      </c>
      <c r="D48" s="45">
        <f>B48-C48</f>
        <v>-1882</v>
      </c>
      <c r="E48" s="37" t="s">
        <v>11</v>
      </c>
      <c r="F48" s="45">
        <f>F34+F35+F37-G38</f>
        <v>19518</v>
      </c>
      <c r="G48" s="45">
        <f>SUM(G40:G47)</f>
        <v>30150</v>
      </c>
      <c r="H48" s="45">
        <f>F48-G48</f>
        <v>-10632</v>
      </c>
      <c r="I48" s="43"/>
    </row>
    <row r="49" spans="1:9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9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</row>
    <row r="51" spans="1:9" x14ac:dyDescent="0.25">
      <c r="I51" s="4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6"/>
  <sheetViews>
    <sheetView topLeftCell="A32" workbookViewId="0">
      <selection activeCell="C47" sqref="C47"/>
    </sheetView>
  </sheetViews>
  <sheetFormatPr defaultRowHeight="15" x14ac:dyDescent="0.25"/>
  <cols>
    <col min="1" max="1" width="23.7109375" customWidth="1"/>
    <col min="6" max="6" width="16.140625" customWidth="1"/>
    <col min="7" max="7" width="9.140625" customWidth="1"/>
    <col min="8" max="8" width="8.7109375" customWidth="1"/>
  </cols>
  <sheetData>
    <row r="2" spans="1:9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121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91</v>
      </c>
      <c r="B6" s="13">
        <v>1</v>
      </c>
      <c r="C6" s="14"/>
      <c r="D6" s="15">
        <f>'SEPTEMBER 21'!H6:H27</f>
        <v>0</v>
      </c>
      <c r="E6" s="16">
        <v>2500</v>
      </c>
      <c r="F6" s="16">
        <f>C6+D6+E6</f>
        <v>2500</v>
      </c>
      <c r="G6" s="16">
        <v>2500</v>
      </c>
      <c r="H6" s="17">
        <f>F6-G6</f>
        <v>0</v>
      </c>
      <c r="I6" s="15"/>
    </row>
    <row r="7" spans="1:9" x14ac:dyDescent="0.25">
      <c r="A7" t="s">
        <v>106</v>
      </c>
      <c r="B7" s="13">
        <v>2</v>
      </c>
      <c r="C7" s="14"/>
      <c r="D7" s="15">
        <f>'SEPTEMBER 21'!H7:H28</f>
        <v>0</v>
      </c>
      <c r="E7" s="16">
        <v>2500</v>
      </c>
      <c r="F7" s="16">
        <f>C7+D7+E7</f>
        <v>2500</v>
      </c>
      <c r="G7" s="16">
        <v>2500</v>
      </c>
      <c r="H7" s="17">
        <f t="shared" ref="H7:H27" si="0">F7-G7</f>
        <v>0</v>
      </c>
      <c r="I7" s="15"/>
    </row>
    <row r="8" spans="1:9" x14ac:dyDescent="0.25">
      <c r="A8" s="18" t="s">
        <v>42</v>
      </c>
      <c r="B8" s="13">
        <v>3</v>
      </c>
      <c r="C8" s="14"/>
      <c r="D8" s="15">
        <f>'SEPTEMBER 21'!H8:H29</f>
        <v>1250</v>
      </c>
      <c r="E8" s="16">
        <f>2500</f>
        <v>2500</v>
      </c>
      <c r="F8" s="16">
        <f>C8+D8+E8</f>
        <v>3750</v>
      </c>
      <c r="G8" s="16">
        <v>2500</v>
      </c>
      <c r="H8" s="17">
        <f t="shared" si="0"/>
        <v>1250</v>
      </c>
      <c r="I8" s="15"/>
    </row>
    <row r="9" spans="1:9" x14ac:dyDescent="0.25">
      <c r="A9" s="19" t="s">
        <v>53</v>
      </c>
      <c r="B9" s="13">
        <v>4</v>
      </c>
      <c r="C9" s="14"/>
      <c r="D9" s="15">
        <f>'SEPTEMBER 21'!H9:H30</f>
        <v>0</v>
      </c>
      <c r="E9" s="16">
        <v>2500</v>
      </c>
      <c r="F9" s="16">
        <f>C9+D9+E9</f>
        <v>2500</v>
      </c>
      <c r="G9" s="16">
        <v>2500</v>
      </c>
      <c r="H9" s="17">
        <f t="shared" si="0"/>
        <v>0</v>
      </c>
      <c r="I9" s="15"/>
    </row>
    <row r="10" spans="1:9" x14ac:dyDescent="0.25">
      <c r="A10" s="19" t="s">
        <v>46</v>
      </c>
      <c r="B10" s="13">
        <v>5</v>
      </c>
      <c r="C10" s="14"/>
      <c r="D10" s="15">
        <f>'SEPTEMBER 21'!H10:H31</f>
        <v>2000</v>
      </c>
      <c r="E10" s="16">
        <v>2500</v>
      </c>
      <c r="F10" s="16">
        <f t="shared" ref="F10:F27" si="1">C10+D10+E10</f>
        <v>4500</v>
      </c>
      <c r="G10" s="16">
        <f>2500</f>
        <v>2500</v>
      </c>
      <c r="H10" s="17">
        <f t="shared" si="0"/>
        <v>2000</v>
      </c>
      <c r="I10" s="15"/>
    </row>
    <row r="11" spans="1:9" x14ac:dyDescent="0.25">
      <c r="A11" s="49" t="s">
        <v>46</v>
      </c>
      <c r="B11" s="13">
        <v>6</v>
      </c>
      <c r="C11" s="14"/>
      <c r="D11" s="15">
        <f>'SEPTEMBER 21'!H11:H32</f>
        <v>500</v>
      </c>
      <c r="E11" s="16">
        <v>2500</v>
      </c>
      <c r="F11" s="52">
        <f t="shared" si="1"/>
        <v>3000</v>
      </c>
      <c r="G11" s="16">
        <v>2500</v>
      </c>
      <c r="H11" s="17">
        <f t="shared" si="0"/>
        <v>500</v>
      </c>
      <c r="I11" s="15"/>
    </row>
    <row r="12" spans="1:9" x14ac:dyDescent="0.25">
      <c r="A12" s="19" t="s">
        <v>123</v>
      </c>
      <c r="B12" s="13">
        <v>7</v>
      </c>
      <c r="C12" s="14"/>
      <c r="D12" s="15">
        <f>'SEPTEMBER 21'!H12:H33</f>
        <v>0</v>
      </c>
      <c r="E12" s="16">
        <v>2500</v>
      </c>
      <c r="F12" s="52">
        <f t="shared" si="1"/>
        <v>2500</v>
      </c>
      <c r="G12" s="16">
        <v>2500</v>
      </c>
      <c r="H12" s="17">
        <f t="shared" si="0"/>
        <v>0</v>
      </c>
      <c r="I12" s="15"/>
    </row>
    <row r="13" spans="1:9" x14ac:dyDescent="0.25">
      <c r="A13" s="20" t="s">
        <v>43</v>
      </c>
      <c r="B13" s="13">
        <v>8</v>
      </c>
      <c r="C13" s="14"/>
      <c r="D13" s="15">
        <f>'SEPTEMBER 21'!H13:H34</f>
        <v>2000</v>
      </c>
      <c r="E13" s="16">
        <v>2000</v>
      </c>
      <c r="F13" s="16">
        <f t="shared" si="1"/>
        <v>4000</v>
      </c>
      <c r="G13" s="16">
        <f>2000</f>
        <v>2000</v>
      </c>
      <c r="H13" s="17">
        <f t="shared" si="0"/>
        <v>2000</v>
      </c>
      <c r="I13" s="15"/>
    </row>
    <row r="14" spans="1:9" x14ac:dyDescent="0.25">
      <c r="A14" s="20" t="s">
        <v>45</v>
      </c>
      <c r="B14" s="13">
        <v>9</v>
      </c>
      <c r="C14" s="14"/>
      <c r="D14" s="15">
        <f>'SEPTEMBER 21'!H14:H35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/>
    </row>
    <row r="15" spans="1:9" x14ac:dyDescent="0.25">
      <c r="A15" s="21" t="s">
        <v>98</v>
      </c>
      <c r="B15" s="22">
        <v>10</v>
      </c>
      <c r="C15" s="14"/>
      <c r="D15" s="15">
        <f>'SEPTEMBER 21'!H15:H36</f>
        <v>500</v>
      </c>
      <c r="E15" s="16">
        <v>2000</v>
      </c>
      <c r="F15" s="16">
        <f t="shared" si="1"/>
        <v>2500</v>
      </c>
      <c r="G15" s="16"/>
      <c r="H15" s="17">
        <f t="shared" si="0"/>
        <v>2500</v>
      </c>
      <c r="I15" s="15"/>
    </row>
    <row r="16" spans="1:9" x14ac:dyDescent="0.25">
      <c r="A16" s="23" t="s">
        <v>47</v>
      </c>
      <c r="B16" s="13">
        <v>11</v>
      </c>
      <c r="C16" s="14"/>
      <c r="D16" s="15">
        <f>'SEPTEMBER 21'!H16:H37</f>
        <v>1000</v>
      </c>
      <c r="E16" s="16">
        <v>2000</v>
      </c>
      <c r="F16" s="16">
        <f>C16+D16+E16</f>
        <v>3000</v>
      </c>
      <c r="G16" s="16">
        <v>2000</v>
      </c>
      <c r="H16" s="17">
        <f t="shared" si="0"/>
        <v>1000</v>
      </c>
      <c r="I16" s="15"/>
    </row>
    <row r="17" spans="1:9" x14ac:dyDescent="0.25">
      <c r="A17" s="55" t="s">
        <v>131</v>
      </c>
      <c r="B17" s="13">
        <v>12</v>
      </c>
      <c r="C17" s="14"/>
      <c r="D17" s="15"/>
      <c r="E17" s="16">
        <v>2000</v>
      </c>
      <c r="F17" s="16">
        <f t="shared" si="1"/>
        <v>2000</v>
      </c>
      <c r="G17" s="16">
        <v>2000</v>
      </c>
      <c r="H17" s="17">
        <f t="shared" si="0"/>
        <v>0</v>
      </c>
      <c r="I17" s="15"/>
    </row>
    <row r="18" spans="1:9" x14ac:dyDescent="0.25">
      <c r="A18" s="21" t="s">
        <v>80</v>
      </c>
      <c r="B18" s="13" t="s">
        <v>31</v>
      </c>
      <c r="C18" s="14"/>
      <c r="D18" s="15">
        <f>'SEPTEMBER 21'!H18:H39</f>
        <v>0</v>
      </c>
      <c r="E18" s="16">
        <v>4000</v>
      </c>
      <c r="F18" s="16">
        <f t="shared" si="1"/>
        <v>4000</v>
      </c>
      <c r="G18" s="16">
        <v>4000</v>
      </c>
      <c r="H18" s="17">
        <f t="shared" si="0"/>
        <v>0</v>
      </c>
      <c r="I18" s="15"/>
    </row>
    <row r="19" spans="1:9" x14ac:dyDescent="0.25">
      <c r="A19" s="53" t="s">
        <v>125</v>
      </c>
      <c r="B19" s="54" t="s">
        <v>32</v>
      </c>
      <c r="C19" s="14"/>
      <c r="D19" s="15">
        <f>'SEPTEMBER 21'!H19:H40</f>
        <v>0</v>
      </c>
      <c r="E19" s="16">
        <v>4000</v>
      </c>
      <c r="F19" s="16">
        <f t="shared" si="1"/>
        <v>4000</v>
      </c>
      <c r="G19" s="16">
        <f>4000</f>
        <v>4000</v>
      </c>
      <c r="H19" s="17">
        <f t="shared" si="0"/>
        <v>0</v>
      </c>
      <c r="I19" s="15"/>
    </row>
    <row r="20" spans="1:9" x14ac:dyDescent="0.25">
      <c r="A20" s="12"/>
      <c r="B20" s="13" t="s">
        <v>33</v>
      </c>
      <c r="C20" s="14"/>
      <c r="D20" s="15">
        <f>'SEPTEMBER 21'!H20:H41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12" t="s">
        <v>50</v>
      </c>
      <c r="B21" s="13" t="s">
        <v>34</v>
      </c>
      <c r="C21" s="14"/>
      <c r="D21" s="15">
        <f>'SEPTEMBER 21'!H21:H42</f>
        <v>2000</v>
      </c>
      <c r="E21" s="16">
        <v>4500</v>
      </c>
      <c r="F21" s="16">
        <f>C21+D21+E21</f>
        <v>6500</v>
      </c>
      <c r="G21" s="16">
        <f>4000+2500</f>
        <v>6500</v>
      </c>
      <c r="H21" s="17">
        <f t="shared" si="0"/>
        <v>0</v>
      </c>
      <c r="I21" s="15"/>
    </row>
    <row r="22" spans="1:9" x14ac:dyDescent="0.25">
      <c r="A22" s="12"/>
      <c r="B22" s="13" t="s">
        <v>35</v>
      </c>
      <c r="C22" s="14"/>
      <c r="D22" s="15">
        <f>'SEPTEMBER 21'!H22:H43</f>
        <v>0</v>
      </c>
      <c r="E22" s="16"/>
      <c r="F22" s="16">
        <f>C22+D22+E22</f>
        <v>0</v>
      </c>
      <c r="G22" s="16"/>
      <c r="H22" s="17">
        <f t="shared" si="0"/>
        <v>0</v>
      </c>
      <c r="I22" s="15"/>
    </row>
    <row r="23" spans="1:9" x14ac:dyDescent="0.25">
      <c r="A23" s="21"/>
      <c r="B23" s="13" t="s">
        <v>36</v>
      </c>
      <c r="C23" s="14"/>
      <c r="D23" s="15">
        <f>'SEPTEMBER 21'!H23:H44</f>
        <v>0</v>
      </c>
      <c r="E23" s="16"/>
      <c r="F23" s="16">
        <f t="shared" si="1"/>
        <v>0</v>
      </c>
      <c r="G23" s="16"/>
      <c r="H23" s="17">
        <f t="shared" si="0"/>
        <v>0</v>
      </c>
      <c r="I23" s="15"/>
    </row>
    <row r="24" spans="1:9" x14ac:dyDescent="0.25">
      <c r="A24" s="24"/>
      <c r="B24" s="13" t="s">
        <v>37</v>
      </c>
      <c r="C24" s="14"/>
      <c r="D24" s="15">
        <f>'SEPTEMBER 21'!H24:H45</f>
        <v>0</v>
      </c>
      <c r="E24" s="16"/>
      <c r="F24" s="16">
        <f t="shared" si="1"/>
        <v>0</v>
      </c>
      <c r="G24" s="16"/>
      <c r="H24" s="17">
        <f t="shared" si="0"/>
        <v>0</v>
      </c>
      <c r="I24" s="15"/>
    </row>
    <row r="25" spans="1:9" x14ac:dyDescent="0.25">
      <c r="A25" s="21"/>
      <c r="B25" s="13" t="s">
        <v>38</v>
      </c>
      <c r="C25" s="14"/>
      <c r="D25" s="15">
        <f>'SEPTEMBER 21'!H25:H46</f>
        <v>0</v>
      </c>
      <c r="E25" s="16"/>
      <c r="F25" s="16">
        <f t="shared" si="1"/>
        <v>0</v>
      </c>
      <c r="G25" s="16"/>
      <c r="H25" s="17">
        <f t="shared" si="0"/>
        <v>0</v>
      </c>
      <c r="I25" s="15"/>
    </row>
    <row r="26" spans="1:9" x14ac:dyDescent="0.25">
      <c r="A26" s="21"/>
      <c r="B26" s="13" t="s">
        <v>39</v>
      </c>
      <c r="C26" s="14"/>
      <c r="D26" s="15">
        <f>'SEPTEMBER 21'!H26:H47</f>
        <v>0</v>
      </c>
      <c r="E26" s="16"/>
      <c r="F26" s="16">
        <f>C26+D26+E26</f>
        <v>0</v>
      </c>
      <c r="G26" s="16"/>
      <c r="H26" s="17">
        <f t="shared" si="0"/>
        <v>0</v>
      </c>
      <c r="I26" s="15"/>
    </row>
    <row r="27" spans="1:9" x14ac:dyDescent="0.25">
      <c r="A27" s="21"/>
      <c r="B27" s="13"/>
      <c r="C27" s="14"/>
      <c r="D27" s="15">
        <f>'SEPTEMBER 21'!H27:H48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5" t="s">
        <v>11</v>
      </c>
      <c r="B28" s="26"/>
      <c r="C28" s="14">
        <f t="shared" ref="C28:I28" si="2">SUM(C6:C27)</f>
        <v>0</v>
      </c>
      <c r="D28" s="15">
        <f>SUM(D6:D27)</f>
        <v>9250</v>
      </c>
      <c r="E28" s="27">
        <f t="shared" si="2"/>
        <v>40000</v>
      </c>
      <c r="F28" s="16">
        <f t="shared" si="2"/>
        <v>49250</v>
      </c>
      <c r="G28" s="16">
        <f t="shared" si="2"/>
        <v>40000</v>
      </c>
      <c r="H28" s="17">
        <f>SUM(H6:H27)</f>
        <v>9250</v>
      </c>
      <c r="I28" s="15">
        <f t="shared" si="2"/>
        <v>0</v>
      </c>
    </row>
    <row r="29" spans="1:9" x14ac:dyDescent="0.25">
      <c r="D29" s="15">
        <f>'JULY 21'!H29:H52</f>
        <v>8250</v>
      </c>
      <c r="H29" s="17"/>
      <c r="I29" s="3"/>
    </row>
    <row r="31" spans="1:9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4"/>
    </row>
    <row r="33" spans="1:14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4" x14ac:dyDescent="0.25">
      <c r="A34" s="26" t="s">
        <v>122</v>
      </c>
      <c r="B34" s="38">
        <f>E28</f>
        <v>40000</v>
      </c>
      <c r="C34" s="26"/>
      <c r="D34" s="26"/>
      <c r="E34" s="26" t="s">
        <v>122</v>
      </c>
      <c r="F34" s="38">
        <f>G28</f>
        <v>40000</v>
      </c>
      <c r="G34" s="26"/>
      <c r="H34" s="26"/>
      <c r="I34" s="34"/>
      <c r="K34">
        <f>40000</f>
        <v>40000</v>
      </c>
    </row>
    <row r="35" spans="1:14" x14ac:dyDescent="0.25">
      <c r="A35" s="26" t="s">
        <v>19</v>
      </c>
      <c r="B35" s="38">
        <f>'SEPTEMBER 21'!D48</f>
        <v>-1882</v>
      </c>
      <c r="C35" s="26"/>
      <c r="D35" s="26"/>
      <c r="E35" s="26" t="s">
        <v>19</v>
      </c>
      <c r="F35" s="38">
        <f>'SEPTEMBER 21'!H48</f>
        <v>-10632</v>
      </c>
      <c r="G35" s="26"/>
      <c r="H35" s="26"/>
      <c r="I35" s="34"/>
      <c r="K35" s="44">
        <f>C38</f>
        <v>4000</v>
      </c>
    </row>
    <row r="36" spans="1:14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  <c r="K36" s="44">
        <f>K34-K35</f>
        <v>36000</v>
      </c>
    </row>
    <row r="37" spans="1:14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  <c r="K37">
        <f>C42</f>
        <v>5850</v>
      </c>
    </row>
    <row r="38" spans="1:14" x14ac:dyDescent="0.25">
      <c r="A38" s="26" t="s">
        <v>21</v>
      </c>
      <c r="B38" s="39">
        <v>0.1</v>
      </c>
      <c r="C38" s="38">
        <f>B38*B34</f>
        <v>4000</v>
      </c>
      <c r="D38" s="26"/>
      <c r="E38" s="26" t="s">
        <v>21</v>
      </c>
      <c r="F38" s="39">
        <v>0.1</v>
      </c>
      <c r="G38" s="38">
        <f>F38*B34</f>
        <v>4000</v>
      </c>
      <c r="H38" s="26"/>
      <c r="I38" s="3"/>
      <c r="K38" s="44">
        <f>K36-K37</f>
        <v>30150</v>
      </c>
    </row>
    <row r="39" spans="1:14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  <c r="K39">
        <f>C43</f>
        <v>5055</v>
      </c>
    </row>
    <row r="40" spans="1:14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  <c r="K40" s="44">
        <f>K38-K39</f>
        <v>25095</v>
      </c>
      <c r="N40">
        <f>160400+164850+180780+24780+38950+12510+21600+29463+210000+23820+129685+30000+24118+108060+61990+7761</f>
        <v>1228767</v>
      </c>
    </row>
    <row r="41" spans="1:14" x14ac:dyDescent="0.25">
      <c r="A41" s="40"/>
      <c r="D41" s="42"/>
      <c r="E41" s="40"/>
      <c r="H41" s="26"/>
      <c r="I41" s="43"/>
    </row>
    <row r="42" spans="1:14" x14ac:dyDescent="0.25">
      <c r="A42" s="40" t="s">
        <v>92</v>
      </c>
      <c r="B42" s="39"/>
      <c r="C42" s="26">
        <v>5850</v>
      </c>
      <c r="D42" s="26"/>
      <c r="E42" s="40" t="s">
        <v>92</v>
      </c>
      <c r="F42" s="39"/>
      <c r="G42" s="26">
        <v>5850</v>
      </c>
      <c r="H42" s="26"/>
      <c r="I42" s="34"/>
    </row>
    <row r="43" spans="1:14" x14ac:dyDescent="0.25">
      <c r="A43" s="40" t="s">
        <v>126</v>
      </c>
      <c r="B43" s="39"/>
      <c r="C43" s="26">
        <v>5055</v>
      </c>
      <c r="D43" s="26"/>
      <c r="E43" s="40" t="s">
        <v>126</v>
      </c>
      <c r="F43" s="39"/>
      <c r="G43" s="26">
        <v>5055</v>
      </c>
      <c r="H43" s="26"/>
      <c r="I43" s="43"/>
    </row>
    <row r="44" spans="1:14" x14ac:dyDescent="0.25">
      <c r="A44" s="40" t="s">
        <v>127</v>
      </c>
      <c r="B44" s="26"/>
      <c r="C44" s="42">
        <v>25945</v>
      </c>
      <c r="D44" s="26"/>
      <c r="E44" s="40" t="s">
        <v>127</v>
      </c>
      <c r="F44" s="26"/>
      <c r="G44" s="42">
        <v>25945</v>
      </c>
      <c r="H44" s="26"/>
      <c r="I44" s="3"/>
    </row>
    <row r="45" spans="1:14" x14ac:dyDescent="0.25">
      <c r="A45" s="40"/>
      <c r="B45" s="26"/>
      <c r="C45" s="42"/>
      <c r="D45" s="26"/>
      <c r="E45" s="40"/>
      <c r="F45" s="26"/>
      <c r="G45" s="42"/>
      <c r="H45" s="26"/>
      <c r="I45" s="43"/>
    </row>
    <row r="46" spans="1:14" x14ac:dyDescent="0.25">
      <c r="A46" s="40" t="s">
        <v>130</v>
      </c>
      <c r="B46" s="26"/>
      <c r="C46" s="42">
        <v>2000</v>
      </c>
      <c r="D46" s="26"/>
      <c r="E46" s="40"/>
      <c r="F46" s="26"/>
      <c r="G46" s="42"/>
      <c r="H46" s="26"/>
      <c r="I46" s="3"/>
    </row>
    <row r="47" spans="1:14" x14ac:dyDescent="0.25">
      <c r="A47" s="40" t="s">
        <v>132</v>
      </c>
      <c r="B47" s="26"/>
      <c r="C47" s="42">
        <v>2032</v>
      </c>
      <c r="D47" s="26"/>
      <c r="E47" s="40" t="s">
        <v>132</v>
      </c>
      <c r="F47" s="26"/>
      <c r="G47" s="42">
        <v>2032</v>
      </c>
      <c r="H47" s="26"/>
      <c r="I47" s="43"/>
    </row>
    <row r="48" spans="1:14" x14ac:dyDescent="0.25">
      <c r="A48" s="37" t="s">
        <v>11</v>
      </c>
      <c r="B48" s="45">
        <f>B37+B34+B35+B36-C38</f>
        <v>34118</v>
      </c>
      <c r="C48" s="45">
        <f>SUM(C40:C47)</f>
        <v>40882</v>
      </c>
      <c r="D48" s="45">
        <f>B48-C48</f>
        <v>-6764</v>
      </c>
      <c r="E48" s="37" t="s">
        <v>11</v>
      </c>
      <c r="F48" s="45">
        <f>F34+F35+F37-G38</f>
        <v>25368</v>
      </c>
      <c r="G48" s="45">
        <f>SUM(G40:G47)</f>
        <v>38882</v>
      </c>
      <c r="H48" s="45">
        <f>F48-G48</f>
        <v>-13514</v>
      </c>
      <c r="I48" s="43"/>
    </row>
    <row r="49" spans="1:11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11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</row>
    <row r="51" spans="1:11" x14ac:dyDescent="0.25">
      <c r="K51">
        <f>0.05*50000</f>
        <v>2500</v>
      </c>
    </row>
    <row r="52" spans="1:11" x14ac:dyDescent="0.25">
      <c r="K52">
        <v>50000</v>
      </c>
    </row>
    <row r="53" spans="1:11" x14ac:dyDescent="0.25">
      <c r="K53">
        <f>K52+K51</f>
        <v>52500</v>
      </c>
    </row>
    <row r="54" spans="1:11" x14ac:dyDescent="0.25">
      <c r="K54">
        <v>10000</v>
      </c>
    </row>
    <row r="55" spans="1:11" x14ac:dyDescent="0.25">
      <c r="K55">
        <f>K53-K54</f>
        <v>42500</v>
      </c>
    </row>
    <row r="56" spans="1:11" x14ac:dyDescent="0.25">
      <c r="K56">
        <f>0.05*K55</f>
        <v>2125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0"/>
  <sheetViews>
    <sheetView topLeftCell="A19" workbookViewId="0">
      <selection activeCell="B37" sqref="B37"/>
    </sheetView>
  </sheetViews>
  <sheetFormatPr defaultRowHeight="15" x14ac:dyDescent="0.25"/>
  <cols>
    <col min="1" max="1" width="23.7109375" customWidth="1"/>
    <col min="5" max="5" width="11.5703125" customWidth="1"/>
    <col min="6" max="6" width="11.42578125" customWidth="1"/>
    <col min="7" max="7" width="9.140625" customWidth="1"/>
    <col min="8" max="8" width="8.7109375" customWidth="1"/>
  </cols>
  <sheetData>
    <row r="2" spans="1:9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128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91</v>
      </c>
      <c r="B6" s="13">
        <v>1</v>
      </c>
      <c r="C6" s="14"/>
      <c r="D6" s="15">
        <f>'OCTOBER 21'!H6</f>
        <v>0</v>
      </c>
      <c r="E6" s="16">
        <v>2500</v>
      </c>
      <c r="F6" s="16">
        <f>C6+D6+E6</f>
        <v>2500</v>
      </c>
      <c r="G6" s="16">
        <v>2500</v>
      </c>
      <c r="H6" s="17">
        <f>F6-G6</f>
        <v>0</v>
      </c>
      <c r="I6" s="15"/>
    </row>
    <row r="7" spans="1:9" x14ac:dyDescent="0.25">
      <c r="A7" t="s">
        <v>106</v>
      </c>
      <c r="B7" s="13">
        <v>2</v>
      </c>
      <c r="C7" s="14"/>
      <c r="D7" s="15">
        <f>'OCTOBER 21'!H7</f>
        <v>0</v>
      </c>
      <c r="E7" s="16">
        <v>2500</v>
      </c>
      <c r="F7" s="16">
        <f>C7+D7+E7</f>
        <v>2500</v>
      </c>
      <c r="G7" s="16">
        <v>2500</v>
      </c>
      <c r="H7" s="17">
        <f t="shared" ref="H7:H27" si="0">F7-G7</f>
        <v>0</v>
      </c>
      <c r="I7" s="15"/>
    </row>
    <row r="8" spans="1:9" x14ac:dyDescent="0.25">
      <c r="A8" s="18" t="s">
        <v>42</v>
      </c>
      <c r="B8" s="13">
        <v>3</v>
      </c>
      <c r="C8" s="14"/>
      <c r="D8" s="15">
        <f>'OCTOBER 21'!H8</f>
        <v>1250</v>
      </c>
      <c r="E8" s="16">
        <f>2500</f>
        <v>2500</v>
      </c>
      <c r="F8" s="16">
        <f>C8+D8+E8</f>
        <v>3750</v>
      </c>
      <c r="G8" s="16">
        <v>2500</v>
      </c>
      <c r="H8" s="17">
        <f t="shared" si="0"/>
        <v>1250</v>
      </c>
      <c r="I8" s="15"/>
    </row>
    <row r="9" spans="1:9" x14ac:dyDescent="0.25">
      <c r="A9" s="19" t="s">
        <v>53</v>
      </c>
      <c r="B9" s="13">
        <v>4</v>
      </c>
      <c r="C9" s="14"/>
      <c r="D9" s="15">
        <f>'OCTOBER 21'!H9</f>
        <v>0</v>
      </c>
      <c r="E9" s="16">
        <v>2500</v>
      </c>
      <c r="F9" s="16">
        <f>C9+D9+E9</f>
        <v>2500</v>
      </c>
      <c r="G9" s="16">
        <v>2500</v>
      </c>
      <c r="H9" s="17">
        <f t="shared" si="0"/>
        <v>0</v>
      </c>
      <c r="I9" s="15"/>
    </row>
    <row r="10" spans="1:9" x14ac:dyDescent="0.25">
      <c r="A10" s="19" t="s">
        <v>46</v>
      </c>
      <c r="B10" s="13">
        <v>5</v>
      </c>
      <c r="C10" s="14"/>
      <c r="D10" s="15">
        <f>'OCTOBER 21'!H10</f>
        <v>2000</v>
      </c>
      <c r="E10" s="16">
        <v>2500</v>
      </c>
      <c r="F10" s="16">
        <f t="shared" ref="F10:F27" si="1">C10+D10+E10</f>
        <v>4500</v>
      </c>
      <c r="G10" s="16">
        <v>2500</v>
      </c>
      <c r="H10" s="17">
        <f t="shared" si="0"/>
        <v>2000</v>
      </c>
      <c r="I10" s="15"/>
    </row>
    <row r="11" spans="1:9" x14ac:dyDescent="0.25">
      <c r="A11" s="49" t="s">
        <v>46</v>
      </c>
      <c r="B11" s="13">
        <v>6</v>
      </c>
      <c r="C11" s="14"/>
      <c r="D11" s="15">
        <f>'OCTOBER 21'!H11</f>
        <v>500</v>
      </c>
      <c r="E11" s="16">
        <v>2500</v>
      </c>
      <c r="F11" s="52">
        <f t="shared" si="1"/>
        <v>3000</v>
      </c>
      <c r="G11" s="16">
        <v>2500</v>
      </c>
      <c r="H11" s="17">
        <f t="shared" si="0"/>
        <v>500</v>
      </c>
      <c r="I11" s="15"/>
    </row>
    <row r="12" spans="1:9" x14ac:dyDescent="0.25">
      <c r="A12" s="19" t="s">
        <v>123</v>
      </c>
      <c r="B12" s="13">
        <v>7</v>
      </c>
      <c r="C12" s="14"/>
      <c r="D12" s="15">
        <f>'OCTOBER 21'!H12</f>
        <v>0</v>
      </c>
      <c r="E12" s="16">
        <v>2500</v>
      </c>
      <c r="F12" s="52">
        <f t="shared" si="1"/>
        <v>2500</v>
      </c>
      <c r="G12" s="16">
        <v>2500</v>
      </c>
      <c r="H12" s="17">
        <f t="shared" si="0"/>
        <v>0</v>
      </c>
      <c r="I12" s="15"/>
    </row>
    <row r="13" spans="1:9" x14ac:dyDescent="0.25">
      <c r="A13" s="20" t="s">
        <v>43</v>
      </c>
      <c r="B13" s="13">
        <v>8</v>
      </c>
      <c r="C13" s="14"/>
      <c r="D13" s="15">
        <f>'OCTOBER 21'!H13</f>
        <v>2000</v>
      </c>
      <c r="E13" s="16">
        <v>2000</v>
      </c>
      <c r="F13" s="16">
        <f t="shared" si="1"/>
        <v>4000</v>
      </c>
      <c r="G13" s="16">
        <f>2000+2000</f>
        <v>4000</v>
      </c>
      <c r="H13" s="17">
        <f t="shared" si="0"/>
        <v>0</v>
      </c>
      <c r="I13" s="15"/>
    </row>
    <row r="14" spans="1:9" x14ac:dyDescent="0.25">
      <c r="A14" s="20" t="s">
        <v>45</v>
      </c>
      <c r="B14" s="13">
        <v>9</v>
      </c>
      <c r="C14" s="14"/>
      <c r="D14" s="15">
        <f>'OCTOBER 21'!H14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/>
    </row>
    <row r="15" spans="1:9" x14ac:dyDescent="0.25">
      <c r="A15" s="21" t="s">
        <v>125</v>
      </c>
      <c r="B15" s="22">
        <v>10</v>
      </c>
      <c r="C15" s="14"/>
      <c r="D15" s="15"/>
      <c r="E15" s="16">
        <v>2000</v>
      </c>
      <c r="F15" s="16">
        <f t="shared" si="1"/>
        <v>2000</v>
      </c>
      <c r="G15" s="16">
        <f>1000</f>
        <v>1000</v>
      </c>
      <c r="H15" s="17">
        <f t="shared" si="0"/>
        <v>1000</v>
      </c>
      <c r="I15" s="15"/>
    </row>
    <row r="16" spans="1:9" x14ac:dyDescent="0.25">
      <c r="A16" s="23" t="s">
        <v>47</v>
      </c>
      <c r="B16" s="13">
        <v>11</v>
      </c>
      <c r="C16" s="14"/>
      <c r="D16" s="15">
        <f>'OCTOBER 21'!H16</f>
        <v>1000</v>
      </c>
      <c r="E16" s="16">
        <v>2000</v>
      </c>
      <c r="F16" s="16">
        <f>C16+D16+E16</f>
        <v>3000</v>
      </c>
      <c r="G16" s="16">
        <v>2000</v>
      </c>
      <c r="H16" s="17">
        <f t="shared" si="0"/>
        <v>1000</v>
      </c>
      <c r="I16" s="15"/>
    </row>
    <row r="17" spans="1:9" x14ac:dyDescent="0.25">
      <c r="A17" s="55" t="s">
        <v>131</v>
      </c>
      <c r="B17" s="13">
        <v>12</v>
      </c>
      <c r="C17" s="14">
        <v>1500</v>
      </c>
      <c r="D17" s="15">
        <f>'OCTOBER 21'!H17</f>
        <v>0</v>
      </c>
      <c r="E17" s="16">
        <v>2000</v>
      </c>
      <c r="F17" s="16">
        <f t="shared" si="1"/>
        <v>3500</v>
      </c>
      <c r="G17" s="16">
        <f>2000+1500</f>
        <v>3500</v>
      </c>
      <c r="H17" s="17">
        <f t="shared" si="0"/>
        <v>0</v>
      </c>
      <c r="I17" s="15"/>
    </row>
    <row r="18" spans="1:9" x14ac:dyDescent="0.25">
      <c r="A18" s="21" t="s">
        <v>80</v>
      </c>
      <c r="B18" s="13" t="s">
        <v>31</v>
      </c>
      <c r="C18" s="14"/>
      <c r="D18" s="15">
        <f>'OCTOBER 21'!H18</f>
        <v>0</v>
      </c>
      <c r="E18" s="16">
        <v>4000</v>
      </c>
      <c r="F18" s="16">
        <f t="shared" si="1"/>
        <v>4000</v>
      </c>
      <c r="G18" s="16">
        <v>4000</v>
      </c>
      <c r="H18" s="17">
        <f t="shared" si="0"/>
        <v>0</v>
      </c>
      <c r="I18" s="15"/>
    </row>
    <row r="19" spans="1:9" x14ac:dyDescent="0.25">
      <c r="A19" s="53"/>
      <c r="B19" s="54" t="s">
        <v>32</v>
      </c>
      <c r="C19" s="14"/>
      <c r="D19" s="15"/>
      <c r="E19" s="16"/>
      <c r="F19" s="16">
        <f t="shared" si="1"/>
        <v>0</v>
      </c>
      <c r="G19" s="16"/>
      <c r="H19" s="17">
        <f t="shared" si="0"/>
        <v>0</v>
      </c>
      <c r="I19" s="15"/>
    </row>
    <row r="20" spans="1:9" x14ac:dyDescent="0.25">
      <c r="A20" s="12"/>
      <c r="B20" s="13" t="s">
        <v>33</v>
      </c>
      <c r="C20" s="14"/>
      <c r="D20" s="15">
        <f>'OCTOBER 21'!H20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12"/>
      <c r="B21" s="13" t="s">
        <v>34</v>
      </c>
      <c r="C21" s="14"/>
      <c r="D21" s="15">
        <f>'OCTOBER 21'!H21</f>
        <v>0</v>
      </c>
      <c r="E21" s="16"/>
      <c r="F21" s="16">
        <f>C21+D21+E21</f>
        <v>0</v>
      </c>
      <c r="G21" s="16"/>
      <c r="H21" s="17">
        <f t="shared" si="0"/>
        <v>0</v>
      </c>
      <c r="I21" s="15"/>
    </row>
    <row r="22" spans="1:9" x14ac:dyDescent="0.25">
      <c r="A22" s="12"/>
      <c r="B22" s="13" t="s">
        <v>35</v>
      </c>
      <c r="C22" s="14"/>
      <c r="D22" s="15">
        <f>'OCTOBER 21'!H22</f>
        <v>0</v>
      </c>
      <c r="E22" s="16"/>
      <c r="F22" s="16">
        <f>C22+D22+E22</f>
        <v>0</v>
      </c>
      <c r="G22" s="16"/>
      <c r="H22" s="17">
        <f t="shared" si="0"/>
        <v>0</v>
      </c>
      <c r="I22" s="15"/>
    </row>
    <row r="23" spans="1:9" x14ac:dyDescent="0.25">
      <c r="A23" s="21"/>
      <c r="B23" s="13" t="s">
        <v>36</v>
      </c>
      <c r="C23" s="14"/>
      <c r="D23" s="15">
        <f>'OCTOBER 21'!H23</f>
        <v>0</v>
      </c>
      <c r="E23" s="16"/>
      <c r="F23" s="16">
        <f t="shared" si="1"/>
        <v>0</v>
      </c>
      <c r="G23" s="16"/>
      <c r="H23" s="17">
        <f t="shared" si="0"/>
        <v>0</v>
      </c>
      <c r="I23" s="15"/>
    </row>
    <row r="24" spans="1:9" x14ac:dyDescent="0.25">
      <c r="A24" s="24"/>
      <c r="B24" s="13" t="s">
        <v>37</v>
      </c>
      <c r="C24" s="14"/>
      <c r="D24" s="15">
        <f>'OCTOBER 21'!H24</f>
        <v>0</v>
      </c>
      <c r="E24" s="16"/>
      <c r="F24" s="16">
        <f t="shared" si="1"/>
        <v>0</v>
      </c>
      <c r="G24" s="16"/>
      <c r="H24" s="17">
        <f t="shared" si="0"/>
        <v>0</v>
      </c>
      <c r="I24" s="15"/>
    </row>
    <row r="25" spans="1:9" x14ac:dyDescent="0.25">
      <c r="A25" s="21"/>
      <c r="B25" s="13" t="s">
        <v>38</v>
      </c>
      <c r="C25" s="14"/>
      <c r="D25" s="15">
        <f>'OCTOBER 21'!H25</f>
        <v>0</v>
      </c>
      <c r="E25" s="16"/>
      <c r="F25" s="16">
        <f t="shared" si="1"/>
        <v>0</v>
      </c>
      <c r="G25" s="16"/>
      <c r="H25" s="17">
        <f t="shared" si="0"/>
        <v>0</v>
      </c>
      <c r="I25" s="15"/>
    </row>
    <row r="26" spans="1:9" x14ac:dyDescent="0.25">
      <c r="A26" s="21"/>
      <c r="B26" s="13" t="s">
        <v>39</v>
      </c>
      <c r="C26" s="14"/>
      <c r="D26" s="15">
        <f>'OCTOBER 21'!H26</f>
        <v>0</v>
      </c>
      <c r="E26" s="16"/>
      <c r="F26" s="16">
        <f>C26+D26+E26</f>
        <v>0</v>
      </c>
      <c r="G26" s="16"/>
      <c r="H26" s="17">
        <f t="shared" si="0"/>
        <v>0</v>
      </c>
      <c r="I26" s="15"/>
    </row>
    <row r="27" spans="1:9" x14ac:dyDescent="0.25">
      <c r="A27" s="21"/>
      <c r="B27" s="13"/>
      <c r="C27" s="14"/>
      <c r="D27" s="15">
        <f>'OCTOBER 21'!H27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5" t="s">
        <v>11</v>
      </c>
      <c r="B28" s="26"/>
      <c r="C28" s="14">
        <f t="shared" ref="C28:I28" si="2">SUM(C6:C27)</f>
        <v>1500</v>
      </c>
      <c r="D28" s="15">
        <f>SUM(D6:D27)</f>
        <v>6750</v>
      </c>
      <c r="E28" s="27">
        <f>SUM(E6:E27)</f>
        <v>31500</v>
      </c>
      <c r="F28" s="16">
        <f t="shared" si="2"/>
        <v>39750</v>
      </c>
      <c r="G28" s="16">
        <f t="shared" si="2"/>
        <v>34000</v>
      </c>
      <c r="H28" s="17">
        <f>SUM(H6:H27)</f>
        <v>5750</v>
      </c>
      <c r="I28" s="15">
        <f t="shared" si="2"/>
        <v>0</v>
      </c>
    </row>
    <row r="29" spans="1:9" x14ac:dyDescent="0.25">
      <c r="D29" s="15">
        <f>'JULY 21'!H29:H52</f>
        <v>8250</v>
      </c>
      <c r="H29" s="17"/>
      <c r="I29" s="3"/>
    </row>
    <row r="31" spans="1:9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4"/>
    </row>
    <row r="33" spans="1:14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4" x14ac:dyDescent="0.25">
      <c r="A34" s="26" t="s">
        <v>129</v>
      </c>
      <c r="B34" s="38">
        <f>E28</f>
        <v>31500</v>
      </c>
      <c r="C34" s="26"/>
      <c r="D34" s="26"/>
      <c r="E34" s="26" t="s">
        <v>129</v>
      </c>
      <c r="F34" s="38">
        <f>G28</f>
        <v>34000</v>
      </c>
      <c r="G34" s="26"/>
      <c r="H34" s="26"/>
      <c r="I34" s="34"/>
      <c r="K34" s="28">
        <f>E28</f>
        <v>31500</v>
      </c>
    </row>
    <row r="35" spans="1:14" x14ac:dyDescent="0.25">
      <c r="A35" s="26" t="s">
        <v>19</v>
      </c>
      <c r="B35" s="38">
        <f>'OCTOBER 21'!D48</f>
        <v>-6764</v>
      </c>
      <c r="C35" s="26"/>
      <c r="D35" s="26"/>
      <c r="E35" s="26" t="s">
        <v>19</v>
      </c>
      <c r="F35" s="38">
        <f>'OCTOBER 21'!H48</f>
        <v>-13514</v>
      </c>
      <c r="G35" s="26"/>
      <c r="H35" s="26"/>
      <c r="I35" s="34"/>
      <c r="K35" s="44">
        <f>C38</f>
        <v>3150</v>
      </c>
    </row>
    <row r="36" spans="1:14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  <c r="K36" s="44">
        <f>K34-K35</f>
        <v>28350</v>
      </c>
    </row>
    <row r="37" spans="1:14" x14ac:dyDescent="0.25">
      <c r="A37" s="26" t="s">
        <v>137</v>
      </c>
      <c r="B37" s="38"/>
      <c r="C37" s="26"/>
      <c r="D37" s="26"/>
      <c r="E37" s="26"/>
      <c r="F37" s="38"/>
      <c r="G37" s="26"/>
      <c r="H37" s="26"/>
      <c r="I37" s="3"/>
      <c r="K37">
        <v>10000</v>
      </c>
    </row>
    <row r="38" spans="1:14" x14ac:dyDescent="0.25">
      <c r="A38" s="26" t="s">
        <v>21</v>
      </c>
      <c r="B38" s="39">
        <v>0.1</v>
      </c>
      <c r="C38" s="38">
        <f>B38*B34</f>
        <v>3150</v>
      </c>
      <c r="D38" s="26"/>
      <c r="E38" s="26" t="s">
        <v>21</v>
      </c>
      <c r="F38" s="39">
        <v>0.1</v>
      </c>
      <c r="G38" s="38">
        <f>F38*B34</f>
        <v>3150</v>
      </c>
      <c r="H38" s="26"/>
      <c r="I38" s="3"/>
      <c r="K38" s="44">
        <f>K36-K37</f>
        <v>18350</v>
      </c>
    </row>
    <row r="39" spans="1:14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  <c r="K39">
        <v>2000</v>
      </c>
    </row>
    <row r="40" spans="1:14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  <c r="K40" s="44">
        <f>K38-K39</f>
        <v>16350</v>
      </c>
      <c r="N40">
        <f>160400+164850+180780+24780+38950+12510+21600+29463+210000+23820+129685+30000+24118+108060+61990+7761</f>
        <v>1228767</v>
      </c>
    </row>
    <row r="41" spans="1:14" x14ac:dyDescent="0.25">
      <c r="A41" s="40"/>
      <c r="D41" s="42"/>
      <c r="E41" s="40"/>
      <c r="H41" s="26"/>
      <c r="I41" s="43"/>
      <c r="K41">
        <v>1000</v>
      </c>
    </row>
    <row r="42" spans="1:14" x14ac:dyDescent="0.25">
      <c r="A42" s="40" t="s">
        <v>92</v>
      </c>
      <c r="B42" s="39"/>
      <c r="C42" s="26">
        <v>10000</v>
      </c>
      <c r="D42" s="26"/>
      <c r="E42" s="40" t="s">
        <v>92</v>
      </c>
      <c r="F42" s="39"/>
      <c r="G42" s="26">
        <v>10000</v>
      </c>
      <c r="H42" s="26"/>
      <c r="I42" s="34"/>
    </row>
    <row r="43" spans="1:14" x14ac:dyDescent="0.25">
      <c r="A43" s="40" t="s">
        <v>133</v>
      </c>
      <c r="B43" s="39"/>
      <c r="C43" s="26">
        <v>1000</v>
      </c>
      <c r="D43" s="26"/>
      <c r="E43" s="40" t="s">
        <v>133</v>
      </c>
      <c r="F43" s="39"/>
      <c r="G43" s="26">
        <v>1000</v>
      </c>
      <c r="H43" s="26"/>
      <c r="I43" s="43"/>
    </row>
    <row r="44" spans="1:14" x14ac:dyDescent="0.25">
      <c r="A44" s="40" t="s">
        <v>134</v>
      </c>
      <c r="B44" s="26"/>
      <c r="C44" s="42">
        <v>15350</v>
      </c>
      <c r="D44" s="26"/>
      <c r="E44" s="40" t="s">
        <v>134</v>
      </c>
      <c r="F44" s="26"/>
      <c r="G44" s="42">
        <v>15350</v>
      </c>
      <c r="H44" s="26"/>
      <c r="I44" s="3"/>
    </row>
    <row r="45" spans="1:14" x14ac:dyDescent="0.25">
      <c r="A45" s="40"/>
      <c r="B45" s="26"/>
      <c r="C45" s="42"/>
      <c r="D45" s="26"/>
      <c r="E45" s="40"/>
      <c r="F45" s="26"/>
      <c r="G45" s="42"/>
      <c r="H45" s="26"/>
      <c r="I45" s="43"/>
    </row>
    <row r="46" spans="1:14" x14ac:dyDescent="0.25">
      <c r="A46" s="40"/>
      <c r="B46" s="26"/>
      <c r="C46" s="42"/>
      <c r="D46" s="26"/>
      <c r="E46" s="40"/>
      <c r="F46" s="26"/>
      <c r="G46" s="42"/>
      <c r="H46" s="26"/>
      <c r="I46" s="3"/>
    </row>
    <row r="47" spans="1:14" x14ac:dyDescent="0.25">
      <c r="A47" s="40"/>
      <c r="B47" s="26"/>
      <c r="C47" s="42"/>
      <c r="D47" s="26"/>
      <c r="E47" s="40"/>
      <c r="F47" s="26"/>
      <c r="G47" s="42"/>
      <c r="H47" s="26"/>
      <c r="I47" s="43"/>
    </row>
    <row r="48" spans="1:14" x14ac:dyDescent="0.25">
      <c r="A48" s="37" t="s">
        <v>11</v>
      </c>
      <c r="B48" s="45">
        <f>B37+B34+B35+B36-C38</f>
        <v>21586</v>
      </c>
      <c r="C48" s="45">
        <f>SUM(C40:C47)</f>
        <v>26350</v>
      </c>
      <c r="D48" s="45">
        <f>B48-C48</f>
        <v>-4764</v>
      </c>
      <c r="E48" s="37" t="s">
        <v>11</v>
      </c>
      <c r="F48" s="45">
        <f>F34+F35+F37-G38</f>
        <v>17336</v>
      </c>
      <c r="G48" s="45">
        <f>SUM(G40:G47)</f>
        <v>26350</v>
      </c>
      <c r="H48" s="45">
        <f>F48-G48</f>
        <v>-9014</v>
      </c>
      <c r="I48" s="43"/>
    </row>
    <row r="49" spans="1:9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9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M16" sqref="M16"/>
    </sheetView>
  </sheetViews>
  <sheetFormatPr defaultRowHeight="15" x14ac:dyDescent="0.25"/>
  <cols>
    <col min="1" max="1" width="21.7109375" customWidth="1"/>
    <col min="2" max="2" width="15.5703125" customWidth="1"/>
    <col min="3" max="3" width="13.85546875" customWidth="1"/>
    <col min="4" max="4" width="9.5703125" customWidth="1"/>
    <col min="5" max="5" width="10" customWidth="1"/>
    <col min="6" max="6" width="16.28515625" customWidth="1"/>
    <col min="7" max="7" width="10.42578125" customWidth="1"/>
  </cols>
  <sheetData>
    <row r="1" spans="1:9" ht="15" customHeight="1" x14ac:dyDescent="0.25"/>
    <row r="2" spans="1:9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136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91</v>
      </c>
      <c r="B6" s="13">
        <v>1</v>
      </c>
      <c r="C6" s="14"/>
      <c r="D6" s="15">
        <f>'NOVEMBER 21'!H6:H27</f>
        <v>0</v>
      </c>
      <c r="E6" s="16">
        <v>2500</v>
      </c>
      <c r="F6" s="16">
        <f>C6+D6+E6</f>
        <v>2500</v>
      </c>
      <c r="G6" s="16">
        <v>2500</v>
      </c>
      <c r="H6" s="17">
        <f>F6-G6</f>
        <v>0</v>
      </c>
      <c r="I6" s="15"/>
    </row>
    <row r="7" spans="1:9" x14ac:dyDescent="0.25">
      <c r="A7" t="s">
        <v>106</v>
      </c>
      <c r="B7" s="13">
        <v>2</v>
      </c>
      <c r="C7" s="14"/>
      <c r="D7" s="15">
        <f>'NOVEMBER 21'!H7:H28</f>
        <v>0</v>
      </c>
      <c r="E7" s="16">
        <v>2500</v>
      </c>
      <c r="F7" s="16">
        <f>C7+D7+E7</f>
        <v>2500</v>
      </c>
      <c r="G7" s="16">
        <v>2500</v>
      </c>
      <c r="H7" s="17">
        <f t="shared" ref="H7:H27" si="0">F7-G7</f>
        <v>0</v>
      </c>
      <c r="I7" s="15"/>
    </row>
    <row r="8" spans="1:9" x14ac:dyDescent="0.25">
      <c r="A8" s="18" t="s">
        <v>42</v>
      </c>
      <c r="B8" s="13">
        <v>3</v>
      </c>
      <c r="C8" s="14"/>
      <c r="D8" s="15">
        <f>'NOVEMBER 21'!H8:H29</f>
        <v>1250</v>
      </c>
      <c r="E8" s="16">
        <f>2500</f>
        <v>2500</v>
      </c>
      <c r="F8" s="16">
        <f>C8+D8+E8</f>
        <v>3750</v>
      </c>
      <c r="G8" s="16">
        <f>2000+500</f>
        <v>2500</v>
      </c>
      <c r="H8" s="17">
        <f t="shared" si="0"/>
        <v>1250</v>
      </c>
      <c r="I8" s="15"/>
    </row>
    <row r="9" spans="1:9" x14ac:dyDescent="0.25">
      <c r="A9" s="19" t="s">
        <v>53</v>
      </c>
      <c r="B9" s="13">
        <v>4</v>
      </c>
      <c r="C9" s="14"/>
      <c r="D9" s="15">
        <f>'NOVEMBER 21'!H9:H30</f>
        <v>0</v>
      </c>
      <c r="E9" s="16">
        <v>2500</v>
      </c>
      <c r="F9" s="16">
        <f>C9+D9+E9</f>
        <v>2500</v>
      </c>
      <c r="G9" s="16">
        <v>2500</v>
      </c>
      <c r="H9" s="17">
        <f t="shared" si="0"/>
        <v>0</v>
      </c>
      <c r="I9" s="15"/>
    </row>
    <row r="10" spans="1:9" x14ac:dyDescent="0.25">
      <c r="A10" s="19" t="s">
        <v>46</v>
      </c>
      <c r="B10" s="13">
        <v>5</v>
      </c>
      <c r="C10" s="14"/>
      <c r="D10" s="15">
        <f>'NOVEMBER 21'!H10:H31</f>
        <v>2000</v>
      </c>
      <c r="E10" s="16">
        <v>2500</v>
      </c>
      <c r="F10" s="16">
        <f t="shared" ref="F10:F27" si="1">C10+D10+E10</f>
        <v>4500</v>
      </c>
      <c r="G10" s="16">
        <v>2500</v>
      </c>
      <c r="H10" s="17">
        <f t="shared" si="0"/>
        <v>2000</v>
      </c>
      <c r="I10" s="15"/>
    </row>
    <row r="11" spans="1:9" x14ac:dyDescent="0.25">
      <c r="A11" s="49" t="s">
        <v>46</v>
      </c>
      <c r="B11" s="13">
        <v>6</v>
      </c>
      <c r="C11" s="14"/>
      <c r="D11" s="15">
        <f>'NOVEMBER 21'!H11:H32</f>
        <v>500</v>
      </c>
      <c r="E11" s="16">
        <v>2500</v>
      </c>
      <c r="F11" s="52">
        <f t="shared" si="1"/>
        <v>3000</v>
      </c>
      <c r="G11" s="16">
        <v>2500</v>
      </c>
      <c r="H11" s="17">
        <f t="shared" si="0"/>
        <v>500</v>
      </c>
      <c r="I11" s="15"/>
    </row>
    <row r="12" spans="1:9" x14ac:dyDescent="0.25">
      <c r="A12" s="19" t="s">
        <v>123</v>
      </c>
      <c r="B12" s="13">
        <v>7</v>
      </c>
      <c r="C12" s="14"/>
      <c r="D12" s="15">
        <f>'NOVEMBER 21'!H12:H33</f>
        <v>0</v>
      </c>
      <c r="E12" s="16">
        <v>2500</v>
      </c>
      <c r="F12" s="52">
        <f t="shared" si="1"/>
        <v>2500</v>
      </c>
      <c r="G12" s="16">
        <v>2500</v>
      </c>
      <c r="H12" s="17">
        <f t="shared" si="0"/>
        <v>0</v>
      </c>
      <c r="I12" s="15"/>
    </row>
    <row r="13" spans="1:9" x14ac:dyDescent="0.25">
      <c r="A13" s="20" t="s">
        <v>43</v>
      </c>
      <c r="B13" s="13">
        <v>8</v>
      </c>
      <c r="C13" s="14"/>
      <c r="D13" s="15">
        <f>'NOVEMBER 21'!H13:H34</f>
        <v>0</v>
      </c>
      <c r="E13" s="16">
        <v>2000</v>
      </c>
      <c r="F13" s="16">
        <f t="shared" si="1"/>
        <v>2000</v>
      </c>
      <c r="G13" s="16"/>
      <c r="H13" s="17">
        <f t="shared" si="0"/>
        <v>2000</v>
      </c>
      <c r="I13" s="15"/>
    </row>
    <row r="14" spans="1:9" x14ac:dyDescent="0.25">
      <c r="A14" s="20" t="s">
        <v>45</v>
      </c>
      <c r="B14" s="13">
        <v>9</v>
      </c>
      <c r="C14" s="14"/>
      <c r="D14" s="15">
        <f>'NOVEMBER 21'!H14:H35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/>
    </row>
    <row r="15" spans="1:9" x14ac:dyDescent="0.25">
      <c r="A15" s="21" t="s">
        <v>125</v>
      </c>
      <c r="B15" s="22">
        <v>10</v>
      </c>
      <c r="C15" s="14"/>
      <c r="D15" s="15">
        <f>'NOVEMBER 21'!H15:H36</f>
        <v>1000</v>
      </c>
      <c r="E15" s="16">
        <v>2000</v>
      </c>
      <c r="F15" s="16">
        <f t="shared" si="1"/>
        <v>3000</v>
      </c>
      <c r="G15" s="16"/>
      <c r="H15" s="17">
        <f t="shared" si="0"/>
        <v>3000</v>
      </c>
      <c r="I15" s="15"/>
    </row>
    <row r="16" spans="1:9" x14ac:dyDescent="0.25">
      <c r="A16" s="23" t="s">
        <v>47</v>
      </c>
      <c r="B16" s="13">
        <v>11</v>
      </c>
      <c r="C16" s="14"/>
      <c r="D16" s="15">
        <f>'NOVEMBER 21'!H16:H37</f>
        <v>1000</v>
      </c>
      <c r="E16" s="16">
        <v>2000</v>
      </c>
      <c r="F16" s="16">
        <f>C16+D16+E16</f>
        <v>3000</v>
      </c>
      <c r="G16" s="16"/>
      <c r="H16" s="17">
        <f t="shared" si="0"/>
        <v>3000</v>
      </c>
      <c r="I16" s="15"/>
    </row>
    <row r="17" spans="1:9" x14ac:dyDescent="0.25">
      <c r="A17" s="55" t="s">
        <v>131</v>
      </c>
      <c r="B17" s="13">
        <v>12</v>
      </c>
      <c r="C17" s="14"/>
      <c r="D17" s="15">
        <f>'NOVEMBER 21'!H17:H38</f>
        <v>0</v>
      </c>
      <c r="E17" s="16">
        <v>2000</v>
      </c>
      <c r="F17" s="16">
        <f t="shared" si="1"/>
        <v>2000</v>
      </c>
      <c r="G17" s="16"/>
      <c r="H17" s="17">
        <f t="shared" si="0"/>
        <v>2000</v>
      </c>
      <c r="I17" s="15"/>
    </row>
    <row r="18" spans="1:9" x14ac:dyDescent="0.25">
      <c r="A18" s="21" t="s">
        <v>80</v>
      </c>
      <c r="B18" s="13" t="s">
        <v>31</v>
      </c>
      <c r="C18" s="14"/>
      <c r="D18" s="15">
        <f>'NOVEMBER 21'!H18:H39</f>
        <v>0</v>
      </c>
      <c r="E18" s="16">
        <v>4000</v>
      </c>
      <c r="F18" s="16">
        <f t="shared" si="1"/>
        <v>4000</v>
      </c>
      <c r="G18" s="16">
        <v>4000</v>
      </c>
      <c r="H18" s="17">
        <f t="shared" si="0"/>
        <v>0</v>
      </c>
      <c r="I18" s="15"/>
    </row>
    <row r="19" spans="1:9" x14ac:dyDescent="0.25">
      <c r="A19" s="53"/>
      <c r="B19" s="54" t="s">
        <v>32</v>
      </c>
      <c r="C19" s="14"/>
      <c r="D19" s="15">
        <f>'NOVEMBER 21'!H19:H40</f>
        <v>0</v>
      </c>
      <c r="E19" s="16"/>
      <c r="F19" s="16">
        <f t="shared" si="1"/>
        <v>0</v>
      </c>
      <c r="G19" s="16"/>
      <c r="H19" s="17">
        <f t="shared" si="0"/>
        <v>0</v>
      </c>
      <c r="I19" s="15"/>
    </row>
    <row r="20" spans="1:9" x14ac:dyDescent="0.25">
      <c r="A20" s="12"/>
      <c r="B20" s="13" t="s">
        <v>33</v>
      </c>
      <c r="C20" s="14"/>
      <c r="D20" s="15">
        <f>'NOVEMBER 21'!H20:H41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12"/>
      <c r="B21" s="13" t="s">
        <v>34</v>
      </c>
      <c r="C21" s="14"/>
      <c r="D21" s="15">
        <f>'NOVEMBER 21'!H21:H42</f>
        <v>0</v>
      </c>
      <c r="E21" s="16"/>
      <c r="F21" s="16">
        <f>C21+D21+E21</f>
        <v>0</v>
      </c>
      <c r="G21" s="16"/>
      <c r="H21" s="17">
        <f t="shared" si="0"/>
        <v>0</v>
      </c>
      <c r="I21" s="15"/>
    </row>
    <row r="22" spans="1:9" x14ac:dyDescent="0.25">
      <c r="A22" s="12"/>
      <c r="B22" s="13" t="s">
        <v>35</v>
      </c>
      <c r="C22" s="14"/>
      <c r="D22" s="15">
        <f>'NOVEMBER 21'!H22:H43</f>
        <v>0</v>
      </c>
      <c r="E22" s="16"/>
      <c r="F22" s="16">
        <f>C22+D22+E22</f>
        <v>0</v>
      </c>
      <c r="G22" s="16"/>
      <c r="H22" s="17">
        <f t="shared" si="0"/>
        <v>0</v>
      </c>
      <c r="I22" s="15"/>
    </row>
    <row r="23" spans="1:9" x14ac:dyDescent="0.25">
      <c r="A23" s="21"/>
      <c r="B23" s="13" t="s">
        <v>36</v>
      </c>
      <c r="C23" s="14"/>
      <c r="D23" s="15">
        <f>'NOVEMBER 21'!H23:H44</f>
        <v>0</v>
      </c>
      <c r="E23" s="16"/>
      <c r="F23" s="16">
        <f t="shared" si="1"/>
        <v>0</v>
      </c>
      <c r="G23" s="16"/>
      <c r="H23" s="17">
        <f t="shared" si="0"/>
        <v>0</v>
      </c>
      <c r="I23" s="15"/>
    </row>
    <row r="24" spans="1:9" x14ac:dyDescent="0.25">
      <c r="A24" s="24"/>
      <c r="B24" s="13" t="s">
        <v>37</v>
      </c>
      <c r="C24" s="14"/>
      <c r="D24" s="15">
        <f>'NOVEMBER 21'!H24:H45</f>
        <v>0</v>
      </c>
      <c r="E24" s="16"/>
      <c r="F24" s="16">
        <f t="shared" si="1"/>
        <v>0</v>
      </c>
      <c r="G24" s="16"/>
      <c r="H24" s="17">
        <f t="shared" si="0"/>
        <v>0</v>
      </c>
      <c r="I24" s="15"/>
    </row>
    <row r="25" spans="1:9" x14ac:dyDescent="0.25">
      <c r="A25" s="21"/>
      <c r="B25" s="13" t="s">
        <v>38</v>
      </c>
      <c r="C25" s="14"/>
      <c r="D25" s="15">
        <f>'NOVEMBER 21'!H25:H46</f>
        <v>0</v>
      </c>
      <c r="E25" s="16"/>
      <c r="F25" s="16">
        <f t="shared" si="1"/>
        <v>0</v>
      </c>
      <c r="G25" s="16"/>
      <c r="H25" s="17">
        <f t="shared" si="0"/>
        <v>0</v>
      </c>
      <c r="I25" s="15"/>
    </row>
    <row r="26" spans="1:9" x14ac:dyDescent="0.25">
      <c r="A26" s="21"/>
      <c r="B26" s="13" t="s">
        <v>39</v>
      </c>
      <c r="C26" s="14"/>
      <c r="D26" s="15">
        <f>'NOVEMBER 21'!H26:H47</f>
        <v>0</v>
      </c>
      <c r="E26" s="16"/>
      <c r="F26" s="16">
        <f>C26+D26+E26</f>
        <v>0</v>
      </c>
      <c r="G26" s="16"/>
      <c r="H26" s="17">
        <f t="shared" si="0"/>
        <v>0</v>
      </c>
      <c r="I26" s="15"/>
    </row>
    <row r="27" spans="1:9" x14ac:dyDescent="0.25">
      <c r="A27" s="21"/>
      <c r="B27" s="13"/>
      <c r="C27" s="14"/>
      <c r="D27" s="15">
        <f>'NOVEMBER 21'!H27:H48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5" t="s">
        <v>11</v>
      </c>
      <c r="B28" s="26"/>
      <c r="C28" s="14">
        <f t="shared" ref="C28:I28" si="2">SUM(C6:C27)</f>
        <v>0</v>
      </c>
      <c r="D28" s="15">
        <f>SUM(D6:D27)</f>
        <v>5750</v>
      </c>
      <c r="E28" s="27">
        <f>SUM(E6:E27)</f>
        <v>31500</v>
      </c>
      <c r="F28" s="16">
        <f t="shared" si="2"/>
        <v>37250</v>
      </c>
      <c r="G28" s="16">
        <f t="shared" si="2"/>
        <v>23500</v>
      </c>
      <c r="H28" s="17">
        <f>SUM(H6:H27)</f>
        <v>13750</v>
      </c>
      <c r="I28" s="15">
        <f t="shared" si="2"/>
        <v>0</v>
      </c>
    </row>
    <row r="29" spans="1:9" x14ac:dyDescent="0.25">
      <c r="D29" s="15">
        <f>'JULY 21'!H29:H52</f>
        <v>8250</v>
      </c>
      <c r="H29" s="17"/>
      <c r="I29" s="3"/>
    </row>
    <row r="31" spans="1:9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4"/>
    </row>
    <row r="33" spans="1:11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1" x14ac:dyDescent="0.25">
      <c r="A34" s="26" t="s">
        <v>135</v>
      </c>
      <c r="B34" s="38">
        <f>E28</f>
        <v>31500</v>
      </c>
      <c r="C34" s="26"/>
      <c r="D34" s="26"/>
      <c r="E34" s="26" t="s">
        <v>135</v>
      </c>
      <c r="F34" s="38">
        <f>G28</f>
        <v>23500</v>
      </c>
      <c r="G34" s="26"/>
      <c r="H34" s="26"/>
      <c r="I34" s="34"/>
      <c r="K34" s="28">
        <f>E28</f>
        <v>31500</v>
      </c>
    </row>
    <row r="35" spans="1:11" x14ac:dyDescent="0.25">
      <c r="A35" s="26" t="s">
        <v>19</v>
      </c>
      <c r="B35" s="38">
        <f>'NOVEMBER 21'!D48</f>
        <v>-4764</v>
      </c>
      <c r="C35" s="26"/>
      <c r="D35" s="26"/>
      <c r="E35" s="26" t="s">
        <v>19</v>
      </c>
      <c r="F35" s="38">
        <f>'NOVEMBER 21'!H48</f>
        <v>-9014</v>
      </c>
      <c r="G35" s="26"/>
      <c r="H35" s="26"/>
      <c r="I35" s="34"/>
      <c r="K35" s="44">
        <f>C38</f>
        <v>3150</v>
      </c>
    </row>
    <row r="36" spans="1:11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  <c r="K36" s="44">
        <f>K34-K35</f>
        <v>28350</v>
      </c>
    </row>
    <row r="37" spans="1:11" x14ac:dyDescent="0.25">
      <c r="A37" s="26" t="s">
        <v>4</v>
      </c>
      <c r="B37" s="38">
        <f>1500</f>
        <v>1500</v>
      </c>
      <c r="C37" s="26"/>
      <c r="D37" s="26"/>
      <c r="E37" s="26"/>
      <c r="F37" s="38"/>
      <c r="G37" s="26"/>
      <c r="H37" s="26"/>
      <c r="I37" s="3"/>
      <c r="K37" s="28">
        <f>C44</f>
        <v>2032</v>
      </c>
    </row>
    <row r="38" spans="1:11" x14ac:dyDescent="0.25">
      <c r="A38" s="26" t="s">
        <v>21</v>
      </c>
      <c r="B38" s="39">
        <v>0.1</v>
      </c>
      <c r="C38" s="38">
        <f>B38*B34</f>
        <v>3150</v>
      </c>
      <c r="D38" s="26"/>
      <c r="E38" s="26" t="s">
        <v>21</v>
      </c>
      <c r="F38" s="39">
        <v>0.1</v>
      </c>
      <c r="G38" s="38">
        <f>F38*B34</f>
        <v>3150</v>
      </c>
      <c r="H38" s="26"/>
      <c r="I38" s="3"/>
      <c r="K38" s="44">
        <f>K36-K37</f>
        <v>26318</v>
      </c>
    </row>
    <row r="39" spans="1:11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  <c r="K39">
        <v>4764</v>
      </c>
    </row>
    <row r="40" spans="1:11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  <c r="K40" s="44">
        <f>K38-K39</f>
        <v>21554</v>
      </c>
    </row>
    <row r="41" spans="1:11" x14ac:dyDescent="0.25">
      <c r="A41" s="40"/>
      <c r="D41" s="42"/>
      <c r="E41" s="40"/>
      <c r="H41" s="26"/>
      <c r="I41" s="43"/>
      <c r="K41" s="28">
        <v>1500</v>
      </c>
    </row>
    <row r="42" spans="1:11" x14ac:dyDescent="0.25">
      <c r="A42" s="40" t="s">
        <v>92</v>
      </c>
      <c r="B42" s="39"/>
      <c r="C42" s="26">
        <v>10000</v>
      </c>
      <c r="D42" s="26"/>
      <c r="E42" s="40" t="s">
        <v>92</v>
      </c>
      <c r="F42" s="39"/>
      <c r="G42" s="26">
        <v>10000</v>
      </c>
      <c r="H42" s="26"/>
      <c r="I42" s="34"/>
      <c r="K42" s="44">
        <f>K40+K41</f>
        <v>23054</v>
      </c>
    </row>
    <row r="43" spans="1:11" x14ac:dyDescent="0.25">
      <c r="A43" s="40"/>
      <c r="B43" s="39"/>
      <c r="C43" s="26"/>
      <c r="D43" s="26"/>
      <c r="E43" s="40"/>
      <c r="F43" s="39"/>
      <c r="G43" s="26"/>
      <c r="H43" s="26"/>
      <c r="I43" s="43"/>
      <c r="K43">
        <v>10000</v>
      </c>
    </row>
    <row r="44" spans="1:11" x14ac:dyDescent="0.25">
      <c r="A44" s="40" t="s">
        <v>138</v>
      </c>
      <c r="B44" s="26"/>
      <c r="C44" s="42">
        <v>2032</v>
      </c>
      <c r="D44" s="26"/>
      <c r="E44" s="40" t="s">
        <v>138</v>
      </c>
      <c r="F44" s="26"/>
      <c r="G44" s="42">
        <v>2032</v>
      </c>
      <c r="H44" s="26"/>
      <c r="I44" s="3"/>
      <c r="K44" s="44">
        <f>K42-K43</f>
        <v>13054</v>
      </c>
    </row>
    <row r="45" spans="1:11" x14ac:dyDescent="0.25">
      <c r="A45" s="40" t="s">
        <v>139</v>
      </c>
      <c r="B45" s="26"/>
      <c r="C45" s="42">
        <v>4000</v>
      </c>
      <c r="D45" s="26"/>
      <c r="E45" s="40" t="s">
        <v>139</v>
      </c>
      <c r="F45" s="26"/>
      <c r="G45" s="42">
        <v>4000</v>
      </c>
      <c r="H45" s="26"/>
      <c r="I45" s="43"/>
      <c r="K45">
        <f>4000</f>
        <v>4000</v>
      </c>
    </row>
    <row r="46" spans="1:11" x14ac:dyDescent="0.25">
      <c r="A46" s="40"/>
      <c r="B46" s="26"/>
      <c r="C46" s="42"/>
      <c r="D46" s="26"/>
      <c r="E46" s="40"/>
      <c r="F46" s="26"/>
      <c r="G46" s="42"/>
      <c r="H46" s="26"/>
      <c r="I46" s="3"/>
      <c r="K46" s="44">
        <f>K44-K45</f>
        <v>9054</v>
      </c>
    </row>
    <row r="47" spans="1:11" x14ac:dyDescent="0.25">
      <c r="A47" s="40"/>
      <c r="B47" s="26"/>
      <c r="C47" s="42"/>
      <c r="D47" s="26"/>
      <c r="E47" s="40"/>
      <c r="F47" s="26"/>
      <c r="G47" s="42"/>
      <c r="H47" s="26"/>
      <c r="I47" s="43"/>
    </row>
    <row r="48" spans="1:11" x14ac:dyDescent="0.25">
      <c r="A48" s="37" t="s">
        <v>11</v>
      </c>
      <c r="B48" s="45">
        <f>B37+B34+B35+B36-C38</f>
        <v>25086</v>
      </c>
      <c r="C48" s="45">
        <f>SUM(C40:C47)</f>
        <v>16032</v>
      </c>
      <c r="D48" s="45">
        <f>B48-C48</f>
        <v>9054</v>
      </c>
      <c r="E48" s="37" t="s">
        <v>11</v>
      </c>
      <c r="F48" s="45">
        <f>F34+F35+F37-G38</f>
        <v>11336</v>
      </c>
      <c r="G48" s="45">
        <f>SUM(G40:G47)</f>
        <v>16032</v>
      </c>
      <c r="H48" s="45">
        <f>F48-G48</f>
        <v>-4696</v>
      </c>
      <c r="I48" s="43"/>
    </row>
    <row r="49" spans="1:9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9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2"/>
  <sheetViews>
    <sheetView topLeftCell="A19" workbookViewId="0">
      <selection activeCell="H31" sqref="H31"/>
    </sheetView>
  </sheetViews>
  <sheetFormatPr defaultRowHeight="15" x14ac:dyDescent="0.25"/>
  <cols>
    <col min="1" max="1" width="17.7109375" customWidth="1"/>
  </cols>
  <sheetData>
    <row r="2" spans="1:11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11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1" ht="18.75" x14ac:dyDescent="0.3">
      <c r="A4" s="5"/>
      <c r="B4" s="1" t="s">
        <v>56</v>
      </c>
      <c r="C4" s="1"/>
      <c r="D4" s="1"/>
      <c r="E4" s="1"/>
      <c r="F4" s="6"/>
      <c r="G4" s="7"/>
      <c r="H4" s="3"/>
      <c r="I4" s="3"/>
    </row>
    <row r="5" spans="1:11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1" x14ac:dyDescent="0.25">
      <c r="A6" s="12" t="s">
        <v>40</v>
      </c>
      <c r="B6" s="13">
        <v>1</v>
      </c>
      <c r="C6" s="14"/>
      <c r="D6" s="15"/>
      <c r="E6" s="16">
        <v>2500</v>
      </c>
      <c r="F6" s="16">
        <f>C6+D6+E6</f>
        <v>2500</v>
      </c>
      <c r="G6" s="16"/>
      <c r="H6" s="17">
        <f>F6-G6</f>
        <v>2500</v>
      </c>
      <c r="I6" s="15"/>
    </row>
    <row r="7" spans="1:11" x14ac:dyDescent="0.25">
      <c r="A7" t="s">
        <v>41</v>
      </c>
      <c r="B7" s="13">
        <v>2</v>
      </c>
      <c r="C7" s="14"/>
      <c r="D7" s="15"/>
      <c r="E7" s="16">
        <v>2500</v>
      </c>
      <c r="F7" s="16">
        <f t="shared" ref="F7:F27" si="0">C7+D7+E7</f>
        <v>2500</v>
      </c>
      <c r="G7" s="16">
        <f>500+1000+1000</f>
        <v>2500</v>
      </c>
      <c r="H7" s="17">
        <f t="shared" ref="H7:H27" si="1">F7-G7</f>
        <v>0</v>
      </c>
      <c r="I7" s="15"/>
    </row>
    <row r="8" spans="1:11" x14ac:dyDescent="0.25">
      <c r="A8" s="18" t="s">
        <v>42</v>
      </c>
      <c r="B8" s="13">
        <v>3</v>
      </c>
      <c r="C8" s="14"/>
      <c r="D8" s="15"/>
      <c r="E8" s="16">
        <f>2500</f>
        <v>2500</v>
      </c>
      <c r="F8" s="16">
        <f t="shared" si="0"/>
        <v>2500</v>
      </c>
      <c r="G8" s="16">
        <v>2500</v>
      </c>
      <c r="H8" s="17">
        <f t="shared" si="1"/>
        <v>0</v>
      </c>
      <c r="I8" s="15"/>
      <c r="J8" t="s">
        <v>85</v>
      </c>
    </row>
    <row r="9" spans="1:11" x14ac:dyDescent="0.25">
      <c r="A9" s="19" t="s">
        <v>53</v>
      </c>
      <c r="B9" s="13">
        <v>4</v>
      </c>
      <c r="C9" s="14"/>
      <c r="D9" s="15"/>
      <c r="E9" s="16">
        <v>2500</v>
      </c>
      <c r="F9" s="16">
        <f t="shared" si="0"/>
        <v>2500</v>
      </c>
      <c r="G9" s="16"/>
      <c r="H9" s="17">
        <f>F9-G9</f>
        <v>2500</v>
      </c>
      <c r="I9" s="15"/>
    </row>
    <row r="10" spans="1:11" x14ac:dyDescent="0.25">
      <c r="A10" s="19" t="s">
        <v>54</v>
      </c>
      <c r="B10" s="13">
        <v>5</v>
      </c>
      <c r="C10" s="14"/>
      <c r="D10" s="15"/>
      <c r="E10" s="16">
        <v>2500</v>
      </c>
      <c r="F10" s="16">
        <f t="shared" si="0"/>
        <v>2500</v>
      </c>
      <c r="G10" s="16">
        <f>2500</f>
        <v>2500</v>
      </c>
      <c r="H10" s="17">
        <f t="shared" si="1"/>
        <v>0</v>
      </c>
      <c r="I10" s="15"/>
    </row>
    <row r="11" spans="1:11" x14ac:dyDescent="0.25">
      <c r="A11" s="23" t="s">
        <v>44</v>
      </c>
      <c r="B11" s="13">
        <v>6</v>
      </c>
      <c r="C11" s="14"/>
      <c r="D11" s="15"/>
      <c r="E11" s="16">
        <v>2000</v>
      </c>
      <c r="F11" s="16">
        <f>C11+D11+E11</f>
        <v>2000</v>
      </c>
      <c r="G11" s="16"/>
      <c r="H11" s="17"/>
      <c r="I11" s="15"/>
    </row>
    <row r="12" spans="1:11" x14ac:dyDescent="0.25">
      <c r="A12" s="19" t="s">
        <v>52</v>
      </c>
      <c r="B12" s="13">
        <v>7</v>
      </c>
      <c r="C12" s="14"/>
      <c r="D12" s="15"/>
      <c r="E12" s="16">
        <v>2500</v>
      </c>
      <c r="F12" s="16">
        <f t="shared" si="0"/>
        <v>2500</v>
      </c>
      <c r="G12" s="16">
        <v>2500</v>
      </c>
      <c r="H12" s="17">
        <f t="shared" si="1"/>
        <v>0</v>
      </c>
      <c r="I12" s="15"/>
    </row>
    <row r="13" spans="1:11" x14ac:dyDescent="0.25">
      <c r="A13" s="20" t="s">
        <v>43</v>
      </c>
      <c r="B13" s="13">
        <v>8</v>
      </c>
      <c r="C13" s="14"/>
      <c r="D13" s="15"/>
      <c r="E13" s="16">
        <v>2000</v>
      </c>
      <c r="F13" s="16">
        <f t="shared" si="0"/>
        <v>2000</v>
      </c>
      <c r="G13" s="16">
        <f>2000</f>
        <v>2000</v>
      </c>
      <c r="H13" s="17">
        <f t="shared" si="1"/>
        <v>0</v>
      </c>
      <c r="I13" s="15"/>
      <c r="K13" s="28"/>
    </row>
    <row r="14" spans="1:11" x14ac:dyDescent="0.25">
      <c r="A14" s="20" t="s">
        <v>45</v>
      </c>
      <c r="B14" s="13">
        <v>9</v>
      </c>
      <c r="C14" s="14"/>
      <c r="D14" s="15"/>
      <c r="E14" s="16">
        <v>2000</v>
      </c>
      <c r="F14" s="16">
        <f t="shared" si="0"/>
        <v>2000</v>
      </c>
      <c r="G14" s="16">
        <f>2000</f>
        <v>2000</v>
      </c>
      <c r="H14" s="17">
        <f t="shared" si="1"/>
        <v>0</v>
      </c>
      <c r="I14" s="15"/>
    </row>
    <row r="15" spans="1:11" x14ac:dyDescent="0.25">
      <c r="A15" s="21" t="s">
        <v>46</v>
      </c>
      <c r="B15" s="22">
        <v>10</v>
      </c>
      <c r="C15" s="14"/>
      <c r="D15" s="15"/>
      <c r="E15" s="16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</row>
    <row r="16" spans="1:11" x14ac:dyDescent="0.25">
      <c r="A16" s="23" t="s">
        <v>47</v>
      </c>
      <c r="B16" s="13">
        <v>11</v>
      </c>
      <c r="C16" s="14"/>
      <c r="D16" s="15"/>
      <c r="E16" s="16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</row>
    <row r="17" spans="1:9" x14ac:dyDescent="0.25">
      <c r="A17" s="23" t="s">
        <v>48</v>
      </c>
      <c r="B17" s="13">
        <v>12</v>
      </c>
      <c r="C17" s="14"/>
      <c r="D17" s="15">
        <v>2000</v>
      </c>
      <c r="E17" s="16">
        <v>2000</v>
      </c>
      <c r="F17" s="16">
        <f t="shared" si="0"/>
        <v>4000</v>
      </c>
      <c r="G17" s="16"/>
      <c r="H17" s="17">
        <f t="shared" si="1"/>
        <v>4000</v>
      </c>
      <c r="I17" s="15"/>
    </row>
    <row r="18" spans="1:9" x14ac:dyDescent="0.25">
      <c r="A18" s="21" t="s">
        <v>49</v>
      </c>
      <c r="B18" s="13" t="s">
        <v>31</v>
      </c>
      <c r="C18" s="14"/>
      <c r="D18" s="15"/>
      <c r="E18" s="16">
        <v>4000</v>
      </c>
      <c r="F18" s="16">
        <f t="shared" si="0"/>
        <v>4000</v>
      </c>
      <c r="G18" s="16">
        <f>4000</f>
        <v>4000</v>
      </c>
      <c r="H18" s="17">
        <f t="shared" si="1"/>
        <v>0</v>
      </c>
      <c r="I18" s="15"/>
    </row>
    <row r="19" spans="1:9" x14ac:dyDescent="0.25">
      <c r="A19" s="18" t="s">
        <v>51</v>
      </c>
      <c r="B19" s="13" t="s">
        <v>32</v>
      </c>
      <c r="C19" s="14"/>
      <c r="D19" s="15"/>
      <c r="E19" s="16">
        <v>4000</v>
      </c>
      <c r="F19" s="16">
        <f t="shared" si="0"/>
        <v>4000</v>
      </c>
      <c r="G19" s="16">
        <f>1000+2500+500</f>
        <v>4000</v>
      </c>
      <c r="H19" s="17">
        <f t="shared" si="1"/>
        <v>0</v>
      </c>
      <c r="I19" s="15"/>
    </row>
    <row r="20" spans="1:9" x14ac:dyDescent="0.25">
      <c r="A20" s="12"/>
      <c r="B20" s="13" t="s">
        <v>33</v>
      </c>
      <c r="C20" s="14"/>
      <c r="D20" s="15"/>
      <c r="E20" s="16"/>
      <c r="F20" s="16">
        <f t="shared" si="0"/>
        <v>0</v>
      </c>
      <c r="G20" s="16"/>
      <c r="H20" s="17">
        <f t="shared" si="1"/>
        <v>0</v>
      </c>
      <c r="I20" s="15"/>
    </row>
    <row r="21" spans="1:9" x14ac:dyDescent="0.25">
      <c r="A21" s="12" t="s">
        <v>50</v>
      </c>
      <c r="B21" s="13" t="s">
        <v>34</v>
      </c>
      <c r="C21" s="14"/>
      <c r="D21" s="15"/>
      <c r="E21" s="16">
        <v>4500</v>
      </c>
      <c r="F21" s="16">
        <f>C21+D21+E21</f>
        <v>4500</v>
      </c>
      <c r="G21" s="16">
        <f>4500</f>
        <v>4500</v>
      </c>
      <c r="H21" s="17">
        <f t="shared" ref="H21:H26" si="2">F21-G21</f>
        <v>0</v>
      </c>
      <c r="I21" s="15"/>
    </row>
    <row r="22" spans="1:9" x14ac:dyDescent="0.25">
      <c r="A22" s="12"/>
      <c r="B22" s="13" t="s">
        <v>35</v>
      </c>
      <c r="C22" s="14"/>
      <c r="D22" s="15"/>
      <c r="E22" s="16"/>
      <c r="F22" s="16">
        <f>C22+D22+E22</f>
        <v>0</v>
      </c>
      <c r="G22" s="16"/>
      <c r="H22" s="17">
        <f t="shared" si="2"/>
        <v>0</v>
      </c>
      <c r="I22" s="15"/>
    </row>
    <row r="23" spans="1:9" x14ac:dyDescent="0.25">
      <c r="A23" s="21"/>
      <c r="B23" s="13" t="s">
        <v>36</v>
      </c>
      <c r="C23" s="14"/>
      <c r="D23" s="15"/>
      <c r="E23" s="16"/>
      <c r="F23" s="16">
        <f t="shared" si="0"/>
        <v>0</v>
      </c>
      <c r="G23" s="16"/>
      <c r="H23" s="17">
        <f t="shared" si="2"/>
        <v>0</v>
      </c>
      <c r="I23" s="15"/>
    </row>
    <row r="24" spans="1:9" x14ac:dyDescent="0.25">
      <c r="A24" s="24"/>
      <c r="B24" s="13" t="s">
        <v>37</v>
      </c>
      <c r="C24" s="14"/>
      <c r="D24" s="15"/>
      <c r="E24" s="16"/>
      <c r="F24" s="16">
        <f t="shared" si="0"/>
        <v>0</v>
      </c>
      <c r="G24" s="16"/>
      <c r="H24" s="17">
        <f t="shared" si="2"/>
        <v>0</v>
      </c>
      <c r="I24" s="15"/>
    </row>
    <row r="25" spans="1:9" x14ac:dyDescent="0.25">
      <c r="A25" s="21"/>
      <c r="B25" s="13" t="s">
        <v>38</v>
      </c>
      <c r="C25" s="14"/>
      <c r="D25" s="15"/>
      <c r="E25" s="16"/>
      <c r="F25" s="16">
        <f t="shared" si="0"/>
        <v>0</v>
      </c>
      <c r="G25" s="16"/>
      <c r="H25" s="17">
        <f t="shared" si="2"/>
        <v>0</v>
      </c>
      <c r="I25" s="15"/>
    </row>
    <row r="26" spans="1:9" x14ac:dyDescent="0.25">
      <c r="A26" s="21"/>
      <c r="B26" s="13" t="s">
        <v>39</v>
      </c>
      <c r="C26" s="14"/>
      <c r="D26" s="15"/>
      <c r="E26" s="16"/>
      <c r="F26" s="16">
        <f>C26+D26+E26</f>
        <v>0</v>
      </c>
      <c r="G26" s="16"/>
      <c r="H26" s="17">
        <f t="shared" si="2"/>
        <v>0</v>
      </c>
      <c r="I26" s="15"/>
    </row>
    <row r="27" spans="1:9" x14ac:dyDescent="0.25">
      <c r="A27" s="21"/>
      <c r="B27" s="13"/>
      <c r="C27" s="14"/>
      <c r="D27" s="15"/>
      <c r="E27" s="16"/>
      <c r="F27" s="16">
        <f t="shared" si="0"/>
        <v>0</v>
      </c>
      <c r="G27" s="16"/>
      <c r="H27" s="17">
        <f t="shared" si="1"/>
        <v>0</v>
      </c>
      <c r="I27" s="15"/>
    </row>
    <row r="28" spans="1:9" x14ac:dyDescent="0.25">
      <c r="A28" s="25" t="s">
        <v>11</v>
      </c>
      <c r="B28" s="26"/>
      <c r="C28" s="14">
        <f t="shared" ref="C28:I28" si="3">SUM(C6:C27)</f>
        <v>0</v>
      </c>
      <c r="D28" s="15">
        <f t="shared" si="3"/>
        <v>2000</v>
      </c>
      <c r="E28" s="27">
        <f t="shared" si="3"/>
        <v>39500</v>
      </c>
      <c r="F28" s="16">
        <f t="shared" si="3"/>
        <v>41500</v>
      </c>
      <c r="G28" s="16">
        <f t="shared" si="3"/>
        <v>30500</v>
      </c>
      <c r="H28" s="16">
        <f t="shared" si="3"/>
        <v>9000</v>
      </c>
      <c r="I28" s="15">
        <f t="shared" si="3"/>
        <v>0</v>
      </c>
    </row>
    <row r="29" spans="1:9" x14ac:dyDescent="0.25">
      <c r="D29" s="15">
        <f>'[1]OCTOBER 20'!H29:H51</f>
        <v>0</v>
      </c>
      <c r="H29" s="28">
        <f>H28-2000</f>
        <v>7000</v>
      </c>
      <c r="I29" s="3"/>
    </row>
    <row r="30" spans="1:9" x14ac:dyDescent="0.25">
      <c r="H30" s="28">
        <f>H29+H48</f>
        <v>-78256</v>
      </c>
    </row>
    <row r="31" spans="1:9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1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1" x14ac:dyDescent="0.25">
      <c r="A34" s="26" t="s">
        <v>57</v>
      </c>
      <c r="B34" s="38">
        <f>E28</f>
        <v>39500</v>
      </c>
      <c r="C34" s="26"/>
      <c r="D34" s="26"/>
      <c r="E34" s="26" t="s">
        <v>57</v>
      </c>
      <c r="F34" s="38">
        <f>G28</f>
        <v>30500</v>
      </c>
      <c r="G34" s="26"/>
      <c r="H34" s="26"/>
      <c r="I34" s="34"/>
    </row>
    <row r="35" spans="1:11" x14ac:dyDescent="0.25">
      <c r="A35" s="26" t="s">
        <v>19</v>
      </c>
      <c r="B35" s="38">
        <f>'NOVEMBER 20'!D48</f>
        <v>-71900</v>
      </c>
      <c r="C35" s="26"/>
      <c r="D35" s="26"/>
      <c r="E35" s="26" t="s">
        <v>19</v>
      </c>
      <c r="F35" s="38">
        <f>'NOVEMBER 20'!H48</f>
        <v>-71900</v>
      </c>
      <c r="G35" s="26"/>
      <c r="H35" s="26"/>
      <c r="I35" s="34"/>
    </row>
    <row r="36" spans="1:11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</row>
    <row r="37" spans="1:11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1" x14ac:dyDescent="0.25">
      <c r="A38" s="26" t="s">
        <v>21</v>
      </c>
      <c r="B38" s="39">
        <v>0.1</v>
      </c>
      <c r="C38" s="38">
        <f>B38*B34</f>
        <v>3950</v>
      </c>
      <c r="D38" s="26"/>
      <c r="E38" s="26" t="s">
        <v>21</v>
      </c>
      <c r="F38" s="39">
        <v>0.1</v>
      </c>
      <c r="G38" s="38">
        <f>F38*B34</f>
        <v>3950</v>
      </c>
      <c r="H38" s="26"/>
      <c r="I38" s="3"/>
    </row>
    <row r="39" spans="1:11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</row>
    <row r="40" spans="1:11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  <c r="K40" s="44">
        <f>B34-C38</f>
        <v>35550</v>
      </c>
    </row>
    <row r="41" spans="1:11" x14ac:dyDescent="0.25">
      <c r="A41" s="40"/>
      <c r="D41" s="42"/>
      <c r="E41" s="40"/>
      <c r="H41" s="26"/>
      <c r="I41" s="3"/>
      <c r="K41">
        <f>K40*3</f>
        <v>106650</v>
      </c>
    </row>
    <row r="42" spans="1:11" x14ac:dyDescent="0.25">
      <c r="A42" s="40" t="s">
        <v>62</v>
      </c>
      <c r="B42" s="39"/>
      <c r="C42" s="26">
        <v>29350</v>
      </c>
      <c r="D42" s="26"/>
      <c r="E42" s="40" t="s">
        <v>62</v>
      </c>
      <c r="F42" s="39"/>
      <c r="G42" s="26">
        <v>29350</v>
      </c>
      <c r="H42" s="26"/>
      <c r="I42" s="34"/>
    </row>
    <row r="43" spans="1:11" x14ac:dyDescent="0.25">
      <c r="A43" s="40" t="s">
        <v>63</v>
      </c>
      <c r="B43" s="39"/>
      <c r="C43" s="26">
        <v>5000</v>
      </c>
      <c r="D43" s="26"/>
      <c r="E43" s="40" t="s">
        <v>63</v>
      </c>
      <c r="F43" s="39"/>
      <c r="G43" s="26">
        <v>5000</v>
      </c>
      <c r="H43" s="26"/>
      <c r="I43" s="43"/>
      <c r="J43" s="28"/>
    </row>
    <row r="44" spans="1:11" x14ac:dyDescent="0.25">
      <c r="A44" s="40" t="s">
        <v>66</v>
      </c>
      <c r="B44" s="26"/>
      <c r="C44" s="42">
        <f>2000</f>
        <v>2000</v>
      </c>
      <c r="D44" s="26"/>
      <c r="E44" s="40"/>
      <c r="F44" s="26"/>
      <c r="G44" s="42"/>
      <c r="H44" s="26"/>
      <c r="I44" s="3"/>
    </row>
    <row r="45" spans="1:11" x14ac:dyDescent="0.25">
      <c r="A45" s="40" t="s">
        <v>67</v>
      </c>
      <c r="B45" s="26"/>
      <c r="C45" s="42">
        <v>3056</v>
      </c>
      <c r="D45" s="26"/>
      <c r="E45" s="40" t="s">
        <v>67</v>
      </c>
      <c r="F45" s="26"/>
      <c r="G45" s="42">
        <v>3056</v>
      </c>
      <c r="H45" s="26"/>
      <c r="I45" s="3"/>
    </row>
    <row r="46" spans="1:11" x14ac:dyDescent="0.25">
      <c r="A46" s="40" t="s">
        <v>74</v>
      </c>
      <c r="B46" s="26"/>
      <c r="C46" s="42">
        <v>2500</v>
      </c>
      <c r="D46" s="26"/>
      <c r="E46" s="40" t="s">
        <v>74</v>
      </c>
      <c r="F46" s="26"/>
      <c r="G46" s="42">
        <v>2500</v>
      </c>
      <c r="H46" s="26"/>
      <c r="I46" s="3"/>
    </row>
    <row r="47" spans="1:11" x14ac:dyDescent="0.25">
      <c r="A47" s="40"/>
      <c r="B47" s="26"/>
      <c r="C47" s="42"/>
      <c r="D47" s="26"/>
      <c r="E47" s="40"/>
      <c r="F47" s="26"/>
      <c r="G47" s="42"/>
      <c r="H47" s="26"/>
      <c r="I47" s="3"/>
      <c r="J47" s="44"/>
    </row>
    <row r="48" spans="1:11" x14ac:dyDescent="0.25">
      <c r="A48" s="37" t="s">
        <v>11</v>
      </c>
      <c r="B48" s="45">
        <f>B37+B34+B35+B36-C38</f>
        <v>-36350</v>
      </c>
      <c r="C48" s="45">
        <f>SUM(C40:C47)</f>
        <v>41906</v>
      </c>
      <c r="D48" s="45">
        <f>B48-C48</f>
        <v>-78256</v>
      </c>
      <c r="E48" s="37" t="s">
        <v>11</v>
      </c>
      <c r="F48" s="45">
        <f>F34+F35+F37-G38</f>
        <v>-45350</v>
      </c>
      <c r="G48" s="45">
        <f>SUM(G40:G47)</f>
        <v>39906</v>
      </c>
      <c r="H48" s="45">
        <f>F48-G48</f>
        <v>-85256</v>
      </c>
      <c r="I48" s="43"/>
    </row>
    <row r="49" spans="1:9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9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</row>
    <row r="52" spans="1:9" x14ac:dyDescent="0.25">
      <c r="H52" s="44">
        <f>H48-D48</f>
        <v>-7000</v>
      </c>
      <c r="I52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"/>
  <sheetViews>
    <sheetView topLeftCell="A16" workbookViewId="0">
      <selection activeCell="A42" sqref="A42"/>
    </sheetView>
  </sheetViews>
  <sheetFormatPr defaultRowHeight="15" x14ac:dyDescent="0.25"/>
  <cols>
    <col min="1" max="1" width="19.140625" customWidth="1"/>
  </cols>
  <sheetData>
    <row r="2" spans="1:12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12" ht="15.75" x14ac:dyDescent="0.25">
      <c r="B3" s="1" t="s">
        <v>0</v>
      </c>
      <c r="D3" s="1"/>
      <c r="E3" s="1"/>
      <c r="F3" s="4"/>
      <c r="G3" s="3"/>
      <c r="H3" s="3"/>
      <c r="I3" s="3"/>
    </row>
    <row r="4" spans="1:12" ht="18.75" x14ac:dyDescent="0.3">
      <c r="A4" s="5"/>
      <c r="B4" s="1" t="s">
        <v>64</v>
      </c>
      <c r="C4" s="1"/>
      <c r="D4" s="1"/>
      <c r="E4" s="1"/>
      <c r="F4" s="6"/>
      <c r="G4" s="7"/>
      <c r="H4" s="3"/>
      <c r="I4" s="3"/>
    </row>
    <row r="5" spans="1:12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2" x14ac:dyDescent="0.25">
      <c r="A6" s="12" t="s">
        <v>40</v>
      </c>
      <c r="B6" s="13">
        <v>1</v>
      </c>
      <c r="C6" s="14"/>
      <c r="D6" s="15">
        <f>'DECEMBER 20'!H6:H27</f>
        <v>2500</v>
      </c>
      <c r="E6" s="16">
        <v>2500</v>
      </c>
      <c r="F6" s="16">
        <f>C6+D6+E6</f>
        <v>5000</v>
      </c>
      <c r="G6" s="16">
        <f>2000</f>
        <v>2000</v>
      </c>
      <c r="H6" s="17">
        <f>F6-G6</f>
        <v>3000</v>
      </c>
      <c r="I6" s="15"/>
    </row>
    <row r="7" spans="1:12" x14ac:dyDescent="0.25">
      <c r="A7" t="s">
        <v>41</v>
      </c>
      <c r="B7" s="13">
        <v>2</v>
      </c>
      <c r="C7" s="14"/>
      <c r="D7" s="15">
        <f>'DECEMBER 20'!H7:H28</f>
        <v>0</v>
      </c>
      <c r="E7" s="16">
        <v>2500</v>
      </c>
      <c r="F7" s="16">
        <f t="shared" ref="F7:F27" si="0">C7+D7+E7</f>
        <v>2500</v>
      </c>
      <c r="G7" s="16"/>
      <c r="H7" s="17">
        <f t="shared" ref="H7:H27" si="1">F7-G7</f>
        <v>2500</v>
      </c>
      <c r="I7" s="15"/>
    </row>
    <row r="8" spans="1:12" x14ac:dyDescent="0.25">
      <c r="A8" s="18" t="s">
        <v>42</v>
      </c>
      <c r="B8" s="13">
        <v>3</v>
      </c>
      <c r="C8" s="14"/>
      <c r="D8" s="15">
        <f>'DECEMBER 20'!H8:H29</f>
        <v>0</v>
      </c>
      <c r="E8" s="16">
        <f>2500</f>
        <v>2500</v>
      </c>
      <c r="F8" s="16">
        <f t="shared" si="0"/>
        <v>2500</v>
      </c>
      <c r="G8" s="16">
        <f>1250</f>
        <v>1250</v>
      </c>
      <c r="H8" s="17">
        <f t="shared" si="1"/>
        <v>1250</v>
      </c>
      <c r="I8" s="15"/>
    </row>
    <row r="9" spans="1:12" x14ac:dyDescent="0.25">
      <c r="A9" s="19" t="s">
        <v>53</v>
      </c>
      <c r="B9" s="13">
        <v>4</v>
      </c>
      <c r="C9" s="14"/>
      <c r="D9" s="15">
        <f>'DECEMBER 20'!H9:H30</f>
        <v>2500</v>
      </c>
      <c r="E9" s="16">
        <v>2500</v>
      </c>
      <c r="F9" s="16">
        <f t="shared" si="0"/>
        <v>5000</v>
      </c>
      <c r="G9" s="16">
        <f>2500+2500</f>
        <v>5000</v>
      </c>
      <c r="H9" s="17">
        <f>F9-G9</f>
        <v>0</v>
      </c>
      <c r="I9" s="15"/>
    </row>
    <row r="10" spans="1:12" x14ac:dyDescent="0.25">
      <c r="A10" s="19" t="s">
        <v>54</v>
      </c>
      <c r="B10" s="13">
        <v>5</v>
      </c>
      <c r="C10" s="14"/>
      <c r="D10" s="15">
        <f>'DECEMBER 20'!H10:H31</f>
        <v>0</v>
      </c>
      <c r="E10" s="16">
        <v>2500</v>
      </c>
      <c r="F10" s="16">
        <f t="shared" si="0"/>
        <v>2500</v>
      </c>
      <c r="G10" s="16">
        <f>1500</f>
        <v>1500</v>
      </c>
      <c r="H10" s="17">
        <f t="shared" si="1"/>
        <v>1000</v>
      </c>
      <c r="I10" s="15"/>
    </row>
    <row r="11" spans="1:12" x14ac:dyDescent="0.25">
      <c r="A11" s="23" t="s">
        <v>51</v>
      </c>
      <c r="B11" s="13">
        <v>6</v>
      </c>
      <c r="C11" s="14"/>
      <c r="D11" s="15">
        <f>'DECEMBER 20'!H11:H32</f>
        <v>0</v>
      </c>
      <c r="E11" s="16">
        <v>1000</v>
      </c>
      <c r="F11" s="16">
        <f>C11+D11+E11</f>
        <v>1000</v>
      </c>
      <c r="G11" s="16"/>
      <c r="H11" s="17">
        <f t="shared" si="1"/>
        <v>1000</v>
      </c>
      <c r="I11" s="15"/>
    </row>
    <row r="12" spans="1:12" x14ac:dyDescent="0.25">
      <c r="A12" s="19" t="s">
        <v>52</v>
      </c>
      <c r="B12" s="13">
        <v>7</v>
      </c>
      <c r="C12" s="14"/>
      <c r="D12" s="15">
        <f>'DECEMBER 20'!H12:H33</f>
        <v>0</v>
      </c>
      <c r="E12" s="16">
        <v>1300</v>
      </c>
      <c r="F12" s="16">
        <f t="shared" si="0"/>
        <v>1300</v>
      </c>
      <c r="G12" s="16">
        <f>1300</f>
        <v>1300</v>
      </c>
      <c r="H12" s="17">
        <f t="shared" si="1"/>
        <v>0</v>
      </c>
      <c r="I12" s="15"/>
    </row>
    <row r="13" spans="1:12" x14ac:dyDescent="0.25">
      <c r="A13" s="20" t="s">
        <v>43</v>
      </c>
      <c r="B13" s="13">
        <v>8</v>
      </c>
      <c r="C13" s="14"/>
      <c r="D13" s="15">
        <f>'DECEMBER 20'!H13:H34</f>
        <v>0</v>
      </c>
      <c r="E13" s="16">
        <v>2000</v>
      </c>
      <c r="F13" s="16">
        <f t="shared" si="0"/>
        <v>2000</v>
      </c>
      <c r="G13" s="16">
        <f>2000</f>
        <v>2000</v>
      </c>
      <c r="H13" s="17">
        <f t="shared" si="1"/>
        <v>0</v>
      </c>
      <c r="I13" s="15"/>
    </row>
    <row r="14" spans="1:12" x14ac:dyDescent="0.25">
      <c r="A14" s="20" t="s">
        <v>45</v>
      </c>
      <c r="B14" s="13">
        <v>9</v>
      </c>
      <c r="C14" s="14"/>
      <c r="D14" s="15">
        <f>'DECEMBER 20'!H14:H35</f>
        <v>0</v>
      </c>
      <c r="E14" s="16">
        <v>2000</v>
      </c>
      <c r="F14" s="16">
        <f t="shared" si="0"/>
        <v>2000</v>
      </c>
      <c r="G14" s="16">
        <v>2000</v>
      </c>
      <c r="H14" s="17">
        <f t="shared" si="1"/>
        <v>0</v>
      </c>
      <c r="I14" s="15"/>
      <c r="K14">
        <f>4000-2500</f>
        <v>1500</v>
      </c>
    </row>
    <row r="15" spans="1:12" x14ac:dyDescent="0.25">
      <c r="A15" s="21" t="s">
        <v>46</v>
      </c>
      <c r="B15" s="22">
        <v>10</v>
      </c>
      <c r="C15" s="14"/>
      <c r="D15" s="15">
        <f>'DECEMBER 20'!H15:H36</f>
        <v>0</v>
      </c>
      <c r="E15" s="16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  <c r="L15">
        <f>2500-1500</f>
        <v>1000</v>
      </c>
    </row>
    <row r="16" spans="1:12" x14ac:dyDescent="0.25">
      <c r="A16" s="23" t="s">
        <v>47</v>
      </c>
      <c r="B16" s="13">
        <v>11</v>
      </c>
      <c r="C16" s="14"/>
      <c r="D16" s="15">
        <f>'DECEMBER 20'!H16:H37</f>
        <v>0</v>
      </c>
      <c r="E16" s="16">
        <v>2000</v>
      </c>
      <c r="F16" s="16">
        <f>C16+D16+E16</f>
        <v>2000</v>
      </c>
      <c r="G16" s="16">
        <v>2000</v>
      </c>
      <c r="H16" s="17">
        <f t="shared" si="1"/>
        <v>0</v>
      </c>
      <c r="I16" s="15"/>
    </row>
    <row r="17" spans="1:9" x14ac:dyDescent="0.25">
      <c r="A17" s="23" t="s">
        <v>48</v>
      </c>
      <c r="B17" s="13">
        <v>12</v>
      </c>
      <c r="C17" s="14"/>
      <c r="D17" s="15">
        <f>'DECEMBER 20'!H17:H38</f>
        <v>4000</v>
      </c>
      <c r="E17" s="16">
        <v>2000</v>
      </c>
      <c r="F17" s="16">
        <f t="shared" si="0"/>
        <v>6000</v>
      </c>
      <c r="G17" s="16">
        <f>1000+1000</f>
        <v>2000</v>
      </c>
      <c r="H17" s="17">
        <f t="shared" si="1"/>
        <v>4000</v>
      </c>
      <c r="I17" s="15"/>
    </row>
    <row r="18" spans="1:9" x14ac:dyDescent="0.25">
      <c r="A18" s="21" t="s">
        <v>68</v>
      </c>
      <c r="B18" s="13" t="s">
        <v>31</v>
      </c>
      <c r="C18" s="14"/>
      <c r="D18" s="15">
        <f>'DECEMBER 20'!H18:H39</f>
        <v>0</v>
      </c>
      <c r="E18" s="16"/>
      <c r="F18" s="16">
        <f t="shared" si="0"/>
        <v>0</v>
      </c>
      <c r="G18" s="16"/>
      <c r="H18" s="17">
        <f t="shared" si="1"/>
        <v>0</v>
      </c>
      <c r="I18" s="15"/>
    </row>
    <row r="19" spans="1:9" x14ac:dyDescent="0.25">
      <c r="A19" s="18" t="s">
        <v>49</v>
      </c>
      <c r="B19" s="13" t="s">
        <v>32</v>
      </c>
      <c r="C19" s="14"/>
      <c r="D19" s="15">
        <f>'DECEMBER 20'!H19:H40</f>
        <v>0</v>
      </c>
      <c r="E19" s="16">
        <v>4000</v>
      </c>
      <c r="F19" s="16">
        <f t="shared" si="0"/>
        <v>4000</v>
      </c>
      <c r="G19" s="16">
        <v>4000</v>
      </c>
      <c r="H19" s="17">
        <f t="shared" si="1"/>
        <v>0</v>
      </c>
      <c r="I19" s="15"/>
    </row>
    <row r="20" spans="1:9" x14ac:dyDescent="0.25">
      <c r="A20" s="12"/>
      <c r="B20" s="13" t="s">
        <v>33</v>
      </c>
      <c r="C20" s="14"/>
      <c r="D20" s="15">
        <f>'DECEMBER 20'!H20:H41</f>
        <v>0</v>
      </c>
      <c r="E20" s="16"/>
      <c r="F20" s="16">
        <f t="shared" si="0"/>
        <v>0</v>
      </c>
      <c r="G20" s="16"/>
      <c r="H20" s="17">
        <f t="shared" si="1"/>
        <v>0</v>
      </c>
      <c r="I20" s="15"/>
    </row>
    <row r="21" spans="1:9" x14ac:dyDescent="0.25">
      <c r="A21" s="12" t="s">
        <v>50</v>
      </c>
      <c r="B21" s="13" t="s">
        <v>34</v>
      </c>
      <c r="C21" s="14"/>
      <c r="D21" s="15">
        <f>'DECEMBER 20'!H21:H42</f>
        <v>0</v>
      </c>
      <c r="E21" s="16">
        <v>4500</v>
      </c>
      <c r="F21" s="16">
        <f>C21+D21+E21</f>
        <v>4500</v>
      </c>
      <c r="G21" s="16">
        <f>4500</f>
        <v>4500</v>
      </c>
      <c r="H21" s="17">
        <f t="shared" ref="H21:H26" si="2">F21-G21</f>
        <v>0</v>
      </c>
      <c r="I21" s="15"/>
    </row>
    <row r="22" spans="1:9" x14ac:dyDescent="0.25">
      <c r="A22" s="12"/>
      <c r="B22" s="13" t="s">
        <v>35</v>
      </c>
      <c r="C22" s="14"/>
      <c r="D22" s="15">
        <f>'DECEMBER 20'!H22:H43</f>
        <v>0</v>
      </c>
      <c r="E22" s="16"/>
      <c r="F22" s="16">
        <f>C22+D22+E22</f>
        <v>0</v>
      </c>
      <c r="G22" s="16"/>
      <c r="H22" s="17">
        <f t="shared" si="2"/>
        <v>0</v>
      </c>
      <c r="I22" s="15"/>
    </row>
    <row r="23" spans="1:9" x14ac:dyDescent="0.25">
      <c r="A23" s="21"/>
      <c r="B23" s="13" t="s">
        <v>36</v>
      </c>
      <c r="C23" s="14"/>
      <c r="D23" s="15">
        <f>'DECEMBER 20'!H23:H44</f>
        <v>0</v>
      </c>
      <c r="E23" s="16"/>
      <c r="F23" s="16">
        <f t="shared" si="0"/>
        <v>0</v>
      </c>
      <c r="G23" s="16"/>
      <c r="H23" s="17">
        <f t="shared" si="2"/>
        <v>0</v>
      </c>
      <c r="I23" s="15"/>
    </row>
    <row r="24" spans="1:9" x14ac:dyDescent="0.25">
      <c r="A24" s="24"/>
      <c r="B24" s="13" t="s">
        <v>37</v>
      </c>
      <c r="C24" s="14"/>
      <c r="D24" s="15">
        <f>'DECEMBER 20'!H24:H45</f>
        <v>0</v>
      </c>
      <c r="E24" s="16"/>
      <c r="F24" s="16">
        <f t="shared" si="0"/>
        <v>0</v>
      </c>
      <c r="G24" s="16"/>
      <c r="H24" s="17">
        <f t="shared" si="2"/>
        <v>0</v>
      </c>
      <c r="I24" s="15"/>
    </row>
    <row r="25" spans="1:9" x14ac:dyDescent="0.25">
      <c r="A25" s="21"/>
      <c r="B25" s="13" t="s">
        <v>38</v>
      </c>
      <c r="C25" s="14"/>
      <c r="D25" s="15">
        <f>'DECEMBER 20'!H25:H46</f>
        <v>0</v>
      </c>
      <c r="E25" s="16"/>
      <c r="F25" s="16">
        <f t="shared" si="0"/>
        <v>0</v>
      </c>
      <c r="G25" s="16"/>
      <c r="H25" s="17">
        <f t="shared" si="2"/>
        <v>0</v>
      </c>
      <c r="I25" s="15"/>
    </row>
    <row r="26" spans="1:9" x14ac:dyDescent="0.25">
      <c r="A26" s="21"/>
      <c r="B26" s="13" t="s">
        <v>39</v>
      </c>
      <c r="C26" s="14"/>
      <c r="D26" s="15">
        <f>'DECEMBER 20'!H26:H47</f>
        <v>0</v>
      </c>
      <c r="E26" s="16"/>
      <c r="F26" s="16">
        <f>C26+D26+E26</f>
        <v>0</v>
      </c>
      <c r="G26" s="16"/>
      <c r="H26" s="17">
        <f t="shared" si="2"/>
        <v>0</v>
      </c>
      <c r="I26" s="15"/>
    </row>
    <row r="27" spans="1:9" x14ac:dyDescent="0.25">
      <c r="A27" s="21"/>
      <c r="B27" s="13"/>
      <c r="C27" s="14"/>
      <c r="D27" s="15">
        <f>'DECEMBER 20'!H27:H48</f>
        <v>0</v>
      </c>
      <c r="E27" s="16"/>
      <c r="F27" s="16">
        <f t="shared" si="0"/>
        <v>0</v>
      </c>
      <c r="G27" s="16"/>
      <c r="H27" s="17">
        <f t="shared" si="1"/>
        <v>0</v>
      </c>
      <c r="I27" s="15"/>
    </row>
    <row r="28" spans="1:9" x14ac:dyDescent="0.25">
      <c r="A28" s="25" t="s">
        <v>11</v>
      </c>
      <c r="B28" s="26"/>
      <c r="C28" s="14">
        <f t="shared" ref="C28:I28" si="3">SUM(C6:C27)</f>
        <v>0</v>
      </c>
      <c r="D28" s="15">
        <f>SUM(D6:D27)</f>
        <v>9000</v>
      </c>
      <c r="E28" s="27">
        <f t="shared" si="3"/>
        <v>33300</v>
      </c>
      <c r="F28" s="16">
        <f t="shared" si="3"/>
        <v>42300</v>
      </c>
      <c r="G28" s="16">
        <f t="shared" si="3"/>
        <v>29550</v>
      </c>
      <c r="H28" s="16">
        <f t="shared" si="3"/>
        <v>12750</v>
      </c>
      <c r="I28" s="15">
        <f t="shared" si="3"/>
        <v>0</v>
      </c>
    </row>
    <row r="29" spans="1:9" x14ac:dyDescent="0.25">
      <c r="D29" s="15">
        <f>'[1]OCTOBER 20'!H29:H51</f>
        <v>0</v>
      </c>
      <c r="H29" s="28">
        <f>H28-2000</f>
        <v>10750</v>
      </c>
      <c r="I29" s="3"/>
    </row>
    <row r="30" spans="1:9" x14ac:dyDescent="0.25">
      <c r="H30" s="28"/>
    </row>
    <row r="31" spans="1:9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1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1" x14ac:dyDescent="0.25">
      <c r="A34" s="26" t="s">
        <v>65</v>
      </c>
      <c r="B34" s="38">
        <f>E28</f>
        <v>33300</v>
      </c>
      <c r="C34" s="26"/>
      <c r="D34" s="26"/>
      <c r="E34" s="26" t="s">
        <v>65</v>
      </c>
      <c r="F34" s="38">
        <f>G28</f>
        <v>29550</v>
      </c>
      <c r="G34" s="26"/>
      <c r="H34" s="26"/>
      <c r="I34" s="34"/>
    </row>
    <row r="35" spans="1:11" x14ac:dyDescent="0.25">
      <c r="A35" s="26" t="s">
        <v>19</v>
      </c>
      <c r="B35" s="38">
        <f>'DECEMBER 20'!D48</f>
        <v>-78256</v>
      </c>
      <c r="C35" s="26"/>
      <c r="D35" s="26"/>
      <c r="E35" s="26" t="s">
        <v>19</v>
      </c>
      <c r="F35" s="38">
        <f>'DECEMBER 20'!H48</f>
        <v>-85256</v>
      </c>
      <c r="G35" s="26"/>
      <c r="H35" s="26"/>
      <c r="I35" s="34"/>
    </row>
    <row r="36" spans="1:11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</row>
    <row r="37" spans="1:11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1" x14ac:dyDescent="0.25">
      <c r="A38" s="26" t="s">
        <v>21</v>
      </c>
      <c r="B38" s="39">
        <v>0.1</v>
      </c>
      <c r="C38" s="38">
        <f>B38*B34</f>
        <v>3330</v>
      </c>
      <c r="D38" s="26"/>
      <c r="E38" s="26" t="s">
        <v>21</v>
      </c>
      <c r="F38" s="39">
        <v>0.1</v>
      </c>
      <c r="G38" s="38">
        <f>F38*B34</f>
        <v>3330</v>
      </c>
      <c r="H38" s="26"/>
      <c r="I38" s="3"/>
    </row>
    <row r="39" spans="1:11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</row>
    <row r="40" spans="1:11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  <c r="K40" s="44">
        <f>B34-C38</f>
        <v>29970</v>
      </c>
    </row>
    <row r="41" spans="1:11" x14ac:dyDescent="0.25">
      <c r="A41" s="40" t="s">
        <v>69</v>
      </c>
      <c r="C41">
        <v>1012</v>
      </c>
      <c r="D41" s="42"/>
      <c r="E41" s="40" t="s">
        <v>69</v>
      </c>
      <c r="G41">
        <v>1012</v>
      </c>
      <c r="H41" s="26"/>
      <c r="I41" s="3"/>
      <c r="K41">
        <f>K40*3</f>
        <v>89910</v>
      </c>
    </row>
    <row r="42" spans="1:11" x14ac:dyDescent="0.25">
      <c r="A42" s="40"/>
      <c r="B42" s="39"/>
      <c r="C42" s="26"/>
      <c r="D42" s="26"/>
      <c r="E42" s="40"/>
      <c r="F42" s="39"/>
      <c r="G42" s="26"/>
      <c r="H42" s="26"/>
      <c r="I42" s="34"/>
    </row>
    <row r="43" spans="1:11" x14ac:dyDescent="0.25">
      <c r="A43" s="40"/>
      <c r="B43" s="39"/>
      <c r="C43" s="26"/>
      <c r="D43" s="26"/>
      <c r="E43" s="40"/>
      <c r="F43" s="39"/>
      <c r="G43" s="26"/>
      <c r="H43" s="26"/>
      <c r="I43" s="43"/>
      <c r="J43" s="28"/>
    </row>
    <row r="44" spans="1:11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1" x14ac:dyDescent="0.25">
      <c r="A45" s="40"/>
      <c r="B45" s="26"/>
      <c r="C45" s="42"/>
      <c r="D45" s="26"/>
      <c r="E45" s="40"/>
      <c r="F45" s="26"/>
      <c r="G45" s="42"/>
      <c r="H45" s="26"/>
      <c r="I45" s="3"/>
    </row>
    <row r="46" spans="1:11" x14ac:dyDescent="0.25">
      <c r="A46" s="40"/>
      <c r="B46" s="26"/>
      <c r="C46" s="42"/>
      <c r="D46" s="26"/>
      <c r="E46" s="40"/>
      <c r="F46" s="26"/>
      <c r="G46" s="42"/>
      <c r="H46" s="26"/>
      <c r="I46" s="3"/>
    </row>
    <row r="47" spans="1:11" x14ac:dyDescent="0.25">
      <c r="A47" s="40"/>
      <c r="B47" s="26"/>
      <c r="C47" s="42"/>
      <c r="D47" s="26"/>
      <c r="E47" s="40"/>
      <c r="F47" s="26"/>
      <c r="G47" s="42"/>
      <c r="H47" s="26"/>
      <c r="I47" s="3"/>
      <c r="J47" s="44"/>
    </row>
    <row r="48" spans="1:11" x14ac:dyDescent="0.25">
      <c r="A48" s="37" t="s">
        <v>11</v>
      </c>
      <c r="B48" s="45">
        <f>B37+B34+B35+B36-C38</f>
        <v>-48286</v>
      </c>
      <c r="C48" s="45">
        <f>SUM(C40:C47)</f>
        <v>1012</v>
      </c>
      <c r="D48" s="45">
        <f>B48-C48</f>
        <v>-49298</v>
      </c>
      <c r="E48" s="37" t="s">
        <v>11</v>
      </c>
      <c r="F48" s="45">
        <f>F34+F35+F37-G38</f>
        <v>-59036</v>
      </c>
      <c r="G48" s="45">
        <f>SUM(G40:G47)</f>
        <v>1012</v>
      </c>
      <c r="H48" s="45">
        <f>F48-G48</f>
        <v>-60048</v>
      </c>
      <c r="I48" s="43"/>
    </row>
    <row r="49" spans="1:9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9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"/>
  <sheetViews>
    <sheetView topLeftCell="A16" workbookViewId="0">
      <selection activeCell="K33" sqref="K33"/>
    </sheetView>
  </sheetViews>
  <sheetFormatPr defaultRowHeight="15" x14ac:dyDescent="0.25"/>
  <cols>
    <col min="1" max="1" width="20.28515625" customWidth="1"/>
  </cols>
  <sheetData>
    <row r="2" spans="1:9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70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40</v>
      </c>
      <c r="B6" s="13">
        <v>1</v>
      </c>
      <c r="C6" s="14"/>
      <c r="D6" s="15">
        <f>'JANUARY 21'!H6:H28</f>
        <v>3000</v>
      </c>
      <c r="E6" s="16">
        <v>2500</v>
      </c>
      <c r="F6" s="16">
        <f>C6+D6+E6</f>
        <v>5500</v>
      </c>
      <c r="G6" s="16">
        <f>2500</f>
        <v>2500</v>
      </c>
      <c r="H6" s="17">
        <f>F6-G6</f>
        <v>3000</v>
      </c>
      <c r="I6" s="15"/>
    </row>
    <row r="7" spans="1:9" x14ac:dyDescent="0.25">
      <c r="A7" t="s">
        <v>41</v>
      </c>
      <c r="B7" s="13">
        <v>2</v>
      </c>
      <c r="C7" s="14"/>
      <c r="D7" s="15">
        <f>'JANUARY 21'!H7:H29</f>
        <v>2500</v>
      </c>
      <c r="E7" s="16">
        <v>2500</v>
      </c>
      <c r="F7" s="16">
        <f>C7+D7+E7</f>
        <v>5000</v>
      </c>
      <c r="G7" s="16">
        <f>500+1000+500+500</f>
        <v>2500</v>
      </c>
      <c r="H7" s="17">
        <f t="shared" ref="H7:H27" si="0">F7-G7</f>
        <v>2500</v>
      </c>
      <c r="I7" s="15"/>
    </row>
    <row r="8" spans="1:9" x14ac:dyDescent="0.25">
      <c r="A8" s="18" t="s">
        <v>42</v>
      </c>
      <c r="B8" s="13">
        <v>3</v>
      </c>
      <c r="C8" s="14"/>
      <c r="D8" s="15">
        <f>'JANUARY 21'!H8:H30</f>
        <v>1250</v>
      </c>
      <c r="E8" s="16">
        <f>2500</f>
        <v>2500</v>
      </c>
      <c r="F8" s="16">
        <f>C8+D8+E8</f>
        <v>3750</v>
      </c>
      <c r="G8" s="16">
        <f>2500</f>
        <v>2500</v>
      </c>
      <c r="H8" s="17">
        <f t="shared" si="0"/>
        <v>1250</v>
      </c>
      <c r="I8" s="15"/>
    </row>
    <row r="9" spans="1:9" x14ac:dyDescent="0.25">
      <c r="A9" s="19" t="s">
        <v>53</v>
      </c>
      <c r="B9" s="13">
        <v>4</v>
      </c>
      <c r="C9" s="14"/>
      <c r="D9" s="15">
        <f>'JANUARY 21'!H9:H31</f>
        <v>0</v>
      </c>
      <c r="E9" s="16">
        <v>2500</v>
      </c>
      <c r="F9" s="16">
        <f>C9+D9+E9</f>
        <v>2500</v>
      </c>
      <c r="G9" s="16">
        <f>2500</f>
        <v>2500</v>
      </c>
      <c r="H9" s="17">
        <f>F9-G9</f>
        <v>0</v>
      </c>
      <c r="I9" s="15"/>
    </row>
    <row r="10" spans="1:9" x14ac:dyDescent="0.25">
      <c r="A10" s="19" t="s">
        <v>54</v>
      </c>
      <c r="B10" s="13">
        <v>5</v>
      </c>
      <c r="C10" s="14"/>
      <c r="D10" s="15">
        <f>'JANUARY 21'!H10:H32</f>
        <v>1000</v>
      </c>
      <c r="E10" s="16">
        <v>2500</v>
      </c>
      <c r="F10" s="16">
        <f t="shared" ref="F10:F27" si="1">C10+D10+E10</f>
        <v>3500</v>
      </c>
      <c r="G10" s="16">
        <v>2500</v>
      </c>
      <c r="H10" s="17">
        <f t="shared" si="0"/>
        <v>1000</v>
      </c>
      <c r="I10" s="15"/>
    </row>
    <row r="11" spans="1:9" x14ac:dyDescent="0.25">
      <c r="A11" s="23" t="s">
        <v>51</v>
      </c>
      <c r="B11" s="13">
        <v>6</v>
      </c>
      <c r="C11" s="14"/>
      <c r="D11" s="15">
        <f>'JANUARY 21'!H11:H33</f>
        <v>1000</v>
      </c>
      <c r="E11" s="16">
        <v>2500</v>
      </c>
      <c r="F11" s="16">
        <f>C11+D11+E11</f>
        <v>3500</v>
      </c>
      <c r="G11" s="16">
        <f>2000</f>
        <v>2000</v>
      </c>
      <c r="H11" s="17">
        <f t="shared" si="0"/>
        <v>1500</v>
      </c>
      <c r="I11" s="15"/>
    </row>
    <row r="12" spans="1:9" x14ac:dyDescent="0.25">
      <c r="A12" s="19" t="s">
        <v>52</v>
      </c>
      <c r="B12" s="13">
        <v>7</v>
      </c>
      <c r="C12" s="14"/>
      <c r="D12" s="15">
        <f>'JANUARY 21'!H12:H34</f>
        <v>0</v>
      </c>
      <c r="E12" s="16">
        <v>2500</v>
      </c>
      <c r="F12" s="16">
        <f t="shared" si="1"/>
        <v>2500</v>
      </c>
      <c r="G12" s="16">
        <v>2500</v>
      </c>
      <c r="H12" s="17">
        <f t="shared" si="0"/>
        <v>0</v>
      </c>
      <c r="I12" s="15"/>
    </row>
    <row r="13" spans="1:9" x14ac:dyDescent="0.25">
      <c r="A13" s="20" t="s">
        <v>43</v>
      </c>
      <c r="B13" s="13">
        <v>8</v>
      </c>
      <c r="C13" s="14"/>
      <c r="D13" s="15">
        <f>'JANUARY 21'!H13:H35</f>
        <v>0</v>
      </c>
      <c r="E13" s="16">
        <v>2000</v>
      </c>
      <c r="F13" s="16">
        <f t="shared" si="1"/>
        <v>2000</v>
      </c>
      <c r="G13" s="16">
        <v>2000</v>
      </c>
      <c r="H13" s="17">
        <f t="shared" si="0"/>
        <v>0</v>
      </c>
      <c r="I13" s="15"/>
    </row>
    <row r="14" spans="1:9" x14ac:dyDescent="0.25">
      <c r="A14" s="20" t="s">
        <v>45</v>
      </c>
      <c r="B14" s="13">
        <v>9</v>
      </c>
      <c r="C14" s="14"/>
      <c r="D14" s="15">
        <f>'JANUARY 21'!H14:H36</f>
        <v>0</v>
      </c>
      <c r="E14" s="16">
        <v>2000</v>
      </c>
      <c r="F14" s="16">
        <f t="shared" si="1"/>
        <v>2000</v>
      </c>
      <c r="G14" s="16">
        <f>2000</f>
        <v>2000</v>
      </c>
      <c r="H14" s="17">
        <f t="shared" si="0"/>
        <v>0</v>
      </c>
      <c r="I14" s="15"/>
    </row>
    <row r="15" spans="1:9" x14ac:dyDescent="0.25">
      <c r="A15" s="21" t="s">
        <v>46</v>
      </c>
      <c r="B15" s="22">
        <v>10</v>
      </c>
      <c r="C15" s="14"/>
      <c r="D15" s="15">
        <f>'JANUARY 21'!H15:H37</f>
        <v>0</v>
      </c>
      <c r="E15" s="16">
        <v>2000</v>
      </c>
      <c r="F15" s="16">
        <f t="shared" si="1"/>
        <v>2000</v>
      </c>
      <c r="G15" s="16">
        <f>2000</f>
        <v>2000</v>
      </c>
      <c r="H15" s="17">
        <f t="shared" si="0"/>
        <v>0</v>
      </c>
      <c r="I15" s="15"/>
    </row>
    <row r="16" spans="1:9" x14ac:dyDescent="0.25">
      <c r="A16" s="23" t="s">
        <v>47</v>
      </c>
      <c r="B16" s="13">
        <v>11</v>
      </c>
      <c r="C16" s="14"/>
      <c r="D16" s="15">
        <f>'JANUARY 21'!H16:H38</f>
        <v>0</v>
      </c>
      <c r="E16" s="16">
        <v>2000</v>
      </c>
      <c r="F16" s="16">
        <f>C16+D16+E16</f>
        <v>2000</v>
      </c>
      <c r="G16" s="16">
        <f>2000</f>
        <v>2000</v>
      </c>
      <c r="H16" s="17">
        <f t="shared" si="0"/>
        <v>0</v>
      </c>
      <c r="I16" s="15"/>
    </row>
    <row r="17" spans="1:9" x14ac:dyDescent="0.25">
      <c r="A17" s="23" t="s">
        <v>48</v>
      </c>
      <c r="B17" s="13">
        <v>12</v>
      </c>
      <c r="C17" s="14"/>
      <c r="D17" s="15">
        <f>'JANUARY 21'!H17:H39</f>
        <v>4000</v>
      </c>
      <c r="E17" s="16">
        <v>2000</v>
      </c>
      <c r="F17" s="16">
        <f t="shared" si="1"/>
        <v>6000</v>
      </c>
      <c r="G17" s="16">
        <v>1000</v>
      </c>
      <c r="H17" s="17">
        <f t="shared" si="0"/>
        <v>5000</v>
      </c>
      <c r="I17" s="15"/>
    </row>
    <row r="18" spans="1:9" x14ac:dyDescent="0.25">
      <c r="A18" s="21" t="s">
        <v>68</v>
      </c>
      <c r="B18" s="13" t="s">
        <v>31</v>
      </c>
      <c r="C18" s="14"/>
      <c r="D18" s="15">
        <f>'JANUARY 21'!H18:H40</f>
        <v>0</v>
      </c>
      <c r="E18" s="16"/>
      <c r="F18" s="16">
        <f t="shared" si="1"/>
        <v>0</v>
      </c>
      <c r="G18" s="16"/>
      <c r="H18" s="17">
        <f t="shared" si="0"/>
        <v>0</v>
      </c>
      <c r="I18" s="15"/>
    </row>
    <row r="19" spans="1:9" x14ac:dyDescent="0.25">
      <c r="A19" s="18" t="s">
        <v>49</v>
      </c>
      <c r="B19" s="13" t="s">
        <v>32</v>
      </c>
      <c r="C19" s="14"/>
      <c r="D19" s="15">
        <f>'JANUARY 21'!H19:H41</f>
        <v>0</v>
      </c>
      <c r="E19" s="16">
        <v>4000</v>
      </c>
      <c r="F19" s="16">
        <f t="shared" si="1"/>
        <v>4000</v>
      </c>
      <c r="G19" s="16">
        <f>2000+2000</f>
        <v>4000</v>
      </c>
      <c r="H19" s="17">
        <f t="shared" si="0"/>
        <v>0</v>
      </c>
      <c r="I19" s="15"/>
    </row>
    <row r="20" spans="1:9" x14ac:dyDescent="0.25">
      <c r="A20" s="12"/>
      <c r="B20" s="13" t="s">
        <v>33</v>
      </c>
      <c r="C20" s="14"/>
      <c r="D20" s="15">
        <f>'JANUARY 21'!H20:H42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12" t="s">
        <v>50</v>
      </c>
      <c r="B21" s="13" t="s">
        <v>34</v>
      </c>
      <c r="C21" s="14"/>
      <c r="D21" s="15">
        <f>'JANUARY 21'!H21:H43</f>
        <v>0</v>
      </c>
      <c r="E21" s="16">
        <v>4500</v>
      </c>
      <c r="F21" s="16">
        <f>C21+D21+E21</f>
        <v>4500</v>
      </c>
      <c r="G21" s="16">
        <f>4500</f>
        <v>4500</v>
      </c>
      <c r="H21" s="17">
        <f t="shared" ref="H21:H26" si="2">F21-G21</f>
        <v>0</v>
      </c>
      <c r="I21" s="15"/>
    </row>
    <row r="22" spans="1:9" x14ac:dyDescent="0.25">
      <c r="A22" s="12"/>
      <c r="B22" s="13" t="s">
        <v>35</v>
      </c>
      <c r="C22" s="14"/>
      <c r="D22" s="15">
        <f>'JANUARY 21'!H22:H44</f>
        <v>0</v>
      </c>
      <c r="E22" s="16"/>
      <c r="F22" s="16">
        <f>C22+D22+E22</f>
        <v>0</v>
      </c>
      <c r="G22" s="16"/>
      <c r="H22" s="17">
        <f t="shared" si="2"/>
        <v>0</v>
      </c>
      <c r="I22" s="15"/>
    </row>
    <row r="23" spans="1:9" x14ac:dyDescent="0.25">
      <c r="A23" s="21"/>
      <c r="B23" s="13" t="s">
        <v>36</v>
      </c>
      <c r="C23" s="14"/>
      <c r="D23" s="15">
        <f>'JANUARY 21'!H23:H45</f>
        <v>0</v>
      </c>
      <c r="E23" s="16"/>
      <c r="F23" s="16">
        <f t="shared" si="1"/>
        <v>0</v>
      </c>
      <c r="G23" s="16"/>
      <c r="H23" s="17">
        <f t="shared" si="2"/>
        <v>0</v>
      </c>
      <c r="I23" s="15"/>
    </row>
    <row r="24" spans="1:9" x14ac:dyDescent="0.25">
      <c r="A24" s="24"/>
      <c r="B24" s="13" t="s">
        <v>37</v>
      </c>
      <c r="C24" s="14"/>
      <c r="D24" s="15">
        <f>'JANUARY 21'!H24:H46</f>
        <v>0</v>
      </c>
      <c r="E24" s="16"/>
      <c r="F24" s="16">
        <f t="shared" si="1"/>
        <v>0</v>
      </c>
      <c r="G24" s="16"/>
      <c r="H24" s="17">
        <f t="shared" si="2"/>
        <v>0</v>
      </c>
      <c r="I24" s="15"/>
    </row>
    <row r="25" spans="1:9" x14ac:dyDescent="0.25">
      <c r="A25" s="21"/>
      <c r="B25" s="13" t="s">
        <v>38</v>
      </c>
      <c r="C25" s="14"/>
      <c r="D25" s="15">
        <f>'JANUARY 21'!H25:H47</f>
        <v>0</v>
      </c>
      <c r="E25" s="16"/>
      <c r="F25" s="16">
        <f t="shared" si="1"/>
        <v>0</v>
      </c>
      <c r="G25" s="16"/>
      <c r="H25" s="17">
        <f t="shared" si="2"/>
        <v>0</v>
      </c>
      <c r="I25" s="15"/>
    </row>
    <row r="26" spans="1:9" x14ac:dyDescent="0.25">
      <c r="A26" s="21"/>
      <c r="B26" s="13" t="s">
        <v>39</v>
      </c>
      <c r="C26" s="14"/>
      <c r="D26" s="15">
        <f>'JANUARY 21'!H26:H48</f>
        <v>0</v>
      </c>
      <c r="E26" s="16"/>
      <c r="F26" s="16">
        <f>C26+D26+E26</f>
        <v>0</v>
      </c>
      <c r="G26" s="16"/>
      <c r="H26" s="17">
        <f t="shared" si="2"/>
        <v>0</v>
      </c>
      <c r="I26" s="15"/>
    </row>
    <row r="27" spans="1:9" x14ac:dyDescent="0.25">
      <c r="A27" s="21"/>
      <c r="B27" s="13"/>
      <c r="C27" s="14"/>
      <c r="D27" s="15">
        <f>'JANUARY 21'!H27:H49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5" t="s">
        <v>11</v>
      </c>
      <c r="B28" s="26"/>
      <c r="C28" s="14">
        <f t="shared" ref="C28:I28" si="3">SUM(C6:C27)</f>
        <v>0</v>
      </c>
      <c r="D28" s="15">
        <f>SUM(D6:D27)</f>
        <v>12750</v>
      </c>
      <c r="E28" s="27">
        <f t="shared" si="3"/>
        <v>36000</v>
      </c>
      <c r="F28" s="16">
        <f t="shared" si="3"/>
        <v>48750</v>
      </c>
      <c r="G28" s="16">
        <f t="shared" si="3"/>
        <v>34500</v>
      </c>
      <c r="H28" s="16">
        <f>SUM(H6:H27)</f>
        <v>14250</v>
      </c>
      <c r="I28" s="15">
        <f t="shared" si="3"/>
        <v>0</v>
      </c>
    </row>
    <row r="29" spans="1:9" x14ac:dyDescent="0.25">
      <c r="D29" s="15">
        <f>'JANUARY 21'!H29:H51</f>
        <v>10750</v>
      </c>
      <c r="H29" s="28">
        <f>H28-2000</f>
        <v>12250</v>
      </c>
      <c r="I29" s="3"/>
    </row>
    <row r="30" spans="1:9" x14ac:dyDescent="0.25">
      <c r="H30" s="28"/>
    </row>
    <row r="31" spans="1:9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1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1" x14ac:dyDescent="0.25">
      <c r="A34" s="26" t="s">
        <v>71</v>
      </c>
      <c r="B34" s="38">
        <f>E28</f>
        <v>36000</v>
      </c>
      <c r="C34" s="26"/>
      <c r="D34" s="26"/>
      <c r="E34" s="26" t="s">
        <v>71</v>
      </c>
      <c r="F34" s="38">
        <f>G28</f>
        <v>34500</v>
      </c>
      <c r="G34" s="26"/>
      <c r="H34" s="26"/>
      <c r="I34" s="34"/>
    </row>
    <row r="35" spans="1:11" x14ac:dyDescent="0.25">
      <c r="A35" s="26" t="s">
        <v>19</v>
      </c>
      <c r="B35" s="38">
        <f>'JANUARY 21'!D48</f>
        <v>-49298</v>
      </c>
      <c r="C35" s="26"/>
      <c r="D35" s="26"/>
      <c r="E35" s="26" t="s">
        <v>19</v>
      </c>
      <c r="F35" s="38">
        <f>'JANUARY 21'!H48</f>
        <v>-60048</v>
      </c>
      <c r="G35" s="26"/>
      <c r="H35" s="26"/>
      <c r="I35" s="34"/>
    </row>
    <row r="36" spans="1:11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</row>
    <row r="37" spans="1:11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4"/>
    </row>
    <row r="38" spans="1:11" x14ac:dyDescent="0.25">
      <c r="A38" s="26" t="s">
        <v>21</v>
      </c>
      <c r="B38" s="39">
        <v>0.1</v>
      </c>
      <c r="C38" s="38">
        <f>B38*B34</f>
        <v>3600</v>
      </c>
      <c r="D38" s="26"/>
      <c r="E38" s="26" t="s">
        <v>21</v>
      </c>
      <c r="F38" s="39">
        <v>0.1</v>
      </c>
      <c r="G38" s="38">
        <f>F38*B34</f>
        <v>3600</v>
      </c>
      <c r="H38" s="26"/>
      <c r="I38" s="34"/>
    </row>
    <row r="39" spans="1:11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</row>
    <row r="40" spans="1:11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  <c r="K40" s="44">
        <f>B34-C38</f>
        <v>32400</v>
      </c>
    </row>
    <row r="41" spans="1:11" x14ac:dyDescent="0.25">
      <c r="A41" s="40"/>
      <c r="D41" s="42"/>
      <c r="E41" s="40"/>
      <c r="H41" s="26"/>
      <c r="I41" s="3"/>
      <c r="K41">
        <f>K40*3</f>
        <v>97200</v>
      </c>
    </row>
    <row r="42" spans="1:11" x14ac:dyDescent="0.25">
      <c r="A42" s="40"/>
      <c r="B42" s="39"/>
      <c r="C42" s="26"/>
      <c r="D42" s="26"/>
      <c r="E42" s="40"/>
      <c r="F42" s="39"/>
      <c r="G42" s="26"/>
      <c r="H42" s="26"/>
      <c r="I42" s="34"/>
    </row>
    <row r="43" spans="1:11" x14ac:dyDescent="0.25">
      <c r="A43" s="40"/>
      <c r="B43" s="39"/>
      <c r="C43" s="26"/>
      <c r="D43" s="26"/>
      <c r="E43" s="40"/>
      <c r="F43" s="39"/>
      <c r="G43" s="26"/>
      <c r="H43" s="26"/>
      <c r="I43" s="43"/>
      <c r="J43" s="28"/>
    </row>
    <row r="44" spans="1:11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1" x14ac:dyDescent="0.25">
      <c r="A45" s="40"/>
      <c r="B45" s="26"/>
      <c r="C45" s="42"/>
      <c r="D45" s="26"/>
      <c r="E45" s="40"/>
      <c r="F45" s="26"/>
      <c r="G45" s="42"/>
      <c r="H45" s="26"/>
      <c r="I45" s="3"/>
    </row>
    <row r="46" spans="1:11" x14ac:dyDescent="0.25">
      <c r="A46" s="40"/>
      <c r="B46" s="26"/>
      <c r="C46" s="42"/>
      <c r="D46" s="26"/>
      <c r="E46" s="40"/>
      <c r="F46" s="26"/>
      <c r="G46" s="42"/>
      <c r="H46" s="26"/>
      <c r="I46" s="3"/>
    </row>
    <row r="47" spans="1:11" x14ac:dyDescent="0.25">
      <c r="A47" s="40"/>
      <c r="B47" s="26"/>
      <c r="C47" s="42"/>
      <c r="D47" s="26"/>
      <c r="E47" s="40"/>
      <c r="F47" s="26"/>
      <c r="G47" s="42"/>
      <c r="H47" s="26"/>
      <c r="I47" s="3"/>
      <c r="J47" s="44"/>
    </row>
    <row r="48" spans="1:11" x14ac:dyDescent="0.25">
      <c r="A48" s="37" t="s">
        <v>11</v>
      </c>
      <c r="B48" s="45">
        <f>B37+B34+B35+B36-C38</f>
        <v>-16898</v>
      </c>
      <c r="C48" s="45">
        <f>SUM(C40:C47)</f>
        <v>0</v>
      </c>
      <c r="D48" s="45">
        <f>B48-C48</f>
        <v>-16898</v>
      </c>
      <c r="E48" s="37" t="s">
        <v>11</v>
      </c>
      <c r="F48" s="45">
        <f>F34+F35+F37-G38</f>
        <v>-29148</v>
      </c>
      <c r="G48" s="45">
        <f>SUM(G40:G47)</f>
        <v>0</v>
      </c>
      <c r="H48" s="45">
        <f>F48-G48</f>
        <v>-29148</v>
      </c>
      <c r="I48" s="43"/>
    </row>
    <row r="49" spans="1:9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9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topLeftCell="A16" workbookViewId="0">
      <selection activeCell="K48" sqref="K48"/>
    </sheetView>
  </sheetViews>
  <sheetFormatPr defaultRowHeight="15" x14ac:dyDescent="0.25"/>
  <cols>
    <col min="1" max="1" width="18.85546875" customWidth="1"/>
  </cols>
  <sheetData>
    <row r="2" spans="1:9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72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40</v>
      </c>
      <c r="B6" s="13">
        <v>1</v>
      </c>
      <c r="C6" s="14"/>
      <c r="D6" s="15">
        <f>FEBRUARY21!H6:H27</f>
        <v>3000</v>
      </c>
      <c r="E6" s="16">
        <v>2500</v>
      </c>
      <c r="F6" s="16">
        <f>C6+D6+E6</f>
        <v>5500</v>
      </c>
      <c r="G6" s="16">
        <v>2500</v>
      </c>
      <c r="H6" s="17">
        <f>F6-G6</f>
        <v>3000</v>
      </c>
      <c r="I6" s="15"/>
    </row>
    <row r="7" spans="1:9" x14ac:dyDescent="0.25">
      <c r="A7" t="s">
        <v>41</v>
      </c>
      <c r="B7" s="13">
        <v>2</v>
      </c>
      <c r="C7" s="14"/>
      <c r="D7" s="15">
        <f>FEBRUARY21!H7:H28</f>
        <v>2500</v>
      </c>
      <c r="E7" s="16">
        <v>2500</v>
      </c>
      <c r="F7" s="16">
        <f>C7+D7+E7</f>
        <v>5000</v>
      </c>
      <c r="G7" s="16">
        <f>2000+500</f>
        <v>2500</v>
      </c>
      <c r="H7" s="17">
        <f t="shared" ref="H7:H27" si="0">F7-G7</f>
        <v>2500</v>
      </c>
      <c r="I7" s="15"/>
    </row>
    <row r="8" spans="1:9" x14ac:dyDescent="0.25">
      <c r="A8" s="18" t="s">
        <v>42</v>
      </c>
      <c r="B8" s="13">
        <v>3</v>
      </c>
      <c r="C8" s="14"/>
      <c r="D8" s="15">
        <f>FEBRUARY21!H8:H29</f>
        <v>1250</v>
      </c>
      <c r="E8" s="16">
        <f>2500</f>
        <v>2500</v>
      </c>
      <c r="F8" s="16">
        <f>C8+D8+E8</f>
        <v>3750</v>
      </c>
      <c r="G8" s="16">
        <f>1500+1000</f>
        <v>2500</v>
      </c>
      <c r="H8" s="17">
        <f t="shared" si="0"/>
        <v>1250</v>
      </c>
      <c r="I8" s="15"/>
    </row>
    <row r="9" spans="1:9" x14ac:dyDescent="0.25">
      <c r="A9" s="19" t="s">
        <v>53</v>
      </c>
      <c r="B9" s="13">
        <v>4</v>
      </c>
      <c r="C9" s="14"/>
      <c r="D9" s="15">
        <f>FEBRUARY21!H9:H30</f>
        <v>0</v>
      </c>
      <c r="E9" s="16">
        <v>2500</v>
      </c>
      <c r="F9" s="16">
        <f>C9+D9+E9</f>
        <v>2500</v>
      </c>
      <c r="G9" s="16">
        <f>2500</f>
        <v>2500</v>
      </c>
      <c r="H9" s="17">
        <f>F9-G9</f>
        <v>0</v>
      </c>
      <c r="I9" s="15"/>
    </row>
    <row r="10" spans="1:9" x14ac:dyDescent="0.25">
      <c r="A10" s="19" t="s">
        <v>54</v>
      </c>
      <c r="B10" s="13">
        <v>5</v>
      </c>
      <c r="C10" s="14"/>
      <c r="D10" s="15">
        <f>FEBRUARY21!H10:H31</f>
        <v>1000</v>
      </c>
      <c r="E10" s="16"/>
      <c r="F10" s="16">
        <f t="shared" ref="F10:F27" si="1">C10+D10+E10</f>
        <v>1000</v>
      </c>
      <c r="G10" s="16"/>
      <c r="H10" s="17"/>
      <c r="I10" s="15"/>
    </row>
    <row r="11" spans="1:9" x14ac:dyDescent="0.25">
      <c r="A11" s="23" t="s">
        <v>51</v>
      </c>
      <c r="B11" s="13">
        <v>6</v>
      </c>
      <c r="C11" s="14"/>
      <c r="D11" s="15">
        <f>FEBRUARY21!H11:H32</f>
        <v>1500</v>
      </c>
      <c r="E11" s="16">
        <v>2500</v>
      </c>
      <c r="F11" s="16">
        <f>C11+D11+E11</f>
        <v>4000</v>
      </c>
      <c r="G11" s="16">
        <f>1500+1000</f>
        <v>2500</v>
      </c>
      <c r="H11" s="17">
        <f t="shared" si="0"/>
        <v>1500</v>
      </c>
      <c r="I11" s="15"/>
    </row>
    <row r="12" spans="1:9" x14ac:dyDescent="0.25">
      <c r="A12" s="19" t="s">
        <v>52</v>
      </c>
      <c r="B12" s="13">
        <v>7</v>
      </c>
      <c r="C12" s="14"/>
      <c r="D12" s="15">
        <f>FEBRUARY21!H12:H33</f>
        <v>0</v>
      </c>
      <c r="E12" s="16">
        <v>2500</v>
      </c>
      <c r="F12" s="16">
        <f t="shared" si="1"/>
        <v>2500</v>
      </c>
      <c r="G12" s="16">
        <f>2000+500</f>
        <v>2500</v>
      </c>
      <c r="H12" s="17">
        <f t="shared" si="0"/>
        <v>0</v>
      </c>
      <c r="I12" s="15"/>
    </row>
    <row r="13" spans="1:9" x14ac:dyDescent="0.25">
      <c r="A13" s="20" t="s">
        <v>43</v>
      </c>
      <c r="B13" s="13">
        <v>8</v>
      </c>
      <c r="C13" s="14"/>
      <c r="D13" s="15">
        <f>FEBRUARY21!H13:H34</f>
        <v>0</v>
      </c>
      <c r="E13" s="16">
        <v>2000</v>
      </c>
      <c r="F13" s="16">
        <f t="shared" si="1"/>
        <v>2000</v>
      </c>
      <c r="G13" s="16">
        <f>500+500+1000</f>
        <v>2000</v>
      </c>
      <c r="H13" s="17">
        <f t="shared" si="0"/>
        <v>0</v>
      </c>
      <c r="I13" s="15"/>
    </row>
    <row r="14" spans="1:9" x14ac:dyDescent="0.25">
      <c r="A14" s="20" t="s">
        <v>45</v>
      </c>
      <c r="B14" s="13">
        <v>9</v>
      </c>
      <c r="C14" s="14"/>
      <c r="D14" s="15">
        <f>FEBRUARY21!H14:H35</f>
        <v>0</v>
      </c>
      <c r="E14" s="16">
        <v>2000</v>
      </c>
      <c r="F14" s="16">
        <f t="shared" si="1"/>
        <v>2000</v>
      </c>
      <c r="G14" s="16">
        <f>2000</f>
        <v>2000</v>
      </c>
      <c r="H14" s="17">
        <f t="shared" si="0"/>
        <v>0</v>
      </c>
      <c r="I14" s="15"/>
    </row>
    <row r="15" spans="1:9" x14ac:dyDescent="0.25">
      <c r="A15" s="21" t="s">
        <v>46</v>
      </c>
      <c r="B15" s="22">
        <v>10</v>
      </c>
      <c r="C15" s="14"/>
      <c r="D15" s="15">
        <f>FEBRUARY21!H15:H36</f>
        <v>0</v>
      </c>
      <c r="E15" s="16">
        <v>2000</v>
      </c>
      <c r="F15" s="16">
        <f t="shared" si="1"/>
        <v>2000</v>
      </c>
      <c r="G15" s="16">
        <f>2000</f>
        <v>2000</v>
      </c>
      <c r="H15" s="17">
        <f t="shared" si="0"/>
        <v>0</v>
      </c>
      <c r="I15" s="15"/>
    </row>
    <row r="16" spans="1:9" x14ac:dyDescent="0.25">
      <c r="A16" s="23" t="s">
        <v>47</v>
      </c>
      <c r="B16" s="13">
        <v>11</v>
      </c>
      <c r="C16" s="14"/>
      <c r="D16" s="15">
        <f>FEBRUARY21!H16:H37</f>
        <v>0</v>
      </c>
      <c r="E16" s="16">
        <v>2000</v>
      </c>
      <c r="F16" s="16">
        <f>C16+D16+E16</f>
        <v>2000</v>
      </c>
      <c r="G16" s="16">
        <f>1000</f>
        <v>1000</v>
      </c>
      <c r="H16" s="17">
        <f t="shared" si="0"/>
        <v>1000</v>
      </c>
      <c r="I16" s="15"/>
    </row>
    <row r="17" spans="1:9" x14ac:dyDescent="0.25">
      <c r="A17" s="23" t="s">
        <v>48</v>
      </c>
      <c r="B17" s="13">
        <v>12</v>
      </c>
      <c r="C17" s="14"/>
      <c r="D17" s="15">
        <f>FEBRUARY21!H17:H38</f>
        <v>5000</v>
      </c>
      <c r="E17" s="16">
        <v>2000</v>
      </c>
      <c r="F17" s="16">
        <f t="shared" si="1"/>
        <v>7000</v>
      </c>
      <c r="G17" s="16">
        <f>2000</f>
        <v>2000</v>
      </c>
      <c r="H17" s="17">
        <f t="shared" si="0"/>
        <v>5000</v>
      </c>
      <c r="I17" s="15"/>
    </row>
    <row r="18" spans="1:9" x14ac:dyDescent="0.25">
      <c r="A18" s="21" t="s">
        <v>68</v>
      </c>
      <c r="B18" s="13" t="s">
        <v>31</v>
      </c>
      <c r="C18" s="14"/>
      <c r="D18" s="15">
        <f>FEBRUARY21!H18:H39</f>
        <v>0</v>
      </c>
      <c r="E18" s="16"/>
      <c r="F18" s="16">
        <f t="shared" si="1"/>
        <v>0</v>
      </c>
      <c r="G18" s="16"/>
      <c r="H18" s="17">
        <f t="shared" si="0"/>
        <v>0</v>
      </c>
      <c r="I18" s="15"/>
    </row>
    <row r="19" spans="1:9" x14ac:dyDescent="0.25">
      <c r="A19" s="18" t="s">
        <v>49</v>
      </c>
      <c r="B19" s="13" t="s">
        <v>32</v>
      </c>
      <c r="C19" s="14"/>
      <c r="D19" s="15">
        <f>FEBRUARY21!H19:H40</f>
        <v>0</v>
      </c>
      <c r="E19" s="16">
        <v>4000</v>
      </c>
      <c r="F19" s="16">
        <f t="shared" si="1"/>
        <v>4000</v>
      </c>
      <c r="G19" s="16"/>
      <c r="H19" s="17">
        <f t="shared" si="0"/>
        <v>4000</v>
      </c>
      <c r="I19" s="15"/>
    </row>
    <row r="20" spans="1:9" x14ac:dyDescent="0.25">
      <c r="A20" s="12"/>
      <c r="B20" s="13" t="s">
        <v>33</v>
      </c>
      <c r="C20" s="14"/>
      <c r="D20" s="15">
        <f>FEBRUARY21!H20:H41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12" t="s">
        <v>50</v>
      </c>
      <c r="B21" s="13" t="s">
        <v>34</v>
      </c>
      <c r="C21" s="14"/>
      <c r="D21" s="15">
        <f>FEBRUARY21!H21:H42</f>
        <v>0</v>
      </c>
      <c r="E21" s="16">
        <v>4500</v>
      </c>
      <c r="F21" s="16">
        <f>C21+D21+E21</f>
        <v>4500</v>
      </c>
      <c r="G21" s="16">
        <v>4500</v>
      </c>
      <c r="H21" s="17">
        <f t="shared" ref="H21:H26" si="2">F21-G21</f>
        <v>0</v>
      </c>
      <c r="I21" s="15"/>
    </row>
    <row r="22" spans="1:9" x14ac:dyDescent="0.25">
      <c r="A22" s="12"/>
      <c r="B22" s="13" t="s">
        <v>35</v>
      </c>
      <c r="C22" s="14"/>
      <c r="D22" s="15">
        <f>FEBRUARY21!H22:H43</f>
        <v>0</v>
      </c>
      <c r="E22" s="16"/>
      <c r="F22" s="16">
        <f>C22+D22+E22</f>
        <v>0</v>
      </c>
      <c r="G22" s="16"/>
      <c r="H22" s="17">
        <f t="shared" si="2"/>
        <v>0</v>
      </c>
      <c r="I22" s="15"/>
    </row>
    <row r="23" spans="1:9" x14ac:dyDescent="0.25">
      <c r="A23" s="21"/>
      <c r="B23" s="13" t="s">
        <v>36</v>
      </c>
      <c r="C23" s="14"/>
      <c r="D23" s="15">
        <f>FEBRUARY21!H23:H44</f>
        <v>0</v>
      </c>
      <c r="E23" s="16"/>
      <c r="F23" s="16">
        <f t="shared" si="1"/>
        <v>0</v>
      </c>
      <c r="G23" s="16"/>
      <c r="H23" s="17">
        <f t="shared" si="2"/>
        <v>0</v>
      </c>
      <c r="I23" s="15"/>
    </row>
    <row r="24" spans="1:9" x14ac:dyDescent="0.25">
      <c r="A24" s="24"/>
      <c r="B24" s="13" t="s">
        <v>37</v>
      </c>
      <c r="C24" s="14"/>
      <c r="D24" s="15">
        <f>FEBRUARY21!H24:H45</f>
        <v>0</v>
      </c>
      <c r="E24" s="16"/>
      <c r="F24" s="16">
        <f t="shared" si="1"/>
        <v>0</v>
      </c>
      <c r="G24" s="16"/>
      <c r="H24" s="17">
        <f t="shared" si="2"/>
        <v>0</v>
      </c>
      <c r="I24" s="15"/>
    </row>
    <row r="25" spans="1:9" x14ac:dyDescent="0.25">
      <c r="A25" s="21"/>
      <c r="B25" s="13" t="s">
        <v>38</v>
      </c>
      <c r="C25" s="14"/>
      <c r="D25" s="15">
        <f>FEBRUARY21!H25:H46</f>
        <v>0</v>
      </c>
      <c r="E25" s="16"/>
      <c r="F25" s="16">
        <f t="shared" si="1"/>
        <v>0</v>
      </c>
      <c r="G25" s="16"/>
      <c r="H25" s="17">
        <f t="shared" si="2"/>
        <v>0</v>
      </c>
      <c r="I25" s="15"/>
    </row>
    <row r="26" spans="1:9" x14ac:dyDescent="0.25">
      <c r="A26" s="21"/>
      <c r="B26" s="13" t="s">
        <v>39</v>
      </c>
      <c r="C26" s="14"/>
      <c r="D26" s="15">
        <f>FEBRUARY21!H26:H47</f>
        <v>0</v>
      </c>
      <c r="E26" s="16"/>
      <c r="F26" s="16">
        <f>C26+D26+E26</f>
        <v>0</v>
      </c>
      <c r="G26" s="16"/>
      <c r="H26" s="17">
        <f t="shared" si="2"/>
        <v>0</v>
      </c>
      <c r="I26" s="15"/>
    </row>
    <row r="27" spans="1:9" x14ac:dyDescent="0.25">
      <c r="A27" s="21"/>
      <c r="B27" s="13"/>
      <c r="C27" s="14"/>
      <c r="D27" s="15">
        <f>FEBRUARY21!H27:H48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5" t="s">
        <v>11</v>
      </c>
      <c r="B28" s="26"/>
      <c r="C28" s="14">
        <f t="shared" ref="C28:I28" si="3">SUM(C6:C27)</f>
        <v>0</v>
      </c>
      <c r="D28" s="15">
        <f>SUM(D6:D27)</f>
        <v>14250</v>
      </c>
      <c r="E28" s="27">
        <f t="shared" si="3"/>
        <v>33500</v>
      </c>
      <c r="F28" s="16">
        <f t="shared" si="3"/>
        <v>47750</v>
      </c>
      <c r="G28" s="16">
        <f t="shared" si="3"/>
        <v>28500</v>
      </c>
      <c r="H28" s="16">
        <f t="shared" si="3"/>
        <v>18250</v>
      </c>
      <c r="I28" s="15">
        <f t="shared" si="3"/>
        <v>0</v>
      </c>
    </row>
    <row r="29" spans="1:9" x14ac:dyDescent="0.25">
      <c r="D29" s="15">
        <f>'JANUARY 21'!H29:H51</f>
        <v>10750</v>
      </c>
      <c r="H29" s="28">
        <f>H28-2000</f>
        <v>16250</v>
      </c>
      <c r="I29" s="3"/>
    </row>
    <row r="30" spans="1:9" x14ac:dyDescent="0.25">
      <c r="H30" s="28"/>
    </row>
    <row r="31" spans="1:9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4">
        <f>H19+H16+H12+H11+H8+H7+H6</f>
        <v>13250</v>
      </c>
    </row>
    <row r="33" spans="1:11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1" x14ac:dyDescent="0.25">
      <c r="A34" s="26" t="s">
        <v>73</v>
      </c>
      <c r="B34" s="38">
        <f>E28</f>
        <v>33500</v>
      </c>
      <c r="C34" s="26"/>
      <c r="D34" s="26"/>
      <c r="E34" s="26" t="s">
        <v>73</v>
      </c>
      <c r="F34" s="38">
        <f>G28</f>
        <v>28500</v>
      </c>
      <c r="G34" s="26"/>
      <c r="H34" s="26"/>
      <c r="I34" s="34"/>
    </row>
    <row r="35" spans="1:11" x14ac:dyDescent="0.25">
      <c r="A35" s="26" t="s">
        <v>19</v>
      </c>
      <c r="B35" s="38">
        <f>FEBRUARY21!D48</f>
        <v>-16898</v>
      </c>
      <c r="C35" s="26"/>
      <c r="D35" s="26"/>
      <c r="E35" s="26" t="s">
        <v>19</v>
      </c>
      <c r="F35" s="38">
        <f>FEBRUARY21!H48</f>
        <v>-29148</v>
      </c>
      <c r="G35" s="26"/>
      <c r="H35" s="26"/>
      <c r="I35" s="34"/>
    </row>
    <row r="36" spans="1:11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</row>
    <row r="37" spans="1:11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1" x14ac:dyDescent="0.25">
      <c r="A38" s="26" t="s">
        <v>21</v>
      </c>
      <c r="B38" s="39">
        <v>0.1</v>
      </c>
      <c r="C38" s="38">
        <f>B38*B34</f>
        <v>3350</v>
      </c>
      <c r="D38" s="26"/>
      <c r="E38" s="26" t="s">
        <v>21</v>
      </c>
      <c r="F38" s="39">
        <v>0.1</v>
      </c>
      <c r="G38" s="38">
        <f>F38*B34</f>
        <v>3350</v>
      </c>
      <c r="H38" s="26"/>
      <c r="I38" s="3"/>
    </row>
    <row r="39" spans="1:11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</row>
    <row r="40" spans="1:11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  <c r="K40" s="44"/>
    </row>
    <row r="41" spans="1:11" x14ac:dyDescent="0.25">
      <c r="A41" s="40" t="s">
        <v>75</v>
      </c>
      <c r="C41">
        <v>8587</v>
      </c>
      <c r="D41" s="42"/>
      <c r="E41" s="40" t="s">
        <v>75</v>
      </c>
      <c r="G41">
        <v>8587</v>
      </c>
      <c r="H41" s="26"/>
      <c r="I41" s="3"/>
    </row>
    <row r="42" spans="1:11" x14ac:dyDescent="0.25">
      <c r="A42" s="40" t="s">
        <v>76</v>
      </c>
      <c r="B42" s="39"/>
      <c r="C42" s="26">
        <v>1000</v>
      </c>
      <c r="D42" s="26"/>
      <c r="E42" s="40"/>
      <c r="F42" s="39"/>
      <c r="G42" s="26"/>
      <c r="H42" s="26"/>
      <c r="I42" s="34"/>
    </row>
    <row r="43" spans="1:11" x14ac:dyDescent="0.25">
      <c r="A43" s="40"/>
      <c r="B43" s="39"/>
      <c r="C43" s="26"/>
      <c r="D43" s="26"/>
      <c r="E43" s="40"/>
      <c r="F43" s="39"/>
      <c r="G43" s="26"/>
      <c r="H43" s="26"/>
      <c r="I43" s="43"/>
      <c r="J43" s="28">
        <f>F34+I32</f>
        <v>41750</v>
      </c>
    </row>
    <row r="44" spans="1:11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1" x14ac:dyDescent="0.25">
      <c r="A45" s="40"/>
      <c r="B45" s="26"/>
      <c r="C45" s="42"/>
      <c r="D45" s="26"/>
      <c r="E45" s="40"/>
      <c r="F45" s="26"/>
      <c r="G45" s="42"/>
      <c r="H45" s="26"/>
      <c r="I45" s="3"/>
    </row>
    <row r="46" spans="1:11" x14ac:dyDescent="0.25">
      <c r="A46" s="40"/>
      <c r="B46" s="26"/>
      <c r="C46" s="42"/>
      <c r="D46" s="26"/>
      <c r="E46" s="40"/>
      <c r="F46" s="26"/>
      <c r="G46" s="42"/>
      <c r="H46" s="26"/>
      <c r="I46" s="3"/>
    </row>
    <row r="47" spans="1:11" x14ac:dyDescent="0.25">
      <c r="A47" s="40"/>
      <c r="B47" s="26"/>
      <c r="C47" s="42"/>
      <c r="D47" s="26"/>
      <c r="E47" s="40"/>
      <c r="F47" s="26"/>
      <c r="G47" s="42"/>
      <c r="H47" s="26"/>
      <c r="I47" s="3"/>
      <c r="J47" s="44"/>
    </row>
    <row r="48" spans="1:11" x14ac:dyDescent="0.25">
      <c r="A48" s="37" t="s">
        <v>11</v>
      </c>
      <c r="B48" s="45">
        <f>B37+B34+B35+B36-C38</f>
        <v>13252</v>
      </c>
      <c r="C48" s="45">
        <f>SUM(C40:C47)</f>
        <v>9587</v>
      </c>
      <c r="D48" s="45">
        <f>B48-C48</f>
        <v>3665</v>
      </c>
      <c r="E48" s="37" t="s">
        <v>11</v>
      </c>
      <c r="F48" s="45">
        <f>F34+F35+F37-G38</f>
        <v>-3998</v>
      </c>
      <c r="G48" s="45">
        <f>SUM(G40:G47)</f>
        <v>8587</v>
      </c>
      <c r="H48" s="45">
        <f>F48-G48</f>
        <v>-12585</v>
      </c>
      <c r="I48" s="43"/>
    </row>
    <row r="49" spans="1:9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9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</row>
    <row r="51" spans="1:9" x14ac:dyDescent="0.25">
      <c r="I51" s="44">
        <f>D48-H48</f>
        <v>16250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"/>
  <sheetViews>
    <sheetView topLeftCell="A16" workbookViewId="0">
      <selection activeCell="G33" sqref="G33"/>
    </sheetView>
  </sheetViews>
  <sheetFormatPr defaultRowHeight="15" x14ac:dyDescent="0.25"/>
  <cols>
    <col min="1" max="1" width="19.28515625" customWidth="1"/>
  </cols>
  <sheetData>
    <row r="2" spans="1:9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77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40</v>
      </c>
      <c r="B6" s="13">
        <v>1</v>
      </c>
      <c r="C6" s="14"/>
      <c r="D6" s="15">
        <f>'MARCH 21'!H6:H27</f>
        <v>3000</v>
      </c>
      <c r="E6" s="16"/>
      <c r="F6" s="16">
        <f>C6+D6+E6</f>
        <v>3000</v>
      </c>
      <c r="G6" s="16"/>
      <c r="H6" s="17">
        <f>F6-G6</f>
        <v>3000</v>
      </c>
      <c r="I6" s="15"/>
    </row>
    <row r="7" spans="1:9" x14ac:dyDescent="0.25">
      <c r="A7" t="s">
        <v>41</v>
      </c>
      <c r="B7" s="13">
        <v>2</v>
      </c>
      <c r="C7" s="14"/>
      <c r="D7" s="15">
        <f>'MARCH 21'!H7:H28</f>
        <v>2500</v>
      </c>
      <c r="E7" s="16">
        <v>2500</v>
      </c>
      <c r="F7" s="16">
        <f>C7+D7+E7</f>
        <v>5000</v>
      </c>
      <c r="G7" s="16"/>
      <c r="H7" s="17">
        <f t="shared" ref="H7:H27" si="0">F7-G7</f>
        <v>5000</v>
      </c>
      <c r="I7" s="15"/>
    </row>
    <row r="8" spans="1:9" x14ac:dyDescent="0.25">
      <c r="A8" s="18" t="s">
        <v>42</v>
      </c>
      <c r="B8" s="13">
        <v>3</v>
      </c>
      <c r="C8" s="14"/>
      <c r="D8" s="15">
        <f>'MARCH 21'!H8:H29</f>
        <v>1250</v>
      </c>
      <c r="E8" s="16">
        <f>2500</f>
        <v>2500</v>
      </c>
      <c r="F8" s="16">
        <f>C8+D8+E8</f>
        <v>3750</v>
      </c>
      <c r="G8" s="16">
        <f>2500</f>
        <v>2500</v>
      </c>
      <c r="H8" s="17">
        <f t="shared" si="0"/>
        <v>1250</v>
      </c>
      <c r="I8" s="15"/>
    </row>
    <row r="9" spans="1:9" x14ac:dyDescent="0.25">
      <c r="A9" s="19" t="s">
        <v>53</v>
      </c>
      <c r="B9" s="13">
        <v>4</v>
      </c>
      <c r="C9" s="14"/>
      <c r="D9" s="15">
        <f>'MARCH 21'!H9:H30</f>
        <v>0</v>
      </c>
      <c r="E9" s="16">
        <v>2500</v>
      </c>
      <c r="F9" s="16">
        <f>C9+D9+E9</f>
        <v>2500</v>
      </c>
      <c r="G9" s="16">
        <f>2500</f>
        <v>2500</v>
      </c>
      <c r="H9" s="17">
        <f>F9-G9</f>
        <v>0</v>
      </c>
      <c r="I9" s="15"/>
    </row>
    <row r="10" spans="1:9" x14ac:dyDescent="0.25">
      <c r="A10" s="19" t="s">
        <v>46</v>
      </c>
      <c r="B10" s="13">
        <v>5</v>
      </c>
      <c r="C10" s="14"/>
      <c r="D10" s="15">
        <f>'MARCH 21'!H10:H31</f>
        <v>0</v>
      </c>
      <c r="E10" s="16">
        <v>2500</v>
      </c>
      <c r="F10" s="16">
        <f t="shared" ref="F10:F27" si="1">C10+D10+E10</f>
        <v>2500</v>
      </c>
      <c r="G10" s="16">
        <f>2500</f>
        <v>2500</v>
      </c>
      <c r="H10" s="17"/>
      <c r="I10" s="15"/>
    </row>
    <row r="11" spans="1:9" x14ac:dyDescent="0.25">
      <c r="A11" s="23" t="s">
        <v>51</v>
      </c>
      <c r="B11" s="13">
        <v>6</v>
      </c>
      <c r="C11" s="14"/>
      <c r="D11" s="15">
        <f>'MARCH 21'!H11:H32</f>
        <v>1500</v>
      </c>
      <c r="E11" s="16">
        <v>2500</v>
      </c>
      <c r="F11" s="16">
        <f>C11+D11+E11</f>
        <v>4000</v>
      </c>
      <c r="G11" s="16">
        <f>500+500</f>
        <v>1000</v>
      </c>
      <c r="H11" s="17">
        <f t="shared" si="0"/>
        <v>3000</v>
      </c>
      <c r="I11" s="15"/>
    </row>
    <row r="12" spans="1:9" x14ac:dyDescent="0.25">
      <c r="A12" s="19" t="s">
        <v>52</v>
      </c>
      <c r="B12" s="13">
        <v>7</v>
      </c>
      <c r="C12" s="14"/>
      <c r="D12" s="15">
        <f>'MARCH 21'!H12:H33</f>
        <v>0</v>
      </c>
      <c r="E12" s="16">
        <v>2500</v>
      </c>
      <c r="F12" s="16">
        <f t="shared" si="1"/>
        <v>2500</v>
      </c>
      <c r="G12" s="16">
        <v>2500</v>
      </c>
      <c r="H12" s="17">
        <f t="shared" si="0"/>
        <v>0</v>
      </c>
      <c r="I12" s="15"/>
    </row>
    <row r="13" spans="1:9" x14ac:dyDescent="0.25">
      <c r="A13" s="20" t="s">
        <v>43</v>
      </c>
      <c r="B13" s="13">
        <v>8</v>
      </c>
      <c r="C13" s="14"/>
      <c r="D13" s="15">
        <f>'MARCH 21'!H13:H34</f>
        <v>0</v>
      </c>
      <c r="E13" s="16">
        <v>2000</v>
      </c>
      <c r="F13" s="16">
        <f t="shared" si="1"/>
        <v>2000</v>
      </c>
      <c r="G13" s="16">
        <v>2000</v>
      </c>
      <c r="H13" s="17">
        <f t="shared" si="0"/>
        <v>0</v>
      </c>
      <c r="I13" s="15"/>
    </row>
    <row r="14" spans="1:9" x14ac:dyDescent="0.25">
      <c r="A14" s="20" t="s">
        <v>45</v>
      </c>
      <c r="B14" s="13">
        <v>9</v>
      </c>
      <c r="C14" s="14"/>
      <c r="D14" s="15">
        <f>'MARCH 21'!H14:H35</f>
        <v>0</v>
      </c>
      <c r="E14" s="16">
        <v>2000</v>
      </c>
      <c r="F14" s="16">
        <f t="shared" si="1"/>
        <v>2000</v>
      </c>
      <c r="G14" s="16">
        <f>2000</f>
        <v>2000</v>
      </c>
      <c r="H14" s="17">
        <f t="shared" si="0"/>
        <v>0</v>
      </c>
      <c r="I14" s="15"/>
    </row>
    <row r="15" spans="1:9" x14ac:dyDescent="0.25">
      <c r="A15" s="21" t="s">
        <v>68</v>
      </c>
      <c r="B15" s="22">
        <v>10</v>
      </c>
      <c r="C15" s="14"/>
      <c r="D15" s="15">
        <f>'MARCH 21'!H15:H36</f>
        <v>0</v>
      </c>
      <c r="E15" s="16"/>
      <c r="F15" s="16">
        <f t="shared" si="1"/>
        <v>0</v>
      </c>
      <c r="G15" s="16"/>
      <c r="H15" s="17">
        <f t="shared" si="0"/>
        <v>0</v>
      </c>
      <c r="I15" s="15"/>
    </row>
    <row r="16" spans="1:9" x14ac:dyDescent="0.25">
      <c r="A16" s="23" t="s">
        <v>47</v>
      </c>
      <c r="B16" s="13">
        <v>11</v>
      </c>
      <c r="C16" s="14"/>
      <c r="D16" s="15">
        <f>'MARCH 21'!H16:H37</f>
        <v>1000</v>
      </c>
      <c r="E16" s="16">
        <v>2000</v>
      </c>
      <c r="F16" s="16">
        <f>C16+D16+E16</f>
        <v>3000</v>
      </c>
      <c r="G16" s="16">
        <f>2000</f>
        <v>2000</v>
      </c>
      <c r="H16" s="17">
        <f t="shared" si="0"/>
        <v>1000</v>
      </c>
      <c r="I16" s="15"/>
    </row>
    <row r="17" spans="1:10" x14ac:dyDescent="0.25">
      <c r="A17" s="23" t="s">
        <v>48</v>
      </c>
      <c r="B17" s="13">
        <v>12</v>
      </c>
      <c r="C17" s="14"/>
      <c r="D17" s="15">
        <f>'MARCH 21'!H17:H38</f>
        <v>5000</v>
      </c>
      <c r="E17" s="16">
        <v>2000</v>
      </c>
      <c r="F17" s="16">
        <f t="shared" si="1"/>
        <v>7000</v>
      </c>
      <c r="G17" s="16">
        <f>1500</f>
        <v>1500</v>
      </c>
      <c r="H17" s="17">
        <f t="shared" si="0"/>
        <v>5500</v>
      </c>
      <c r="I17" s="15"/>
      <c r="J17">
        <f>5500-2000</f>
        <v>3500</v>
      </c>
    </row>
    <row r="18" spans="1:10" x14ac:dyDescent="0.25">
      <c r="A18" s="21" t="s">
        <v>80</v>
      </c>
      <c r="B18" s="13" t="s">
        <v>31</v>
      </c>
      <c r="C18" s="14"/>
      <c r="D18" s="15">
        <f>'MARCH 21'!H18:H39</f>
        <v>0</v>
      </c>
      <c r="E18" s="16">
        <v>4000</v>
      </c>
      <c r="F18" s="16">
        <f t="shared" si="1"/>
        <v>4000</v>
      </c>
      <c r="G18" s="16">
        <v>4000</v>
      </c>
      <c r="H18" s="17">
        <f t="shared" si="0"/>
        <v>0</v>
      </c>
      <c r="I18" s="15"/>
    </row>
    <row r="19" spans="1:10" x14ac:dyDescent="0.25">
      <c r="A19" s="18" t="s">
        <v>49</v>
      </c>
      <c r="B19" s="13" t="s">
        <v>32</v>
      </c>
      <c r="C19" s="14"/>
      <c r="D19" s="15">
        <f>'MARCH 21'!H19:H40</f>
        <v>4000</v>
      </c>
      <c r="E19" s="16">
        <v>4000</v>
      </c>
      <c r="F19" s="16">
        <f t="shared" si="1"/>
        <v>8000</v>
      </c>
      <c r="G19" s="16"/>
      <c r="H19" s="17">
        <f t="shared" si="0"/>
        <v>8000</v>
      </c>
      <c r="I19" s="15"/>
    </row>
    <row r="20" spans="1:10" x14ac:dyDescent="0.25">
      <c r="A20" s="12"/>
      <c r="B20" s="13" t="s">
        <v>33</v>
      </c>
      <c r="C20" s="14"/>
      <c r="D20" s="15">
        <f>'MARCH 21'!H20:H41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10" x14ac:dyDescent="0.25">
      <c r="A21" s="12" t="s">
        <v>50</v>
      </c>
      <c r="B21" s="13" t="s">
        <v>34</v>
      </c>
      <c r="C21" s="14"/>
      <c r="D21" s="15">
        <f>'MARCH 21'!H21:H42</f>
        <v>0</v>
      </c>
      <c r="E21" s="16">
        <v>4500</v>
      </c>
      <c r="F21" s="16">
        <f>C21+D21+E21</f>
        <v>4500</v>
      </c>
      <c r="G21" s="16">
        <f>3000</f>
        <v>3000</v>
      </c>
      <c r="H21" s="17">
        <f t="shared" ref="H21:H26" si="2">F21-G21</f>
        <v>1500</v>
      </c>
      <c r="I21" s="15"/>
    </row>
    <row r="22" spans="1:10" x14ac:dyDescent="0.25">
      <c r="A22" s="12"/>
      <c r="B22" s="13" t="s">
        <v>35</v>
      </c>
      <c r="C22" s="14"/>
      <c r="D22" s="15">
        <f>'MARCH 21'!H22:H43</f>
        <v>0</v>
      </c>
      <c r="E22" s="16"/>
      <c r="F22" s="16">
        <f>C22+D22+E22</f>
        <v>0</v>
      </c>
      <c r="G22" s="16"/>
      <c r="H22" s="17">
        <f t="shared" si="2"/>
        <v>0</v>
      </c>
      <c r="I22" s="15"/>
    </row>
    <row r="23" spans="1:10" x14ac:dyDescent="0.25">
      <c r="A23" s="21"/>
      <c r="B23" s="13" t="s">
        <v>36</v>
      </c>
      <c r="C23" s="14"/>
      <c r="D23" s="15">
        <f>'MARCH 21'!H23:H44</f>
        <v>0</v>
      </c>
      <c r="E23" s="16"/>
      <c r="F23" s="16">
        <f t="shared" si="1"/>
        <v>0</v>
      </c>
      <c r="G23" s="16"/>
      <c r="H23" s="17">
        <f t="shared" si="2"/>
        <v>0</v>
      </c>
      <c r="I23" s="15"/>
    </row>
    <row r="24" spans="1:10" x14ac:dyDescent="0.25">
      <c r="A24" s="24"/>
      <c r="B24" s="13" t="s">
        <v>37</v>
      </c>
      <c r="C24" s="14"/>
      <c r="D24" s="15">
        <f>'MARCH 21'!H24:H45</f>
        <v>0</v>
      </c>
      <c r="E24" s="16"/>
      <c r="F24" s="16">
        <f t="shared" si="1"/>
        <v>0</v>
      </c>
      <c r="G24" s="16"/>
      <c r="H24" s="17">
        <f t="shared" si="2"/>
        <v>0</v>
      </c>
      <c r="I24" s="15"/>
    </row>
    <row r="25" spans="1:10" x14ac:dyDescent="0.25">
      <c r="A25" s="21"/>
      <c r="B25" s="13" t="s">
        <v>38</v>
      </c>
      <c r="C25" s="14"/>
      <c r="D25" s="15">
        <f>'MARCH 21'!H25:H46</f>
        <v>0</v>
      </c>
      <c r="E25" s="16"/>
      <c r="F25" s="16">
        <f t="shared" si="1"/>
        <v>0</v>
      </c>
      <c r="G25" s="16"/>
      <c r="H25" s="17">
        <f t="shared" si="2"/>
        <v>0</v>
      </c>
      <c r="I25" s="15"/>
    </row>
    <row r="26" spans="1:10" x14ac:dyDescent="0.25">
      <c r="A26" s="21"/>
      <c r="B26" s="13" t="s">
        <v>39</v>
      </c>
      <c r="C26" s="14"/>
      <c r="D26" s="15">
        <f>'MARCH 21'!H26:H47</f>
        <v>0</v>
      </c>
      <c r="E26" s="16"/>
      <c r="F26" s="16">
        <f>C26+D26+E26</f>
        <v>0</v>
      </c>
      <c r="G26" s="16"/>
      <c r="H26" s="17">
        <f t="shared" si="2"/>
        <v>0</v>
      </c>
      <c r="I26" s="15"/>
    </row>
    <row r="27" spans="1:10" x14ac:dyDescent="0.25">
      <c r="A27" s="21"/>
      <c r="B27" s="13"/>
      <c r="C27" s="14"/>
      <c r="D27" s="15">
        <f>'MARCH 21'!H27:H48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10" x14ac:dyDescent="0.25">
      <c r="A28" s="25" t="s">
        <v>11</v>
      </c>
      <c r="B28" s="26"/>
      <c r="C28" s="14">
        <f t="shared" ref="C28:I28" si="3">SUM(C6:C27)</f>
        <v>0</v>
      </c>
      <c r="D28" s="15">
        <f>SUM(D6:D27)</f>
        <v>18250</v>
      </c>
      <c r="E28" s="27">
        <f t="shared" si="3"/>
        <v>35500</v>
      </c>
      <c r="F28" s="16">
        <f t="shared" si="3"/>
        <v>53750</v>
      </c>
      <c r="G28" s="16">
        <f t="shared" si="3"/>
        <v>25500</v>
      </c>
      <c r="H28" s="16">
        <f t="shared" si="3"/>
        <v>28250</v>
      </c>
      <c r="I28" s="15">
        <f t="shared" si="3"/>
        <v>0</v>
      </c>
    </row>
    <row r="29" spans="1:10" x14ac:dyDescent="0.25">
      <c r="D29" s="15">
        <f>'JANUARY 21'!H29:H51</f>
        <v>10750</v>
      </c>
      <c r="H29" s="28">
        <f>H28-H19-H17-H6</f>
        <v>11750</v>
      </c>
      <c r="I29" s="3"/>
    </row>
    <row r="31" spans="1:10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10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4">
        <f>H19+H16+H12+H11+H8+H7+H6</f>
        <v>21250</v>
      </c>
    </row>
    <row r="33" spans="1:10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0" x14ac:dyDescent="0.25">
      <c r="A34" s="26" t="s">
        <v>78</v>
      </c>
      <c r="B34" s="38">
        <f>E28</f>
        <v>35500</v>
      </c>
      <c r="C34" s="26"/>
      <c r="D34" s="26"/>
      <c r="E34" s="26" t="s">
        <v>78</v>
      </c>
      <c r="F34" s="38">
        <f>G28</f>
        <v>25500</v>
      </c>
      <c r="G34" s="26"/>
      <c r="H34" s="26"/>
      <c r="I34" s="34"/>
    </row>
    <row r="35" spans="1:10" x14ac:dyDescent="0.25">
      <c r="A35" s="26" t="s">
        <v>19</v>
      </c>
      <c r="B35" s="38">
        <f>'MARCH 21'!D48</f>
        <v>3665</v>
      </c>
      <c r="C35" s="26"/>
      <c r="D35" s="26"/>
      <c r="E35" s="26" t="s">
        <v>19</v>
      </c>
      <c r="F35" s="38">
        <f>'MARCH 21'!H48</f>
        <v>-12585</v>
      </c>
      <c r="G35" s="26"/>
      <c r="H35" s="26"/>
      <c r="I35" s="34"/>
    </row>
    <row r="36" spans="1:10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</row>
    <row r="37" spans="1:10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0" x14ac:dyDescent="0.25">
      <c r="A38" s="26" t="s">
        <v>21</v>
      </c>
      <c r="B38" s="39">
        <v>0.1</v>
      </c>
      <c r="C38" s="38">
        <f>B38*B34</f>
        <v>3550</v>
      </c>
      <c r="D38" s="26"/>
      <c r="E38" s="26" t="s">
        <v>21</v>
      </c>
      <c r="F38" s="39">
        <v>0.1</v>
      </c>
      <c r="G38" s="38">
        <f>F38*B34</f>
        <v>3550</v>
      </c>
      <c r="H38" s="26"/>
      <c r="I38" s="3"/>
    </row>
    <row r="39" spans="1:10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</row>
    <row r="40" spans="1:10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</row>
    <row r="41" spans="1:10" x14ac:dyDescent="0.25">
      <c r="A41" s="40" t="s">
        <v>79</v>
      </c>
      <c r="C41">
        <f>4055</f>
        <v>4055</v>
      </c>
      <c r="D41" s="42"/>
      <c r="E41" s="40" t="s">
        <v>79</v>
      </c>
      <c r="G41">
        <f>4055</f>
        <v>4055</v>
      </c>
      <c r="H41" s="26"/>
      <c r="I41" s="3"/>
    </row>
    <row r="42" spans="1:10" x14ac:dyDescent="0.25">
      <c r="A42" s="40" t="s">
        <v>81</v>
      </c>
      <c r="B42" s="39"/>
      <c r="C42" s="26">
        <v>13097</v>
      </c>
      <c r="D42" s="26"/>
      <c r="E42" s="40" t="s">
        <v>81</v>
      </c>
      <c r="F42" s="39"/>
      <c r="G42" s="26">
        <v>13097</v>
      </c>
      <c r="H42" s="26"/>
      <c r="I42" s="34"/>
      <c r="J42" s="28">
        <f>H29+H48</f>
        <v>3963</v>
      </c>
    </row>
    <row r="43" spans="1:10" x14ac:dyDescent="0.25">
      <c r="A43" s="40"/>
      <c r="B43" s="39"/>
      <c r="C43" s="26"/>
      <c r="D43" s="26"/>
      <c r="E43" s="40"/>
      <c r="F43" s="39"/>
      <c r="G43" s="26"/>
      <c r="H43" s="26"/>
      <c r="I43" s="43"/>
      <c r="J43" s="28"/>
    </row>
    <row r="44" spans="1:10" x14ac:dyDescent="0.25">
      <c r="A44" s="40" t="s">
        <v>82</v>
      </c>
      <c r="B44" s="26"/>
      <c r="C44" s="42">
        <v>3000</v>
      </c>
      <c r="D44" s="26"/>
      <c r="E44" s="40"/>
      <c r="F44" s="26"/>
      <c r="G44" s="42"/>
      <c r="H44" s="26"/>
      <c r="I44" s="3"/>
    </row>
    <row r="45" spans="1:10" x14ac:dyDescent="0.25">
      <c r="A45" s="40" t="s">
        <v>83</v>
      </c>
      <c r="B45" s="26"/>
      <c r="C45" s="42">
        <f>8000</f>
        <v>8000</v>
      </c>
      <c r="D45" s="26"/>
      <c r="E45" s="40"/>
      <c r="F45" s="26"/>
      <c r="G45" s="42"/>
      <c r="H45" s="26"/>
      <c r="I45" s="3"/>
      <c r="J45" s="28"/>
    </row>
    <row r="46" spans="1:10" x14ac:dyDescent="0.25">
      <c r="A46" s="40" t="s">
        <v>84</v>
      </c>
      <c r="B46" s="26"/>
      <c r="C46" s="42">
        <v>3500</v>
      </c>
      <c r="D46" s="26"/>
      <c r="E46" s="40"/>
      <c r="F46" s="26"/>
      <c r="G46" s="42"/>
      <c r="H46" s="26"/>
      <c r="I46" s="3"/>
    </row>
    <row r="47" spans="1:10" x14ac:dyDescent="0.25">
      <c r="A47" s="40" t="s">
        <v>88</v>
      </c>
      <c r="B47" s="26"/>
      <c r="C47" s="42">
        <v>5000</v>
      </c>
      <c r="D47" s="26"/>
      <c r="E47" s="40"/>
      <c r="F47" s="26"/>
      <c r="G47" s="42"/>
      <c r="H47" s="26"/>
      <c r="I47" s="3"/>
      <c r="J47" s="44"/>
    </row>
    <row r="48" spans="1:10" x14ac:dyDescent="0.25">
      <c r="A48" s="37" t="s">
        <v>11</v>
      </c>
      <c r="B48" s="45">
        <f>B37+B34+B35+B36-C38</f>
        <v>35615</v>
      </c>
      <c r="C48" s="45">
        <f>SUM(C40:C47)</f>
        <v>36652</v>
      </c>
      <c r="D48" s="45">
        <f>B48-C48</f>
        <v>-1037</v>
      </c>
      <c r="E48" s="37" t="s">
        <v>11</v>
      </c>
      <c r="F48" s="45">
        <f>F34+F35+F37-G38</f>
        <v>9365</v>
      </c>
      <c r="G48" s="45">
        <f>SUM(G40:G47)</f>
        <v>17152</v>
      </c>
      <c r="H48" s="45">
        <f>F48-G48</f>
        <v>-7787</v>
      </c>
      <c r="I48" s="43"/>
    </row>
    <row r="49" spans="1:9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9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</row>
    <row r="51" spans="1:9" x14ac:dyDescent="0.25">
      <c r="I51" s="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topLeftCell="A16" workbookViewId="0">
      <selection activeCell="C42" sqref="C42"/>
    </sheetView>
  </sheetViews>
  <sheetFormatPr defaultRowHeight="15" x14ac:dyDescent="0.25"/>
  <cols>
    <col min="1" max="1" width="20.7109375" customWidth="1"/>
    <col min="10" max="10" width="17.140625" customWidth="1"/>
    <col min="11" max="11" width="17" customWidth="1"/>
  </cols>
  <sheetData>
    <row r="2" spans="1:11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11" ht="15.75" x14ac:dyDescent="0.25">
      <c r="B3" s="1" t="s">
        <v>0</v>
      </c>
      <c r="D3" s="1"/>
      <c r="E3" s="1"/>
      <c r="F3" s="4"/>
      <c r="G3" s="3"/>
      <c r="H3" s="3"/>
      <c r="I3" s="3"/>
    </row>
    <row r="4" spans="1:11" ht="18.75" x14ac:dyDescent="0.3">
      <c r="A4" s="5"/>
      <c r="B4" s="1" t="s">
        <v>86</v>
      </c>
      <c r="C4" s="1"/>
      <c r="D4" s="1"/>
      <c r="E4" s="1"/>
      <c r="F4" s="6"/>
      <c r="G4" s="7"/>
      <c r="H4" s="3"/>
      <c r="I4" s="3"/>
    </row>
    <row r="5" spans="1:11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1" x14ac:dyDescent="0.25">
      <c r="A6" s="12" t="s">
        <v>91</v>
      </c>
      <c r="B6" s="13">
        <v>1</v>
      </c>
      <c r="C6" s="14"/>
      <c r="D6" s="15"/>
      <c r="E6" s="16">
        <v>2500</v>
      </c>
      <c r="F6" s="16">
        <f>C6+D6+E6</f>
        <v>2500</v>
      </c>
      <c r="G6" s="16">
        <v>2500</v>
      </c>
      <c r="H6" s="17">
        <f>F6-G6</f>
        <v>0</v>
      </c>
      <c r="I6" s="15"/>
    </row>
    <row r="7" spans="1:11" x14ac:dyDescent="0.25">
      <c r="A7" t="s">
        <v>97</v>
      </c>
      <c r="B7" s="13">
        <v>2</v>
      </c>
      <c r="C7" s="14"/>
      <c r="D7" s="15"/>
      <c r="E7" s="16">
        <v>2500</v>
      </c>
      <c r="F7" s="16">
        <f>C7+D7+E7</f>
        <v>2500</v>
      </c>
      <c r="G7" s="16">
        <f>2000</f>
        <v>2000</v>
      </c>
      <c r="H7" s="17">
        <f t="shared" ref="H7:H27" si="0">F7-G7</f>
        <v>500</v>
      </c>
      <c r="I7" s="15"/>
    </row>
    <row r="8" spans="1:11" x14ac:dyDescent="0.25">
      <c r="A8" s="18" t="s">
        <v>42</v>
      </c>
      <c r="B8" s="13">
        <v>3</v>
      </c>
      <c r="C8" s="14"/>
      <c r="D8" s="15">
        <f>'APRIL 21'!H8:H31</f>
        <v>1250</v>
      </c>
      <c r="E8" s="16">
        <f>2500</f>
        <v>2500</v>
      </c>
      <c r="F8" s="16">
        <f>C8+D8+E8</f>
        <v>3750</v>
      </c>
      <c r="G8" s="16">
        <f>2500</f>
        <v>2500</v>
      </c>
      <c r="H8" s="17">
        <f t="shared" si="0"/>
        <v>1250</v>
      </c>
      <c r="I8" s="15"/>
    </row>
    <row r="9" spans="1:11" x14ac:dyDescent="0.25">
      <c r="A9" s="19" t="s">
        <v>53</v>
      </c>
      <c r="B9" s="13">
        <v>4</v>
      </c>
      <c r="C9" s="14"/>
      <c r="D9" s="15">
        <f>'APRIL 21'!H9:H32</f>
        <v>0</v>
      </c>
      <c r="E9" s="16">
        <v>2500</v>
      </c>
      <c r="F9" s="16">
        <f>C9+D9+E9</f>
        <v>2500</v>
      </c>
      <c r="G9" s="16">
        <f>2500</f>
        <v>2500</v>
      </c>
      <c r="H9" s="17">
        <f>F9-G9</f>
        <v>0</v>
      </c>
      <c r="I9" s="15"/>
    </row>
    <row r="10" spans="1:11" x14ac:dyDescent="0.25">
      <c r="A10" s="19" t="s">
        <v>46</v>
      </c>
      <c r="B10" s="13">
        <v>5</v>
      </c>
      <c r="C10" s="14"/>
      <c r="D10" s="15">
        <f>'APRIL 21'!H10:H33</f>
        <v>0</v>
      </c>
      <c r="E10" s="16">
        <v>2500</v>
      </c>
      <c r="F10" s="16">
        <f t="shared" ref="F10:F27" si="1">C10+D10+E10</f>
        <v>2500</v>
      </c>
      <c r="G10" s="16">
        <f>2500</f>
        <v>2500</v>
      </c>
      <c r="H10" s="17"/>
      <c r="I10" s="15"/>
    </row>
    <row r="11" spans="1:11" x14ac:dyDescent="0.25">
      <c r="A11" s="49" t="s">
        <v>51</v>
      </c>
      <c r="B11" s="13">
        <v>6</v>
      </c>
      <c r="C11" s="14"/>
      <c r="D11" s="51">
        <f>'APRIL 21'!H11:H34</f>
        <v>3000</v>
      </c>
      <c r="E11" s="16"/>
      <c r="F11" s="52">
        <f>C11+D11+E11</f>
        <v>3000</v>
      </c>
      <c r="G11" s="16"/>
      <c r="H11" s="17"/>
      <c r="I11" s="15"/>
      <c r="J11" s="50" t="s">
        <v>90</v>
      </c>
      <c r="K11" s="50"/>
    </row>
    <row r="12" spans="1:11" x14ac:dyDescent="0.25">
      <c r="A12" s="19" t="s">
        <v>52</v>
      </c>
      <c r="B12" s="13">
        <v>7</v>
      </c>
      <c r="C12" s="14"/>
      <c r="D12" s="15">
        <f>'APRIL 21'!H12:H35</f>
        <v>0</v>
      </c>
      <c r="E12" s="16">
        <v>2500</v>
      </c>
      <c r="F12" s="16">
        <f t="shared" si="1"/>
        <v>2500</v>
      </c>
      <c r="G12" s="16">
        <f>2000</f>
        <v>2000</v>
      </c>
      <c r="H12" s="17">
        <f t="shared" si="0"/>
        <v>500</v>
      </c>
      <c r="I12" s="15"/>
    </row>
    <row r="13" spans="1:11" x14ac:dyDescent="0.25">
      <c r="A13" s="20" t="s">
        <v>43</v>
      </c>
      <c r="B13" s="13">
        <v>8</v>
      </c>
      <c r="C13" s="14"/>
      <c r="D13" s="15">
        <f>'APRIL 21'!H13:H36</f>
        <v>0</v>
      </c>
      <c r="E13" s="16">
        <v>2000</v>
      </c>
      <c r="F13" s="16">
        <f t="shared" si="1"/>
        <v>2000</v>
      </c>
      <c r="G13" s="16">
        <v>2000</v>
      </c>
      <c r="H13" s="17">
        <f t="shared" si="0"/>
        <v>0</v>
      </c>
      <c r="I13" s="15"/>
    </row>
    <row r="14" spans="1:11" x14ac:dyDescent="0.25">
      <c r="A14" s="20" t="s">
        <v>45</v>
      </c>
      <c r="B14" s="13">
        <v>9</v>
      </c>
      <c r="C14" s="14"/>
      <c r="D14" s="15">
        <f>'APRIL 21'!H14:H37</f>
        <v>0</v>
      </c>
      <c r="E14" s="16">
        <v>2000</v>
      </c>
      <c r="F14" s="16">
        <f t="shared" si="1"/>
        <v>2000</v>
      </c>
      <c r="G14" s="16">
        <f>2000</f>
        <v>2000</v>
      </c>
      <c r="H14" s="17">
        <f t="shared" si="0"/>
        <v>0</v>
      </c>
      <c r="I14" s="15"/>
    </row>
    <row r="15" spans="1:11" x14ac:dyDescent="0.25">
      <c r="A15" s="21" t="s">
        <v>98</v>
      </c>
      <c r="B15" s="22">
        <v>10</v>
      </c>
      <c r="C15" s="14">
        <v>2000</v>
      </c>
      <c r="D15" s="15">
        <f>'APRIL 21'!H15:H38</f>
        <v>0</v>
      </c>
      <c r="E15" s="16">
        <v>2000</v>
      </c>
      <c r="F15" s="16">
        <f t="shared" si="1"/>
        <v>4000</v>
      </c>
      <c r="G15" s="16">
        <f>2000+1000</f>
        <v>3000</v>
      </c>
      <c r="H15" s="17">
        <f t="shared" si="0"/>
        <v>1000</v>
      </c>
      <c r="I15" s="15"/>
    </row>
    <row r="16" spans="1:11" x14ac:dyDescent="0.25">
      <c r="A16" s="23" t="s">
        <v>47</v>
      </c>
      <c r="B16" s="13">
        <v>11</v>
      </c>
      <c r="C16" s="14"/>
      <c r="D16" s="15">
        <f>'APRIL 21'!H16:H39</f>
        <v>1000</v>
      </c>
      <c r="E16" s="16">
        <v>2000</v>
      </c>
      <c r="F16" s="16">
        <f>C16+D16+E16</f>
        <v>3000</v>
      </c>
      <c r="G16" s="16">
        <f>2000</f>
        <v>2000</v>
      </c>
      <c r="H16" s="17">
        <f t="shared" si="0"/>
        <v>1000</v>
      </c>
      <c r="I16" s="15"/>
    </row>
    <row r="17" spans="1:9" x14ac:dyDescent="0.25">
      <c r="A17" s="55" t="s">
        <v>96</v>
      </c>
      <c r="B17" s="13">
        <v>12</v>
      </c>
      <c r="C17" s="14">
        <v>2000</v>
      </c>
      <c r="D17" s="15"/>
      <c r="E17" s="16">
        <v>850</v>
      </c>
      <c r="F17" s="16">
        <f t="shared" si="1"/>
        <v>2850</v>
      </c>
      <c r="G17" s="16">
        <f>2500</f>
        <v>2500</v>
      </c>
      <c r="H17" s="17">
        <f t="shared" si="0"/>
        <v>350</v>
      </c>
      <c r="I17" s="15"/>
    </row>
    <row r="18" spans="1:9" x14ac:dyDescent="0.25">
      <c r="A18" s="21" t="s">
        <v>80</v>
      </c>
      <c r="B18" s="13" t="s">
        <v>31</v>
      </c>
      <c r="C18" s="14"/>
      <c r="D18" s="15">
        <f>'APRIL 21'!H18:H41</f>
        <v>0</v>
      </c>
      <c r="E18" s="16">
        <v>4000</v>
      </c>
      <c r="F18" s="16">
        <f t="shared" si="1"/>
        <v>4000</v>
      </c>
      <c r="G18" s="16">
        <v>4000</v>
      </c>
      <c r="H18" s="17">
        <f t="shared" si="0"/>
        <v>0</v>
      </c>
      <c r="I18" s="15"/>
    </row>
    <row r="19" spans="1:9" x14ac:dyDescent="0.25">
      <c r="A19" s="53" t="s">
        <v>68</v>
      </c>
      <c r="B19" s="54" t="s">
        <v>32</v>
      </c>
      <c r="C19" s="14"/>
      <c r="D19" s="15"/>
      <c r="E19" s="16"/>
      <c r="F19" s="16">
        <f t="shared" si="1"/>
        <v>0</v>
      </c>
      <c r="G19" s="16"/>
      <c r="H19" s="17">
        <f t="shared" si="0"/>
        <v>0</v>
      </c>
      <c r="I19" s="15"/>
    </row>
    <row r="20" spans="1:9" x14ac:dyDescent="0.25">
      <c r="A20" s="12"/>
      <c r="B20" s="13" t="s">
        <v>33</v>
      </c>
      <c r="C20" s="14"/>
      <c r="D20" s="15">
        <f>'APRIL 21'!H20:H43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12" t="s">
        <v>50</v>
      </c>
      <c r="B21" s="13" t="s">
        <v>34</v>
      </c>
      <c r="C21" s="14"/>
      <c r="D21" s="15">
        <f>'APRIL 21'!H21:H44</f>
        <v>1500</v>
      </c>
      <c r="E21" s="16">
        <v>4500</v>
      </c>
      <c r="F21" s="16">
        <f>C21+D21+E21</f>
        <v>6000</v>
      </c>
      <c r="G21" s="16">
        <f>4000</f>
        <v>4000</v>
      </c>
      <c r="H21" s="17">
        <f t="shared" ref="H21:H26" si="2">F21-G21</f>
        <v>2000</v>
      </c>
      <c r="I21" s="15"/>
    </row>
    <row r="22" spans="1:9" x14ac:dyDescent="0.25">
      <c r="A22" s="12"/>
      <c r="B22" s="13" t="s">
        <v>35</v>
      </c>
      <c r="C22" s="14"/>
      <c r="D22" s="15">
        <f>'APRIL 21'!H22:H45</f>
        <v>0</v>
      </c>
      <c r="E22" s="16"/>
      <c r="F22" s="16">
        <f>C22+D22+E22</f>
        <v>0</v>
      </c>
      <c r="G22" s="16"/>
      <c r="H22" s="17">
        <f t="shared" si="2"/>
        <v>0</v>
      </c>
      <c r="I22" s="15"/>
    </row>
    <row r="23" spans="1:9" x14ac:dyDescent="0.25">
      <c r="A23" s="21"/>
      <c r="B23" s="13" t="s">
        <v>36</v>
      </c>
      <c r="C23" s="14"/>
      <c r="D23" s="15">
        <f>'APRIL 21'!H23:H46</f>
        <v>0</v>
      </c>
      <c r="E23" s="16"/>
      <c r="F23" s="16">
        <f t="shared" si="1"/>
        <v>0</v>
      </c>
      <c r="G23" s="16"/>
      <c r="H23" s="17">
        <f t="shared" si="2"/>
        <v>0</v>
      </c>
      <c r="I23" s="15"/>
    </row>
    <row r="24" spans="1:9" x14ac:dyDescent="0.25">
      <c r="A24" s="24"/>
      <c r="B24" s="13" t="s">
        <v>37</v>
      </c>
      <c r="C24" s="14"/>
      <c r="D24" s="15">
        <f>'APRIL 21'!H24:H47</f>
        <v>0</v>
      </c>
      <c r="E24" s="16"/>
      <c r="F24" s="16">
        <f t="shared" si="1"/>
        <v>0</v>
      </c>
      <c r="G24" s="16"/>
      <c r="H24" s="17">
        <f t="shared" si="2"/>
        <v>0</v>
      </c>
      <c r="I24" s="15"/>
    </row>
    <row r="25" spans="1:9" x14ac:dyDescent="0.25">
      <c r="A25" s="21"/>
      <c r="B25" s="13" t="s">
        <v>38</v>
      </c>
      <c r="C25" s="14"/>
      <c r="D25" s="15">
        <f>'APRIL 21'!H25:H48</f>
        <v>0</v>
      </c>
      <c r="E25" s="16"/>
      <c r="F25" s="16">
        <f t="shared" si="1"/>
        <v>0</v>
      </c>
      <c r="G25" s="16"/>
      <c r="H25" s="17">
        <f t="shared" si="2"/>
        <v>0</v>
      </c>
      <c r="I25" s="15"/>
    </row>
    <row r="26" spans="1:9" x14ac:dyDescent="0.25">
      <c r="A26" s="21"/>
      <c r="B26" s="13" t="s">
        <v>39</v>
      </c>
      <c r="C26" s="14"/>
      <c r="D26" s="15">
        <f>'APRIL 21'!H26:H49</f>
        <v>0</v>
      </c>
      <c r="E26" s="16"/>
      <c r="F26" s="16">
        <f>C26+D26+E26</f>
        <v>0</v>
      </c>
      <c r="G26" s="16"/>
      <c r="H26" s="17">
        <f t="shared" si="2"/>
        <v>0</v>
      </c>
      <c r="I26" s="15"/>
    </row>
    <row r="27" spans="1:9" x14ac:dyDescent="0.25">
      <c r="A27" s="21"/>
      <c r="B27" s="13"/>
      <c r="C27" s="14"/>
      <c r="D27" s="15">
        <f>'APRIL 21'!H27:H50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5" t="s">
        <v>11</v>
      </c>
      <c r="B28" s="26"/>
      <c r="C28" s="14">
        <f t="shared" ref="C28:I28" si="3">SUM(C6:C27)</f>
        <v>4000</v>
      </c>
      <c r="D28" s="15">
        <f>SUM(D6:D27)</f>
        <v>6750</v>
      </c>
      <c r="E28" s="27">
        <f t="shared" si="3"/>
        <v>32350</v>
      </c>
      <c r="F28" s="16">
        <f t="shared" si="3"/>
        <v>43100</v>
      </c>
      <c r="G28" s="16">
        <f t="shared" si="3"/>
        <v>33500</v>
      </c>
      <c r="H28" s="16">
        <f t="shared" si="3"/>
        <v>6600</v>
      </c>
      <c r="I28" s="15">
        <f t="shared" si="3"/>
        <v>0</v>
      </c>
    </row>
    <row r="29" spans="1:9" x14ac:dyDescent="0.25">
      <c r="D29" s="15">
        <f>'APRIL 21'!H29:H52</f>
        <v>11750</v>
      </c>
      <c r="H29" s="28">
        <f>H28-H19-H17-H6</f>
        <v>6250</v>
      </c>
      <c r="I29" s="3"/>
    </row>
    <row r="31" spans="1:9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4"/>
    </row>
    <row r="33" spans="1:11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1" x14ac:dyDescent="0.25">
      <c r="A34" s="26" t="s">
        <v>87</v>
      </c>
      <c r="B34" s="38">
        <f>E28</f>
        <v>32350</v>
      </c>
      <c r="C34" s="26"/>
      <c r="D34" s="26"/>
      <c r="E34" s="26" t="s">
        <v>87</v>
      </c>
      <c r="F34" s="38">
        <f>G28</f>
        <v>33500</v>
      </c>
      <c r="G34" s="26"/>
      <c r="H34" s="26"/>
      <c r="I34" s="34"/>
    </row>
    <row r="35" spans="1:11" x14ac:dyDescent="0.25">
      <c r="A35" s="26" t="s">
        <v>19</v>
      </c>
      <c r="B35" s="38">
        <f>'APRIL 21'!D48</f>
        <v>-1037</v>
      </c>
      <c r="C35" s="26"/>
      <c r="D35" s="26"/>
      <c r="E35" s="26" t="s">
        <v>19</v>
      </c>
      <c r="F35" s="38">
        <f>'APRIL 21'!H48</f>
        <v>-7787</v>
      </c>
      <c r="G35" s="26"/>
      <c r="H35" s="26"/>
      <c r="I35" s="34"/>
      <c r="J35" s="28">
        <f>E17</f>
        <v>850</v>
      </c>
    </row>
    <row r="36" spans="1:11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  <c r="J36" s="28">
        <f>B38*J35</f>
        <v>85</v>
      </c>
    </row>
    <row r="37" spans="1:11" x14ac:dyDescent="0.25">
      <c r="A37" s="26" t="s">
        <v>99</v>
      </c>
      <c r="B37" s="38">
        <f>2000+1000</f>
        <v>3000</v>
      </c>
      <c r="C37" s="26"/>
      <c r="D37" s="26"/>
      <c r="E37" s="26"/>
      <c r="F37" s="38"/>
      <c r="G37" s="26"/>
      <c r="H37" s="26"/>
      <c r="I37" s="3"/>
      <c r="J37" s="28">
        <f>J35-J36</f>
        <v>765</v>
      </c>
    </row>
    <row r="38" spans="1:11" x14ac:dyDescent="0.25">
      <c r="A38" s="26" t="s">
        <v>21</v>
      </c>
      <c r="B38" s="39">
        <v>0.1</v>
      </c>
      <c r="C38" s="38">
        <f>B38*B34</f>
        <v>3235</v>
      </c>
      <c r="D38" s="26"/>
      <c r="E38" s="26" t="s">
        <v>21</v>
      </c>
      <c r="F38" s="39">
        <v>0.1</v>
      </c>
      <c r="G38" s="38">
        <f>F38*B34</f>
        <v>3235</v>
      </c>
      <c r="H38" s="26"/>
      <c r="I38" s="3"/>
    </row>
    <row r="39" spans="1:11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</row>
    <row r="40" spans="1:11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</row>
    <row r="41" spans="1:11" x14ac:dyDescent="0.25">
      <c r="A41" s="40" t="s">
        <v>89</v>
      </c>
      <c r="C41">
        <v>3000</v>
      </c>
      <c r="D41" s="42"/>
      <c r="E41" s="40"/>
      <c r="H41" s="26"/>
      <c r="I41" s="3"/>
    </row>
    <row r="42" spans="1:11" x14ac:dyDescent="0.25">
      <c r="A42" s="40" t="s">
        <v>92</v>
      </c>
      <c r="B42" s="39"/>
      <c r="C42" s="26">
        <v>10000</v>
      </c>
      <c r="D42" s="26"/>
      <c r="E42" s="40" t="s">
        <v>92</v>
      </c>
      <c r="F42" s="39"/>
      <c r="G42" s="26">
        <v>10000</v>
      </c>
      <c r="H42" s="26"/>
      <c r="I42" s="34"/>
      <c r="J42" s="28"/>
      <c r="K42">
        <f>15000</f>
        <v>15000</v>
      </c>
    </row>
    <row r="43" spans="1:11" x14ac:dyDescent="0.25">
      <c r="A43" s="40" t="s">
        <v>95</v>
      </c>
      <c r="B43" s="39"/>
      <c r="C43" s="26">
        <v>14313</v>
      </c>
      <c r="D43" s="26"/>
      <c r="E43" s="40" t="s">
        <v>95</v>
      </c>
      <c r="F43" s="39"/>
      <c r="G43" s="26">
        <v>14313</v>
      </c>
      <c r="H43" s="26"/>
      <c r="I43" s="43"/>
      <c r="J43" s="28"/>
      <c r="K43">
        <v>8500</v>
      </c>
    </row>
    <row r="44" spans="1:11" x14ac:dyDescent="0.25">
      <c r="A44" s="40"/>
      <c r="B44" s="26"/>
      <c r="C44" s="42"/>
      <c r="D44" s="26"/>
      <c r="E44" s="40"/>
      <c r="F44" s="26"/>
      <c r="G44" s="42"/>
      <c r="H44" s="26"/>
      <c r="I44" s="3"/>
      <c r="K44">
        <f>4*2000</f>
        <v>8000</v>
      </c>
    </row>
    <row r="45" spans="1:11" x14ac:dyDescent="0.25">
      <c r="A45" s="40"/>
      <c r="B45" s="26"/>
      <c r="C45" s="42"/>
      <c r="D45" s="26"/>
      <c r="E45" s="40"/>
      <c r="F45" s="26"/>
      <c r="G45" s="42"/>
      <c r="H45" s="26"/>
      <c r="I45" s="3"/>
      <c r="J45" s="28"/>
      <c r="K45">
        <f>SUM(K42:K44)</f>
        <v>31500</v>
      </c>
    </row>
    <row r="46" spans="1:11" x14ac:dyDescent="0.25">
      <c r="A46" s="40"/>
      <c r="B46" s="26"/>
      <c r="C46" s="42"/>
      <c r="D46" s="26"/>
      <c r="E46" s="40"/>
      <c r="F46" s="26"/>
      <c r="G46" s="42"/>
      <c r="H46" s="26"/>
      <c r="I46" s="3"/>
      <c r="J46" t="s">
        <v>92</v>
      </c>
      <c r="K46">
        <v>10000</v>
      </c>
    </row>
    <row r="47" spans="1:11" x14ac:dyDescent="0.25">
      <c r="A47" s="40"/>
      <c r="B47" s="26"/>
      <c r="C47" s="42"/>
      <c r="D47" s="26"/>
      <c r="E47" s="40"/>
      <c r="F47" s="26"/>
      <c r="G47" s="42"/>
      <c r="H47" s="26"/>
      <c r="I47" s="3"/>
      <c r="J47" s="44"/>
      <c r="K47">
        <f>K45-K46</f>
        <v>21500</v>
      </c>
    </row>
    <row r="48" spans="1:11" x14ac:dyDescent="0.25">
      <c r="A48" s="37" t="s">
        <v>11</v>
      </c>
      <c r="B48" s="45">
        <f>B37+B34+B35+B36-C38</f>
        <v>31078</v>
      </c>
      <c r="C48" s="45">
        <f>SUM(C40:C47)</f>
        <v>27313</v>
      </c>
      <c r="D48" s="45">
        <f>B48-C48</f>
        <v>3765</v>
      </c>
      <c r="E48" s="37" t="s">
        <v>11</v>
      </c>
      <c r="F48" s="45">
        <f>F34+F35+F37-G38</f>
        <v>22478</v>
      </c>
      <c r="G48" s="45">
        <f>SUM(G40:G47)</f>
        <v>24313</v>
      </c>
      <c r="H48" s="45">
        <f>F48-G48</f>
        <v>-1835</v>
      </c>
      <c r="I48" s="43"/>
      <c r="J48" t="s">
        <v>21</v>
      </c>
      <c r="K48" s="44">
        <f>C38</f>
        <v>3235</v>
      </c>
    </row>
    <row r="49" spans="1:13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  <c r="K49" s="44">
        <f>K47-K48</f>
        <v>18265</v>
      </c>
      <c r="M49">
        <f>6500/30</f>
        <v>216.66666666666666</v>
      </c>
    </row>
    <row r="50" spans="1:13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  <c r="J50" t="s">
        <v>93</v>
      </c>
      <c r="K50">
        <f>C41+1037</f>
        <v>4037</v>
      </c>
      <c r="M50">
        <f>M49*14</f>
        <v>3033.333333333333</v>
      </c>
    </row>
    <row r="51" spans="1:13" x14ac:dyDescent="0.25">
      <c r="I51" s="44"/>
      <c r="M51">
        <f>6500</f>
        <v>6500</v>
      </c>
    </row>
    <row r="52" spans="1:13" x14ac:dyDescent="0.25">
      <c r="J52" t="s">
        <v>94</v>
      </c>
      <c r="K52" s="44">
        <f>K49-K50</f>
        <v>14228</v>
      </c>
      <c r="M52">
        <v>1000</v>
      </c>
    </row>
    <row r="53" spans="1:13" x14ac:dyDescent="0.25">
      <c r="M53">
        <f>M50+M51+M52</f>
        <v>10533.333333333332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4"/>
  <sheetViews>
    <sheetView topLeftCell="A10" workbookViewId="0">
      <selection activeCell="K34" sqref="K34"/>
    </sheetView>
  </sheetViews>
  <sheetFormatPr defaultRowHeight="15" x14ac:dyDescent="0.25"/>
  <cols>
    <col min="1" max="1" width="25.85546875" customWidth="1"/>
  </cols>
  <sheetData>
    <row r="2" spans="1:10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10" ht="15.75" x14ac:dyDescent="0.25"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100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2" t="s">
        <v>91</v>
      </c>
      <c r="B6" s="13">
        <v>1</v>
      </c>
      <c r="C6" s="14"/>
      <c r="D6" s="15">
        <f>'MAY 21'!H6:H29</f>
        <v>0</v>
      </c>
      <c r="E6" s="16">
        <v>2500</v>
      </c>
      <c r="F6" s="16">
        <f>C6+D6+E6</f>
        <v>2500</v>
      </c>
      <c r="G6" s="16">
        <f>1000+1500</f>
        <v>2500</v>
      </c>
      <c r="H6" s="17">
        <f>F6-G6</f>
        <v>0</v>
      </c>
      <c r="I6" s="15"/>
    </row>
    <row r="7" spans="1:10" x14ac:dyDescent="0.25">
      <c r="A7" t="s">
        <v>97</v>
      </c>
      <c r="B7" s="13">
        <v>2</v>
      </c>
      <c r="C7" s="14"/>
      <c r="D7" s="15">
        <f>'MAY 21'!H7:H30</f>
        <v>500</v>
      </c>
      <c r="E7" s="16">
        <v>1400</v>
      </c>
      <c r="F7" s="16">
        <f>C7+D7+E7</f>
        <v>1900</v>
      </c>
      <c r="G7" s="16">
        <f>500+500+900</f>
        <v>1900</v>
      </c>
      <c r="H7" s="17">
        <f t="shared" ref="H7:H27" si="0">F7-G7</f>
        <v>0</v>
      </c>
      <c r="I7" s="15"/>
    </row>
    <row r="8" spans="1:10" x14ac:dyDescent="0.25">
      <c r="A8" s="18" t="s">
        <v>42</v>
      </c>
      <c r="B8" s="13">
        <v>3</v>
      </c>
      <c r="C8" s="14"/>
      <c r="D8" s="15">
        <f>'MAY 21'!H8:H31</f>
        <v>1250</v>
      </c>
      <c r="E8" s="16">
        <f>2500</f>
        <v>2500</v>
      </c>
      <c r="F8" s="16">
        <f>C8+D8+E8</f>
        <v>3750</v>
      </c>
      <c r="G8" s="16">
        <f>1000+1000+500</f>
        <v>2500</v>
      </c>
      <c r="H8" s="17">
        <f t="shared" si="0"/>
        <v>1250</v>
      </c>
      <c r="I8" s="15"/>
    </row>
    <row r="9" spans="1:10" x14ac:dyDescent="0.25">
      <c r="A9" s="19" t="s">
        <v>53</v>
      </c>
      <c r="B9" s="13">
        <v>4</v>
      </c>
      <c r="C9" s="14"/>
      <c r="D9" s="15">
        <f>'MAY 21'!H9:H32</f>
        <v>0</v>
      </c>
      <c r="E9" s="16">
        <v>2500</v>
      </c>
      <c r="F9" s="16">
        <f>C9+D9+E9</f>
        <v>2500</v>
      </c>
      <c r="G9" s="16">
        <f>2500</f>
        <v>2500</v>
      </c>
      <c r="H9" s="17">
        <f>F9-G9</f>
        <v>0</v>
      </c>
      <c r="I9" s="15"/>
    </row>
    <row r="10" spans="1:10" x14ac:dyDescent="0.25">
      <c r="A10" s="19" t="s">
        <v>46</v>
      </c>
      <c r="B10" s="13">
        <v>5</v>
      </c>
      <c r="C10" s="14"/>
      <c r="D10" s="15">
        <f>'MAY 21'!H10:H33</f>
        <v>0</v>
      </c>
      <c r="E10" s="16">
        <v>2500</v>
      </c>
      <c r="F10" s="16">
        <f t="shared" ref="F10:F27" si="1">C10+D10+E10</f>
        <v>2500</v>
      </c>
      <c r="G10" s="16">
        <f>2500</f>
        <v>2500</v>
      </c>
      <c r="H10" s="17"/>
      <c r="I10" s="15"/>
    </row>
    <row r="11" spans="1:10" x14ac:dyDescent="0.25">
      <c r="A11" s="49" t="s">
        <v>46</v>
      </c>
      <c r="B11" s="13">
        <v>6</v>
      </c>
      <c r="C11" s="14"/>
      <c r="D11" s="15">
        <f>'MAY 21'!H11:H34</f>
        <v>0</v>
      </c>
      <c r="E11" s="16">
        <v>2500</v>
      </c>
      <c r="F11" s="52">
        <f t="shared" si="1"/>
        <v>2500</v>
      </c>
      <c r="G11" s="16">
        <v>2500</v>
      </c>
      <c r="H11" s="17"/>
      <c r="I11" s="15"/>
      <c r="J11" s="50"/>
    </row>
    <row r="12" spans="1:10" x14ac:dyDescent="0.25">
      <c r="A12" s="19" t="s">
        <v>52</v>
      </c>
      <c r="B12" s="13">
        <v>7</v>
      </c>
      <c r="C12" s="14"/>
      <c r="D12" s="15">
        <f>'MAY 21'!H12:H35</f>
        <v>500</v>
      </c>
      <c r="E12" s="16">
        <v>2500</v>
      </c>
      <c r="F12" s="16">
        <f t="shared" si="1"/>
        <v>3000</v>
      </c>
      <c r="G12" s="16">
        <f>2500</f>
        <v>2500</v>
      </c>
      <c r="H12" s="17">
        <f t="shared" si="0"/>
        <v>500</v>
      </c>
      <c r="I12" s="15"/>
    </row>
    <row r="13" spans="1:10" x14ac:dyDescent="0.25">
      <c r="A13" s="20" t="s">
        <v>43</v>
      </c>
      <c r="B13" s="13">
        <v>8</v>
      </c>
      <c r="C13" s="14"/>
      <c r="D13" s="15">
        <f>'MAY 21'!H13:H36</f>
        <v>0</v>
      </c>
      <c r="E13" s="16">
        <v>2000</v>
      </c>
      <c r="F13" s="16">
        <f t="shared" si="1"/>
        <v>2000</v>
      </c>
      <c r="G13" s="16">
        <v>2000</v>
      </c>
      <c r="H13" s="17">
        <f t="shared" si="0"/>
        <v>0</v>
      </c>
      <c r="I13" s="15"/>
    </row>
    <row r="14" spans="1:10" x14ac:dyDescent="0.25">
      <c r="A14" s="20" t="s">
        <v>45</v>
      </c>
      <c r="B14" s="13">
        <v>9</v>
      </c>
      <c r="C14" s="14"/>
      <c r="D14" s="15">
        <f>'MAY 21'!H14:H37</f>
        <v>0</v>
      </c>
      <c r="E14" s="16">
        <v>2000</v>
      </c>
      <c r="F14" s="16">
        <f t="shared" si="1"/>
        <v>2000</v>
      </c>
      <c r="G14" s="16">
        <f>2000</f>
        <v>2000</v>
      </c>
      <c r="H14" s="17">
        <f t="shared" si="0"/>
        <v>0</v>
      </c>
      <c r="I14" s="15"/>
    </row>
    <row r="15" spans="1:10" x14ac:dyDescent="0.25">
      <c r="A15" s="21" t="s">
        <v>98</v>
      </c>
      <c r="B15" s="22">
        <v>10</v>
      </c>
      <c r="C15" s="14">
        <v>1000</v>
      </c>
      <c r="D15" s="15"/>
      <c r="E15" s="16">
        <v>2000</v>
      </c>
      <c r="F15" s="16">
        <f t="shared" si="1"/>
        <v>3000</v>
      </c>
      <c r="G15" s="16">
        <f>1500+500+500</f>
        <v>2500</v>
      </c>
      <c r="H15" s="17">
        <f t="shared" si="0"/>
        <v>500</v>
      </c>
      <c r="I15" s="15"/>
    </row>
    <row r="16" spans="1:10" x14ac:dyDescent="0.25">
      <c r="A16" s="23" t="s">
        <v>47</v>
      </c>
      <c r="B16" s="13">
        <v>11</v>
      </c>
      <c r="C16" s="14"/>
      <c r="D16" s="15">
        <f>'MAY 21'!H16:H39</f>
        <v>1000</v>
      </c>
      <c r="E16" s="16">
        <v>2000</v>
      </c>
      <c r="F16" s="16">
        <f>C16+D16+E16</f>
        <v>3000</v>
      </c>
      <c r="G16" s="16">
        <f>2000</f>
        <v>2000</v>
      </c>
      <c r="H16" s="17">
        <f t="shared" si="0"/>
        <v>1000</v>
      </c>
      <c r="I16" s="15"/>
    </row>
    <row r="17" spans="1:15" x14ac:dyDescent="0.25">
      <c r="A17" s="55" t="s">
        <v>96</v>
      </c>
      <c r="B17" s="13">
        <v>12</v>
      </c>
      <c r="C17" s="14"/>
      <c r="D17" s="15">
        <f>'MAY 21'!H17:H40</f>
        <v>350</v>
      </c>
      <c r="E17" s="16">
        <v>2000</v>
      </c>
      <c r="F17" s="16">
        <f t="shared" si="1"/>
        <v>2350</v>
      </c>
      <c r="G17" s="16">
        <f>2000+300</f>
        <v>2300</v>
      </c>
      <c r="H17" s="17">
        <f t="shared" si="0"/>
        <v>50</v>
      </c>
      <c r="I17" s="15"/>
    </row>
    <row r="18" spans="1:15" x14ac:dyDescent="0.25">
      <c r="A18" s="21" t="s">
        <v>80</v>
      </c>
      <c r="B18" s="13" t="s">
        <v>31</v>
      </c>
      <c r="C18" s="14"/>
      <c r="D18" s="15">
        <f>'MAY 21'!H18:H41</f>
        <v>0</v>
      </c>
      <c r="E18" s="16">
        <v>4000</v>
      </c>
      <c r="F18" s="16">
        <f t="shared" si="1"/>
        <v>4000</v>
      </c>
      <c r="G18" s="16">
        <v>4000</v>
      </c>
      <c r="H18" s="17">
        <f t="shared" si="0"/>
        <v>0</v>
      </c>
      <c r="I18" s="15"/>
    </row>
    <row r="19" spans="1:15" x14ac:dyDescent="0.25">
      <c r="A19" s="53" t="s">
        <v>68</v>
      </c>
      <c r="B19" s="54" t="s">
        <v>32</v>
      </c>
      <c r="C19" s="14"/>
      <c r="D19" s="15">
        <f>'MAY 21'!H19:H42</f>
        <v>0</v>
      </c>
      <c r="E19" s="16"/>
      <c r="F19" s="16">
        <f t="shared" si="1"/>
        <v>0</v>
      </c>
      <c r="G19" s="16"/>
      <c r="H19" s="17">
        <f t="shared" si="0"/>
        <v>0</v>
      </c>
      <c r="I19" s="15"/>
    </row>
    <row r="20" spans="1:15" x14ac:dyDescent="0.25">
      <c r="A20" s="12"/>
      <c r="B20" s="13" t="s">
        <v>33</v>
      </c>
      <c r="C20" s="14"/>
      <c r="D20" s="15">
        <f>'MAY 21'!H20:H43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15" x14ac:dyDescent="0.25">
      <c r="A21" s="12" t="s">
        <v>50</v>
      </c>
      <c r="B21" s="13" t="s">
        <v>34</v>
      </c>
      <c r="C21" s="14"/>
      <c r="D21" s="15">
        <f>'MAY 21'!H21:H44</f>
        <v>2000</v>
      </c>
      <c r="E21" s="16">
        <v>4500</v>
      </c>
      <c r="F21" s="16">
        <f>C21+D21+E21</f>
        <v>6500</v>
      </c>
      <c r="G21" s="16">
        <v>5000</v>
      </c>
      <c r="H21" s="17">
        <f t="shared" ref="H21:H26" si="2">F21-G21</f>
        <v>1500</v>
      </c>
      <c r="I21" s="15"/>
    </row>
    <row r="22" spans="1:15" x14ac:dyDescent="0.25">
      <c r="A22" s="12"/>
      <c r="B22" s="13" t="s">
        <v>35</v>
      </c>
      <c r="C22" s="14"/>
      <c r="D22" s="15">
        <f>'MAY 21'!H22:H45</f>
        <v>0</v>
      </c>
      <c r="E22" s="16"/>
      <c r="F22" s="16">
        <f>C22+D22+E22</f>
        <v>0</v>
      </c>
      <c r="G22" s="16"/>
      <c r="H22" s="17">
        <f t="shared" si="2"/>
        <v>0</v>
      </c>
      <c r="I22" s="15"/>
    </row>
    <row r="23" spans="1:15" x14ac:dyDescent="0.25">
      <c r="A23" s="21"/>
      <c r="B23" s="13" t="s">
        <v>36</v>
      </c>
      <c r="C23" s="14"/>
      <c r="D23" s="15">
        <f>'MAY 21'!H23:H46</f>
        <v>0</v>
      </c>
      <c r="E23" s="16"/>
      <c r="F23" s="16">
        <f t="shared" si="1"/>
        <v>0</v>
      </c>
      <c r="G23" s="16"/>
      <c r="H23" s="17">
        <f t="shared" si="2"/>
        <v>0</v>
      </c>
      <c r="I23" s="15"/>
    </row>
    <row r="24" spans="1:15" x14ac:dyDescent="0.25">
      <c r="A24" s="24"/>
      <c r="B24" s="13" t="s">
        <v>37</v>
      </c>
      <c r="C24" s="14"/>
      <c r="D24" s="15">
        <f>'MAY 21'!H24:H47</f>
        <v>0</v>
      </c>
      <c r="E24" s="16"/>
      <c r="F24" s="16">
        <f t="shared" si="1"/>
        <v>0</v>
      </c>
      <c r="G24" s="16"/>
      <c r="H24" s="17">
        <f t="shared" si="2"/>
        <v>0</v>
      </c>
      <c r="I24" s="15"/>
    </row>
    <row r="25" spans="1:15" x14ac:dyDescent="0.25">
      <c r="A25" s="21"/>
      <c r="B25" s="13" t="s">
        <v>38</v>
      </c>
      <c r="C25" s="14"/>
      <c r="D25" s="15">
        <f>'MAY 21'!H25:H48</f>
        <v>0</v>
      </c>
      <c r="E25" s="16"/>
      <c r="F25" s="16">
        <f t="shared" si="1"/>
        <v>0</v>
      </c>
      <c r="G25" s="16"/>
      <c r="H25" s="17">
        <f t="shared" si="2"/>
        <v>0</v>
      </c>
      <c r="I25" s="15"/>
    </row>
    <row r="26" spans="1:15" x14ac:dyDescent="0.25">
      <c r="A26" s="21"/>
      <c r="B26" s="13" t="s">
        <v>39</v>
      </c>
      <c r="C26" s="14"/>
      <c r="D26" s="15">
        <f>'MAY 21'!H26:H49</f>
        <v>0</v>
      </c>
      <c r="E26" s="16"/>
      <c r="F26" s="16">
        <f>C26+D26+E26</f>
        <v>0</v>
      </c>
      <c r="G26" s="16"/>
      <c r="H26" s="17">
        <f t="shared" si="2"/>
        <v>0</v>
      </c>
      <c r="I26" s="15"/>
    </row>
    <row r="27" spans="1:15" x14ac:dyDescent="0.25">
      <c r="A27" s="21"/>
      <c r="B27" s="13"/>
      <c r="C27" s="14"/>
      <c r="D27" s="15">
        <f>'MAY 21'!H27:H50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15" x14ac:dyDescent="0.25">
      <c r="A28" s="25" t="s">
        <v>11</v>
      </c>
      <c r="B28" s="26"/>
      <c r="C28" s="14">
        <f t="shared" ref="C28:I28" si="3">SUM(C6:C27)</f>
        <v>1000</v>
      </c>
      <c r="D28" s="15">
        <f>'MAY 21'!H28:H51</f>
        <v>6600</v>
      </c>
      <c r="E28" s="27">
        <f t="shared" si="3"/>
        <v>34900</v>
      </c>
      <c r="F28" s="16">
        <f t="shared" si="3"/>
        <v>41500</v>
      </c>
      <c r="G28" s="16">
        <f t="shared" si="3"/>
        <v>36700</v>
      </c>
      <c r="H28" s="16">
        <f t="shared" si="3"/>
        <v>4800</v>
      </c>
      <c r="I28" s="15">
        <f t="shared" si="3"/>
        <v>0</v>
      </c>
      <c r="O28">
        <f>2500*7</f>
        <v>17500</v>
      </c>
    </row>
    <row r="29" spans="1:15" x14ac:dyDescent="0.25">
      <c r="D29" s="15">
        <f>'MAY 21'!H29:H52</f>
        <v>6250</v>
      </c>
      <c r="H29" s="28">
        <f>H28-H19-H17-H6</f>
        <v>4750</v>
      </c>
      <c r="I29" s="3"/>
      <c r="O29">
        <f>5*2000</f>
        <v>10000</v>
      </c>
    </row>
    <row r="30" spans="1:15" x14ac:dyDescent="0.25">
      <c r="O30">
        <f>O28+O29</f>
        <v>27500</v>
      </c>
    </row>
    <row r="31" spans="1:15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  <c r="O31">
        <f>8500</f>
        <v>8500</v>
      </c>
    </row>
    <row r="32" spans="1:15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4"/>
      <c r="O32">
        <f>O30+O31</f>
        <v>36000</v>
      </c>
    </row>
    <row r="33" spans="1:15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  <c r="O33">
        <v>3600</v>
      </c>
    </row>
    <row r="34" spans="1:15" x14ac:dyDescent="0.25">
      <c r="A34" s="26" t="s">
        <v>101</v>
      </c>
      <c r="B34" s="38">
        <f>E28</f>
        <v>34900</v>
      </c>
      <c r="C34" s="26"/>
      <c r="D34" s="26"/>
      <c r="E34" s="26" t="s">
        <v>101</v>
      </c>
      <c r="F34" s="38">
        <f>G28</f>
        <v>36700</v>
      </c>
      <c r="G34" s="26"/>
      <c r="H34" s="26"/>
      <c r="I34" s="34"/>
      <c r="O34">
        <f>O32-O33</f>
        <v>32400</v>
      </c>
    </row>
    <row r="35" spans="1:15" x14ac:dyDescent="0.25">
      <c r="A35" s="26" t="s">
        <v>19</v>
      </c>
      <c r="B35" s="38">
        <f>'MAY 21'!D48</f>
        <v>3765</v>
      </c>
      <c r="C35" s="26"/>
      <c r="D35" s="26"/>
      <c r="E35" s="26" t="s">
        <v>19</v>
      </c>
      <c r="F35" s="38">
        <f>'MAY 21'!H48</f>
        <v>-1835</v>
      </c>
      <c r="G35" s="26"/>
      <c r="H35" s="26"/>
      <c r="I35" s="34"/>
      <c r="O35">
        <v>10000</v>
      </c>
    </row>
    <row r="36" spans="1:15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  <c r="O36">
        <f>O34-O35</f>
        <v>22400</v>
      </c>
    </row>
    <row r="37" spans="1:15" x14ac:dyDescent="0.25">
      <c r="A37" s="26" t="s">
        <v>103</v>
      </c>
      <c r="B37" s="38">
        <v>500</v>
      </c>
      <c r="C37" s="26"/>
      <c r="D37" s="26"/>
      <c r="E37" s="26"/>
      <c r="F37" s="38"/>
      <c r="G37" s="26"/>
      <c r="H37" s="26"/>
      <c r="I37" s="3"/>
      <c r="O37">
        <f>O36+1000+2000+765</f>
        <v>26165</v>
      </c>
    </row>
    <row r="38" spans="1:15" x14ac:dyDescent="0.25">
      <c r="A38" s="26" t="s">
        <v>21</v>
      </c>
      <c r="B38" s="39">
        <v>0.1</v>
      </c>
      <c r="C38" s="38">
        <f>B38*B34</f>
        <v>3490</v>
      </c>
      <c r="D38" s="26"/>
      <c r="E38" s="26" t="s">
        <v>21</v>
      </c>
      <c r="F38" s="39">
        <v>0.1</v>
      </c>
      <c r="G38" s="38">
        <f>F38*B34</f>
        <v>3490</v>
      </c>
      <c r="H38" s="26"/>
      <c r="I38" s="3"/>
    </row>
    <row r="39" spans="1:15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</row>
    <row r="40" spans="1:15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</row>
    <row r="41" spans="1:15" x14ac:dyDescent="0.25">
      <c r="A41" s="40"/>
      <c r="D41" s="42"/>
      <c r="E41" s="40"/>
      <c r="H41" s="26"/>
      <c r="I41" s="3"/>
    </row>
    <row r="42" spans="1:15" x14ac:dyDescent="0.25">
      <c r="A42" s="40" t="s">
        <v>92</v>
      </c>
      <c r="B42" s="39"/>
      <c r="C42" s="26">
        <v>10000</v>
      </c>
      <c r="D42" s="26"/>
      <c r="E42" s="40" t="s">
        <v>92</v>
      </c>
      <c r="F42" s="39"/>
      <c r="G42" s="26">
        <v>10000</v>
      </c>
      <c r="H42" s="26"/>
      <c r="I42" s="34"/>
      <c r="J42" s="28"/>
    </row>
    <row r="43" spans="1:15" x14ac:dyDescent="0.25">
      <c r="A43" s="40" t="s">
        <v>102</v>
      </c>
      <c r="B43" s="39"/>
      <c r="C43" s="26">
        <v>26165</v>
      </c>
      <c r="D43" s="26"/>
      <c r="E43" s="40" t="s">
        <v>102</v>
      </c>
      <c r="F43" s="39"/>
      <c r="G43" s="26">
        <v>26165</v>
      </c>
      <c r="H43" s="26"/>
      <c r="I43" s="43"/>
      <c r="J43" s="28"/>
    </row>
    <row r="44" spans="1:15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5" x14ac:dyDescent="0.25">
      <c r="A45" s="40"/>
      <c r="B45" s="26"/>
      <c r="C45" s="42"/>
      <c r="D45" s="26"/>
      <c r="E45" s="40"/>
      <c r="F45" s="26"/>
      <c r="G45" s="42"/>
      <c r="H45" s="26"/>
      <c r="I45" s="3"/>
      <c r="J45" s="28"/>
    </row>
    <row r="46" spans="1:15" x14ac:dyDescent="0.25">
      <c r="A46" s="40"/>
      <c r="B46" s="26"/>
      <c r="C46" s="42"/>
      <c r="D46" s="26"/>
      <c r="E46" s="40"/>
      <c r="F46" s="26"/>
      <c r="G46" s="42"/>
      <c r="H46" s="26"/>
      <c r="I46" s="3"/>
    </row>
    <row r="47" spans="1:15" x14ac:dyDescent="0.25">
      <c r="A47" s="40"/>
      <c r="B47" s="26"/>
      <c r="C47" s="42"/>
      <c r="D47" s="26"/>
      <c r="E47" s="40"/>
      <c r="F47" s="26"/>
      <c r="G47" s="42"/>
      <c r="H47" s="26"/>
      <c r="I47" s="3"/>
      <c r="J47" s="44"/>
    </row>
    <row r="48" spans="1:15" x14ac:dyDescent="0.25">
      <c r="A48" s="37" t="s">
        <v>11</v>
      </c>
      <c r="B48" s="45">
        <f>B37+B34+B35+B36-C38</f>
        <v>35675</v>
      </c>
      <c r="C48" s="45">
        <f>SUM(C40:C47)</f>
        <v>36165</v>
      </c>
      <c r="D48" s="45">
        <f>B48-C48</f>
        <v>-490</v>
      </c>
      <c r="E48" s="37" t="s">
        <v>11</v>
      </c>
      <c r="F48" s="45">
        <f>F34+F35+F37-G38</f>
        <v>31375</v>
      </c>
      <c r="G48" s="45">
        <f>SUM(G40:G47)</f>
        <v>36165</v>
      </c>
      <c r="H48" s="45">
        <f>F48-G48</f>
        <v>-4790</v>
      </c>
      <c r="I48" s="43"/>
    </row>
    <row r="49" spans="1:10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10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</row>
    <row r="51" spans="1:10" x14ac:dyDescent="0.25">
      <c r="I51" s="44"/>
    </row>
    <row r="54" spans="1:10" x14ac:dyDescent="0.25">
      <c r="J54" s="4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topLeftCell="A10" workbookViewId="0">
      <selection activeCell="C42" sqref="C42"/>
    </sheetView>
  </sheetViews>
  <sheetFormatPr defaultRowHeight="15" x14ac:dyDescent="0.25"/>
  <cols>
    <col min="1" max="1" width="19.42578125" bestFit="1" customWidth="1"/>
  </cols>
  <sheetData>
    <row r="2" spans="1:10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10" ht="15.75" x14ac:dyDescent="0.25"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104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2" t="s">
        <v>91</v>
      </c>
      <c r="B6" s="13">
        <v>1</v>
      </c>
      <c r="C6" s="14"/>
      <c r="D6" s="15">
        <f>JUNE21!H6:H28</f>
        <v>0</v>
      </c>
      <c r="E6" s="16">
        <v>2500</v>
      </c>
      <c r="F6" s="16">
        <f>C6+D6+E6</f>
        <v>2500</v>
      </c>
      <c r="G6" s="16">
        <v>2500</v>
      </c>
      <c r="H6" s="17">
        <f>F6-G6</f>
        <v>0</v>
      </c>
      <c r="I6" s="15"/>
    </row>
    <row r="7" spans="1:10" x14ac:dyDescent="0.25">
      <c r="A7" t="s">
        <v>106</v>
      </c>
      <c r="B7" s="13">
        <v>2</v>
      </c>
      <c r="C7" s="14">
        <v>2500</v>
      </c>
      <c r="D7" s="15"/>
      <c r="E7" s="16">
        <v>2500</v>
      </c>
      <c r="F7" s="16">
        <f>C7+D7+E7</f>
        <v>5000</v>
      </c>
      <c r="G7" s="16">
        <v>5000</v>
      </c>
      <c r="H7" s="17">
        <f t="shared" ref="H7:H27" si="0">F7-G7</f>
        <v>0</v>
      </c>
      <c r="I7" s="15"/>
    </row>
    <row r="8" spans="1:10" x14ac:dyDescent="0.25">
      <c r="A8" s="18" t="s">
        <v>42</v>
      </c>
      <c r="B8" s="13">
        <v>3</v>
      </c>
      <c r="C8" s="14"/>
      <c r="D8" s="15">
        <f>JUNE21!H8:H30</f>
        <v>1250</v>
      </c>
      <c r="E8" s="16">
        <f>2500</f>
        <v>2500</v>
      </c>
      <c r="F8" s="16">
        <f>C8+D8+E8</f>
        <v>3750</v>
      </c>
      <c r="G8" s="16">
        <v>2500</v>
      </c>
      <c r="H8" s="17">
        <f t="shared" si="0"/>
        <v>1250</v>
      </c>
      <c r="I8" s="15"/>
    </row>
    <row r="9" spans="1:10" x14ac:dyDescent="0.25">
      <c r="A9" s="19" t="s">
        <v>53</v>
      </c>
      <c r="B9" s="13">
        <v>4</v>
      </c>
      <c r="C9" s="14"/>
      <c r="D9" s="15">
        <f>JUNE21!H9:H31</f>
        <v>0</v>
      </c>
      <c r="E9" s="16">
        <v>2500</v>
      </c>
      <c r="F9" s="16">
        <f>C9+D9+E9</f>
        <v>2500</v>
      </c>
      <c r="G9" s="16">
        <v>2500</v>
      </c>
      <c r="H9" s="17">
        <f>F9-G9</f>
        <v>0</v>
      </c>
      <c r="I9" s="15"/>
    </row>
    <row r="10" spans="1:10" x14ac:dyDescent="0.25">
      <c r="A10" s="19" t="s">
        <v>46</v>
      </c>
      <c r="B10" s="13">
        <v>5</v>
      </c>
      <c r="C10" s="14"/>
      <c r="D10" s="15">
        <f>JUNE21!H10:H32</f>
        <v>0</v>
      </c>
      <c r="E10" s="16">
        <v>2500</v>
      </c>
      <c r="F10" s="16">
        <f t="shared" ref="F10:F27" si="1">C10+D10+E10</f>
        <v>2500</v>
      </c>
      <c r="G10" s="16">
        <v>2000</v>
      </c>
      <c r="H10" s="17">
        <f>F10-G10</f>
        <v>500</v>
      </c>
      <c r="I10" s="15"/>
    </row>
    <row r="11" spans="1:10" x14ac:dyDescent="0.25">
      <c r="A11" s="49" t="s">
        <v>46</v>
      </c>
      <c r="B11" s="13">
        <v>6</v>
      </c>
      <c r="C11" s="14"/>
      <c r="D11" s="15">
        <f>JUNE21!H11:H33</f>
        <v>0</v>
      </c>
      <c r="E11" s="16">
        <v>2500</v>
      </c>
      <c r="F11" s="52">
        <f t="shared" si="1"/>
        <v>2500</v>
      </c>
      <c r="G11" s="16">
        <v>2500</v>
      </c>
      <c r="H11" s="17">
        <f>F11-G11</f>
        <v>0</v>
      </c>
      <c r="I11" s="15"/>
      <c r="J11" s="50"/>
    </row>
    <row r="12" spans="1:10" x14ac:dyDescent="0.25">
      <c r="A12" s="19" t="s">
        <v>52</v>
      </c>
      <c r="B12" s="13">
        <v>7</v>
      </c>
      <c r="C12" s="14"/>
      <c r="D12" s="15">
        <f>JUNE21!H12:H34</f>
        <v>500</v>
      </c>
      <c r="E12" s="16">
        <v>2500</v>
      </c>
      <c r="F12" s="16">
        <f t="shared" si="1"/>
        <v>3000</v>
      </c>
      <c r="G12" s="16"/>
      <c r="H12" s="17">
        <f t="shared" si="0"/>
        <v>3000</v>
      </c>
      <c r="I12" s="15"/>
    </row>
    <row r="13" spans="1:10" x14ac:dyDescent="0.25">
      <c r="A13" s="20" t="s">
        <v>43</v>
      </c>
      <c r="B13" s="13">
        <v>8</v>
      </c>
      <c r="C13" s="14"/>
      <c r="D13" s="15">
        <f>JUNE21!H13:H35</f>
        <v>0</v>
      </c>
      <c r="E13" s="16">
        <v>2000</v>
      </c>
      <c r="F13" s="16">
        <f t="shared" si="1"/>
        <v>2000</v>
      </c>
      <c r="G13" s="16">
        <v>2000</v>
      </c>
      <c r="H13" s="17">
        <f t="shared" si="0"/>
        <v>0</v>
      </c>
      <c r="I13" s="15"/>
    </row>
    <row r="14" spans="1:10" x14ac:dyDescent="0.25">
      <c r="A14" s="20" t="s">
        <v>45</v>
      </c>
      <c r="B14" s="13">
        <v>9</v>
      </c>
      <c r="C14" s="14"/>
      <c r="D14" s="15">
        <f>JUNE21!H14:H36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/>
    </row>
    <row r="15" spans="1:10" x14ac:dyDescent="0.25">
      <c r="A15" s="21" t="s">
        <v>98</v>
      </c>
      <c r="B15" s="22">
        <v>10</v>
      </c>
      <c r="C15" s="14">
        <v>500</v>
      </c>
      <c r="D15" s="15"/>
      <c r="E15" s="16">
        <v>2000</v>
      </c>
      <c r="F15" s="16">
        <f t="shared" si="1"/>
        <v>2500</v>
      </c>
      <c r="G15" s="16">
        <f>1000+1000</f>
        <v>2000</v>
      </c>
      <c r="H15" s="17">
        <f t="shared" si="0"/>
        <v>500</v>
      </c>
      <c r="I15" s="15"/>
    </row>
    <row r="16" spans="1:10" x14ac:dyDescent="0.25">
      <c r="A16" s="23" t="s">
        <v>47</v>
      </c>
      <c r="B16" s="13">
        <v>11</v>
      </c>
      <c r="C16" s="14"/>
      <c r="D16" s="15">
        <f>JUNE21!H16:H38</f>
        <v>1000</v>
      </c>
      <c r="E16" s="16">
        <v>2000</v>
      </c>
      <c r="F16" s="16">
        <f>C16+D16+E16</f>
        <v>3000</v>
      </c>
      <c r="G16" s="16">
        <f>2000</f>
        <v>2000</v>
      </c>
      <c r="H16" s="17">
        <f t="shared" si="0"/>
        <v>1000</v>
      </c>
      <c r="I16" s="15"/>
    </row>
    <row r="17" spans="1:9" x14ac:dyDescent="0.25">
      <c r="A17" s="55" t="s">
        <v>96</v>
      </c>
      <c r="B17" s="13">
        <v>12</v>
      </c>
      <c r="C17" s="14"/>
      <c r="D17" s="15">
        <f>JUNE21!H17:H39</f>
        <v>50</v>
      </c>
      <c r="E17" s="16">
        <v>2000</v>
      </c>
      <c r="F17" s="16">
        <f t="shared" si="1"/>
        <v>2050</v>
      </c>
      <c r="G17" s="16">
        <f>500+500+1050</f>
        <v>2050</v>
      </c>
      <c r="H17" s="17">
        <f t="shared" si="0"/>
        <v>0</v>
      </c>
      <c r="I17" s="15"/>
    </row>
    <row r="18" spans="1:9" x14ac:dyDescent="0.25">
      <c r="A18" s="21" t="s">
        <v>80</v>
      </c>
      <c r="B18" s="13" t="s">
        <v>31</v>
      </c>
      <c r="C18" s="14"/>
      <c r="D18" s="15">
        <f>JUNE21!H18:H40</f>
        <v>0</v>
      </c>
      <c r="E18" s="16">
        <v>4000</v>
      </c>
      <c r="F18" s="16">
        <f t="shared" si="1"/>
        <v>4000</v>
      </c>
      <c r="G18" s="16">
        <v>4000</v>
      </c>
      <c r="H18" s="17">
        <f t="shared" si="0"/>
        <v>0</v>
      </c>
      <c r="I18" s="15"/>
    </row>
    <row r="19" spans="1:9" x14ac:dyDescent="0.25">
      <c r="A19" s="53" t="s">
        <v>68</v>
      </c>
      <c r="B19" s="54" t="s">
        <v>32</v>
      </c>
      <c r="C19" s="14"/>
      <c r="D19" s="15">
        <f>JUNE21!H19:H41</f>
        <v>0</v>
      </c>
      <c r="E19" s="16"/>
      <c r="F19" s="16">
        <f t="shared" si="1"/>
        <v>0</v>
      </c>
      <c r="G19" s="16"/>
      <c r="H19" s="17">
        <f t="shared" si="0"/>
        <v>0</v>
      </c>
      <c r="I19" s="15"/>
    </row>
    <row r="20" spans="1:9" x14ac:dyDescent="0.25">
      <c r="A20" s="12"/>
      <c r="B20" s="13" t="s">
        <v>33</v>
      </c>
      <c r="C20" s="14"/>
      <c r="D20" s="15">
        <f>JUNE21!H20:H42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12" t="s">
        <v>50</v>
      </c>
      <c r="B21" s="13" t="s">
        <v>34</v>
      </c>
      <c r="C21" s="14"/>
      <c r="D21" s="15">
        <f>JUNE21!H21:H43</f>
        <v>1500</v>
      </c>
      <c r="E21" s="16">
        <v>4500</v>
      </c>
      <c r="F21" s="16">
        <f>C21+D21+E21</f>
        <v>6000</v>
      </c>
      <c r="G21" s="16">
        <v>4000</v>
      </c>
      <c r="H21" s="17">
        <f t="shared" ref="H21:H26" si="2">F21-G21</f>
        <v>2000</v>
      </c>
      <c r="I21" s="15"/>
    </row>
    <row r="22" spans="1:9" x14ac:dyDescent="0.25">
      <c r="A22" s="12"/>
      <c r="B22" s="13" t="s">
        <v>35</v>
      </c>
      <c r="C22" s="14"/>
      <c r="D22" s="15">
        <f>JUNE21!H22:H44</f>
        <v>0</v>
      </c>
      <c r="E22" s="16"/>
      <c r="F22" s="16">
        <f>C22+D22+E22</f>
        <v>0</v>
      </c>
      <c r="G22" s="16"/>
      <c r="H22" s="17">
        <f t="shared" si="2"/>
        <v>0</v>
      </c>
      <c r="I22" s="15"/>
    </row>
    <row r="23" spans="1:9" x14ac:dyDescent="0.25">
      <c r="A23" s="21"/>
      <c r="B23" s="13" t="s">
        <v>36</v>
      </c>
      <c r="C23" s="14"/>
      <c r="D23" s="15">
        <f>JUNE21!H23:H45</f>
        <v>0</v>
      </c>
      <c r="E23" s="16"/>
      <c r="F23" s="16">
        <f t="shared" si="1"/>
        <v>0</v>
      </c>
      <c r="G23" s="16"/>
      <c r="H23" s="17">
        <f t="shared" si="2"/>
        <v>0</v>
      </c>
      <c r="I23" s="15"/>
    </row>
    <row r="24" spans="1:9" x14ac:dyDescent="0.25">
      <c r="A24" s="24"/>
      <c r="B24" s="13" t="s">
        <v>37</v>
      </c>
      <c r="C24" s="14"/>
      <c r="D24" s="15">
        <f>JUNE21!H24:H46</f>
        <v>0</v>
      </c>
      <c r="E24" s="16"/>
      <c r="F24" s="16">
        <f t="shared" si="1"/>
        <v>0</v>
      </c>
      <c r="G24" s="16"/>
      <c r="H24" s="17">
        <f t="shared" si="2"/>
        <v>0</v>
      </c>
      <c r="I24" s="15"/>
    </row>
    <row r="25" spans="1:9" x14ac:dyDescent="0.25">
      <c r="A25" s="21" t="s">
        <v>109</v>
      </c>
      <c r="B25" s="13" t="s">
        <v>38</v>
      </c>
      <c r="C25" s="14"/>
      <c r="D25" s="15">
        <f>JUNE21!H25:H47</f>
        <v>0</v>
      </c>
      <c r="E25" s="16">
        <v>2000</v>
      </c>
      <c r="F25" s="16">
        <f t="shared" si="1"/>
        <v>2000</v>
      </c>
      <c r="G25" s="16">
        <v>2000</v>
      </c>
      <c r="H25" s="17">
        <f t="shared" si="2"/>
        <v>0</v>
      </c>
      <c r="I25" s="15"/>
    </row>
    <row r="26" spans="1:9" x14ac:dyDescent="0.25">
      <c r="A26" s="21"/>
      <c r="B26" s="13" t="s">
        <v>39</v>
      </c>
      <c r="C26" s="14"/>
      <c r="D26" s="15">
        <f>JUNE21!H26:H48</f>
        <v>0</v>
      </c>
      <c r="E26" s="16"/>
      <c r="F26" s="16">
        <f>C26+D26+E26</f>
        <v>0</v>
      </c>
      <c r="G26" s="16"/>
      <c r="H26" s="17">
        <f t="shared" si="2"/>
        <v>0</v>
      </c>
      <c r="I26" s="15"/>
    </row>
    <row r="27" spans="1:9" x14ac:dyDescent="0.25">
      <c r="A27" s="21"/>
      <c r="B27" s="13"/>
      <c r="C27" s="14"/>
      <c r="D27" s="15">
        <f>JUNE21!H27:H49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5" t="s">
        <v>11</v>
      </c>
      <c r="B28" s="26"/>
      <c r="C28" s="14">
        <f t="shared" ref="C28:I28" si="3">SUM(C6:C27)</f>
        <v>3000</v>
      </c>
      <c r="D28" s="15">
        <f>SUM(D6:D27)</f>
        <v>4300</v>
      </c>
      <c r="E28" s="27">
        <f t="shared" si="3"/>
        <v>38000</v>
      </c>
      <c r="F28" s="16">
        <f t="shared" si="3"/>
        <v>45300</v>
      </c>
      <c r="G28" s="16">
        <f t="shared" si="3"/>
        <v>37050</v>
      </c>
      <c r="H28" s="16">
        <f t="shared" si="3"/>
        <v>8250</v>
      </c>
      <c r="I28" s="15">
        <f t="shared" si="3"/>
        <v>0</v>
      </c>
    </row>
    <row r="29" spans="1:9" x14ac:dyDescent="0.25">
      <c r="D29" s="15">
        <f>'MAY 21'!H29:H52</f>
        <v>6250</v>
      </c>
      <c r="H29" s="28">
        <f>H28-H19-H17-H6</f>
        <v>8250</v>
      </c>
      <c r="I29" s="3"/>
    </row>
    <row r="31" spans="1:9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4"/>
    </row>
    <row r="33" spans="1:10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0" x14ac:dyDescent="0.25">
      <c r="A34" s="26" t="s">
        <v>105</v>
      </c>
      <c r="B34" s="38">
        <f>E28</f>
        <v>38000</v>
      </c>
      <c r="C34" s="26"/>
      <c r="D34" s="26"/>
      <c r="E34" s="26" t="s">
        <v>105</v>
      </c>
      <c r="F34" s="38">
        <f>G28</f>
        <v>37050</v>
      </c>
      <c r="G34" s="26"/>
      <c r="H34" s="26"/>
      <c r="I34" s="34"/>
    </row>
    <row r="35" spans="1:10" x14ac:dyDescent="0.25">
      <c r="A35" s="26" t="s">
        <v>19</v>
      </c>
      <c r="B35" s="38">
        <f>JUNE21!D48</f>
        <v>-490</v>
      </c>
      <c r="C35" s="26"/>
      <c r="D35" s="26"/>
      <c r="E35" s="26" t="s">
        <v>19</v>
      </c>
      <c r="F35" s="38">
        <f>JUNE21!H48</f>
        <v>-4790</v>
      </c>
      <c r="G35" s="26"/>
      <c r="H35" s="26"/>
      <c r="I35" s="34"/>
    </row>
    <row r="36" spans="1:10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</row>
    <row r="37" spans="1:10" x14ac:dyDescent="0.25">
      <c r="A37" s="26" t="s">
        <v>103</v>
      </c>
      <c r="B37" s="38">
        <v>2500</v>
      </c>
      <c r="C37" s="26"/>
      <c r="D37" s="26"/>
      <c r="E37" s="26"/>
      <c r="F37" s="38"/>
      <c r="G37" s="26"/>
      <c r="H37" s="26"/>
      <c r="I37" s="3"/>
    </row>
    <row r="38" spans="1:10" x14ac:dyDescent="0.25">
      <c r="A38" s="26" t="s">
        <v>21</v>
      </c>
      <c r="B38" s="39">
        <v>0.1</v>
      </c>
      <c r="C38" s="38">
        <f>B38*B34</f>
        <v>3800</v>
      </c>
      <c r="D38" s="26"/>
      <c r="E38" s="26" t="s">
        <v>21</v>
      </c>
      <c r="F38" s="39">
        <v>0.1</v>
      </c>
      <c r="G38" s="38">
        <f>F38*B34</f>
        <v>3800</v>
      </c>
      <c r="H38" s="26"/>
      <c r="I38" s="3"/>
    </row>
    <row r="39" spans="1:10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</row>
    <row r="40" spans="1:10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</row>
    <row r="41" spans="1:10" x14ac:dyDescent="0.25">
      <c r="A41" s="40"/>
      <c r="D41" s="42"/>
      <c r="E41" s="40"/>
      <c r="H41" s="26"/>
      <c r="I41" s="43">
        <f>B34-C38</f>
        <v>34200</v>
      </c>
    </row>
    <row r="42" spans="1:10" x14ac:dyDescent="0.25">
      <c r="A42" s="40" t="s">
        <v>92</v>
      </c>
      <c r="B42" s="39"/>
      <c r="C42" s="26">
        <v>10000</v>
      </c>
      <c r="D42" s="26"/>
      <c r="E42" s="40" t="s">
        <v>92</v>
      </c>
      <c r="F42" s="39"/>
      <c r="G42" s="26">
        <v>10000</v>
      </c>
      <c r="H42" s="26"/>
      <c r="I42" s="34">
        <f>490</f>
        <v>490</v>
      </c>
      <c r="J42" s="28"/>
    </row>
    <row r="43" spans="1:10" x14ac:dyDescent="0.25">
      <c r="A43" s="40" t="s">
        <v>107</v>
      </c>
      <c r="B43" s="39"/>
      <c r="C43" s="26">
        <v>10087</v>
      </c>
      <c r="D43" s="26"/>
      <c r="E43" s="40" t="s">
        <v>107</v>
      </c>
      <c r="F43" s="39"/>
      <c r="G43" s="26">
        <v>10087</v>
      </c>
      <c r="H43" s="26"/>
      <c r="I43" s="43">
        <f>I41-I42</f>
        <v>33710</v>
      </c>
      <c r="J43" s="28"/>
    </row>
    <row r="44" spans="1:10" x14ac:dyDescent="0.25">
      <c r="A44" s="40" t="s">
        <v>108</v>
      </c>
      <c r="B44" s="26"/>
      <c r="C44" s="42">
        <v>2500</v>
      </c>
      <c r="D44" s="26"/>
      <c r="E44" s="40" t="s">
        <v>108</v>
      </c>
      <c r="F44" s="26"/>
      <c r="G44" s="42">
        <v>2500</v>
      </c>
      <c r="H44" s="26"/>
      <c r="I44" s="3">
        <f>C42</f>
        <v>10000</v>
      </c>
    </row>
    <row r="45" spans="1:10" x14ac:dyDescent="0.25">
      <c r="A45" s="40" t="s">
        <v>110</v>
      </c>
      <c r="B45" s="26"/>
      <c r="C45" s="42">
        <v>11823</v>
      </c>
      <c r="D45" s="26"/>
      <c r="E45" s="40" t="s">
        <v>110</v>
      </c>
      <c r="F45" s="26"/>
      <c r="G45" s="42">
        <v>11823</v>
      </c>
      <c r="H45" s="26"/>
      <c r="I45" s="43">
        <f>I43-I44</f>
        <v>23710</v>
      </c>
      <c r="J45" s="28"/>
    </row>
    <row r="46" spans="1:10" x14ac:dyDescent="0.25">
      <c r="A46" s="40" t="s">
        <v>113</v>
      </c>
      <c r="B46" s="26"/>
      <c r="C46" s="42">
        <v>1800</v>
      </c>
      <c r="D46" s="26"/>
      <c r="E46" s="40" t="s">
        <v>113</v>
      </c>
      <c r="F46" s="26"/>
      <c r="G46" s="42">
        <v>1800</v>
      </c>
      <c r="H46" s="26"/>
      <c r="I46" s="3">
        <f>C43</f>
        <v>10087</v>
      </c>
    </row>
    <row r="47" spans="1:10" x14ac:dyDescent="0.25">
      <c r="A47" s="40"/>
      <c r="B47" s="26"/>
      <c r="C47" s="42"/>
      <c r="D47" s="26"/>
      <c r="E47" s="40"/>
      <c r="F47" s="26"/>
      <c r="G47" s="42"/>
      <c r="H47" s="26"/>
      <c r="I47" s="43">
        <f>I45-I46</f>
        <v>13623</v>
      </c>
      <c r="J47" s="44"/>
    </row>
    <row r="48" spans="1:10" x14ac:dyDescent="0.25">
      <c r="A48" s="37" t="s">
        <v>11</v>
      </c>
      <c r="B48" s="45">
        <f>B37+B34+B35+B36-C38</f>
        <v>36210</v>
      </c>
      <c r="C48" s="45">
        <f>SUM(C40:C47)</f>
        <v>36210</v>
      </c>
      <c r="D48" s="45">
        <f>B48-C48</f>
        <v>0</v>
      </c>
      <c r="E48" s="37" t="s">
        <v>11</v>
      </c>
      <c r="F48" s="45">
        <f>F34+F35+F37-G38</f>
        <v>28460</v>
      </c>
      <c r="G48" s="45">
        <f>SUM(G40:G47)</f>
        <v>36210</v>
      </c>
      <c r="H48" s="45">
        <f>F48-G48</f>
        <v>-7750</v>
      </c>
      <c r="I48" s="43"/>
    </row>
    <row r="49" spans="1:13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  <c r="M49" s="28">
        <f>C43+C45+C46+C44</f>
        <v>26210</v>
      </c>
    </row>
    <row r="50" spans="1:13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  <c r="M50" s="28">
        <f>M49+C42</f>
        <v>36210</v>
      </c>
    </row>
    <row r="51" spans="1:13" x14ac:dyDescent="0.25">
      <c r="I51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NOVEMBER 20</vt:lpstr>
      <vt:lpstr>DECEMBER 20</vt:lpstr>
      <vt:lpstr>JANUARY 21</vt:lpstr>
      <vt:lpstr>FEBRUARY21</vt:lpstr>
      <vt:lpstr>MARCH 21</vt:lpstr>
      <vt:lpstr>APRIL 21</vt:lpstr>
      <vt:lpstr>MAY 21</vt:lpstr>
      <vt:lpstr>JUNE21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dcterms:created xsi:type="dcterms:W3CDTF">2020-10-30T07:39:26Z</dcterms:created>
  <dcterms:modified xsi:type="dcterms:W3CDTF">2021-12-16T15:32:20Z</dcterms:modified>
</cp:coreProperties>
</file>