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0" yWindow="975" windowWidth="17475" windowHeight="10920" tabRatio="668" firstSheet="8" activeTab="11"/>
  </bookViews>
  <sheets>
    <sheet name="JANUARY 21" sheetId="1" r:id="rId1"/>
    <sheet name="FEBRUARY21" sheetId="2" r:id="rId2"/>
    <sheet name="MARCH 21" sheetId="3" r:id="rId3"/>
    <sheet name="APRIL 21" sheetId="4" r:id="rId4"/>
    <sheet name="MAY 21" sheetId="5" r:id="rId5"/>
    <sheet name="JUNE21" sheetId="6" r:id="rId6"/>
    <sheet name="JULY 21" sheetId="7" r:id="rId7"/>
    <sheet name="AUGUST 21" sheetId="8" r:id="rId8"/>
    <sheet name="SEPT 21" sheetId="9" r:id="rId9"/>
    <sheet name="OCTOBER 21" sheetId="10" r:id="rId10"/>
    <sheet name="NOVEMBER 21" sheetId="12" r:id="rId11"/>
    <sheet name="DECEMBER 21" sheetId="13" r:id="rId12"/>
  </sheets>
  <calcPr calcId="162913"/>
</workbook>
</file>

<file path=xl/calcChain.xml><?xml version="1.0" encoding="utf-8"?>
<calcChain xmlns="http://schemas.openxmlformats.org/spreadsheetml/2006/main">
  <c r="L31" i="13" l="1"/>
  <c r="J15" i="13"/>
  <c r="J13" i="13"/>
  <c r="J5" i="13" l="1"/>
  <c r="J15" i="12" l="1"/>
  <c r="J13" i="12"/>
  <c r="J14" i="12" l="1"/>
  <c r="H36" i="13" l="1"/>
  <c r="D36" i="13"/>
  <c r="L18" i="13"/>
  <c r="C29" i="13" s="1"/>
  <c r="J18" i="13"/>
  <c r="G23" i="13" s="1"/>
  <c r="G18" i="13"/>
  <c r="C28" i="13" s="1"/>
  <c r="F18" i="13"/>
  <c r="C27" i="13" s="1"/>
  <c r="E18" i="13"/>
  <c r="C26" i="13" s="1"/>
  <c r="D18" i="13"/>
  <c r="C25" i="13" s="1"/>
  <c r="C18" i="13"/>
  <c r="C23" i="13" s="1"/>
  <c r="D30" i="13" l="1"/>
  <c r="H30" i="13" s="1"/>
  <c r="J15" i="10" l="1"/>
  <c r="J13" i="10"/>
  <c r="J41" i="12" l="1"/>
  <c r="B41" i="12"/>
  <c r="H36" i="12"/>
  <c r="D36" i="12"/>
  <c r="K22" i="12"/>
  <c r="L18" i="12"/>
  <c r="C29" i="12" s="1"/>
  <c r="G18" i="12"/>
  <c r="C28" i="12" s="1"/>
  <c r="F18" i="12"/>
  <c r="C27" i="12" s="1"/>
  <c r="E18" i="12"/>
  <c r="C26" i="12" s="1"/>
  <c r="D18" i="12"/>
  <c r="C25" i="12" s="1"/>
  <c r="C18" i="12"/>
  <c r="C23" i="12" s="1"/>
  <c r="J18" i="12"/>
  <c r="G23" i="12" s="1"/>
  <c r="J12" i="10"/>
  <c r="K22" i="10"/>
  <c r="D30" i="12" l="1"/>
  <c r="H30" i="12" s="1"/>
  <c r="B41" i="10" l="1"/>
  <c r="J41" i="10" l="1"/>
  <c r="I39" i="9" l="1"/>
  <c r="J15" i="9" l="1"/>
  <c r="F13" i="9" l="1"/>
  <c r="J15" i="8" l="1"/>
  <c r="H36" i="10" l="1"/>
  <c r="D36" i="10"/>
  <c r="L18" i="10"/>
  <c r="C29" i="10" s="1"/>
  <c r="G18" i="10"/>
  <c r="C28" i="10" s="1"/>
  <c r="F18" i="10"/>
  <c r="C27" i="10" s="1"/>
  <c r="E18" i="10"/>
  <c r="C26" i="10" s="1"/>
  <c r="D18" i="10"/>
  <c r="C25" i="10" s="1"/>
  <c r="C18" i="10"/>
  <c r="C23" i="10" s="1"/>
  <c r="J18" i="10"/>
  <c r="G23" i="10" s="1"/>
  <c r="D30" i="10" l="1"/>
  <c r="H30" i="10" s="1"/>
  <c r="J5" i="9" l="1"/>
  <c r="J9" i="9"/>
  <c r="J13" i="9" l="1"/>
  <c r="J11" i="9" l="1"/>
  <c r="J14" i="9" l="1"/>
  <c r="J7" i="9" l="1"/>
  <c r="J10" i="9" l="1"/>
  <c r="J8" i="9" l="1"/>
  <c r="L26" i="9" l="1"/>
  <c r="K29" i="9"/>
  <c r="H36" i="9" l="1"/>
  <c r="D36" i="9"/>
  <c r="L18" i="9"/>
  <c r="C29" i="9" s="1"/>
  <c r="G18" i="9"/>
  <c r="F18" i="9"/>
  <c r="C27" i="9" s="1"/>
  <c r="E18" i="9"/>
  <c r="C26" i="9" s="1"/>
  <c r="D18" i="9"/>
  <c r="C25" i="9" s="1"/>
  <c r="C18" i="9"/>
  <c r="C23" i="9" s="1"/>
  <c r="I15" i="9"/>
  <c r="K15" i="9" s="1"/>
  <c r="H15" i="10" s="1"/>
  <c r="I15" i="10" s="1"/>
  <c r="K15" i="10" s="1"/>
  <c r="H15" i="12" s="1"/>
  <c r="I15" i="12" s="1"/>
  <c r="K15" i="12" s="1"/>
  <c r="H15" i="13" s="1"/>
  <c r="I15" i="13" s="1"/>
  <c r="K15" i="13" s="1"/>
  <c r="I9" i="9"/>
  <c r="K9" i="9" s="1"/>
  <c r="H9" i="10" s="1"/>
  <c r="I9" i="10" s="1"/>
  <c r="K9" i="10" s="1"/>
  <c r="H9" i="12" s="1"/>
  <c r="I9" i="12" s="1"/>
  <c r="K9" i="12" s="1"/>
  <c r="H9" i="13" s="1"/>
  <c r="I9" i="13" s="1"/>
  <c r="K9" i="13" s="1"/>
  <c r="I6" i="9"/>
  <c r="K6" i="9" s="1"/>
  <c r="H6" i="10" s="1"/>
  <c r="I6" i="10" s="1"/>
  <c r="K6" i="10" s="1"/>
  <c r="H6" i="12" s="1"/>
  <c r="I6" i="12" s="1"/>
  <c r="K6" i="12" s="1"/>
  <c r="H6" i="13" s="1"/>
  <c r="J18" i="9"/>
  <c r="G23" i="9" s="1"/>
  <c r="I6" i="13" l="1"/>
  <c r="K6" i="13" s="1"/>
  <c r="D30" i="9"/>
  <c r="C28" i="9"/>
  <c r="H30" i="9" l="1"/>
  <c r="J5" i="8"/>
  <c r="J14" i="8" l="1"/>
  <c r="J8" i="8"/>
  <c r="J6" i="8"/>
  <c r="J12" i="8" l="1"/>
  <c r="L28" i="8" l="1"/>
  <c r="L32" i="8"/>
  <c r="L33" i="8"/>
  <c r="J9" i="8" l="1"/>
  <c r="H36" i="8" l="1"/>
  <c r="D36" i="8"/>
  <c r="L18" i="8"/>
  <c r="C29" i="8" s="1"/>
  <c r="G18" i="8"/>
  <c r="F18" i="8"/>
  <c r="E18" i="8"/>
  <c r="C26" i="8" s="1"/>
  <c r="D18" i="8"/>
  <c r="C25" i="8" s="1"/>
  <c r="C18" i="8"/>
  <c r="L25" i="8" s="1"/>
  <c r="I9" i="8"/>
  <c r="K9" i="8" s="1"/>
  <c r="J18" i="8"/>
  <c r="G23" i="8" s="1"/>
  <c r="C28" i="8" l="1"/>
  <c r="L30" i="8"/>
  <c r="C27" i="8"/>
  <c r="L29" i="8"/>
  <c r="C23" i="8"/>
  <c r="D30" i="8" s="1"/>
  <c r="L26" i="8" s="1"/>
  <c r="L27" i="8" s="1"/>
  <c r="L31" i="8" s="1"/>
  <c r="L34" i="8" s="1"/>
  <c r="H47" i="7"/>
  <c r="H30" i="8" l="1"/>
  <c r="J13" i="7"/>
  <c r="J6" i="7"/>
  <c r="J5" i="7"/>
  <c r="J12" i="7" l="1"/>
  <c r="J8" i="7" l="1"/>
  <c r="J10" i="7" l="1"/>
  <c r="J11" i="7" l="1"/>
  <c r="H38" i="7" l="1"/>
  <c r="L18" i="7"/>
  <c r="C29" i="7" s="1"/>
  <c r="G18" i="7"/>
  <c r="C28" i="7" s="1"/>
  <c r="F18" i="7"/>
  <c r="C27" i="7" s="1"/>
  <c r="E18" i="7"/>
  <c r="C26" i="7" s="1"/>
  <c r="D18" i="7"/>
  <c r="C18" i="7"/>
  <c r="C23" i="7" s="1"/>
  <c r="J18" i="7"/>
  <c r="G23" i="7" s="1"/>
  <c r="D30" i="7" l="1"/>
  <c r="H30" i="7" s="1"/>
  <c r="K39" i="3"/>
  <c r="K40" i="3" s="1"/>
  <c r="K42" i="3" s="1"/>
  <c r="K41" i="3"/>
  <c r="J15" i="2"/>
  <c r="B18" i="6"/>
  <c r="E18" i="6"/>
  <c r="F18" i="6"/>
  <c r="I5" i="6"/>
  <c r="I6" i="6" l="1"/>
  <c r="I15" i="6"/>
  <c r="I11" i="6" l="1"/>
  <c r="I8" i="6" l="1"/>
  <c r="I12" i="6" l="1"/>
  <c r="I14" i="6" l="1"/>
  <c r="G36" i="6" l="1"/>
  <c r="C36" i="6"/>
  <c r="K18" i="6"/>
  <c r="B29" i="6" s="1"/>
  <c r="B28" i="6"/>
  <c r="B27" i="6"/>
  <c r="D18" i="6"/>
  <c r="B26" i="6" s="1"/>
  <c r="C18" i="6"/>
  <c r="B23" i="6"/>
  <c r="I18" i="6"/>
  <c r="F23" i="6" s="1"/>
  <c r="C30" i="6" l="1"/>
  <c r="G30" i="6" s="1"/>
  <c r="J9" i="5"/>
  <c r="J5" i="5" l="1"/>
  <c r="J10" i="5" l="1"/>
  <c r="J8" i="5" l="1"/>
  <c r="J15" i="5"/>
  <c r="J12" i="5"/>
  <c r="L18" i="5" l="1"/>
  <c r="J5" i="4" l="1"/>
  <c r="J16" i="5"/>
  <c r="J14" i="5"/>
  <c r="J7" i="5"/>
  <c r="H36" i="5" l="1"/>
  <c r="D36" i="5"/>
  <c r="C29" i="5"/>
  <c r="A22" i="5"/>
  <c r="G18" i="5"/>
  <c r="C28" i="5" s="1"/>
  <c r="F18" i="5"/>
  <c r="C27" i="5" s="1"/>
  <c r="E18" i="5"/>
  <c r="C26" i="5" s="1"/>
  <c r="D18" i="5"/>
  <c r="C18" i="5"/>
  <c r="C23" i="5" s="1"/>
  <c r="J18" i="5"/>
  <c r="G23" i="5" s="1"/>
  <c r="D30" i="5" l="1"/>
  <c r="J9" i="4"/>
  <c r="H30" i="5" l="1"/>
  <c r="F45" i="5"/>
  <c r="J7" i="4"/>
  <c r="J11" i="4" l="1"/>
  <c r="J8" i="4" l="1"/>
  <c r="J10" i="4" l="1"/>
  <c r="J16" i="4" l="1"/>
  <c r="H36" i="4" l="1"/>
  <c r="D36" i="4"/>
  <c r="C29" i="4"/>
  <c r="A22" i="4"/>
  <c r="G18" i="4"/>
  <c r="C28" i="4" s="1"/>
  <c r="F18" i="4"/>
  <c r="C27" i="4" s="1"/>
  <c r="E18" i="4"/>
  <c r="C26" i="4" s="1"/>
  <c r="D18" i="4"/>
  <c r="C18" i="4"/>
  <c r="C23" i="4" s="1"/>
  <c r="I6" i="4"/>
  <c r="K6" i="4" s="1"/>
  <c r="H6" i="5" s="1"/>
  <c r="I6" i="5" s="1"/>
  <c r="K6" i="5" s="1"/>
  <c r="G6" i="6" s="1"/>
  <c r="H6" i="6" s="1"/>
  <c r="J6" i="6" s="1"/>
  <c r="H6" i="7" s="1"/>
  <c r="I6" i="7" s="1"/>
  <c r="K6" i="7" s="1"/>
  <c r="H6" i="8" s="1"/>
  <c r="I6" i="8" s="1"/>
  <c r="K6" i="8" s="1"/>
  <c r="J18" i="4"/>
  <c r="G23" i="4" s="1"/>
  <c r="D30" i="4" l="1"/>
  <c r="H30" i="4" s="1"/>
  <c r="J5" i="3"/>
  <c r="J15" i="3" l="1"/>
  <c r="D34" i="3" l="1"/>
  <c r="J11" i="3"/>
  <c r="J8" i="3" l="1"/>
  <c r="J10" i="3" l="1"/>
  <c r="J16" i="3" l="1"/>
  <c r="J7" i="3" l="1"/>
  <c r="J14" i="3" l="1"/>
  <c r="J18" i="1" l="1"/>
  <c r="C24" i="1" s="1"/>
  <c r="H36" i="3" l="1"/>
  <c r="D36" i="3"/>
  <c r="C29" i="3"/>
  <c r="A22" i="3"/>
  <c r="G18" i="3"/>
  <c r="C28" i="3" s="1"/>
  <c r="F18" i="3"/>
  <c r="C27" i="3" s="1"/>
  <c r="E18" i="3"/>
  <c r="C26" i="3" s="1"/>
  <c r="D18" i="3"/>
  <c r="C18" i="3"/>
  <c r="C23" i="3" s="1"/>
  <c r="J18" i="3"/>
  <c r="G23" i="3" s="1"/>
  <c r="D30" i="3" l="1"/>
  <c r="H30" i="3" s="1"/>
  <c r="J5" i="2"/>
  <c r="J8" i="2" l="1"/>
  <c r="J6" i="2" l="1"/>
  <c r="J10" i="2" l="1"/>
  <c r="J7" i="2" l="1"/>
  <c r="C25" i="2" l="1"/>
  <c r="J14" i="2" l="1"/>
  <c r="J16" i="2" l="1"/>
  <c r="J12" i="2" l="1"/>
  <c r="C29" i="2" l="1"/>
  <c r="J18" i="2"/>
  <c r="G18" i="2"/>
  <c r="C28" i="2" s="1"/>
  <c r="C18" i="2"/>
  <c r="E18" i="2"/>
  <c r="C26" i="2" s="1"/>
  <c r="D18" i="2"/>
  <c r="H11" i="1" l="1"/>
  <c r="D36" i="2" l="1"/>
  <c r="H36" i="2"/>
  <c r="A22" i="2"/>
  <c r="F18" i="2"/>
  <c r="C27" i="2" s="1"/>
  <c r="C23" i="2"/>
  <c r="G23" i="2"/>
  <c r="D30" i="2" l="1"/>
  <c r="H30" i="2" s="1"/>
  <c r="H9" i="1"/>
  <c r="H5" i="1" l="1"/>
  <c r="J31" i="1" l="1"/>
  <c r="D18" i="1" l="1"/>
  <c r="C25" i="1" s="1"/>
  <c r="H8" i="1"/>
  <c r="G6" i="1"/>
  <c r="G7" i="1"/>
  <c r="G8" i="1"/>
  <c r="G9" i="1"/>
  <c r="G10" i="1"/>
  <c r="G11" i="1"/>
  <c r="G12" i="1"/>
  <c r="G13" i="1"/>
  <c r="G14" i="1"/>
  <c r="G15" i="1"/>
  <c r="G16" i="1"/>
  <c r="G5" i="1"/>
  <c r="E18" i="1" l="1"/>
  <c r="C26" i="1" s="1"/>
  <c r="J33" i="1" l="1"/>
  <c r="F33" i="1"/>
  <c r="A22" i="1"/>
  <c r="C18" i="1"/>
  <c r="C23" i="1" s="1"/>
  <c r="G17" i="1"/>
  <c r="I16" i="1"/>
  <c r="H16" i="2" s="1"/>
  <c r="I16" i="2" s="1"/>
  <c r="K16" i="2" s="1"/>
  <c r="H16" i="3" s="1"/>
  <c r="I16" i="3" s="1"/>
  <c r="K16" i="3" s="1"/>
  <c r="H16" i="4" s="1"/>
  <c r="I16" i="4" s="1"/>
  <c r="K16" i="4" s="1"/>
  <c r="H16" i="5" s="1"/>
  <c r="I16" i="5" s="1"/>
  <c r="K16" i="5" s="1"/>
  <c r="G16" i="6" s="1"/>
  <c r="H16" i="6" s="1"/>
  <c r="J16" i="6" s="1"/>
  <c r="H16" i="7" s="1"/>
  <c r="I16" i="7" s="1"/>
  <c r="K16" i="7" s="1"/>
  <c r="H16" i="8" s="1"/>
  <c r="I16" i="8" s="1"/>
  <c r="K16" i="8" s="1"/>
  <c r="H16" i="9" s="1"/>
  <c r="I16" i="9" s="1"/>
  <c r="K16" i="9" s="1"/>
  <c r="H16" i="10" s="1"/>
  <c r="I16" i="10" s="1"/>
  <c r="K16" i="10" s="1"/>
  <c r="H16" i="12" s="1"/>
  <c r="I16" i="12" s="1"/>
  <c r="K16" i="12" s="1"/>
  <c r="H16" i="13" s="1"/>
  <c r="I16" i="13" s="1"/>
  <c r="K16" i="13" s="1"/>
  <c r="I15" i="1"/>
  <c r="H15" i="2" s="1"/>
  <c r="I15" i="2" s="1"/>
  <c r="K15" i="2" s="1"/>
  <c r="I15" i="3" s="1"/>
  <c r="K15" i="3" s="1"/>
  <c r="H15" i="4" s="1"/>
  <c r="I15" i="4" s="1"/>
  <c r="K15" i="4" s="1"/>
  <c r="H15" i="5" s="1"/>
  <c r="I15" i="5" s="1"/>
  <c r="K15" i="5" s="1"/>
  <c r="G15" i="6" s="1"/>
  <c r="H15" i="6" s="1"/>
  <c r="J15" i="6" s="1"/>
  <c r="H15" i="7" s="1"/>
  <c r="I15" i="7" s="1"/>
  <c r="I14" i="1"/>
  <c r="H14" i="2" s="1"/>
  <c r="I14" i="2" s="1"/>
  <c r="K14" i="2" s="1"/>
  <c r="H14" i="3" s="1"/>
  <c r="I14" i="3" s="1"/>
  <c r="K14" i="3" s="1"/>
  <c r="H14" i="4" s="1"/>
  <c r="I14" i="4" s="1"/>
  <c r="K14" i="4" s="1"/>
  <c r="H14" i="5" s="1"/>
  <c r="I14" i="5" s="1"/>
  <c r="K14" i="5" s="1"/>
  <c r="G14" i="6" s="1"/>
  <c r="H14" i="6" s="1"/>
  <c r="J14" i="6" s="1"/>
  <c r="H14" i="7" s="1"/>
  <c r="I14" i="7" s="1"/>
  <c r="K14" i="7" s="1"/>
  <c r="H14" i="8" s="1"/>
  <c r="I14" i="8" s="1"/>
  <c r="K14" i="8" s="1"/>
  <c r="H14" i="9" s="1"/>
  <c r="I14" i="9" s="1"/>
  <c r="K14" i="9" s="1"/>
  <c r="H14" i="10" s="1"/>
  <c r="I14" i="10" s="1"/>
  <c r="K14" i="10" s="1"/>
  <c r="H14" i="12" s="1"/>
  <c r="I14" i="12" s="1"/>
  <c r="K14" i="12" s="1"/>
  <c r="H14" i="13" s="1"/>
  <c r="I13" i="1"/>
  <c r="H13" i="2" s="1"/>
  <c r="I13" i="2" s="1"/>
  <c r="K13" i="2" s="1"/>
  <c r="H13" i="3" s="1"/>
  <c r="I13" i="3" s="1"/>
  <c r="K13" i="3" s="1"/>
  <c r="H13" i="4" s="1"/>
  <c r="I13" i="4" s="1"/>
  <c r="K13" i="4" s="1"/>
  <c r="H13" i="5" s="1"/>
  <c r="I13" i="5" s="1"/>
  <c r="K13" i="5" s="1"/>
  <c r="G13" i="6" s="1"/>
  <c r="H13" i="6" s="1"/>
  <c r="J13" i="6" s="1"/>
  <c r="H13" i="7" s="1"/>
  <c r="I13" i="7" s="1"/>
  <c r="K13" i="7" s="1"/>
  <c r="H13" i="8" s="1"/>
  <c r="I13" i="8" s="1"/>
  <c r="K13" i="8" s="1"/>
  <c r="H13" i="9" s="1"/>
  <c r="I13" i="9" s="1"/>
  <c r="K13" i="9" s="1"/>
  <c r="H13" i="10" s="1"/>
  <c r="I13" i="10" s="1"/>
  <c r="K13" i="10" s="1"/>
  <c r="H13" i="12" s="1"/>
  <c r="I13" i="12" s="1"/>
  <c r="K13" i="12" s="1"/>
  <c r="H13" i="13" s="1"/>
  <c r="I13" i="13" s="1"/>
  <c r="K13" i="13" s="1"/>
  <c r="I12" i="1"/>
  <c r="H12" i="2" s="1"/>
  <c r="I12" i="2" s="1"/>
  <c r="K12" i="2" s="1"/>
  <c r="H12" i="3" s="1"/>
  <c r="I12" i="3" s="1"/>
  <c r="K12" i="3" s="1"/>
  <c r="H12" i="4" s="1"/>
  <c r="I12" i="4" s="1"/>
  <c r="K12" i="4" s="1"/>
  <c r="H12" i="5" s="1"/>
  <c r="I12" i="5" s="1"/>
  <c r="K12" i="5" s="1"/>
  <c r="G12" i="6" s="1"/>
  <c r="H12" i="6" s="1"/>
  <c r="J12" i="6" s="1"/>
  <c r="H12" i="7" s="1"/>
  <c r="I12" i="7" s="1"/>
  <c r="K12" i="7" s="1"/>
  <c r="H12" i="8" s="1"/>
  <c r="I12" i="8" s="1"/>
  <c r="K12" i="8" s="1"/>
  <c r="I11" i="1"/>
  <c r="H11" i="2" s="1"/>
  <c r="I10" i="1"/>
  <c r="H10" i="2" s="1"/>
  <c r="I10" i="2" s="1"/>
  <c r="K10" i="2" s="1"/>
  <c r="H10" i="3" s="1"/>
  <c r="I10" i="3" s="1"/>
  <c r="K10" i="3" s="1"/>
  <c r="H10" i="4" s="1"/>
  <c r="I10" i="4" s="1"/>
  <c r="K10" i="4" s="1"/>
  <c r="H10" i="5" s="1"/>
  <c r="I10" i="5" s="1"/>
  <c r="K10" i="5" s="1"/>
  <c r="G10" i="6" s="1"/>
  <c r="H10" i="6" s="1"/>
  <c r="J10" i="6" s="1"/>
  <c r="H10" i="7" s="1"/>
  <c r="I10" i="7" s="1"/>
  <c r="K10" i="7" s="1"/>
  <c r="H10" i="8" s="1"/>
  <c r="I10" i="8" s="1"/>
  <c r="K10" i="8" s="1"/>
  <c r="H10" i="9" s="1"/>
  <c r="I10" i="9" s="1"/>
  <c r="K10" i="9" s="1"/>
  <c r="H10" i="10" s="1"/>
  <c r="I10" i="10" s="1"/>
  <c r="K10" i="10" s="1"/>
  <c r="H10" i="12" s="1"/>
  <c r="I10" i="12" s="1"/>
  <c r="K10" i="12" s="1"/>
  <c r="H10" i="13" s="1"/>
  <c r="I10" i="13" s="1"/>
  <c r="K10" i="13" s="1"/>
  <c r="I9" i="1"/>
  <c r="H9" i="2" s="1"/>
  <c r="I9" i="2" s="1"/>
  <c r="K9" i="2" s="1"/>
  <c r="H9" i="3" s="1"/>
  <c r="I9" i="3" s="1"/>
  <c r="K9" i="3" s="1"/>
  <c r="H9" i="4" s="1"/>
  <c r="I9" i="4" s="1"/>
  <c r="K9" i="4" s="1"/>
  <c r="H9" i="5" s="1"/>
  <c r="I9" i="5" s="1"/>
  <c r="K9" i="5" s="1"/>
  <c r="G9" i="6" s="1"/>
  <c r="H9" i="6" s="1"/>
  <c r="J9" i="6" s="1"/>
  <c r="H9" i="7" s="1"/>
  <c r="I9" i="7" s="1"/>
  <c r="K9" i="7" s="1"/>
  <c r="I8" i="1"/>
  <c r="H8" i="2" s="1"/>
  <c r="I8" i="2" s="1"/>
  <c r="K8" i="2" s="1"/>
  <c r="H8" i="3" s="1"/>
  <c r="I8" i="3" s="1"/>
  <c r="K8" i="3" s="1"/>
  <c r="H8" i="4" s="1"/>
  <c r="I8" i="4" s="1"/>
  <c r="K8" i="4" s="1"/>
  <c r="H8" i="5" s="1"/>
  <c r="I8" i="5" s="1"/>
  <c r="K8" i="5" s="1"/>
  <c r="G8" i="6" s="1"/>
  <c r="H8" i="6" s="1"/>
  <c r="J8" i="6" s="1"/>
  <c r="H8" i="7" s="1"/>
  <c r="I8" i="7" s="1"/>
  <c r="K8" i="7" s="1"/>
  <c r="H8" i="8" s="1"/>
  <c r="I8" i="8" s="1"/>
  <c r="K8" i="8" s="1"/>
  <c r="H8" i="9" s="1"/>
  <c r="I8" i="9" s="1"/>
  <c r="K8" i="9" s="1"/>
  <c r="H8" i="10" s="1"/>
  <c r="I8" i="10" s="1"/>
  <c r="K8" i="10" s="1"/>
  <c r="I7" i="1"/>
  <c r="H7" i="2" s="1"/>
  <c r="I7" i="2" s="1"/>
  <c r="K7" i="2" s="1"/>
  <c r="H7" i="3" s="1"/>
  <c r="I7" i="3" s="1"/>
  <c r="K7" i="3" s="1"/>
  <c r="H7" i="4" s="1"/>
  <c r="I7" i="4" s="1"/>
  <c r="K7" i="4" s="1"/>
  <c r="H7" i="5" s="1"/>
  <c r="I7" i="5" s="1"/>
  <c r="K7" i="5" s="1"/>
  <c r="G7" i="6" s="1"/>
  <c r="H7" i="6" s="1"/>
  <c r="J7" i="6" s="1"/>
  <c r="H7" i="7" s="1"/>
  <c r="I7" i="7" s="1"/>
  <c r="K7" i="7" s="1"/>
  <c r="H7" i="8" s="1"/>
  <c r="I7" i="8" s="1"/>
  <c r="K7" i="8" s="1"/>
  <c r="H7" i="9" s="1"/>
  <c r="I7" i="9" s="1"/>
  <c r="K7" i="9" s="1"/>
  <c r="H7" i="10" s="1"/>
  <c r="I7" i="10" s="1"/>
  <c r="K7" i="10" s="1"/>
  <c r="H7" i="12" s="1"/>
  <c r="I7" i="12" s="1"/>
  <c r="K7" i="12" s="1"/>
  <c r="H7" i="13" s="1"/>
  <c r="I7" i="13" s="1"/>
  <c r="K7" i="13" s="1"/>
  <c r="H18" i="1"/>
  <c r="I23" i="1" s="1"/>
  <c r="I6" i="1"/>
  <c r="H6" i="2" s="1"/>
  <c r="I6" i="2" s="1"/>
  <c r="K6" i="2" s="1"/>
  <c r="H6" i="3" s="1"/>
  <c r="I6" i="3" s="1"/>
  <c r="K6" i="3" s="1"/>
  <c r="F18" i="1"/>
  <c r="I14" i="13" l="1"/>
  <c r="H8" i="12"/>
  <c r="I8" i="12" s="1"/>
  <c r="K8" i="12" s="1"/>
  <c r="H8" i="13" s="1"/>
  <c r="I8" i="13" s="1"/>
  <c r="K8" i="13" s="1"/>
  <c r="H12" i="9"/>
  <c r="I12" i="9" s="1"/>
  <c r="K12" i="9" s="1"/>
  <c r="H12" i="10" s="1"/>
  <c r="I12" i="10" s="1"/>
  <c r="K12" i="10" s="1"/>
  <c r="H12" i="12" s="1"/>
  <c r="I12" i="12" s="1"/>
  <c r="K12" i="12" s="1"/>
  <c r="H12" i="13" s="1"/>
  <c r="I12" i="13" s="1"/>
  <c r="K12" i="13" s="1"/>
  <c r="D36" i="7"/>
  <c r="K15" i="7"/>
  <c r="I15" i="8" s="1"/>
  <c r="K15" i="8" s="1"/>
  <c r="I17" i="1"/>
  <c r="H17" i="2" s="1"/>
  <c r="I17" i="2" s="1"/>
  <c r="K17" i="2" s="1"/>
  <c r="H17" i="3" s="1"/>
  <c r="I17" i="3" s="1"/>
  <c r="K17" i="3" s="1"/>
  <c r="H17" i="4" s="1"/>
  <c r="I17" i="4" s="1"/>
  <c r="K17" i="4" s="1"/>
  <c r="H17" i="5" s="1"/>
  <c r="I17" i="5" s="1"/>
  <c r="K17" i="5" s="1"/>
  <c r="G17" i="6" s="1"/>
  <c r="H17" i="6" s="1"/>
  <c r="J17" i="6" s="1"/>
  <c r="H17" i="7" s="1"/>
  <c r="I17" i="7" s="1"/>
  <c r="K17" i="7" s="1"/>
  <c r="H17" i="8" s="1"/>
  <c r="I17" i="8" s="1"/>
  <c r="K17" i="8" s="1"/>
  <c r="H17" i="9" s="1"/>
  <c r="I17" i="9" s="1"/>
  <c r="K17" i="9" s="1"/>
  <c r="H17" i="10" s="1"/>
  <c r="I17" i="10" s="1"/>
  <c r="K17" i="10" s="1"/>
  <c r="H17" i="12" s="1"/>
  <c r="I17" i="12" s="1"/>
  <c r="K17" i="12" s="1"/>
  <c r="H17" i="13" s="1"/>
  <c r="I17" i="13" s="1"/>
  <c r="K17" i="13" s="1"/>
  <c r="G18" i="1"/>
  <c r="I11" i="2"/>
  <c r="F27" i="1"/>
  <c r="J27" i="1" s="1"/>
  <c r="I33" i="1" s="1"/>
  <c r="K33" i="1" s="1"/>
  <c r="G24" i="2" s="1"/>
  <c r="G36" i="2" s="1"/>
  <c r="I36" i="2" s="1"/>
  <c r="G24" i="3" s="1"/>
  <c r="G36" i="3" s="1"/>
  <c r="I36" i="3" s="1"/>
  <c r="G24" i="4" s="1"/>
  <c r="G36" i="4" s="1"/>
  <c r="I36" i="4" s="1"/>
  <c r="G24" i="5" s="1"/>
  <c r="G36" i="5" s="1"/>
  <c r="I36" i="5" s="1"/>
  <c r="F24" i="6" s="1"/>
  <c r="F36" i="6" s="1"/>
  <c r="H36" i="6" s="1"/>
  <c r="G24" i="7" s="1"/>
  <c r="G38" i="7" s="1"/>
  <c r="I38" i="7" s="1"/>
  <c r="G24" i="8" s="1"/>
  <c r="G36" i="8" s="1"/>
  <c r="I36" i="8" s="1"/>
  <c r="G24" i="9" s="1"/>
  <c r="G36" i="9" s="1"/>
  <c r="I36" i="9" s="1"/>
  <c r="G24" i="10" s="1"/>
  <c r="G36" i="10" s="1"/>
  <c r="I36" i="10" s="1"/>
  <c r="G24" i="12" s="1"/>
  <c r="G36" i="12" s="1"/>
  <c r="I36" i="12" s="1"/>
  <c r="G24" i="13" s="1"/>
  <c r="G36" i="13" s="1"/>
  <c r="I36" i="13" s="1"/>
  <c r="I5" i="1"/>
  <c r="K14" i="13" l="1"/>
  <c r="L34" i="7"/>
  <c r="D38" i="7"/>
  <c r="I18" i="1"/>
  <c r="H5" i="2"/>
  <c r="C33" i="1"/>
  <c r="G33" i="1" s="1"/>
  <c r="C24" i="2" s="1"/>
  <c r="C36" i="2" s="1"/>
  <c r="E36" i="2" s="1"/>
  <c r="C24" i="3" s="1"/>
  <c r="C36" i="3" s="1"/>
  <c r="E36" i="3" s="1"/>
  <c r="C24" i="4" s="1"/>
  <c r="C36" i="4" s="1"/>
  <c r="E36" i="4" s="1"/>
  <c r="C24" i="5" s="1"/>
  <c r="K11" i="2"/>
  <c r="C36" i="5" l="1"/>
  <c r="E36" i="5" s="1"/>
  <c r="B24" i="6" s="1"/>
  <c r="B36" i="6" s="1"/>
  <c r="D36" i="6" s="1"/>
  <c r="C24" i="7" s="1"/>
  <c r="C38" i="7" s="1"/>
  <c r="E38" i="7" s="1"/>
  <c r="F44" i="5"/>
  <c r="F46" i="5" s="1"/>
  <c r="F48" i="5" s="1"/>
  <c r="I5" i="2"/>
  <c r="H18" i="2"/>
  <c r="H11" i="3"/>
  <c r="K5" i="2" l="1"/>
  <c r="I18" i="2"/>
  <c r="C24" i="8"/>
  <c r="C36" i="8" s="1"/>
  <c r="E36" i="8" s="1"/>
  <c r="C24" i="9" s="1"/>
  <c r="C36" i="9" s="1"/>
  <c r="E36" i="9" s="1"/>
  <c r="I11" i="3"/>
  <c r="C24" i="10" l="1"/>
  <c r="C36" i="10" s="1"/>
  <c r="E36" i="10" s="1"/>
  <c r="C24" i="12" s="1"/>
  <c r="H5" i="3"/>
  <c r="K18" i="2"/>
  <c r="K11" i="3"/>
  <c r="I42" i="10" l="1"/>
  <c r="C36" i="12"/>
  <c r="E36" i="12" s="1"/>
  <c r="C24" i="13" s="1"/>
  <c r="C36" i="13" s="1"/>
  <c r="E36" i="13" s="1"/>
  <c r="I5" i="3"/>
  <c r="H18" i="3"/>
  <c r="H11" i="4"/>
  <c r="K5" i="3" l="1"/>
  <c r="I18" i="3"/>
  <c r="I11" i="4"/>
  <c r="H5" i="4" l="1"/>
  <c r="K18" i="3"/>
  <c r="K11" i="4"/>
  <c r="I5" i="4" l="1"/>
  <c r="H18" i="4"/>
  <c r="H11" i="5"/>
  <c r="K5" i="4" l="1"/>
  <c r="I18" i="4"/>
  <c r="I11" i="5"/>
  <c r="H5" i="5" l="1"/>
  <c r="K18" i="4"/>
  <c r="K11" i="5"/>
  <c r="G11" i="6" l="1"/>
  <c r="H11" i="6" s="1"/>
  <c r="J11" i="6" s="1"/>
  <c r="H11" i="7" s="1"/>
  <c r="I11" i="7" s="1"/>
  <c r="K11" i="7" s="1"/>
  <c r="H11" i="8" s="1"/>
  <c r="I11" i="8" s="1"/>
  <c r="K11" i="8" s="1"/>
  <c r="H11" i="9" s="1"/>
  <c r="I11" i="9" s="1"/>
  <c r="K11" i="9" s="1"/>
  <c r="H11" i="10" s="1"/>
  <c r="I11" i="10" s="1"/>
  <c r="K11" i="10" s="1"/>
  <c r="H11" i="12" s="1"/>
  <c r="I11" i="12" s="1"/>
  <c r="K11" i="12" s="1"/>
  <c r="H11" i="13" s="1"/>
  <c r="I11" i="13" s="1"/>
  <c r="K11" i="13" s="1"/>
  <c r="I5" i="5"/>
  <c r="H18" i="5"/>
  <c r="K5" i="5" l="1"/>
  <c r="I18" i="5"/>
  <c r="G5" i="6" l="1"/>
  <c r="K18" i="5"/>
  <c r="H5" i="6" l="1"/>
  <c r="G18" i="6"/>
  <c r="J5" i="6" l="1"/>
  <c r="H18" i="6"/>
  <c r="H5" i="7" l="1"/>
  <c r="J18" i="6"/>
  <c r="I5" i="7" l="1"/>
  <c r="H18" i="7"/>
  <c r="K5" i="7" l="1"/>
  <c r="I18" i="7"/>
  <c r="H5" i="8" l="1"/>
  <c r="K18" i="7"/>
  <c r="I5" i="8" l="1"/>
  <c r="H18" i="8"/>
  <c r="K5" i="8" l="1"/>
  <c r="I18" i="8"/>
  <c r="H5" i="9" l="1"/>
  <c r="K18" i="8"/>
  <c r="H18" i="9" l="1"/>
  <c r="I5" i="9"/>
  <c r="I18" i="9" l="1"/>
  <c r="K5" i="9"/>
  <c r="K18" i="9" l="1"/>
  <c r="H5" i="10"/>
  <c r="H18" i="10" l="1"/>
  <c r="I5" i="10"/>
  <c r="K5" i="10" l="1"/>
  <c r="I18" i="10"/>
  <c r="H5" i="12" l="1"/>
  <c r="K18" i="10"/>
  <c r="I5" i="12" l="1"/>
  <c r="H18" i="12"/>
  <c r="K5" i="12" l="1"/>
  <c r="I18" i="12"/>
  <c r="K18" i="12" l="1"/>
  <c r="H5" i="13"/>
  <c r="I5" i="13" l="1"/>
  <c r="H18" i="13"/>
  <c r="K5" i="13" l="1"/>
  <c r="K18" i="13" s="1"/>
  <c r="I18" i="13"/>
</calcChain>
</file>

<file path=xl/sharedStrings.xml><?xml version="1.0" encoding="utf-8"?>
<sst xmlns="http://schemas.openxmlformats.org/spreadsheetml/2006/main" count="765" uniqueCount="101">
  <si>
    <t>RENT STATEMENT</t>
  </si>
  <si>
    <t>FOR THE MONTH OF JANUARY  2021</t>
  </si>
  <si>
    <t>NO.</t>
  </si>
  <si>
    <t>NAME</t>
  </si>
  <si>
    <t>RENT</t>
  </si>
  <si>
    <t>B/F</t>
  </si>
  <si>
    <t>TOTAL DUE</t>
  </si>
  <si>
    <t xml:space="preserve">PAID </t>
  </si>
  <si>
    <t>BALANCE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</si>
  <si>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</si>
  <si>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</si>
  <si>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</si>
  <si>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</si>
  <si>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</si>
  <si>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</si>
  <si>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</si>
  <si>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JANUARY</t>
  </si>
  <si>
    <t>BF</t>
  </si>
  <si>
    <t>COMMISION</t>
  </si>
  <si>
    <t>PAYMENTS</t>
  </si>
  <si>
    <t>LETTING FEE</t>
  </si>
  <si>
    <t>Prepared BY</t>
  </si>
  <si>
    <t>Approved By</t>
  </si>
  <si>
    <t>Received By</t>
  </si>
  <si>
    <t>FLO</t>
  </si>
  <si>
    <t>GRACE</t>
  </si>
  <si>
    <t>JANE WAGURA</t>
  </si>
  <si>
    <t>LOISE ATANDI</t>
  </si>
  <si>
    <t>GEORGE OMONDI</t>
  </si>
  <si>
    <t>MARGARET WANGARI</t>
  </si>
  <si>
    <t>GERALD</t>
  </si>
  <si>
    <t>SAMUEL</t>
  </si>
  <si>
    <t>WATER</t>
  </si>
  <si>
    <t>GARBAGE</t>
  </si>
  <si>
    <t>LEAH WAMBUI</t>
  </si>
  <si>
    <t>JANE KANANU</t>
  </si>
  <si>
    <t>JANE MOHIA/CYRUS</t>
  </si>
  <si>
    <t>MARY RAHA</t>
  </si>
  <si>
    <t>MICHAEL NGAMATE</t>
  </si>
  <si>
    <t>SAMUEL PAID  LL</t>
  </si>
  <si>
    <t>LL</t>
  </si>
  <si>
    <t>VACCANT</t>
  </si>
  <si>
    <t>PAID  ON 12/1</t>
  </si>
  <si>
    <t>FOR THE MONTH OF FEBRUARY  2021</t>
  </si>
  <si>
    <t>FEBRUARY</t>
  </si>
  <si>
    <t>ARREARS</t>
  </si>
  <si>
    <t>PENINAH KAGWIRIA</t>
  </si>
  <si>
    <t>DEPOSIT</t>
  </si>
  <si>
    <t>WATER DEP</t>
  </si>
  <si>
    <t>WATER DEPOSIT</t>
  </si>
  <si>
    <t>PAID ON 11/2</t>
  </si>
  <si>
    <t>LL500</t>
  </si>
  <si>
    <t>SAMUEL PAID LL</t>
  </si>
  <si>
    <t>MARCH</t>
  </si>
  <si>
    <t>FOR THE MONTH OF MARCH  2021</t>
  </si>
  <si>
    <t>PAID ON 10/3</t>
  </si>
  <si>
    <t>VACCATED</t>
  </si>
  <si>
    <t>LEAH NO.2 VACCATED</t>
  </si>
  <si>
    <t>APRIL</t>
  </si>
  <si>
    <t>JANE</t>
  </si>
  <si>
    <t>PAID ON 9/4</t>
  </si>
  <si>
    <t>FOR THE MONTH OF MAY  2021</t>
  </si>
  <si>
    <t>MAY</t>
  </si>
  <si>
    <t>KIMARI</t>
  </si>
  <si>
    <t>KANJA</t>
  </si>
  <si>
    <t>LOAN</t>
  </si>
  <si>
    <t>PAID ON 8/5</t>
  </si>
  <si>
    <t>FOR THE MONTH OF JUNE  2021</t>
  </si>
  <si>
    <t>JUNE</t>
  </si>
  <si>
    <t>PAID ON 8/6</t>
  </si>
  <si>
    <t>DENNIS KIMARI</t>
  </si>
  <si>
    <t>FOR THE MONTH OF JULY  2021</t>
  </si>
  <si>
    <t>JULY</t>
  </si>
  <si>
    <t>GG WATER</t>
  </si>
  <si>
    <t>PAID ON 8/7</t>
  </si>
  <si>
    <t>FOR THE MONTH OF AUGUST  2021</t>
  </si>
  <si>
    <t>AUGUST</t>
  </si>
  <si>
    <t>SAMUEL NO11VACCATED</t>
  </si>
  <si>
    <t>GEORGE OMONDI VACCATED</t>
  </si>
  <si>
    <t>VACATED</t>
  </si>
  <si>
    <t>DENNIS MAKANGA</t>
  </si>
  <si>
    <t>CATHERINE KATHURE</t>
  </si>
  <si>
    <t>JOSEPH KINUTHIA</t>
  </si>
  <si>
    <t>GG</t>
  </si>
  <si>
    <t>DEP</t>
  </si>
  <si>
    <t>TO BE PAID IN INSTALLMENTS .EVERY MONTH=3000</t>
  </si>
  <si>
    <t>PAID ON6/8</t>
  </si>
  <si>
    <t>FOR THE MONTH OF SEPTEMBER  2021</t>
  </si>
  <si>
    <t>SEPT</t>
  </si>
  <si>
    <t>PAID ON 10/9</t>
  </si>
  <si>
    <t>FOR THE MONTH OF OCTOBER 2021</t>
  </si>
  <si>
    <t>DENNIS MAGANGA</t>
  </si>
  <si>
    <t>PAID ON 8/10</t>
  </si>
  <si>
    <t>FLORENCE</t>
  </si>
  <si>
    <t>FOR THE MONTH OF NOVEMBER 2021</t>
  </si>
  <si>
    <t>OCT</t>
  </si>
  <si>
    <t>NOVEMBER</t>
  </si>
  <si>
    <t>PAID ON 10/11</t>
  </si>
  <si>
    <t>FOR THE MONTH OF DECEMBER 2021</t>
  </si>
  <si>
    <t>DECEMBER</t>
  </si>
  <si>
    <t>PAID ON 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</si>
</sst>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14" fontId="5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1" xfId="0" applyFont="1" applyBorder="1"/>
    <xf numFmtId="16" fontId="8" fillId="0" borderId="1" xfId="0" applyNumberFormat="1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4" fontId="8" fillId="0" borderId="1" xfId="0" applyNumberFormat="1" applyFont="1" applyBorder="1"/>
    <xf numFmtId="4" fontId="5" fillId="0" borderId="1" xfId="0" applyNumberFormat="1" applyFont="1" applyBorder="1"/>
    <xf numFmtId="0" fontId="8" fillId="0" borderId="1" xfId="0" applyFont="1" applyFill="1" applyBorder="1"/>
    <xf numFmtId="9" fontId="0" fillId="0" borderId="0" xfId="0" applyNumberFormat="1"/>
    <xf numFmtId="0" fontId="8" fillId="0" borderId="1" xfId="0" applyFont="1" applyBorder="1"/>
    <xf numFmtId="3" fontId="8" fillId="0" borderId="1" xfId="0" applyNumberFormat="1" applyFont="1" applyBorder="1"/>
    <xf numFmtId="3" fontId="0" fillId="0" borderId="0" xfId="0" applyNumberFormat="1"/>
    <xf numFmtId="0" fontId="9" fillId="0" borderId="1" xfId="0" applyFont="1" applyBorder="1"/>
    <xf numFmtId="0" fontId="9" fillId="0" borderId="0" xfId="0" applyFont="1"/>
    <xf numFmtId="0" fontId="1" fillId="0" borderId="3" xfId="0" applyFont="1" applyBorder="1"/>
    <xf numFmtId="0" fontId="0" fillId="0" borderId="3" xfId="0" applyBorder="1"/>
    <xf numFmtId="0" fontId="5" fillId="0" borderId="3" xfId="0" applyFont="1" applyBorder="1"/>
    <xf numFmtId="0" fontId="0" fillId="0" borderId="4" xfId="0" applyFill="1" applyBorder="1"/>
    <xf numFmtId="0" fontId="1" fillId="0" borderId="3" xfId="0" applyFont="1" applyBorder="1" applyAlignment="1">
      <alignment horizontal="right"/>
    </xf>
    <xf numFmtId="0" fontId="9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C24" sqref="C24"/>
    </sheetView>
  </sheetViews>
  <sheetFormatPr defaultRowHeight="15" x14ac:dyDescent="0.25"/>
  <cols>
    <col min="1" max="1" width="5.140625" customWidth="1"/>
    <col min="2" max="2" width="18.42578125" customWidth="1"/>
  </cols>
  <sheetData>
    <row r="1" spans="1:11" ht="18.75" x14ac:dyDescent="0.25">
      <c r="C1" s="1" t="s">
        <v>26</v>
      </c>
      <c r="D1" s="1"/>
      <c r="E1" s="1"/>
      <c r="F1" s="2"/>
      <c r="G1" s="3"/>
      <c r="H1" s="4"/>
    </row>
    <row r="2" spans="1:11" ht="18.75" x14ac:dyDescent="0.25">
      <c r="C2" s="1" t="s">
        <v>0</v>
      </c>
      <c r="D2" s="1"/>
      <c r="E2" s="1"/>
      <c r="F2" s="1"/>
      <c r="G2" s="5"/>
      <c r="H2" s="5"/>
    </row>
    <row r="3" spans="1:11" ht="18.75" x14ac:dyDescent="0.25">
      <c r="C3" s="1" t="s">
        <v>1</v>
      </c>
      <c r="D3" s="1"/>
      <c r="E3" s="1"/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</v>
      </c>
      <c r="D4" s="6" t="s">
        <v>32</v>
      </c>
      <c r="E4" s="6" t="s">
        <v>33</v>
      </c>
      <c r="F4" s="6" t="s">
        <v>5</v>
      </c>
      <c r="G4" s="6" t="s">
        <v>6</v>
      </c>
      <c r="H4" s="6" t="s">
        <v>7</v>
      </c>
      <c r="I4" s="6" t="s">
        <v>8</v>
      </c>
      <c r="J4" s="6"/>
      <c r="K4" s="7"/>
    </row>
    <row r="5" spans="1:11" x14ac:dyDescent="0.25">
      <c r="A5" s="8">
        <v>1</v>
      </c>
      <c r="B5" s="8" t="s">
        <v>27</v>
      </c>
      <c r="C5" s="8">
        <v>9000</v>
      </c>
      <c r="D5" s="8"/>
      <c r="E5" s="8"/>
      <c r="F5" s="8"/>
      <c r="G5" s="8">
        <f>C5+F5+D5+E5</f>
        <v>9000</v>
      </c>
      <c r="H5" s="8">
        <f>9000</f>
        <v>9000</v>
      </c>
      <c r="I5" s="8">
        <f>G5-H5</f>
        <v>0</v>
      </c>
      <c r="J5" s="8"/>
    </row>
    <row r="6" spans="1:11" x14ac:dyDescent="0.25">
      <c r="A6" s="8">
        <v>2</v>
      </c>
      <c r="B6" t="s">
        <v>34</v>
      </c>
      <c r="C6" s="8">
        <v>6000</v>
      </c>
      <c r="D6" s="8"/>
      <c r="E6" s="8"/>
      <c r="F6" s="8"/>
      <c r="G6" s="8">
        <f t="shared" ref="G6:G16" si="0">C6+F6+D6+E6</f>
        <v>6000</v>
      </c>
      <c r="H6" s="8">
        <v>6000</v>
      </c>
      <c r="I6" s="8">
        <f>G6-H6</f>
        <v>0</v>
      </c>
      <c r="J6" s="8"/>
    </row>
    <row r="7" spans="1:11" x14ac:dyDescent="0.25">
      <c r="A7" s="8">
        <v>3</v>
      </c>
      <c r="B7" s="28" t="s">
        <v>41</v>
      </c>
      <c r="C7" s="8"/>
      <c r="D7" s="8"/>
      <c r="E7" s="8"/>
      <c r="F7" s="8"/>
      <c r="G7" s="8">
        <f t="shared" si="0"/>
        <v>0</v>
      </c>
      <c r="H7" s="8"/>
      <c r="I7" s="8">
        <f>G7-H7</f>
        <v>0</v>
      </c>
      <c r="J7" s="8"/>
    </row>
    <row r="8" spans="1:11" x14ac:dyDescent="0.25">
      <c r="A8" s="8">
        <v>4</v>
      </c>
      <c r="B8" s="8" t="s">
        <v>35</v>
      </c>
      <c r="C8" s="8">
        <v>9000</v>
      </c>
      <c r="D8" s="8">
        <v>750</v>
      </c>
      <c r="E8" s="8">
        <v>200</v>
      </c>
      <c r="F8" s="8"/>
      <c r="G8" s="8">
        <f t="shared" si="0"/>
        <v>9950</v>
      </c>
      <c r="H8" s="8">
        <f>9000+950</f>
        <v>9950</v>
      </c>
      <c r="I8" s="8">
        <f t="shared" ref="I8:I17" si="1">G8-H8</f>
        <v>0</v>
      </c>
      <c r="J8" s="8"/>
    </row>
    <row r="9" spans="1:11" x14ac:dyDescent="0.25">
      <c r="A9" s="8">
        <v>5</v>
      </c>
      <c r="B9" s="8" t="s">
        <v>28</v>
      </c>
      <c r="C9" s="8">
        <v>6000</v>
      </c>
      <c r="D9" s="8"/>
      <c r="E9" s="8"/>
      <c r="F9" s="8"/>
      <c r="G9" s="8">
        <f t="shared" si="0"/>
        <v>6000</v>
      </c>
      <c r="H9" s="8">
        <f>6000</f>
        <v>6000</v>
      </c>
      <c r="I9" s="8">
        <f>G9-H9</f>
        <v>0</v>
      </c>
      <c r="J9" s="8"/>
    </row>
    <row r="10" spans="1:11" x14ac:dyDescent="0.25">
      <c r="A10" s="8">
        <v>6</v>
      </c>
      <c r="B10" s="9" t="s">
        <v>36</v>
      </c>
      <c r="C10" s="8">
        <v>5000</v>
      </c>
      <c r="D10" s="8"/>
      <c r="E10" s="8"/>
      <c r="F10" s="8"/>
      <c r="G10" s="8">
        <f t="shared" si="0"/>
        <v>5000</v>
      </c>
      <c r="H10" s="8">
        <v>5000</v>
      </c>
      <c r="I10" s="8">
        <f t="shared" si="1"/>
        <v>0</v>
      </c>
      <c r="J10" s="8"/>
    </row>
    <row r="11" spans="1:11" x14ac:dyDescent="0.25">
      <c r="A11" s="8">
        <v>7</v>
      </c>
      <c r="B11" s="8" t="s">
        <v>29</v>
      </c>
      <c r="C11" s="8">
        <v>9000</v>
      </c>
      <c r="D11" s="8">
        <v>200</v>
      </c>
      <c r="E11" s="8">
        <v>200</v>
      </c>
      <c r="F11" s="8">
        <v>2000</v>
      </c>
      <c r="G11" s="8">
        <f t="shared" si="0"/>
        <v>11400</v>
      </c>
      <c r="H11" s="8">
        <f>9000+1400</f>
        <v>10400</v>
      </c>
      <c r="I11" s="8">
        <f t="shared" si="1"/>
        <v>1000</v>
      </c>
      <c r="J11" s="8">
        <v>1000</v>
      </c>
    </row>
    <row r="12" spans="1:11" x14ac:dyDescent="0.25">
      <c r="A12" s="8">
        <v>8</v>
      </c>
      <c r="B12" s="8" t="s">
        <v>37</v>
      </c>
      <c r="C12" s="8">
        <v>9000</v>
      </c>
      <c r="D12" s="8"/>
      <c r="E12" s="8"/>
      <c r="F12" s="8"/>
      <c r="G12" s="8">
        <f t="shared" si="0"/>
        <v>9000</v>
      </c>
      <c r="H12" s="8">
        <v>9000</v>
      </c>
      <c r="I12" s="8">
        <f t="shared" si="1"/>
        <v>0</v>
      </c>
      <c r="J12" s="8"/>
    </row>
    <row r="13" spans="1:11" x14ac:dyDescent="0.25">
      <c r="A13" s="8">
        <v>9</v>
      </c>
      <c r="B13" s="28" t="s">
        <v>41</v>
      </c>
      <c r="C13" s="8"/>
      <c r="D13" s="8"/>
      <c r="E13" s="8"/>
      <c r="F13" s="8"/>
      <c r="G13" s="8">
        <f t="shared" si="0"/>
        <v>0</v>
      </c>
      <c r="H13" s="8"/>
      <c r="I13" s="8">
        <f t="shared" si="1"/>
        <v>0</v>
      </c>
      <c r="J13" s="8"/>
    </row>
    <row r="14" spans="1:11" x14ac:dyDescent="0.25">
      <c r="A14" s="8">
        <v>10</v>
      </c>
      <c r="B14" s="8" t="s">
        <v>38</v>
      </c>
      <c r="C14" s="8">
        <v>5000</v>
      </c>
      <c r="D14" s="8"/>
      <c r="E14" s="8"/>
      <c r="F14" s="8"/>
      <c r="G14" s="8">
        <f t="shared" si="0"/>
        <v>5000</v>
      </c>
      <c r="H14" s="8">
        <v>5000</v>
      </c>
      <c r="I14" s="8">
        <f t="shared" si="1"/>
        <v>0</v>
      </c>
      <c r="J14" s="8"/>
    </row>
    <row r="15" spans="1:11" x14ac:dyDescent="0.25">
      <c r="A15" s="8">
        <v>11</v>
      </c>
      <c r="B15" s="8" t="s">
        <v>31</v>
      </c>
      <c r="C15" s="8">
        <v>6000</v>
      </c>
      <c r="D15" s="8"/>
      <c r="E15" s="8"/>
      <c r="F15" s="8"/>
      <c r="G15" s="8">
        <f t="shared" si="0"/>
        <v>6000</v>
      </c>
      <c r="H15" s="8">
        <v>6000</v>
      </c>
      <c r="I15" s="8">
        <f t="shared" si="1"/>
        <v>0</v>
      </c>
      <c r="J15" s="8"/>
      <c r="K15" t="s">
        <v>40</v>
      </c>
    </row>
    <row r="16" spans="1:11" x14ac:dyDescent="0.25">
      <c r="A16" s="8">
        <v>12</v>
      </c>
      <c r="B16" s="8" t="s">
        <v>30</v>
      </c>
      <c r="C16" s="8">
        <v>5000</v>
      </c>
      <c r="D16" s="8"/>
      <c r="E16" s="8"/>
      <c r="F16" s="8"/>
      <c r="G16" s="8">
        <f t="shared" si="0"/>
        <v>5000</v>
      </c>
      <c r="H16" s="8">
        <v>5000</v>
      </c>
      <c r="I16" s="8">
        <f t="shared" si="1"/>
        <v>0</v>
      </c>
      <c r="J16" s="8"/>
    </row>
    <row r="17" spans="1:12" x14ac:dyDescent="0.25">
      <c r="A17" s="8"/>
      <c r="B17" s="8"/>
      <c r="C17" s="8"/>
      <c r="D17" s="8"/>
      <c r="E17" s="8"/>
      <c r="F17" s="8"/>
      <c r="G17" s="8">
        <f>C17+F17</f>
        <v>0</v>
      </c>
      <c r="H17" s="8"/>
      <c r="I17" s="8">
        <f t="shared" si="1"/>
        <v>0</v>
      </c>
      <c r="J17" s="8"/>
    </row>
    <row r="18" spans="1:12" x14ac:dyDescent="0.25">
      <c r="A18" s="6"/>
      <c r="B18" s="12" t="s">
        <v>9</v>
      </c>
      <c r="C18" s="6">
        <f t="shared" ref="C18:I18" si="2">SUM(C5:C17)</f>
        <v>69000</v>
      </c>
      <c r="D18" s="6">
        <f t="shared" si="2"/>
        <v>950</v>
      </c>
      <c r="E18" s="6">
        <f t="shared" si="2"/>
        <v>400</v>
      </c>
      <c r="F18" s="8">
        <f t="shared" si="2"/>
        <v>2000</v>
      </c>
      <c r="G18" s="6">
        <f t="shared" si="2"/>
        <v>72350</v>
      </c>
      <c r="H18" s="6">
        <f t="shared" si="2"/>
        <v>71350</v>
      </c>
      <c r="I18" s="6">
        <f t="shared" si="2"/>
        <v>1000</v>
      </c>
      <c r="J18" s="6">
        <f>SUM(J4:J17)</f>
        <v>1000</v>
      </c>
      <c r="K18" s="7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2" x14ac:dyDescent="0.25">
      <c r="A20" s="13"/>
    </row>
    <row r="21" spans="1:12" ht="18.75" x14ac:dyDescent="0.3">
      <c r="A21" s="13"/>
      <c r="C21" s="14"/>
      <c r="D21" s="14"/>
      <c r="E21" s="14"/>
      <c r="F21" s="15" t="s">
        <v>10</v>
      </c>
      <c r="G21" s="14"/>
      <c r="H21" s="14"/>
      <c r="I21" s="14"/>
      <c r="J21" s="16"/>
      <c r="K21" s="16"/>
    </row>
    <row r="22" spans="1:12" ht="15.75" x14ac:dyDescent="0.25">
      <c r="A22" s="13">
        <f>1500*8</f>
        <v>12000</v>
      </c>
      <c r="B22" s="17" t="s">
        <v>11</v>
      </c>
      <c r="C22" s="17" t="s">
        <v>12</v>
      </c>
      <c r="D22" s="17"/>
      <c r="E22" s="17"/>
      <c r="F22" s="17" t="s">
        <v>13</v>
      </c>
      <c r="G22" s="17" t="s">
        <v>14</v>
      </c>
      <c r="H22" s="17" t="s">
        <v>15</v>
      </c>
      <c r="I22" s="17" t="s">
        <v>12</v>
      </c>
      <c r="J22" s="17" t="s">
        <v>13</v>
      </c>
      <c r="K22" s="17" t="s">
        <v>14</v>
      </c>
    </row>
    <row r="23" spans="1:12" x14ac:dyDescent="0.25">
      <c r="A23" s="13"/>
      <c r="B23" s="18" t="s">
        <v>16</v>
      </c>
      <c r="C23" s="19">
        <f>C18</f>
        <v>69000</v>
      </c>
      <c r="D23" s="19"/>
      <c r="E23" s="19"/>
      <c r="F23" s="20">
        <v>0.1</v>
      </c>
      <c r="G23" s="19"/>
      <c r="H23" s="21" t="s">
        <v>16</v>
      </c>
      <c r="I23" s="19">
        <f>H18</f>
        <v>71350</v>
      </c>
      <c r="J23" s="20">
        <v>0.1</v>
      </c>
      <c r="K23" s="11"/>
    </row>
    <row r="24" spans="1:12" x14ac:dyDescent="0.25">
      <c r="A24" s="13"/>
      <c r="B24" s="11" t="s">
        <v>45</v>
      </c>
      <c r="C24" s="19">
        <f>J18</f>
        <v>1000</v>
      </c>
      <c r="D24" s="19"/>
      <c r="E24" s="19"/>
      <c r="F24" s="11"/>
      <c r="G24" s="11"/>
      <c r="H24" s="11" t="s">
        <v>17</v>
      </c>
      <c r="I24" s="19"/>
      <c r="J24" s="11"/>
      <c r="K24" s="11"/>
    </row>
    <row r="25" spans="1:12" x14ac:dyDescent="0.25">
      <c r="A25" s="13"/>
      <c r="B25" s="11" t="s">
        <v>32</v>
      </c>
      <c r="C25" s="19">
        <f>D18</f>
        <v>950</v>
      </c>
      <c r="D25" s="19"/>
      <c r="E25" s="19"/>
      <c r="F25" s="11"/>
      <c r="G25" s="11"/>
      <c r="H25" s="11"/>
      <c r="I25" s="19"/>
      <c r="J25" s="11"/>
      <c r="K25" s="11"/>
    </row>
    <row r="26" spans="1:12" x14ac:dyDescent="0.25">
      <c r="A26" s="13"/>
      <c r="B26" s="11" t="s">
        <v>33</v>
      </c>
      <c r="C26" s="19">
        <f>E18</f>
        <v>400</v>
      </c>
      <c r="D26" s="19"/>
      <c r="E26" s="19"/>
      <c r="F26" s="11"/>
      <c r="G26" s="11"/>
      <c r="H26" s="11"/>
      <c r="I26" s="19"/>
      <c r="J26" s="11"/>
      <c r="K26" s="11"/>
    </row>
    <row r="27" spans="1:12" x14ac:dyDescent="0.25">
      <c r="A27" s="13"/>
      <c r="B27" s="11" t="s">
        <v>18</v>
      </c>
      <c r="C27" s="22"/>
      <c r="D27" s="22"/>
      <c r="E27" s="22"/>
      <c r="F27" s="11">
        <f>C23*F23</f>
        <v>6900</v>
      </c>
      <c r="G27" s="11"/>
      <c r="H27" s="11" t="s">
        <v>18</v>
      </c>
      <c r="I27" s="22"/>
      <c r="J27" s="11">
        <f>F27</f>
        <v>6900</v>
      </c>
      <c r="K27" s="11"/>
    </row>
    <row r="28" spans="1:12" x14ac:dyDescent="0.25">
      <c r="A28" s="13"/>
      <c r="B28" s="23" t="s">
        <v>19</v>
      </c>
      <c r="C28" s="11"/>
      <c r="D28" s="11"/>
      <c r="E28" s="11"/>
      <c r="F28" s="11"/>
      <c r="G28" s="11"/>
      <c r="H28" s="23" t="s">
        <v>19</v>
      </c>
      <c r="I28" s="11"/>
      <c r="J28" s="11"/>
      <c r="K28" s="11"/>
    </row>
    <row r="29" spans="1:12" x14ac:dyDescent="0.25">
      <c r="A29" s="13"/>
      <c r="B29" s="10" t="s">
        <v>20</v>
      </c>
      <c r="C29" s="24">
        <v>0.3</v>
      </c>
      <c r="D29" s="24"/>
      <c r="E29" s="24"/>
      <c r="F29" s="11"/>
      <c r="G29" s="11"/>
      <c r="H29" s="10" t="s">
        <v>20</v>
      </c>
      <c r="I29" s="24">
        <v>0.3</v>
      </c>
      <c r="J29" s="11"/>
      <c r="K29" s="11"/>
    </row>
    <row r="30" spans="1:12" x14ac:dyDescent="0.25">
      <c r="A30" s="13"/>
      <c r="B30" s="8" t="s">
        <v>39</v>
      </c>
      <c r="C30" s="8"/>
      <c r="D30" s="8"/>
      <c r="E30" s="8"/>
      <c r="F30" s="8">
        <v>6000</v>
      </c>
      <c r="G30" s="8"/>
      <c r="H30" s="8" t="s">
        <v>39</v>
      </c>
      <c r="I30" s="8"/>
      <c r="J30" s="8">
        <v>6000</v>
      </c>
      <c r="K30" s="8"/>
      <c r="L30" s="8"/>
    </row>
    <row r="31" spans="1:12" x14ac:dyDescent="0.25">
      <c r="A31" s="13"/>
      <c r="B31" s="8" t="s">
        <v>42</v>
      </c>
      <c r="C31" s="13"/>
      <c r="D31" s="13"/>
      <c r="E31" s="13"/>
      <c r="F31" s="8">
        <v>56710</v>
      </c>
      <c r="G31" s="8"/>
      <c r="H31" s="8" t="s">
        <v>42</v>
      </c>
      <c r="I31" s="13"/>
      <c r="J31" s="8">
        <f>F31</f>
        <v>56710</v>
      </c>
      <c r="K31" s="11"/>
    </row>
    <row r="32" spans="1:12" x14ac:dyDescent="0.25">
      <c r="A32" s="13"/>
      <c r="B32" s="8"/>
      <c r="C32" s="13"/>
      <c r="D32" s="13"/>
      <c r="E32" s="13"/>
      <c r="F32" s="8"/>
      <c r="G32" s="8"/>
      <c r="H32" s="8"/>
      <c r="I32" s="13"/>
      <c r="J32" s="8"/>
      <c r="K32" s="11"/>
    </row>
    <row r="33" spans="1:11" x14ac:dyDescent="0.25">
      <c r="A33" s="13"/>
      <c r="B33" s="25" t="s">
        <v>9</v>
      </c>
      <c r="C33" s="26">
        <f>C23+C24+C26+C25-F27</f>
        <v>64450</v>
      </c>
      <c r="D33" s="26"/>
      <c r="E33" s="26"/>
      <c r="F33" s="25">
        <f>SUM(F29:F32)</f>
        <v>62710</v>
      </c>
      <c r="G33" s="26">
        <f>C33-F33</f>
        <v>1740</v>
      </c>
      <c r="H33" s="21"/>
      <c r="I33" s="26">
        <f>I23+I24-J27</f>
        <v>64450</v>
      </c>
      <c r="J33" s="26">
        <f>SUM(J29:J32)</f>
        <v>62710</v>
      </c>
      <c r="K33" s="26">
        <f>I33-J33</f>
        <v>1740</v>
      </c>
    </row>
    <row r="34" spans="1:11" x14ac:dyDescent="0.25">
      <c r="G34" s="27"/>
    </row>
    <row r="35" spans="1:11" x14ac:dyDescent="0.25">
      <c r="G35" s="27"/>
    </row>
    <row r="36" spans="1:11" x14ac:dyDescent="0.25">
      <c r="B36" s="13" t="s">
        <v>21</v>
      </c>
      <c r="F36" s="13" t="s">
        <v>22</v>
      </c>
      <c r="H36" s="13"/>
      <c r="I36" s="13" t="s">
        <v>23</v>
      </c>
    </row>
    <row r="37" spans="1:11" x14ac:dyDescent="0.25">
      <c r="B37" t="s">
        <v>24</v>
      </c>
      <c r="F37" s="13" t="s">
        <v>25</v>
      </c>
      <c r="H37" s="13"/>
      <c r="I37" s="13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0" workbookViewId="0">
      <selection activeCell="J15" sqref="J15"/>
    </sheetView>
  </sheetViews>
  <sheetFormatPr defaultRowHeight="15" x14ac:dyDescent="0.25"/>
  <cols>
    <col min="2" max="2" width="23.5703125" customWidth="1"/>
    <col min="6" max="6" width="13.42578125" customWidth="1"/>
    <col min="9" max="9" width="13.5703125" customWidth="1"/>
  </cols>
  <sheetData>
    <row r="1" spans="1:12" ht="33.75" customHeight="1" x14ac:dyDescent="0.25">
      <c r="C1" s="60" t="s">
        <v>26</v>
      </c>
      <c r="D1" s="60"/>
      <c r="E1" s="60"/>
      <c r="F1" s="60"/>
      <c r="G1" s="60"/>
      <c r="H1" s="2"/>
      <c r="I1" s="3"/>
      <c r="J1" s="4"/>
    </row>
    <row r="2" spans="1:12" ht="33.75" customHeight="1" x14ac:dyDescent="0.25">
      <c r="C2" s="60" t="s">
        <v>0</v>
      </c>
      <c r="D2" s="60"/>
      <c r="E2" s="60"/>
      <c r="F2" s="60"/>
      <c r="G2" s="60"/>
      <c r="H2" s="1"/>
      <c r="I2" s="5"/>
      <c r="J2" s="5"/>
    </row>
    <row r="3" spans="1:12" ht="45" customHeight="1" x14ac:dyDescent="0.25">
      <c r="C3" s="61" t="s">
        <v>90</v>
      </c>
      <c r="D3" s="61"/>
      <c r="E3" s="61"/>
      <c r="F3" s="61"/>
      <c r="G3" s="61"/>
      <c r="H3" s="1"/>
      <c r="I3" s="5"/>
      <c r="J3" s="5"/>
    </row>
    <row r="4" spans="1:12" s="44" customFormat="1" ht="36.75" customHeight="1" x14ac:dyDescent="0.25">
      <c r="A4" s="41"/>
      <c r="B4" s="42" t="s">
        <v>3</v>
      </c>
      <c r="C4" s="43" t="s">
        <v>4</v>
      </c>
      <c r="D4" s="43" t="s">
        <v>47</v>
      </c>
      <c r="E4" s="43" t="s">
        <v>48</v>
      </c>
      <c r="F4" s="43" t="s">
        <v>32</v>
      </c>
      <c r="G4" s="43" t="s">
        <v>33</v>
      </c>
      <c r="H4" s="43" t="s">
        <v>5</v>
      </c>
      <c r="I4" s="43" t="s">
        <v>6</v>
      </c>
      <c r="J4" s="43" t="s">
        <v>7</v>
      </c>
      <c r="K4" s="43" t="s">
        <v>8</v>
      </c>
      <c r="L4" s="43" t="s">
        <v>45</v>
      </c>
    </row>
    <row r="5" spans="1:12" x14ac:dyDescent="0.25">
      <c r="A5" s="8">
        <v>1</v>
      </c>
      <c r="B5" s="36" t="s">
        <v>27</v>
      </c>
      <c r="C5" s="37">
        <v>9000</v>
      </c>
      <c r="D5" s="37"/>
      <c r="E5" s="37"/>
      <c r="F5" s="37">
        <v>600</v>
      </c>
      <c r="G5" s="37">
        <v>200</v>
      </c>
      <c r="H5" s="37">
        <f>'SEPT 21'!K5:K17</f>
        <v>200</v>
      </c>
      <c r="I5" s="37">
        <f>C5+H5+F5+G5+D5+E5</f>
        <v>10000</v>
      </c>
      <c r="J5" s="37">
        <v>10050</v>
      </c>
      <c r="K5" s="37">
        <f>I5-J5</f>
        <v>-50</v>
      </c>
      <c r="L5" s="8"/>
    </row>
    <row r="6" spans="1:12" x14ac:dyDescent="0.25">
      <c r="A6" s="8">
        <v>2</v>
      </c>
      <c r="B6" s="36" t="s">
        <v>81</v>
      </c>
      <c r="C6" s="39">
        <v>6000</v>
      </c>
      <c r="D6" s="37"/>
      <c r="E6" s="37"/>
      <c r="F6" s="37">
        <v>300</v>
      </c>
      <c r="G6" s="37">
        <v>200</v>
      </c>
      <c r="H6" s="37">
        <f>'SEPT 21'!K6:K18</f>
        <v>700</v>
      </c>
      <c r="I6" s="37">
        <f t="shared" ref="I6:I16" si="0">C6+H6+F6+G6+D6+E6</f>
        <v>7200</v>
      </c>
      <c r="J6" s="37"/>
      <c r="K6" s="37">
        <f t="shared" ref="K6:K17" si="1">I6-J6</f>
        <v>7200</v>
      </c>
      <c r="L6" s="8"/>
    </row>
    <row r="7" spans="1:12" x14ac:dyDescent="0.25">
      <c r="A7" s="8">
        <v>3</v>
      </c>
      <c r="B7" s="45" t="s">
        <v>46</v>
      </c>
      <c r="C7" s="37">
        <v>5000</v>
      </c>
      <c r="D7" s="37"/>
      <c r="E7" s="37"/>
      <c r="F7" s="37">
        <v>300</v>
      </c>
      <c r="G7" s="37">
        <v>200</v>
      </c>
      <c r="H7" s="37">
        <f>'SEPT 21'!K7:K19</f>
        <v>0</v>
      </c>
      <c r="I7" s="37">
        <f t="shared" si="0"/>
        <v>5500</v>
      </c>
      <c r="J7" s="37">
        <v>5500</v>
      </c>
      <c r="K7" s="37">
        <f t="shared" si="1"/>
        <v>0</v>
      </c>
      <c r="L7" s="8"/>
    </row>
    <row r="8" spans="1:12" x14ac:dyDescent="0.25">
      <c r="A8" s="8">
        <v>4</v>
      </c>
      <c r="B8" s="36" t="s">
        <v>35</v>
      </c>
      <c r="C8" s="37">
        <v>9000</v>
      </c>
      <c r="D8" s="37"/>
      <c r="E8" s="37"/>
      <c r="F8" s="37">
        <v>450</v>
      </c>
      <c r="G8" s="37">
        <v>200</v>
      </c>
      <c r="H8" s="37">
        <f>'SEPT 21'!K8:K20</f>
        <v>1220</v>
      </c>
      <c r="I8" s="37">
        <f t="shared" si="0"/>
        <v>10870</v>
      </c>
      <c r="J8" s="37">
        <v>9650</v>
      </c>
      <c r="K8" s="37">
        <f t="shared" si="1"/>
        <v>1220</v>
      </c>
      <c r="L8" s="8"/>
    </row>
    <row r="9" spans="1:12" x14ac:dyDescent="0.25">
      <c r="A9" s="8">
        <v>5</v>
      </c>
      <c r="B9" s="36" t="s">
        <v>82</v>
      </c>
      <c r="C9" s="37">
        <v>6000</v>
      </c>
      <c r="D9" s="37"/>
      <c r="E9" s="37"/>
      <c r="F9" s="37">
        <v>600</v>
      </c>
      <c r="G9" s="37">
        <v>200</v>
      </c>
      <c r="H9" s="37">
        <f>'SEPT 21'!K9:K21</f>
        <v>0</v>
      </c>
      <c r="I9" s="37">
        <f t="shared" si="0"/>
        <v>6800</v>
      </c>
      <c r="J9" s="37">
        <v>6800</v>
      </c>
      <c r="K9" s="37">
        <f t="shared" si="1"/>
        <v>0</v>
      </c>
      <c r="L9" s="8"/>
    </row>
    <row r="10" spans="1:12" x14ac:dyDescent="0.25">
      <c r="A10" s="8">
        <v>6</v>
      </c>
      <c r="B10" s="46" t="s">
        <v>36</v>
      </c>
      <c r="C10" s="37">
        <v>5000</v>
      </c>
      <c r="D10" s="37"/>
      <c r="E10" s="37"/>
      <c r="F10" s="37">
        <v>300</v>
      </c>
      <c r="G10" s="37">
        <v>200</v>
      </c>
      <c r="H10" s="37">
        <f>'SEPT 21'!K10:K22</f>
        <v>0</v>
      </c>
      <c r="I10" s="37">
        <f t="shared" si="0"/>
        <v>5500</v>
      </c>
      <c r="J10" s="37">
        <v>5285</v>
      </c>
      <c r="K10" s="37">
        <f t="shared" si="1"/>
        <v>215</v>
      </c>
      <c r="L10" s="8"/>
    </row>
    <row r="11" spans="1:12" x14ac:dyDescent="0.25">
      <c r="A11" s="8">
        <v>7</v>
      </c>
      <c r="B11" s="36" t="s">
        <v>29</v>
      </c>
      <c r="C11" s="37">
        <v>9000</v>
      </c>
      <c r="D11" s="37"/>
      <c r="E11" s="37"/>
      <c r="F11" s="37">
        <v>750</v>
      </c>
      <c r="G11" s="37">
        <v>200</v>
      </c>
      <c r="H11" s="37">
        <f>'SEPT 21'!K11:K23</f>
        <v>0</v>
      </c>
      <c r="I11" s="37">
        <f t="shared" si="0"/>
        <v>9950</v>
      </c>
      <c r="J11" s="37">
        <v>9950</v>
      </c>
      <c r="K11" s="37">
        <f t="shared" si="1"/>
        <v>0</v>
      </c>
      <c r="L11" s="8"/>
    </row>
    <row r="12" spans="1:12" x14ac:dyDescent="0.25">
      <c r="A12" s="8">
        <v>8</v>
      </c>
      <c r="B12" s="36" t="s">
        <v>37</v>
      </c>
      <c r="C12" s="37">
        <v>9000</v>
      </c>
      <c r="D12" s="37"/>
      <c r="E12" s="37"/>
      <c r="F12" s="37">
        <v>1200</v>
      </c>
      <c r="G12" s="37">
        <v>200</v>
      </c>
      <c r="H12" s="37">
        <f>'SEPT 21'!K12:K24</f>
        <v>300</v>
      </c>
      <c r="I12" s="37">
        <f t="shared" si="0"/>
        <v>10700</v>
      </c>
      <c r="J12" s="37">
        <f>9000+1400</f>
        <v>10400</v>
      </c>
      <c r="K12" s="37">
        <f t="shared" si="1"/>
        <v>300</v>
      </c>
      <c r="L12" s="8"/>
    </row>
    <row r="13" spans="1:12" x14ac:dyDescent="0.25">
      <c r="A13" s="8">
        <v>9</v>
      </c>
      <c r="B13" s="45" t="s">
        <v>70</v>
      </c>
      <c r="C13" s="37">
        <v>5000</v>
      </c>
      <c r="D13" s="37"/>
      <c r="E13" s="37"/>
      <c r="F13" s="37">
        <v>600</v>
      </c>
      <c r="G13" s="37">
        <v>200</v>
      </c>
      <c r="H13" s="37">
        <f>'SEPT 21'!K13:K25</f>
        <v>2100</v>
      </c>
      <c r="I13" s="37">
        <f t="shared" si="0"/>
        <v>7900</v>
      </c>
      <c r="J13" s="37">
        <f>5200</f>
        <v>5200</v>
      </c>
      <c r="K13" s="37">
        <f t="shared" si="1"/>
        <v>2700</v>
      </c>
      <c r="L13" s="8"/>
    </row>
    <row r="14" spans="1:12" x14ac:dyDescent="0.25">
      <c r="A14" s="8">
        <v>10</v>
      </c>
      <c r="B14" s="36" t="s">
        <v>38</v>
      </c>
      <c r="C14" s="37">
        <v>5000</v>
      </c>
      <c r="D14" s="37"/>
      <c r="E14" s="37"/>
      <c r="F14" s="37">
        <v>300</v>
      </c>
      <c r="G14" s="37">
        <v>200</v>
      </c>
      <c r="H14" s="37">
        <f>'SEPT 21'!K14:K26</f>
        <v>500</v>
      </c>
      <c r="I14" s="37">
        <f t="shared" si="0"/>
        <v>6000</v>
      </c>
      <c r="J14" s="37"/>
      <c r="K14" s="37">
        <f t="shared" si="1"/>
        <v>6000</v>
      </c>
      <c r="L14" s="8"/>
    </row>
    <row r="15" spans="1:12" x14ac:dyDescent="0.25">
      <c r="A15" s="8">
        <v>11</v>
      </c>
      <c r="B15" s="36" t="s">
        <v>80</v>
      </c>
      <c r="C15" s="47">
        <v>6000</v>
      </c>
      <c r="D15" s="37"/>
      <c r="E15" s="37"/>
      <c r="F15" s="37">
        <v>900</v>
      </c>
      <c r="G15" s="37">
        <v>200</v>
      </c>
      <c r="H15" s="37">
        <f>'SEPT 21'!K15:K27</f>
        <v>6300</v>
      </c>
      <c r="I15" s="37">
        <f t="shared" si="0"/>
        <v>13400</v>
      </c>
      <c r="J15" s="37">
        <f>1000+4000+500+1000</f>
        <v>6500</v>
      </c>
      <c r="K15" s="37">
        <f t="shared" si="1"/>
        <v>6900</v>
      </c>
      <c r="L15" s="8"/>
    </row>
    <row r="16" spans="1:12" x14ac:dyDescent="0.25">
      <c r="A16" s="8">
        <v>12</v>
      </c>
      <c r="B16" s="36" t="s">
        <v>30</v>
      </c>
      <c r="C16" s="37">
        <v>5000</v>
      </c>
      <c r="D16" s="37"/>
      <c r="E16" s="37"/>
      <c r="F16" s="37">
        <v>300</v>
      </c>
      <c r="G16" s="37">
        <v>200</v>
      </c>
      <c r="H16" s="37">
        <f>'SEPT 21'!K16:K28</f>
        <v>0</v>
      </c>
      <c r="I16" s="37">
        <f t="shared" si="0"/>
        <v>5500</v>
      </c>
      <c r="J16" s="37">
        <v>5500</v>
      </c>
      <c r="K16" s="37">
        <f t="shared" si="1"/>
        <v>0</v>
      </c>
      <c r="L16" s="8"/>
    </row>
    <row r="17" spans="1:13" x14ac:dyDescent="0.25">
      <c r="A17" s="8"/>
      <c r="B17" s="36"/>
      <c r="C17" s="37"/>
      <c r="D17" s="37"/>
      <c r="E17" s="37"/>
      <c r="F17" s="37"/>
      <c r="G17" s="37"/>
      <c r="H17" s="37">
        <f>'SEPT 21'!K17:K29</f>
        <v>0</v>
      </c>
      <c r="I17" s="37">
        <f>C17+H17+F17+G17+D17</f>
        <v>0</v>
      </c>
      <c r="J17" s="37"/>
      <c r="K17" s="37">
        <f t="shared" si="1"/>
        <v>0</v>
      </c>
      <c r="L17" s="8"/>
    </row>
    <row r="18" spans="1:13" s="40" customFormat="1" ht="36.75" customHeight="1" x14ac:dyDescent="0.25">
      <c r="A18" s="38"/>
      <c r="B18" s="36" t="s">
        <v>9</v>
      </c>
      <c r="C18" s="38">
        <f t="shared" ref="C18:L18" si="2">SUM(C5:C17)</f>
        <v>79000</v>
      </c>
      <c r="D18" s="38">
        <f t="shared" si="2"/>
        <v>0</v>
      </c>
      <c r="E18" s="38">
        <f t="shared" si="2"/>
        <v>0</v>
      </c>
      <c r="F18" s="38">
        <f t="shared" si="2"/>
        <v>6600</v>
      </c>
      <c r="G18" s="38">
        <f t="shared" si="2"/>
        <v>2400</v>
      </c>
      <c r="H18" s="38">
        <f>SUM(H5:H17)</f>
        <v>11320</v>
      </c>
      <c r="I18" s="38">
        <f t="shared" si="2"/>
        <v>99320</v>
      </c>
      <c r="J18" s="38">
        <f t="shared" si="2"/>
        <v>74835</v>
      </c>
      <c r="K18" s="38">
        <f>SUM(K5:K17)</f>
        <v>24485</v>
      </c>
      <c r="L18" s="38">
        <f t="shared" si="2"/>
        <v>0</v>
      </c>
    </row>
    <row r="19" spans="1:13" x14ac:dyDescent="0.25">
      <c r="A19" s="8"/>
      <c r="B19" s="31"/>
      <c r="C19" s="8"/>
      <c r="D19" s="8"/>
      <c r="E19" s="8"/>
      <c r="F19" s="8"/>
      <c r="G19" s="8"/>
      <c r="H19" s="8"/>
      <c r="I19" s="8"/>
      <c r="J19" s="8"/>
      <c r="K19" s="8"/>
      <c r="L19" s="8"/>
    </row>
    <row r="21" spans="1:13" ht="47.25" customHeight="1" x14ac:dyDescent="0.25">
      <c r="B21" s="61" t="s">
        <v>10</v>
      </c>
      <c r="C21" s="61"/>
      <c r="D21" s="61"/>
      <c r="E21" s="61"/>
      <c r="F21" s="61"/>
      <c r="G21" s="61"/>
      <c r="H21" s="61"/>
      <c r="I21" s="61"/>
    </row>
    <row r="22" spans="1:13" ht="29.25" customHeight="1" x14ac:dyDescent="0.25">
      <c r="B22" s="48" t="s">
        <v>11</v>
      </c>
      <c r="C22" s="48" t="s">
        <v>12</v>
      </c>
      <c r="D22" s="48" t="s">
        <v>13</v>
      </c>
      <c r="E22" s="48" t="s">
        <v>14</v>
      </c>
      <c r="F22" s="48" t="s">
        <v>15</v>
      </c>
      <c r="G22" s="48" t="s">
        <v>12</v>
      </c>
      <c r="H22" s="48" t="s">
        <v>13</v>
      </c>
      <c r="I22" s="48" t="s">
        <v>14</v>
      </c>
      <c r="K22">
        <f>6000+2050+2000</f>
        <v>10050</v>
      </c>
    </row>
    <row r="23" spans="1:13" x14ac:dyDescent="0.25">
      <c r="B23" s="18" t="s">
        <v>95</v>
      </c>
      <c r="C23" s="19">
        <f>C18</f>
        <v>79000</v>
      </c>
      <c r="D23" s="20">
        <v>0.1</v>
      </c>
      <c r="E23" s="19"/>
      <c r="F23" s="21" t="s">
        <v>95</v>
      </c>
      <c r="G23" s="19">
        <f>J18</f>
        <v>74835</v>
      </c>
      <c r="H23" s="20">
        <v>0.1</v>
      </c>
      <c r="I23" s="11"/>
    </row>
    <row r="24" spans="1:13" x14ac:dyDescent="0.25">
      <c r="B24" s="49" t="s">
        <v>17</v>
      </c>
      <c r="C24" s="19">
        <f>'SEPT 21'!E36</f>
        <v>-10860</v>
      </c>
      <c r="D24" s="11"/>
      <c r="E24" s="11"/>
      <c r="F24" s="11" t="s">
        <v>17</v>
      </c>
      <c r="G24" s="19">
        <f>'SEPT 21'!I36</f>
        <v>-22180</v>
      </c>
      <c r="H24" s="11"/>
      <c r="I24" s="11"/>
    </row>
    <row r="25" spans="1:13" x14ac:dyDescent="0.25">
      <c r="B25" s="49" t="s">
        <v>47</v>
      </c>
      <c r="C25" s="19">
        <f>D18</f>
        <v>0</v>
      </c>
      <c r="D25" s="11"/>
      <c r="E25" s="11"/>
      <c r="F25" s="11"/>
      <c r="G25" s="19"/>
      <c r="H25" s="11"/>
      <c r="I25" s="11"/>
    </row>
    <row r="26" spans="1:13" x14ac:dyDescent="0.25">
      <c r="B26" s="49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3" x14ac:dyDescent="0.25">
      <c r="B27" s="49" t="s">
        <v>32</v>
      </c>
      <c r="C27" s="19">
        <f>F18</f>
        <v>6600</v>
      </c>
      <c r="D27" s="11"/>
      <c r="E27" s="11"/>
      <c r="F27" s="11"/>
      <c r="G27" s="19"/>
      <c r="H27" s="11"/>
      <c r="I27" s="11"/>
    </row>
    <row r="28" spans="1:13" x14ac:dyDescent="0.25">
      <c r="B28" s="49" t="s">
        <v>33</v>
      </c>
      <c r="C28" s="19">
        <f>G18</f>
        <v>2400</v>
      </c>
      <c r="D28" s="11"/>
      <c r="E28" s="11"/>
      <c r="F28" s="11"/>
      <c r="G28" s="19"/>
      <c r="H28" s="11"/>
      <c r="I28" s="11"/>
    </row>
    <row r="29" spans="1:13" x14ac:dyDescent="0.25">
      <c r="B29" s="49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3" x14ac:dyDescent="0.25">
      <c r="B30" s="49" t="s">
        <v>18</v>
      </c>
      <c r="C30" s="22"/>
      <c r="D30" s="11">
        <f>C23*D23</f>
        <v>7900</v>
      </c>
      <c r="E30" s="11"/>
      <c r="F30" s="11" t="s">
        <v>18</v>
      </c>
      <c r="G30" s="22"/>
      <c r="H30" s="11">
        <f>D30</f>
        <v>7900</v>
      </c>
      <c r="I30" s="11"/>
    </row>
    <row r="31" spans="1:13" x14ac:dyDescent="0.25"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  <c r="M31" s="27"/>
    </row>
    <row r="32" spans="1:13" x14ac:dyDescent="0.25">
      <c r="B32" s="50" t="s">
        <v>20</v>
      </c>
      <c r="C32" s="24">
        <v>0.3</v>
      </c>
      <c r="D32" s="11"/>
      <c r="E32" s="11"/>
      <c r="F32" s="50" t="s">
        <v>20</v>
      </c>
      <c r="G32" s="24">
        <v>0.3</v>
      </c>
      <c r="H32" s="11"/>
      <c r="I32" s="11"/>
      <c r="M32" s="27"/>
    </row>
    <row r="33" spans="2:13" x14ac:dyDescent="0.25">
      <c r="B33" s="37" t="s">
        <v>65</v>
      </c>
      <c r="C33" s="8"/>
      <c r="D33" s="8">
        <v>5000</v>
      </c>
      <c r="E33" s="8"/>
      <c r="F33" s="37" t="s">
        <v>65</v>
      </c>
      <c r="G33" s="8"/>
      <c r="H33" s="8">
        <v>5000</v>
      </c>
      <c r="I33" s="8"/>
      <c r="M33" s="27"/>
    </row>
    <row r="34" spans="2:13" x14ac:dyDescent="0.25">
      <c r="B34" s="37" t="s">
        <v>73</v>
      </c>
      <c r="C34" s="13"/>
      <c r="D34" s="8">
        <v>3600</v>
      </c>
      <c r="E34" s="8"/>
      <c r="F34" s="37" t="s">
        <v>73</v>
      </c>
      <c r="G34" s="13"/>
      <c r="H34" s="8">
        <v>3600</v>
      </c>
      <c r="I34" s="11"/>
      <c r="M34" s="27"/>
    </row>
    <row r="35" spans="2:13" x14ac:dyDescent="0.25">
      <c r="B35" s="37" t="s">
        <v>92</v>
      </c>
      <c r="C35" s="13"/>
      <c r="D35" s="8">
        <v>68500</v>
      </c>
      <c r="E35" s="8"/>
      <c r="F35" s="37" t="s">
        <v>92</v>
      </c>
      <c r="G35" s="13"/>
      <c r="H35" s="8">
        <v>68500</v>
      </c>
      <c r="I35" s="11"/>
      <c r="K35" s="27"/>
    </row>
    <row r="36" spans="2:13" x14ac:dyDescent="0.25">
      <c r="B36" s="25" t="s">
        <v>9</v>
      </c>
      <c r="C36" s="26">
        <f>C23+C24+C29+C26+C25+C27+C28-D30</f>
        <v>69240</v>
      </c>
      <c r="D36" s="25">
        <f>SUM(D32:D35)</f>
        <v>77100</v>
      </c>
      <c r="E36" s="26">
        <f>C36-D36</f>
        <v>-7860</v>
      </c>
      <c r="F36" s="21"/>
      <c r="G36" s="26">
        <f>G23+G24-H30</f>
        <v>44755</v>
      </c>
      <c r="H36" s="26">
        <f>SUM(H32:H35)</f>
        <v>77100</v>
      </c>
      <c r="I36" s="26">
        <f>G36-H36</f>
        <v>-32345</v>
      </c>
      <c r="M36" s="27"/>
    </row>
    <row r="37" spans="2:13" x14ac:dyDescent="0.25">
      <c r="E37" s="27"/>
    </row>
    <row r="38" spans="2:13" x14ac:dyDescent="0.25">
      <c r="E38" s="27"/>
      <c r="M38" s="27"/>
    </row>
    <row r="39" spans="2:13" ht="28.5" customHeight="1" x14ac:dyDescent="0.25">
      <c r="B39" s="51" t="s">
        <v>21</v>
      </c>
      <c r="D39" s="62" t="s">
        <v>22</v>
      </c>
      <c r="E39" s="62"/>
      <c r="F39" s="13"/>
      <c r="G39" s="62" t="s">
        <v>23</v>
      </c>
      <c r="H39" s="62"/>
    </row>
    <row r="40" spans="2:13" ht="31.5" customHeight="1" x14ac:dyDescent="0.25">
      <c r="B40" s="52" t="s">
        <v>93</v>
      </c>
      <c r="D40" s="59" t="s">
        <v>25</v>
      </c>
      <c r="E40" s="59"/>
      <c r="F40" s="13"/>
      <c r="G40" s="59" t="s">
        <v>59</v>
      </c>
      <c r="H40" s="59"/>
      <c r="M40" s="27"/>
    </row>
    <row r="41" spans="2:13" x14ac:dyDescent="0.25">
      <c r="B41">
        <f>11000-10450</f>
        <v>550</v>
      </c>
      <c r="J41" s="27">
        <f>M32-M37</f>
        <v>0</v>
      </c>
    </row>
    <row r="42" spans="2:13" x14ac:dyDescent="0.25">
      <c r="E42" s="7"/>
      <c r="I42" s="27">
        <f>E36-210</f>
        <v>-8070</v>
      </c>
    </row>
    <row r="43" spans="2:13" x14ac:dyDescent="0.25">
      <c r="I43">
        <v>23404492</v>
      </c>
    </row>
  </sheetData>
  <mergeCells count="8">
    <mergeCell ref="G40:H40"/>
    <mergeCell ref="D40:E40"/>
    <mergeCell ref="C1:G1"/>
    <mergeCell ref="C2:G2"/>
    <mergeCell ref="C3:G3"/>
    <mergeCell ref="B21:I21"/>
    <mergeCell ref="D39:E39"/>
    <mergeCell ref="G39:H39"/>
  </mergeCells>
  <conditionalFormatting sqref="B5:B17">
    <cfRule type="containsText" dxfId="17" priority="5" operator="containsText" text="VACCANT">
      <formula>NOT(ISERROR(SEARCH("VACCANT",B5)))</formula>
    </cfRule>
    <cfRule type="notContainsText" dxfId="16" priority="6" operator="notContains" text="VACCANT">
      <formula>ISERROR(SEARCH("VACCANT",B5))</formula>
    </cfRule>
  </conditionalFormatting>
  <conditionalFormatting sqref="K5:K17">
    <cfRule type="cellIs" dxfId="15" priority="1" operator="greaterThan">
      <formula>0</formula>
    </cfRule>
    <cfRule type="cellIs" dxfId="14" priority="2" operator="equal">
      <formula>0</formula>
    </cfRule>
    <cfRule type="cellIs" dxfId="13" priority="3" operator="greaterThan">
      <formula>4700</formula>
    </cfRule>
    <cfRule type="cellIs" dxfId="12" priority="4" operator="greater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16" sqref="J16"/>
    </sheetView>
  </sheetViews>
  <sheetFormatPr defaultRowHeight="15" x14ac:dyDescent="0.25"/>
  <cols>
    <col min="2" max="2" width="23.5703125" customWidth="1"/>
    <col min="6" max="6" width="13.42578125" customWidth="1"/>
    <col min="9" max="9" width="13.5703125" customWidth="1"/>
  </cols>
  <sheetData>
    <row r="1" spans="1:12" ht="18.75" x14ac:dyDescent="0.25">
      <c r="C1" s="60" t="s">
        <v>26</v>
      </c>
      <c r="D1" s="60"/>
      <c r="E1" s="60"/>
      <c r="F1" s="60"/>
      <c r="G1" s="60"/>
      <c r="H1" s="2"/>
      <c r="I1" s="3"/>
      <c r="J1" s="4"/>
    </row>
    <row r="2" spans="1:12" ht="18.75" x14ac:dyDescent="0.25">
      <c r="C2" s="60" t="s">
        <v>0</v>
      </c>
      <c r="D2" s="60"/>
      <c r="E2" s="60"/>
      <c r="F2" s="60"/>
      <c r="G2" s="60"/>
      <c r="H2" s="53"/>
      <c r="I2" s="5"/>
      <c r="J2" s="5"/>
    </row>
    <row r="3" spans="1:12" ht="18.75" x14ac:dyDescent="0.25">
      <c r="C3" s="61" t="s">
        <v>94</v>
      </c>
      <c r="D3" s="61"/>
      <c r="E3" s="61"/>
      <c r="F3" s="61"/>
      <c r="G3" s="61"/>
      <c r="H3" s="53"/>
      <c r="I3" s="5"/>
      <c r="J3" s="5"/>
    </row>
    <row r="4" spans="1:12" s="44" customFormat="1" ht="30" x14ac:dyDescent="0.25">
      <c r="A4" s="41"/>
      <c r="B4" s="42" t="s">
        <v>3</v>
      </c>
      <c r="C4" s="43" t="s">
        <v>4</v>
      </c>
      <c r="D4" s="43" t="s">
        <v>47</v>
      </c>
      <c r="E4" s="43" t="s">
        <v>48</v>
      </c>
      <c r="F4" s="43" t="s">
        <v>32</v>
      </c>
      <c r="G4" s="43" t="s">
        <v>33</v>
      </c>
      <c r="H4" s="43" t="s">
        <v>5</v>
      </c>
      <c r="I4" s="43" t="s">
        <v>6</v>
      </c>
      <c r="J4" s="43" t="s">
        <v>7</v>
      </c>
      <c r="K4" s="43" t="s">
        <v>8</v>
      </c>
      <c r="L4" s="43" t="s">
        <v>45</v>
      </c>
    </row>
    <row r="5" spans="1:12" x14ac:dyDescent="0.25">
      <c r="A5" s="8">
        <v>1</v>
      </c>
      <c r="B5" s="36" t="s">
        <v>27</v>
      </c>
      <c r="C5" s="37">
        <v>9000</v>
      </c>
      <c r="D5" s="37"/>
      <c r="E5" s="37"/>
      <c r="F5" s="37">
        <v>750</v>
      </c>
      <c r="G5" s="37">
        <v>200</v>
      </c>
      <c r="H5" s="37">
        <f>'OCTOBER 21'!K5:K17</f>
        <v>-50</v>
      </c>
      <c r="I5" s="37">
        <f>C5+H5+F5+G5+D5+E5</f>
        <v>9900</v>
      </c>
      <c r="J5" s="37">
        <v>9900</v>
      </c>
      <c r="K5" s="37">
        <f>I5-J5</f>
        <v>0</v>
      </c>
      <c r="L5" s="8"/>
    </row>
    <row r="6" spans="1:12" x14ac:dyDescent="0.25">
      <c r="A6" s="8">
        <v>2</v>
      </c>
      <c r="B6" s="36" t="s">
        <v>81</v>
      </c>
      <c r="C6" s="39">
        <v>6000</v>
      </c>
      <c r="D6" s="37"/>
      <c r="E6" s="37"/>
      <c r="F6" s="37">
        <v>150</v>
      </c>
      <c r="G6" s="37">
        <v>200</v>
      </c>
      <c r="H6" s="37">
        <f>'OCTOBER 21'!K6:K18</f>
        <v>7200</v>
      </c>
      <c r="I6" s="37">
        <f t="shared" ref="I6:I16" si="0">C6+H6+F6+G6+D6+E6</f>
        <v>13550</v>
      </c>
      <c r="J6" s="37">
        <v>6000</v>
      </c>
      <c r="K6" s="37">
        <f t="shared" ref="K6:K17" si="1">I6-J6</f>
        <v>7550</v>
      </c>
      <c r="L6" s="8"/>
    </row>
    <row r="7" spans="1:12" x14ac:dyDescent="0.25">
      <c r="A7" s="8">
        <v>3</v>
      </c>
      <c r="B7" s="45" t="s">
        <v>46</v>
      </c>
      <c r="C7" s="37">
        <v>5000</v>
      </c>
      <c r="D7" s="37"/>
      <c r="E7" s="37"/>
      <c r="F7" s="37"/>
      <c r="G7" s="37">
        <v>200</v>
      </c>
      <c r="H7" s="37">
        <f>'OCTOBER 21'!K7:K19</f>
        <v>0</v>
      </c>
      <c r="I7" s="37">
        <f t="shared" si="0"/>
        <v>5200</v>
      </c>
      <c r="J7" s="37">
        <v>5200</v>
      </c>
      <c r="K7" s="37">
        <f t="shared" si="1"/>
        <v>0</v>
      </c>
      <c r="L7" s="8"/>
    </row>
    <row r="8" spans="1:12" x14ac:dyDescent="0.25">
      <c r="A8" s="8">
        <v>4</v>
      </c>
      <c r="B8" s="36" t="s">
        <v>35</v>
      </c>
      <c r="C8" s="37">
        <v>9000</v>
      </c>
      <c r="D8" s="37"/>
      <c r="E8" s="37"/>
      <c r="F8" s="37">
        <v>300</v>
      </c>
      <c r="G8" s="37">
        <v>200</v>
      </c>
      <c r="H8" s="37">
        <f>'OCTOBER 21'!K8:K20</f>
        <v>1220</v>
      </c>
      <c r="I8" s="37">
        <f t="shared" si="0"/>
        <v>10720</v>
      </c>
      <c r="J8" s="37">
        <v>9500</v>
      </c>
      <c r="K8" s="37">
        <f t="shared" si="1"/>
        <v>1220</v>
      </c>
      <c r="L8" s="8"/>
    </row>
    <row r="9" spans="1:12" x14ac:dyDescent="0.25">
      <c r="A9" s="8">
        <v>5</v>
      </c>
      <c r="B9" s="36" t="s">
        <v>82</v>
      </c>
      <c r="C9" s="37">
        <v>6000</v>
      </c>
      <c r="D9" s="37"/>
      <c r="E9" s="37"/>
      <c r="F9" s="37">
        <v>600</v>
      </c>
      <c r="G9" s="37">
        <v>200</v>
      </c>
      <c r="H9" s="37">
        <f>'OCTOBER 21'!K9:K21</f>
        <v>0</v>
      </c>
      <c r="I9" s="37">
        <f t="shared" si="0"/>
        <v>6800</v>
      </c>
      <c r="J9" s="37">
        <v>6800</v>
      </c>
      <c r="K9" s="37">
        <f t="shared" si="1"/>
        <v>0</v>
      </c>
      <c r="L9" s="8"/>
    </row>
    <row r="10" spans="1:12" x14ac:dyDescent="0.25">
      <c r="A10" s="8">
        <v>6</v>
      </c>
      <c r="B10" s="46" t="s">
        <v>36</v>
      </c>
      <c r="C10" s="37">
        <v>5000</v>
      </c>
      <c r="D10" s="37"/>
      <c r="E10" s="37"/>
      <c r="F10" s="37"/>
      <c r="G10" s="37">
        <v>200</v>
      </c>
      <c r="H10" s="37">
        <f>'OCTOBER 21'!K10:K22</f>
        <v>215</v>
      </c>
      <c r="I10" s="37">
        <f t="shared" si="0"/>
        <v>5415</v>
      </c>
      <c r="J10" s="37">
        <v>5285</v>
      </c>
      <c r="K10" s="37">
        <f t="shared" si="1"/>
        <v>130</v>
      </c>
      <c r="L10" s="8"/>
    </row>
    <row r="11" spans="1:12" x14ac:dyDescent="0.25">
      <c r="A11" s="8">
        <v>7</v>
      </c>
      <c r="B11" s="36" t="s">
        <v>29</v>
      </c>
      <c r="C11" s="37">
        <v>9000</v>
      </c>
      <c r="D11" s="37"/>
      <c r="E11" s="37"/>
      <c r="F11" s="37">
        <v>450</v>
      </c>
      <c r="G11" s="37">
        <v>200</v>
      </c>
      <c r="H11" s="37">
        <f>'OCTOBER 21'!K11:K23</f>
        <v>0</v>
      </c>
      <c r="I11" s="37">
        <f t="shared" si="0"/>
        <v>9650</v>
      </c>
      <c r="J11" s="37">
        <v>9650</v>
      </c>
      <c r="K11" s="37">
        <f t="shared" si="1"/>
        <v>0</v>
      </c>
      <c r="L11" s="8"/>
    </row>
    <row r="12" spans="1:12" x14ac:dyDescent="0.25">
      <c r="A12" s="8">
        <v>8</v>
      </c>
      <c r="B12" s="36" t="s">
        <v>37</v>
      </c>
      <c r="C12" s="37">
        <v>9000</v>
      </c>
      <c r="D12" s="37"/>
      <c r="E12" s="37"/>
      <c r="F12" s="37">
        <v>1200</v>
      </c>
      <c r="G12" s="37">
        <v>200</v>
      </c>
      <c r="H12" s="37">
        <f>'OCTOBER 21'!K12:K24</f>
        <v>300</v>
      </c>
      <c r="I12" s="37">
        <f t="shared" si="0"/>
        <v>10700</v>
      </c>
      <c r="J12" s="37">
        <v>10400</v>
      </c>
      <c r="K12" s="37">
        <f t="shared" si="1"/>
        <v>300</v>
      </c>
      <c r="L12" s="8"/>
    </row>
    <row r="13" spans="1:12" x14ac:dyDescent="0.25">
      <c r="A13" s="8">
        <v>9</v>
      </c>
      <c r="B13" s="45" t="s">
        <v>70</v>
      </c>
      <c r="C13" s="37">
        <v>5000</v>
      </c>
      <c r="D13" s="37"/>
      <c r="E13" s="37"/>
      <c r="F13" s="37">
        <v>600</v>
      </c>
      <c r="G13" s="37">
        <v>200</v>
      </c>
      <c r="H13" s="37">
        <f>'OCTOBER 21'!K13:K25</f>
        <v>2700</v>
      </c>
      <c r="I13" s="37">
        <f t="shared" si="0"/>
        <v>8500</v>
      </c>
      <c r="J13" s="37">
        <f>5000+1650</f>
        <v>6650</v>
      </c>
      <c r="K13" s="37">
        <f t="shared" si="1"/>
        <v>1850</v>
      </c>
      <c r="L13" s="8"/>
    </row>
    <row r="14" spans="1:12" x14ac:dyDescent="0.25">
      <c r="A14" s="8">
        <v>10</v>
      </c>
      <c r="B14" s="36" t="s">
        <v>38</v>
      </c>
      <c r="C14" s="37">
        <v>5000</v>
      </c>
      <c r="D14" s="37"/>
      <c r="E14" s="37"/>
      <c r="F14" s="37">
        <v>150</v>
      </c>
      <c r="G14" s="37">
        <v>200</v>
      </c>
      <c r="H14" s="37">
        <f>'OCTOBER 21'!K14:K26</f>
        <v>6000</v>
      </c>
      <c r="I14" s="37">
        <f t="shared" si="0"/>
        <v>11350</v>
      </c>
      <c r="J14" s="37">
        <f>5350+5500</f>
        <v>10850</v>
      </c>
      <c r="K14" s="37">
        <f t="shared" si="1"/>
        <v>500</v>
      </c>
      <c r="L14" s="8"/>
    </row>
    <row r="15" spans="1:12" x14ac:dyDescent="0.25">
      <c r="A15" s="8">
        <v>11</v>
      </c>
      <c r="B15" s="36" t="s">
        <v>80</v>
      </c>
      <c r="C15" s="47">
        <v>6000</v>
      </c>
      <c r="D15" s="37"/>
      <c r="E15" s="37"/>
      <c r="F15" s="37">
        <v>750</v>
      </c>
      <c r="G15" s="37">
        <v>200</v>
      </c>
      <c r="H15" s="37">
        <f>'OCTOBER 21'!K15:K27</f>
        <v>6900</v>
      </c>
      <c r="I15" s="37">
        <f t="shared" si="0"/>
        <v>13850</v>
      </c>
      <c r="J15" s="37">
        <f>500+500+500+500+500+500+500+500+1500+2000+600</f>
        <v>8100</v>
      </c>
      <c r="K15" s="37">
        <f t="shared" si="1"/>
        <v>5750</v>
      </c>
      <c r="L15" s="8"/>
    </row>
    <row r="16" spans="1:12" x14ac:dyDescent="0.25">
      <c r="A16" s="8">
        <v>12</v>
      </c>
      <c r="B16" s="36" t="s">
        <v>30</v>
      </c>
      <c r="C16" s="37">
        <v>5000</v>
      </c>
      <c r="D16" s="37"/>
      <c r="E16" s="37"/>
      <c r="F16" s="37"/>
      <c r="G16" s="37">
        <v>200</v>
      </c>
      <c r="H16" s="37">
        <f>'OCTOBER 21'!K16:K28</f>
        <v>0</v>
      </c>
      <c r="I16" s="37">
        <f t="shared" si="0"/>
        <v>5200</v>
      </c>
      <c r="J16" s="37">
        <v>5200</v>
      </c>
      <c r="K16" s="37">
        <f t="shared" si="1"/>
        <v>0</v>
      </c>
      <c r="L16" s="8"/>
    </row>
    <row r="17" spans="1:13" x14ac:dyDescent="0.25">
      <c r="A17" s="8"/>
      <c r="B17" s="36"/>
      <c r="C17" s="37"/>
      <c r="D17" s="37"/>
      <c r="E17" s="37"/>
      <c r="F17" s="37"/>
      <c r="G17" s="37"/>
      <c r="H17" s="37">
        <f>'OCTOBER 21'!K17:K29</f>
        <v>0</v>
      </c>
      <c r="I17" s="37">
        <f>C17+H17+F17+G17+D17</f>
        <v>0</v>
      </c>
      <c r="J17" s="37"/>
      <c r="K17" s="37">
        <f t="shared" si="1"/>
        <v>0</v>
      </c>
      <c r="L17" s="8"/>
    </row>
    <row r="18" spans="1:13" s="40" customFormat="1" ht="36.75" customHeight="1" x14ac:dyDescent="0.25">
      <c r="A18" s="38"/>
      <c r="B18" s="36" t="s">
        <v>9</v>
      </c>
      <c r="C18" s="38">
        <f t="shared" ref="C18:L18" si="2">SUM(C5:C17)</f>
        <v>79000</v>
      </c>
      <c r="D18" s="38">
        <f t="shared" si="2"/>
        <v>0</v>
      </c>
      <c r="E18" s="38">
        <f t="shared" si="2"/>
        <v>0</v>
      </c>
      <c r="F18" s="38">
        <f t="shared" si="2"/>
        <v>4950</v>
      </c>
      <c r="G18" s="38">
        <f t="shared" si="2"/>
        <v>2400</v>
      </c>
      <c r="H18" s="38">
        <f>SUM(H5:H17)</f>
        <v>24485</v>
      </c>
      <c r="I18" s="38">
        <f t="shared" si="2"/>
        <v>110835</v>
      </c>
      <c r="J18" s="38">
        <f t="shared" si="2"/>
        <v>93535</v>
      </c>
      <c r="K18" s="38">
        <f>SUM(K5:K17)</f>
        <v>17300</v>
      </c>
      <c r="L18" s="38">
        <f t="shared" si="2"/>
        <v>0</v>
      </c>
    </row>
    <row r="19" spans="1:13" x14ac:dyDescent="0.25">
      <c r="A19" s="8"/>
      <c r="B19" s="31"/>
      <c r="C19" s="8"/>
      <c r="D19" s="8"/>
      <c r="E19" s="8"/>
      <c r="F19" s="8"/>
      <c r="G19" s="8"/>
      <c r="H19" s="8"/>
      <c r="I19" s="8"/>
      <c r="J19" s="8"/>
      <c r="K19" s="8"/>
      <c r="L19" s="8"/>
    </row>
    <row r="21" spans="1:13" ht="47.25" customHeight="1" x14ac:dyDescent="0.25">
      <c r="B21" s="61" t="s">
        <v>10</v>
      </c>
      <c r="C21" s="61"/>
      <c r="D21" s="61"/>
      <c r="E21" s="61"/>
      <c r="F21" s="61"/>
      <c r="G21" s="61"/>
      <c r="H21" s="61"/>
      <c r="I21" s="61"/>
    </row>
    <row r="22" spans="1:13" ht="29.25" customHeight="1" x14ac:dyDescent="0.25">
      <c r="B22" s="48" t="s">
        <v>11</v>
      </c>
      <c r="C22" s="48" t="s">
        <v>12</v>
      </c>
      <c r="D22" s="48" t="s">
        <v>13</v>
      </c>
      <c r="E22" s="48" t="s">
        <v>14</v>
      </c>
      <c r="F22" s="48" t="s">
        <v>15</v>
      </c>
      <c r="G22" s="48" t="s">
        <v>12</v>
      </c>
      <c r="H22" s="48" t="s">
        <v>13</v>
      </c>
      <c r="I22" s="48" t="s">
        <v>14</v>
      </c>
      <c r="K22">
        <f>6000+2050+2000</f>
        <v>10050</v>
      </c>
    </row>
    <row r="23" spans="1:13" x14ac:dyDescent="0.25">
      <c r="B23" s="18" t="s">
        <v>96</v>
      </c>
      <c r="C23" s="19">
        <f>C18</f>
        <v>79000</v>
      </c>
      <c r="D23" s="20">
        <v>0.1</v>
      </c>
      <c r="E23" s="19"/>
      <c r="F23" s="21" t="s">
        <v>96</v>
      </c>
      <c r="G23" s="19">
        <f>J18</f>
        <v>93535</v>
      </c>
      <c r="H23" s="20">
        <v>0.1</v>
      </c>
      <c r="I23" s="11"/>
    </row>
    <row r="24" spans="1:13" x14ac:dyDescent="0.25">
      <c r="B24" s="49" t="s">
        <v>17</v>
      </c>
      <c r="C24" s="19">
        <f>'OCTOBER 21'!E36</f>
        <v>-7860</v>
      </c>
      <c r="D24" s="11"/>
      <c r="E24" s="11"/>
      <c r="F24" s="11" t="s">
        <v>17</v>
      </c>
      <c r="G24" s="19">
        <f>'OCTOBER 21'!I36</f>
        <v>-32345</v>
      </c>
      <c r="H24" s="11"/>
      <c r="I24" s="11"/>
    </row>
    <row r="25" spans="1:13" x14ac:dyDescent="0.25">
      <c r="B25" s="49" t="s">
        <v>47</v>
      </c>
      <c r="C25" s="19">
        <f>D18</f>
        <v>0</v>
      </c>
      <c r="D25" s="11"/>
      <c r="E25" s="11"/>
      <c r="F25" s="11"/>
      <c r="G25" s="19"/>
      <c r="H25" s="11"/>
      <c r="I25" s="11"/>
    </row>
    <row r="26" spans="1:13" x14ac:dyDescent="0.25">
      <c r="B26" s="49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3" x14ac:dyDescent="0.25">
      <c r="B27" s="49" t="s">
        <v>32</v>
      </c>
      <c r="C27" s="19">
        <f>F18</f>
        <v>4950</v>
      </c>
      <c r="D27" s="11"/>
      <c r="E27" s="11"/>
      <c r="F27" s="11"/>
      <c r="G27" s="19"/>
      <c r="H27" s="11"/>
      <c r="I27" s="11"/>
    </row>
    <row r="28" spans="1:13" x14ac:dyDescent="0.25">
      <c r="B28" s="49" t="s">
        <v>33</v>
      </c>
      <c r="C28" s="19">
        <f>G18</f>
        <v>2400</v>
      </c>
      <c r="D28" s="11"/>
      <c r="E28" s="11"/>
      <c r="F28" s="11"/>
      <c r="G28" s="19"/>
      <c r="H28" s="11"/>
      <c r="I28" s="11"/>
    </row>
    <row r="29" spans="1:13" x14ac:dyDescent="0.25">
      <c r="B29" s="49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3" x14ac:dyDescent="0.25">
      <c r="B30" s="49" t="s">
        <v>18</v>
      </c>
      <c r="C30" s="22"/>
      <c r="D30" s="11">
        <f>C23*D23</f>
        <v>7900</v>
      </c>
      <c r="E30" s="11"/>
      <c r="F30" s="11" t="s">
        <v>18</v>
      </c>
      <c r="G30" s="22"/>
      <c r="H30" s="11">
        <f>D30</f>
        <v>7900</v>
      </c>
      <c r="I30" s="11"/>
    </row>
    <row r="31" spans="1:13" x14ac:dyDescent="0.25"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  <c r="M31" s="27"/>
    </row>
    <row r="32" spans="1:13" x14ac:dyDescent="0.25">
      <c r="B32" s="50" t="s">
        <v>20</v>
      </c>
      <c r="C32" s="24">
        <v>0.3</v>
      </c>
      <c r="D32" s="11"/>
      <c r="E32" s="11"/>
      <c r="F32" s="50" t="s">
        <v>20</v>
      </c>
      <c r="G32" s="24">
        <v>0.3</v>
      </c>
      <c r="H32" s="11"/>
      <c r="I32" s="11"/>
      <c r="M32" s="27"/>
    </row>
    <row r="33" spans="2:13" x14ac:dyDescent="0.25">
      <c r="B33" s="37" t="s">
        <v>65</v>
      </c>
      <c r="C33" s="8"/>
      <c r="D33" s="8">
        <v>5000</v>
      </c>
      <c r="E33" s="8"/>
      <c r="F33" s="37" t="s">
        <v>65</v>
      </c>
      <c r="G33" s="8"/>
      <c r="H33" s="8">
        <v>5000</v>
      </c>
      <c r="I33" s="8"/>
      <c r="M33" s="27"/>
    </row>
    <row r="34" spans="2:13" x14ac:dyDescent="0.25">
      <c r="B34" s="37" t="s">
        <v>73</v>
      </c>
      <c r="C34" s="13"/>
      <c r="D34" s="8">
        <v>4500</v>
      </c>
      <c r="E34" s="8"/>
      <c r="F34" s="37" t="s">
        <v>73</v>
      </c>
      <c r="G34" s="37"/>
      <c r="H34" s="8">
        <v>4500</v>
      </c>
      <c r="I34" s="11"/>
      <c r="M34" s="27"/>
    </row>
    <row r="35" spans="2:13" x14ac:dyDescent="0.25">
      <c r="B35" s="37" t="s">
        <v>97</v>
      </c>
      <c r="C35" s="13"/>
      <c r="D35" s="8">
        <v>65950</v>
      </c>
      <c r="E35" s="8"/>
      <c r="F35" s="37" t="s">
        <v>97</v>
      </c>
      <c r="G35" s="13"/>
      <c r="H35" s="8">
        <v>65950</v>
      </c>
      <c r="I35" s="11"/>
      <c r="K35" s="27"/>
    </row>
    <row r="36" spans="2:13" x14ac:dyDescent="0.25">
      <c r="B36" s="25" t="s">
        <v>9</v>
      </c>
      <c r="C36" s="26">
        <f>C23+C24+C29+C26+C25+C27+C28-D30</f>
        <v>70590</v>
      </c>
      <c r="D36" s="25">
        <f>SUM(D32:D35)</f>
        <v>75450</v>
      </c>
      <c r="E36" s="26">
        <f>C36-D36</f>
        <v>-4860</v>
      </c>
      <c r="F36" s="21"/>
      <c r="G36" s="26">
        <f>G23+G24-H30</f>
        <v>53290</v>
      </c>
      <c r="H36" s="26">
        <f>SUM(H32:H35)</f>
        <v>75450</v>
      </c>
      <c r="I36" s="26">
        <f>G36-H36</f>
        <v>-22160</v>
      </c>
      <c r="M36" s="27"/>
    </row>
    <row r="37" spans="2:13" x14ac:dyDescent="0.25">
      <c r="E37" s="27"/>
    </row>
    <row r="38" spans="2:13" x14ac:dyDescent="0.25">
      <c r="E38" s="27"/>
      <c r="M38" s="27"/>
    </row>
    <row r="39" spans="2:13" ht="28.5" customHeight="1" x14ac:dyDescent="0.25">
      <c r="B39" s="54" t="s">
        <v>21</v>
      </c>
      <c r="D39" s="62" t="s">
        <v>22</v>
      </c>
      <c r="E39" s="62"/>
      <c r="F39" s="13"/>
      <c r="G39" s="62" t="s">
        <v>23</v>
      </c>
      <c r="H39" s="62"/>
    </row>
    <row r="40" spans="2:13" ht="31.5" customHeight="1" x14ac:dyDescent="0.25">
      <c r="B40" s="52" t="s">
        <v>93</v>
      </c>
      <c r="D40" s="59" t="s">
        <v>25</v>
      </c>
      <c r="E40" s="59"/>
      <c r="F40" s="13"/>
      <c r="G40" s="59" t="s">
        <v>59</v>
      </c>
      <c r="H40" s="59"/>
      <c r="M40" s="27"/>
    </row>
    <row r="41" spans="2:13" x14ac:dyDescent="0.25">
      <c r="B41">
        <f>11000-10450</f>
        <v>550</v>
      </c>
      <c r="J41" s="27">
        <f>M32-M37</f>
        <v>0</v>
      </c>
    </row>
    <row r="42" spans="2:13" x14ac:dyDescent="0.25">
      <c r="E42" s="7"/>
      <c r="I42" s="27"/>
    </row>
  </sheetData>
  <mergeCells count="8">
    <mergeCell ref="D40:E40"/>
    <mergeCell ref="G40:H40"/>
    <mergeCell ref="C1:G1"/>
    <mergeCell ref="C2:G2"/>
    <mergeCell ref="C3:G3"/>
    <mergeCell ref="B21:I21"/>
    <mergeCell ref="D39:E39"/>
    <mergeCell ref="G39:H39"/>
  </mergeCells>
  <conditionalFormatting sqref="B5:B17">
    <cfRule type="containsText" dxfId="11" priority="5" operator="containsText" text="VACCANT">
      <formula>NOT(ISERROR(SEARCH("VACCANT",B5)))</formula>
    </cfRule>
    <cfRule type="notContainsText" dxfId="10" priority="6" operator="notContains" text="VACCANT">
      <formula>ISERROR(SEARCH("VACCANT",B5))</formula>
    </cfRule>
  </conditionalFormatting>
  <conditionalFormatting sqref="K5:K17">
    <cfRule type="cellIs" dxfId="9" priority="1" operator="greaterThan">
      <formula>0</formula>
    </cfRule>
    <cfRule type="cellIs" dxfId="8" priority="2" operator="equal">
      <formula>0</formula>
    </cfRule>
    <cfRule type="cellIs" dxfId="7" priority="3" operator="greaterThan">
      <formula>4700</formula>
    </cfRule>
    <cfRule type="cellIs" dxfId="6" priority="4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A13" sqref="A13:XFD13"/>
    </sheetView>
  </sheetViews>
  <sheetFormatPr defaultRowHeight="15" x14ac:dyDescent="0.25"/>
  <cols>
    <col min="2" max="2" width="20.85546875" customWidth="1"/>
    <col min="6" max="6" width="16" customWidth="1"/>
  </cols>
  <sheetData>
    <row r="1" spans="1:12" ht="18.75" x14ac:dyDescent="0.25">
      <c r="C1" s="60" t="s">
        <v>26</v>
      </c>
      <c r="D1" s="60"/>
      <c r="E1" s="60"/>
      <c r="F1" s="60"/>
      <c r="G1" s="60"/>
      <c r="H1" s="2"/>
      <c r="I1" s="3"/>
      <c r="J1" s="4"/>
    </row>
    <row r="2" spans="1:12" ht="18.75" x14ac:dyDescent="0.25">
      <c r="C2" s="60" t="s">
        <v>0</v>
      </c>
      <c r="D2" s="60"/>
      <c r="E2" s="60"/>
      <c r="F2" s="60"/>
      <c r="G2" s="60"/>
      <c r="H2" s="55"/>
      <c r="I2" s="5"/>
      <c r="J2" s="5"/>
    </row>
    <row r="3" spans="1:12" ht="18.75" x14ac:dyDescent="0.25">
      <c r="C3" s="61" t="s">
        <v>98</v>
      </c>
      <c r="D3" s="61"/>
      <c r="E3" s="61"/>
      <c r="F3" s="61"/>
      <c r="G3" s="61"/>
      <c r="H3" s="55"/>
      <c r="I3" s="5"/>
      <c r="J3" s="5"/>
    </row>
    <row r="4" spans="1:12" ht="30" x14ac:dyDescent="0.25">
      <c r="A4" s="41"/>
      <c r="B4" s="42" t="s">
        <v>3</v>
      </c>
      <c r="C4" s="43" t="s">
        <v>4</v>
      </c>
      <c r="D4" s="43" t="s">
        <v>47</v>
      </c>
      <c r="E4" s="43" t="s">
        <v>48</v>
      </c>
      <c r="F4" s="43" t="s">
        <v>32</v>
      </c>
      <c r="G4" s="43" t="s">
        <v>33</v>
      </c>
      <c r="H4" s="43" t="s">
        <v>5</v>
      </c>
      <c r="I4" s="43" t="s">
        <v>6</v>
      </c>
      <c r="J4" s="43" t="s">
        <v>7</v>
      </c>
      <c r="K4" s="43" t="s">
        <v>8</v>
      </c>
      <c r="L4" s="43" t="s">
        <v>45</v>
      </c>
    </row>
    <row r="5" spans="1:12" x14ac:dyDescent="0.25">
      <c r="A5" s="8">
        <v>1</v>
      </c>
      <c r="B5" s="36" t="s">
        <v>27</v>
      </c>
      <c r="C5" s="37">
        <v>9000</v>
      </c>
      <c r="D5" s="37"/>
      <c r="E5" s="37"/>
      <c r="F5" s="37">
        <v>750</v>
      </c>
      <c r="G5" s="37">
        <v>200</v>
      </c>
      <c r="H5" s="37">
        <f>'NOVEMBER 21'!K5</f>
        <v>0</v>
      </c>
      <c r="I5" s="37">
        <f>C5+H5+F5+G5+D5+E5</f>
        <v>9950</v>
      </c>
      <c r="J5" s="37">
        <f>5500+4000+450</f>
        <v>9950</v>
      </c>
      <c r="K5" s="37">
        <f>I5-J5</f>
        <v>0</v>
      </c>
      <c r="L5" s="8"/>
    </row>
    <row r="6" spans="1:12" x14ac:dyDescent="0.25">
      <c r="A6" s="8">
        <v>2</v>
      </c>
      <c r="B6" s="36" t="s">
        <v>81</v>
      </c>
      <c r="C6" s="39"/>
      <c r="D6" s="37"/>
      <c r="E6" s="37"/>
      <c r="F6" s="37"/>
      <c r="G6" s="37"/>
      <c r="H6" s="37">
        <f>'NOVEMBER 21'!K6</f>
        <v>7550</v>
      </c>
      <c r="I6" s="37">
        <f>C6+H6+F6+G6+D6+E6+6000</f>
        <v>13550</v>
      </c>
      <c r="J6" s="37"/>
      <c r="K6" s="37">
        <f t="shared" ref="K6:K17" si="0">I6-J6</f>
        <v>13550</v>
      </c>
      <c r="L6" s="8"/>
    </row>
    <row r="7" spans="1:12" x14ac:dyDescent="0.25">
      <c r="A7" s="8">
        <v>3</v>
      </c>
      <c r="B7" s="45" t="s">
        <v>46</v>
      </c>
      <c r="C7" s="37">
        <v>5000</v>
      </c>
      <c r="D7" s="37"/>
      <c r="E7" s="37"/>
      <c r="F7" s="37">
        <v>300</v>
      </c>
      <c r="G7" s="37">
        <v>200</v>
      </c>
      <c r="H7" s="37">
        <f>'NOVEMBER 21'!K7</f>
        <v>0</v>
      </c>
      <c r="I7" s="37">
        <f t="shared" ref="I7:I16" si="1">C7+H7+F7+G7+D7+E7</f>
        <v>5500</v>
      </c>
      <c r="J7" s="37">
        <v>5500</v>
      </c>
      <c r="K7" s="37">
        <f t="shared" si="0"/>
        <v>0</v>
      </c>
      <c r="L7" s="8"/>
    </row>
    <row r="8" spans="1:12" x14ac:dyDescent="0.25">
      <c r="A8" s="8">
        <v>4</v>
      </c>
      <c r="B8" s="36" t="s">
        <v>35</v>
      </c>
      <c r="C8" s="37">
        <v>9000</v>
      </c>
      <c r="D8" s="37"/>
      <c r="E8" s="37"/>
      <c r="F8" s="37">
        <v>600</v>
      </c>
      <c r="G8" s="37">
        <v>200</v>
      </c>
      <c r="H8" s="37">
        <f>'NOVEMBER 21'!K8</f>
        <v>1220</v>
      </c>
      <c r="I8" s="37">
        <f t="shared" si="1"/>
        <v>11020</v>
      </c>
      <c r="J8" s="37">
        <v>9800</v>
      </c>
      <c r="K8" s="37">
        <f t="shared" si="0"/>
        <v>1220</v>
      </c>
      <c r="L8" s="8"/>
    </row>
    <row r="9" spans="1:12" x14ac:dyDescent="0.25">
      <c r="A9" s="8">
        <v>5</v>
      </c>
      <c r="B9" s="36" t="s">
        <v>82</v>
      </c>
      <c r="C9" s="37">
        <v>6000</v>
      </c>
      <c r="D9" s="37"/>
      <c r="E9" s="37"/>
      <c r="F9" s="37">
        <v>600</v>
      </c>
      <c r="G9" s="37">
        <v>200</v>
      </c>
      <c r="H9" s="37">
        <f>'NOVEMBER 21'!K9</f>
        <v>0</v>
      </c>
      <c r="I9" s="37">
        <f t="shared" si="1"/>
        <v>6800</v>
      </c>
      <c r="J9" s="37">
        <v>6800</v>
      </c>
      <c r="K9" s="37">
        <f t="shared" si="0"/>
        <v>0</v>
      </c>
      <c r="L9" s="8"/>
    </row>
    <row r="10" spans="1:12" x14ac:dyDescent="0.25">
      <c r="A10" s="8">
        <v>6</v>
      </c>
      <c r="B10" s="46" t="s">
        <v>36</v>
      </c>
      <c r="C10" s="37">
        <v>5000</v>
      </c>
      <c r="D10" s="37"/>
      <c r="E10" s="37"/>
      <c r="F10" s="37">
        <v>300</v>
      </c>
      <c r="G10" s="37">
        <v>200</v>
      </c>
      <c r="H10" s="37">
        <f>'NOVEMBER 21'!K10</f>
        <v>130</v>
      </c>
      <c r="I10" s="37">
        <f t="shared" si="1"/>
        <v>5630</v>
      </c>
      <c r="J10" s="37">
        <v>5585</v>
      </c>
      <c r="K10" s="37">
        <f t="shared" si="0"/>
        <v>45</v>
      </c>
      <c r="L10" s="8"/>
    </row>
    <row r="11" spans="1:12" x14ac:dyDescent="0.25">
      <c r="A11" s="8">
        <v>7</v>
      </c>
      <c r="B11" s="36" t="s">
        <v>29</v>
      </c>
      <c r="C11" s="37">
        <v>9000</v>
      </c>
      <c r="D11" s="37"/>
      <c r="E11" s="37"/>
      <c r="F11" s="37">
        <v>600</v>
      </c>
      <c r="G11" s="37">
        <v>200</v>
      </c>
      <c r="H11" s="37">
        <f>'NOVEMBER 21'!K11</f>
        <v>0</v>
      </c>
      <c r="I11" s="37">
        <f t="shared" si="1"/>
        <v>9800</v>
      </c>
      <c r="J11" s="37">
        <v>9800</v>
      </c>
      <c r="K11" s="37">
        <f t="shared" si="0"/>
        <v>0</v>
      </c>
      <c r="L11" s="8"/>
    </row>
    <row r="12" spans="1:12" x14ac:dyDescent="0.25">
      <c r="A12" s="8">
        <v>8</v>
      </c>
      <c r="B12" s="36" t="s">
        <v>37</v>
      </c>
      <c r="C12" s="37">
        <v>9000</v>
      </c>
      <c r="D12" s="37"/>
      <c r="E12" s="37"/>
      <c r="F12" s="37">
        <v>1500</v>
      </c>
      <c r="G12" s="37">
        <v>200</v>
      </c>
      <c r="H12" s="37">
        <f>'NOVEMBER 21'!K12</f>
        <v>300</v>
      </c>
      <c r="I12" s="37">
        <f t="shared" si="1"/>
        <v>11000</v>
      </c>
      <c r="J12" s="37">
        <v>10700</v>
      </c>
      <c r="K12" s="37">
        <f t="shared" si="0"/>
        <v>300</v>
      </c>
      <c r="L12" s="8"/>
    </row>
    <row r="13" spans="1:12" x14ac:dyDescent="0.25">
      <c r="A13" s="8">
        <v>9</v>
      </c>
      <c r="B13" s="45" t="s">
        <v>70</v>
      </c>
      <c r="C13" s="37">
        <v>5000</v>
      </c>
      <c r="D13" s="37"/>
      <c r="E13" s="37"/>
      <c r="F13" s="37">
        <v>600</v>
      </c>
      <c r="G13" s="37">
        <v>200</v>
      </c>
      <c r="H13" s="37">
        <f>'NOVEMBER 21'!K13</f>
        <v>1850</v>
      </c>
      <c r="I13" s="37">
        <f t="shared" si="1"/>
        <v>7650</v>
      </c>
      <c r="J13" s="37">
        <f>6000</f>
        <v>6000</v>
      </c>
      <c r="K13" s="37">
        <f t="shared" si="0"/>
        <v>1650</v>
      </c>
      <c r="L13" s="8"/>
    </row>
    <row r="14" spans="1:12" x14ac:dyDescent="0.25">
      <c r="A14" s="8">
        <v>10</v>
      </c>
      <c r="B14" s="36" t="s">
        <v>38</v>
      </c>
      <c r="C14" s="37">
        <v>5000</v>
      </c>
      <c r="D14" s="37"/>
      <c r="E14" s="37"/>
      <c r="F14" s="37">
        <v>150</v>
      </c>
      <c r="G14" s="37">
        <v>200</v>
      </c>
      <c r="H14" s="37">
        <f>'NOVEMBER 21'!K14</f>
        <v>500</v>
      </c>
      <c r="I14" s="37">
        <f t="shared" si="1"/>
        <v>5850</v>
      </c>
      <c r="J14" s="37">
        <v>5350</v>
      </c>
      <c r="K14" s="37">
        <f t="shared" si="0"/>
        <v>500</v>
      </c>
      <c r="L14" s="8"/>
    </row>
    <row r="15" spans="1:12" x14ac:dyDescent="0.25">
      <c r="A15" s="8">
        <v>11</v>
      </c>
      <c r="B15" s="36" t="s">
        <v>80</v>
      </c>
      <c r="C15" s="47">
        <v>6000</v>
      </c>
      <c r="D15" s="37"/>
      <c r="E15" s="37"/>
      <c r="F15" s="37">
        <v>900</v>
      </c>
      <c r="G15" s="37">
        <v>200</v>
      </c>
      <c r="H15" s="37">
        <f>'NOVEMBER 21'!K15</f>
        <v>5750</v>
      </c>
      <c r="I15" s="37">
        <f t="shared" si="1"/>
        <v>12850</v>
      </c>
      <c r="J15" s="37">
        <f>1000+3850+900</f>
        <v>5750</v>
      </c>
      <c r="K15" s="37">
        <f t="shared" si="0"/>
        <v>7100</v>
      </c>
      <c r="L15" s="8"/>
    </row>
    <row r="16" spans="1:12" x14ac:dyDescent="0.25">
      <c r="A16" s="8">
        <v>12</v>
      </c>
      <c r="B16" s="36" t="s">
        <v>30</v>
      </c>
      <c r="C16" s="37">
        <v>5000</v>
      </c>
      <c r="D16" s="37"/>
      <c r="E16" s="37"/>
      <c r="F16" s="37">
        <v>750</v>
      </c>
      <c r="G16" s="37">
        <v>200</v>
      </c>
      <c r="H16" s="37">
        <f>'NOVEMBER 21'!K16</f>
        <v>0</v>
      </c>
      <c r="I16" s="37">
        <f t="shared" si="1"/>
        <v>5950</v>
      </c>
      <c r="J16" s="37">
        <v>5950</v>
      </c>
      <c r="K16" s="37">
        <f t="shared" si="0"/>
        <v>0</v>
      </c>
      <c r="L16" s="8"/>
    </row>
    <row r="17" spans="1:12" x14ac:dyDescent="0.25">
      <c r="A17" s="8"/>
      <c r="B17" s="36"/>
      <c r="C17" s="37"/>
      <c r="D17" s="37"/>
      <c r="E17" s="37"/>
      <c r="F17" s="37"/>
      <c r="G17" s="37"/>
      <c r="H17" s="37">
        <f>'NOVEMBER 21'!K17</f>
        <v>0</v>
      </c>
      <c r="I17" s="37">
        <f>C17+H17+F17+G17+D17</f>
        <v>0</v>
      </c>
      <c r="J17" s="37"/>
      <c r="K17" s="37">
        <f t="shared" si="0"/>
        <v>0</v>
      </c>
      <c r="L17" s="8"/>
    </row>
    <row r="18" spans="1:12" x14ac:dyDescent="0.25">
      <c r="A18" s="38"/>
      <c r="B18" s="36" t="s">
        <v>9</v>
      </c>
      <c r="C18" s="38">
        <f t="shared" ref="C18:L18" si="2">SUM(C5:C17)</f>
        <v>73000</v>
      </c>
      <c r="D18" s="38">
        <f t="shared" si="2"/>
        <v>0</v>
      </c>
      <c r="E18" s="38">
        <f t="shared" si="2"/>
        <v>0</v>
      </c>
      <c r="F18" s="38">
        <f t="shared" si="2"/>
        <v>7050</v>
      </c>
      <c r="G18" s="38">
        <f t="shared" si="2"/>
        <v>2200</v>
      </c>
      <c r="H18" s="38">
        <f>SUM(H5:H17)</f>
        <v>17300</v>
      </c>
      <c r="I18" s="38">
        <f t="shared" si="2"/>
        <v>105550</v>
      </c>
      <c r="J18" s="38">
        <f t="shared" si="2"/>
        <v>81185</v>
      </c>
      <c r="K18" s="38">
        <f>SUM(K5:K17)</f>
        <v>24365</v>
      </c>
      <c r="L18" s="38">
        <f t="shared" si="2"/>
        <v>0</v>
      </c>
    </row>
    <row r="19" spans="1:12" x14ac:dyDescent="0.25">
      <c r="A19" s="8"/>
      <c r="B19" s="31"/>
      <c r="C19" s="8"/>
      <c r="D19" s="8"/>
      <c r="E19" s="8"/>
      <c r="F19" s="8"/>
      <c r="G19" s="8"/>
      <c r="H19" s="8"/>
      <c r="I19" s="8"/>
      <c r="J19" s="8"/>
      <c r="K19" s="8"/>
      <c r="L19" s="8"/>
    </row>
    <row r="21" spans="1:12" ht="18.75" x14ac:dyDescent="0.25">
      <c r="B21" s="61" t="s">
        <v>10</v>
      </c>
      <c r="C21" s="61"/>
      <c r="D21" s="61"/>
      <c r="E21" s="61"/>
      <c r="F21" s="61"/>
      <c r="G21" s="61"/>
      <c r="H21" s="61"/>
      <c r="I21" s="61"/>
    </row>
    <row r="22" spans="1:12" ht="15.75" x14ac:dyDescent="0.25">
      <c r="B22" s="48" t="s">
        <v>11</v>
      </c>
      <c r="C22" s="48" t="s">
        <v>12</v>
      </c>
      <c r="D22" s="48" t="s">
        <v>13</v>
      </c>
      <c r="E22" s="48" t="s">
        <v>14</v>
      </c>
      <c r="F22" s="48" t="s">
        <v>15</v>
      </c>
      <c r="G22" s="48" t="s">
        <v>12</v>
      </c>
      <c r="H22" s="48" t="s">
        <v>13</v>
      </c>
      <c r="I22" s="48" t="s">
        <v>14</v>
      </c>
    </row>
    <row r="23" spans="1:12" x14ac:dyDescent="0.25">
      <c r="B23" s="18" t="s">
        <v>99</v>
      </c>
      <c r="C23" s="19">
        <f>C18</f>
        <v>73000</v>
      </c>
      <c r="D23" s="20">
        <v>0.1</v>
      </c>
      <c r="E23" s="19"/>
      <c r="F23" s="21" t="s">
        <v>99</v>
      </c>
      <c r="G23" s="19">
        <f>J18</f>
        <v>81185</v>
      </c>
      <c r="H23" s="20">
        <v>0.1</v>
      </c>
      <c r="I23" s="11"/>
    </row>
    <row r="24" spans="1:12" x14ac:dyDescent="0.25">
      <c r="B24" s="49" t="s">
        <v>17</v>
      </c>
      <c r="C24" s="19">
        <f>'NOVEMBER 21'!E36</f>
        <v>-4860</v>
      </c>
      <c r="D24" s="11"/>
      <c r="E24" s="11"/>
      <c r="F24" s="11" t="s">
        <v>17</v>
      </c>
      <c r="G24" s="19">
        <f>'NOVEMBER 21'!I36</f>
        <v>-22160</v>
      </c>
      <c r="H24" s="11"/>
      <c r="I24" s="11"/>
    </row>
    <row r="25" spans="1:12" x14ac:dyDescent="0.25">
      <c r="B25" s="49" t="s">
        <v>47</v>
      </c>
      <c r="C25" s="19">
        <f>D18</f>
        <v>0</v>
      </c>
      <c r="D25" s="11"/>
      <c r="E25" s="11"/>
      <c r="F25" s="11"/>
      <c r="G25" s="19"/>
      <c r="H25" s="11"/>
      <c r="I25" s="11"/>
    </row>
    <row r="26" spans="1:12" x14ac:dyDescent="0.25">
      <c r="B26" s="49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2" x14ac:dyDescent="0.25">
      <c r="B27" s="49" t="s">
        <v>32</v>
      </c>
      <c r="C27" s="19">
        <f>F18</f>
        <v>7050</v>
      </c>
      <c r="D27" s="11"/>
      <c r="E27" s="11"/>
      <c r="F27" s="11"/>
      <c r="G27" s="19"/>
      <c r="H27" s="11"/>
      <c r="I27" s="11"/>
    </row>
    <row r="28" spans="1:12" x14ac:dyDescent="0.25">
      <c r="B28" s="49" t="s">
        <v>33</v>
      </c>
      <c r="C28" s="19">
        <f>G18</f>
        <v>2200</v>
      </c>
      <c r="D28" s="11"/>
      <c r="E28" s="11"/>
      <c r="F28" s="11"/>
      <c r="G28" s="19"/>
      <c r="H28" s="11"/>
      <c r="I28" s="11"/>
    </row>
    <row r="29" spans="1:12" x14ac:dyDescent="0.25">
      <c r="B29" s="49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2" x14ac:dyDescent="0.25">
      <c r="B30" s="49" t="s">
        <v>18</v>
      </c>
      <c r="C30" s="22"/>
      <c r="D30" s="11">
        <f>C23*D23</f>
        <v>7300</v>
      </c>
      <c r="E30" s="11"/>
      <c r="F30" s="11" t="s">
        <v>18</v>
      </c>
      <c r="G30" s="22"/>
      <c r="H30" s="11">
        <f>D30</f>
        <v>7300</v>
      </c>
      <c r="I30" s="11"/>
    </row>
    <row r="31" spans="1:12" x14ac:dyDescent="0.25"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  <c r="L31">
        <f>4860-3000</f>
        <v>1860</v>
      </c>
    </row>
    <row r="32" spans="1:12" x14ac:dyDescent="0.25">
      <c r="B32" s="50" t="s">
        <v>20</v>
      </c>
      <c r="C32" s="24">
        <v>0.3</v>
      </c>
      <c r="D32" s="11"/>
      <c r="E32" s="11"/>
      <c r="F32" s="50" t="s">
        <v>20</v>
      </c>
      <c r="G32" s="24">
        <v>0.3</v>
      </c>
      <c r="H32" s="11"/>
      <c r="I32" s="11"/>
    </row>
    <row r="33" spans="2:11" x14ac:dyDescent="0.25">
      <c r="B33" s="37" t="s">
        <v>65</v>
      </c>
      <c r="C33" s="8"/>
      <c r="D33" s="8">
        <v>5000</v>
      </c>
      <c r="E33" s="8"/>
      <c r="F33" s="37" t="s">
        <v>65</v>
      </c>
      <c r="G33" s="8"/>
      <c r="H33" s="8">
        <v>5000</v>
      </c>
      <c r="I33" s="8"/>
    </row>
    <row r="34" spans="2:11" x14ac:dyDescent="0.25">
      <c r="B34" s="37" t="s">
        <v>73</v>
      </c>
      <c r="C34" s="13"/>
      <c r="D34" s="8">
        <v>2500</v>
      </c>
      <c r="E34" s="8"/>
      <c r="F34" s="37" t="s">
        <v>73</v>
      </c>
      <c r="G34" s="37"/>
      <c r="H34" s="8">
        <v>2500</v>
      </c>
      <c r="I34" s="11"/>
    </row>
    <row r="35" spans="2:11" x14ac:dyDescent="0.25">
      <c r="B35" s="37" t="s">
        <v>100</v>
      </c>
      <c r="C35" s="13"/>
      <c r="D35" s="8">
        <v>64450</v>
      </c>
      <c r="E35" s="8"/>
      <c r="F35" s="37" t="s">
        <v>100</v>
      </c>
      <c r="G35" s="13"/>
      <c r="H35" s="8">
        <v>64450</v>
      </c>
      <c r="I35" s="8"/>
      <c r="K35" s="27"/>
    </row>
    <row r="36" spans="2:11" x14ac:dyDescent="0.25">
      <c r="B36" s="25" t="s">
        <v>9</v>
      </c>
      <c r="C36" s="26">
        <f>C23+C24+C29+C26+C25+C27+C28-D30</f>
        <v>70090</v>
      </c>
      <c r="D36" s="25">
        <f>SUM(D32:D35)</f>
        <v>71950</v>
      </c>
      <c r="E36" s="26">
        <f>C36-D36</f>
        <v>-1860</v>
      </c>
      <c r="F36" s="21"/>
      <c r="G36" s="26">
        <f>G23+G24-H30</f>
        <v>51725</v>
      </c>
      <c r="H36" s="26">
        <f>SUM(H32:H35)</f>
        <v>71950</v>
      </c>
      <c r="I36" s="26">
        <f>G36-H36</f>
        <v>-20225</v>
      </c>
    </row>
    <row r="37" spans="2:11" x14ac:dyDescent="0.25">
      <c r="E37" s="27"/>
    </row>
    <row r="38" spans="2:11" x14ac:dyDescent="0.25">
      <c r="E38" s="27"/>
    </row>
    <row r="39" spans="2:11" x14ac:dyDescent="0.25">
      <c r="B39" s="56" t="s">
        <v>21</v>
      </c>
      <c r="D39" s="62" t="s">
        <v>22</v>
      </c>
      <c r="E39" s="62"/>
      <c r="F39" s="13"/>
      <c r="G39" s="62" t="s">
        <v>23</v>
      </c>
      <c r="H39" s="62"/>
    </row>
    <row r="40" spans="2:11" x14ac:dyDescent="0.25">
      <c r="B40" s="52" t="s">
        <v>93</v>
      </c>
      <c r="D40" s="59" t="s">
        <v>25</v>
      </c>
      <c r="E40" s="59"/>
      <c r="F40" s="13"/>
      <c r="G40" s="59" t="s">
        <v>59</v>
      </c>
      <c r="H40" s="59"/>
    </row>
  </sheetData>
  <mergeCells count="8">
    <mergeCell ref="D40:E40"/>
    <mergeCell ref="G40:H40"/>
    <mergeCell ref="C1:G1"/>
    <mergeCell ref="C2:G2"/>
    <mergeCell ref="C3:G3"/>
    <mergeCell ref="B21:I21"/>
    <mergeCell ref="D39:E39"/>
    <mergeCell ref="G39:H39"/>
  </mergeCells>
  <conditionalFormatting sqref="B5:B17">
    <cfRule type="containsText" dxfId="5" priority="5" operator="containsText" text="VACCANT">
      <formula>NOT(ISERROR(SEARCH("VACCANT",B5)))</formula>
    </cfRule>
    <cfRule type="notContainsText" dxfId="4" priority="6" operator="notContains" text="VACCANT">
      <formula>ISERROR(SEARCH("VACCANT",B5))</formula>
    </cfRule>
  </conditionalFormatting>
  <conditionalFormatting sqref="K5:K17">
    <cfRule type="cellIs" dxfId="3" priority="1" operator="greaterThan">
      <formula>0</formula>
    </cfRule>
    <cfRule type="cellIs" dxfId="2" priority="2" operator="equal">
      <formula>0</formula>
    </cfRule>
    <cfRule type="cellIs" dxfId="1" priority="3" operator="greaterThan">
      <formula>4700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H34" sqref="H34"/>
    </sheetView>
  </sheetViews>
  <sheetFormatPr defaultRowHeight="15" x14ac:dyDescent="0.25"/>
  <cols>
    <col min="1" max="1" width="5.28515625" customWidth="1"/>
    <col min="2" max="2" width="19.7109375" customWidth="1"/>
    <col min="5" max="5" width="12.85546875" customWidth="1"/>
  </cols>
  <sheetData>
    <row r="1" spans="1:13" ht="18.75" x14ac:dyDescent="0.25">
      <c r="C1" s="1" t="s">
        <v>26</v>
      </c>
      <c r="D1" s="1"/>
      <c r="E1" s="1"/>
      <c r="F1" s="1"/>
      <c r="G1" s="1"/>
      <c r="H1" s="2"/>
      <c r="I1" s="3"/>
      <c r="J1" s="4"/>
    </row>
    <row r="2" spans="1:13" ht="18.75" x14ac:dyDescent="0.25">
      <c r="C2" s="1" t="s">
        <v>0</v>
      </c>
      <c r="D2" s="1"/>
      <c r="E2" s="1"/>
      <c r="F2" s="1"/>
      <c r="G2" s="1"/>
      <c r="H2" s="1"/>
      <c r="I2" s="5"/>
      <c r="J2" s="5"/>
    </row>
    <row r="3" spans="1:13" ht="18.75" x14ac:dyDescent="0.25">
      <c r="C3" s="1" t="s">
        <v>43</v>
      </c>
      <c r="D3" s="1"/>
      <c r="E3" s="1"/>
      <c r="F3" s="1"/>
      <c r="G3" s="1"/>
      <c r="H3" s="1"/>
      <c r="I3" s="5"/>
      <c r="J3" s="5"/>
    </row>
    <row r="4" spans="1:13" x14ac:dyDescent="0.25">
      <c r="A4" s="6" t="s">
        <v>2</v>
      </c>
      <c r="B4" s="6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/>
      <c r="M4" s="7"/>
    </row>
    <row r="5" spans="1:13" x14ac:dyDescent="0.25">
      <c r="A5" s="8">
        <v>1</v>
      </c>
      <c r="B5" s="8" t="s">
        <v>27</v>
      </c>
      <c r="C5" s="8">
        <v>9000</v>
      </c>
      <c r="D5" s="8"/>
      <c r="E5" s="8"/>
      <c r="F5" s="8">
        <v>600</v>
      </c>
      <c r="G5" s="8">
        <v>200</v>
      </c>
      <c r="H5" s="8">
        <f>'JANUARY 21'!I5:I18</f>
        <v>0</v>
      </c>
      <c r="I5" s="8">
        <f>C5+H5+F5+G5+D5+E5</f>
        <v>9800</v>
      </c>
      <c r="J5" s="8">
        <f>5000+2000+2800</f>
        <v>9800</v>
      </c>
      <c r="K5" s="8">
        <f>I5-J5</f>
        <v>0</v>
      </c>
      <c r="L5" s="8"/>
    </row>
    <row r="6" spans="1:13" x14ac:dyDescent="0.25">
      <c r="A6" s="8">
        <v>2</v>
      </c>
      <c r="B6" t="s">
        <v>34</v>
      </c>
      <c r="C6" s="8">
        <v>6000</v>
      </c>
      <c r="D6" s="8"/>
      <c r="E6" s="8"/>
      <c r="F6" s="8">
        <v>300</v>
      </c>
      <c r="G6" s="8">
        <v>200</v>
      </c>
      <c r="H6" s="8">
        <f>'JANUARY 21'!I6:I19</f>
        <v>0</v>
      </c>
      <c r="I6" s="8">
        <f t="shared" ref="I6:I16" si="0">C6+H6+F6+G6+D6+E6</f>
        <v>6500</v>
      </c>
      <c r="J6" s="8">
        <f>5100+1500</f>
        <v>6600</v>
      </c>
      <c r="K6" s="8">
        <f>I6-J6</f>
        <v>-100</v>
      </c>
      <c r="L6" s="8"/>
    </row>
    <row r="7" spans="1:13" x14ac:dyDescent="0.25">
      <c r="A7" s="8">
        <v>3</v>
      </c>
      <c r="B7" s="28" t="s">
        <v>46</v>
      </c>
      <c r="C7" s="8">
        <v>5000</v>
      </c>
      <c r="D7" s="8">
        <v>5000</v>
      </c>
      <c r="E7" s="8">
        <v>1000</v>
      </c>
      <c r="F7" s="8"/>
      <c r="G7" s="8">
        <v>200</v>
      </c>
      <c r="H7" s="8">
        <f>'JANUARY 21'!I7:I20</f>
        <v>0</v>
      </c>
      <c r="I7" s="8">
        <f t="shared" si="0"/>
        <v>11200</v>
      </c>
      <c r="J7" s="8">
        <f>8700+2500</f>
        <v>11200</v>
      </c>
      <c r="K7" s="8">
        <f>I7-J7</f>
        <v>0</v>
      </c>
      <c r="L7" s="8"/>
    </row>
    <row r="8" spans="1:13" x14ac:dyDescent="0.25">
      <c r="A8" s="8">
        <v>4</v>
      </c>
      <c r="B8" s="8" t="s">
        <v>35</v>
      </c>
      <c r="C8" s="8">
        <v>9000</v>
      </c>
      <c r="D8" s="8"/>
      <c r="E8" s="8"/>
      <c r="F8" s="8">
        <v>450</v>
      </c>
      <c r="G8" s="8">
        <v>200</v>
      </c>
      <c r="H8" s="8">
        <f>'JANUARY 21'!I8:I21</f>
        <v>0</v>
      </c>
      <c r="I8" s="8">
        <f t="shared" si="0"/>
        <v>9650</v>
      </c>
      <c r="J8" s="8">
        <f>9350</f>
        <v>9350</v>
      </c>
      <c r="K8" s="8">
        <f t="shared" ref="K8:K17" si="1">I8-J8</f>
        <v>300</v>
      </c>
      <c r="L8" s="8"/>
    </row>
    <row r="9" spans="1:13" x14ac:dyDescent="0.25">
      <c r="A9" s="8">
        <v>5</v>
      </c>
      <c r="B9" s="8" t="s">
        <v>28</v>
      </c>
      <c r="C9" s="8">
        <v>6000</v>
      </c>
      <c r="D9" s="8"/>
      <c r="E9" s="8"/>
      <c r="F9" s="8">
        <v>900</v>
      </c>
      <c r="G9" s="8">
        <v>200</v>
      </c>
      <c r="H9" s="8">
        <f>'JANUARY 21'!I9:I22</f>
        <v>0</v>
      </c>
      <c r="I9" s="8">
        <f t="shared" si="0"/>
        <v>7100</v>
      </c>
      <c r="J9" s="8">
        <v>7100</v>
      </c>
      <c r="K9" s="8">
        <f>I9-J9</f>
        <v>0</v>
      </c>
      <c r="L9" s="8"/>
    </row>
    <row r="10" spans="1:13" x14ac:dyDescent="0.25">
      <c r="A10" s="8">
        <v>6</v>
      </c>
      <c r="B10" s="9" t="s">
        <v>36</v>
      </c>
      <c r="C10" s="8">
        <v>5000</v>
      </c>
      <c r="D10" s="8"/>
      <c r="E10" s="8"/>
      <c r="F10" s="8">
        <v>300</v>
      </c>
      <c r="G10" s="8">
        <v>200</v>
      </c>
      <c r="H10" s="8">
        <f>'JANUARY 21'!I10:I23</f>
        <v>0</v>
      </c>
      <c r="I10" s="8">
        <f t="shared" si="0"/>
        <v>5500</v>
      </c>
      <c r="J10" s="8">
        <f>5570</f>
        <v>5570</v>
      </c>
      <c r="K10" s="8">
        <f t="shared" si="1"/>
        <v>-70</v>
      </c>
      <c r="L10" s="8"/>
    </row>
    <row r="11" spans="1:13" x14ac:dyDescent="0.25">
      <c r="A11" s="8">
        <v>7</v>
      </c>
      <c r="B11" s="8" t="s">
        <v>29</v>
      </c>
      <c r="C11" s="8">
        <v>9000</v>
      </c>
      <c r="D11" s="8"/>
      <c r="E11" s="8"/>
      <c r="F11" s="8"/>
      <c r="G11" s="8">
        <v>200</v>
      </c>
      <c r="H11" s="8">
        <f>'JANUARY 21'!I11:I24</f>
        <v>1000</v>
      </c>
      <c r="I11" s="8">
        <f t="shared" si="0"/>
        <v>10200</v>
      </c>
      <c r="J11" s="8">
        <v>7000</v>
      </c>
      <c r="K11" s="8">
        <f t="shared" si="1"/>
        <v>3200</v>
      </c>
      <c r="L11" s="8"/>
    </row>
    <row r="12" spans="1:13" x14ac:dyDescent="0.25">
      <c r="A12" s="8">
        <v>8</v>
      </c>
      <c r="B12" s="8" t="s">
        <v>37</v>
      </c>
      <c r="C12" s="8">
        <v>9000</v>
      </c>
      <c r="D12" s="8"/>
      <c r="E12" s="8"/>
      <c r="F12" s="8">
        <v>750</v>
      </c>
      <c r="G12" s="8">
        <v>200</v>
      </c>
      <c r="H12" s="8">
        <f>'JANUARY 21'!I12:I25</f>
        <v>0</v>
      </c>
      <c r="I12" s="8">
        <f t="shared" si="0"/>
        <v>9950</v>
      </c>
      <c r="J12" s="8">
        <f>9000+950</f>
        <v>9950</v>
      </c>
      <c r="K12" s="8">
        <f t="shared" si="1"/>
        <v>0</v>
      </c>
      <c r="L12" s="8"/>
    </row>
    <row r="13" spans="1:13" x14ac:dyDescent="0.25">
      <c r="A13" s="8">
        <v>9</v>
      </c>
      <c r="B13" s="28" t="s">
        <v>41</v>
      </c>
      <c r="C13" s="8"/>
      <c r="D13" s="8"/>
      <c r="E13" s="8"/>
      <c r="F13" s="8"/>
      <c r="G13" s="8"/>
      <c r="H13" s="8">
        <f>'JANUARY 21'!I13:I26</f>
        <v>0</v>
      </c>
      <c r="I13" s="8">
        <f t="shared" si="0"/>
        <v>0</v>
      </c>
      <c r="J13" s="8"/>
      <c r="K13" s="8">
        <f t="shared" si="1"/>
        <v>0</v>
      </c>
      <c r="L13" s="8"/>
    </row>
    <row r="14" spans="1:13" x14ac:dyDescent="0.25">
      <c r="A14" s="8">
        <v>10</v>
      </c>
      <c r="B14" s="8" t="s">
        <v>38</v>
      </c>
      <c r="C14" s="8">
        <v>5000</v>
      </c>
      <c r="D14" s="8"/>
      <c r="E14" s="8"/>
      <c r="F14" s="8">
        <v>0</v>
      </c>
      <c r="G14" s="8">
        <v>200</v>
      </c>
      <c r="H14" s="8">
        <f>'JANUARY 21'!I14:I27</f>
        <v>0</v>
      </c>
      <c r="I14" s="8">
        <f t="shared" si="0"/>
        <v>5200</v>
      </c>
      <c r="J14" s="8">
        <f>5200</f>
        <v>5200</v>
      </c>
      <c r="K14" s="8">
        <f t="shared" si="1"/>
        <v>0</v>
      </c>
      <c r="L14" s="8"/>
    </row>
    <row r="15" spans="1:13" x14ac:dyDescent="0.25">
      <c r="A15" s="8">
        <v>11</v>
      </c>
      <c r="B15" s="8" t="s">
        <v>31</v>
      </c>
      <c r="C15" s="8">
        <v>6000</v>
      </c>
      <c r="D15" s="8"/>
      <c r="E15" s="8"/>
      <c r="F15" s="8">
        <v>300</v>
      </c>
      <c r="G15" s="8">
        <v>200</v>
      </c>
      <c r="H15" s="8">
        <f>'JANUARY 21'!I15:I28</f>
        <v>0</v>
      </c>
      <c r="I15" s="8">
        <f t="shared" si="0"/>
        <v>6500</v>
      </c>
      <c r="J15" s="8">
        <f>6000+500</f>
        <v>6500</v>
      </c>
      <c r="K15" s="8">
        <f>I15-J15</f>
        <v>0</v>
      </c>
      <c r="L15" s="8"/>
      <c r="M15" t="s">
        <v>51</v>
      </c>
    </row>
    <row r="16" spans="1:13" x14ac:dyDescent="0.25">
      <c r="A16" s="8">
        <v>12</v>
      </c>
      <c r="B16" s="8" t="s">
        <v>30</v>
      </c>
      <c r="C16" s="8">
        <v>5000</v>
      </c>
      <c r="D16" s="8"/>
      <c r="E16" s="8"/>
      <c r="F16" s="8">
        <v>0</v>
      </c>
      <c r="G16" s="8">
        <v>200</v>
      </c>
      <c r="H16" s="8">
        <f>'JANUARY 21'!I16:I29</f>
        <v>0</v>
      </c>
      <c r="I16" s="8">
        <f t="shared" si="0"/>
        <v>5200</v>
      </c>
      <c r="J16" s="8">
        <f>5000</f>
        <v>5000</v>
      </c>
      <c r="K16" s="8">
        <f t="shared" si="1"/>
        <v>200</v>
      </c>
      <c r="L16" s="8"/>
    </row>
    <row r="17" spans="1:13" x14ac:dyDescent="0.25">
      <c r="A17" s="8"/>
      <c r="B17" s="8"/>
      <c r="C17" s="8"/>
      <c r="D17" s="8"/>
      <c r="E17" s="8"/>
      <c r="F17" s="8"/>
      <c r="G17" s="8"/>
      <c r="H17" s="8">
        <f>'JANUARY 21'!I17:I30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6"/>
      <c r="B18" s="12" t="s">
        <v>9</v>
      </c>
      <c r="C18" s="6">
        <f t="shared" ref="C18:K18" si="2">SUM(C5:C17)</f>
        <v>74000</v>
      </c>
      <c r="D18" s="6">
        <f t="shared" si="2"/>
        <v>5000</v>
      </c>
      <c r="E18" s="6">
        <f t="shared" si="2"/>
        <v>1000</v>
      </c>
      <c r="F18" s="6">
        <f t="shared" si="2"/>
        <v>3600</v>
      </c>
      <c r="G18" s="6">
        <f t="shared" si="2"/>
        <v>2200</v>
      </c>
      <c r="H18" s="8">
        <f t="shared" si="2"/>
        <v>1000</v>
      </c>
      <c r="I18" s="6">
        <f t="shared" si="2"/>
        <v>86800</v>
      </c>
      <c r="J18" s="6">
        <f t="shared" si="2"/>
        <v>83270</v>
      </c>
      <c r="K18" s="6">
        <f t="shared" si="2"/>
        <v>3530</v>
      </c>
      <c r="L18" s="6"/>
      <c r="M18" s="7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x14ac:dyDescent="0.25">
      <c r="A20" s="13"/>
    </row>
    <row r="21" spans="1:13" ht="18.75" x14ac:dyDescent="0.3">
      <c r="A21" s="13"/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A22" s="13">
        <f>1500*8</f>
        <v>12000</v>
      </c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A23" s="13"/>
      <c r="B23" s="18" t="s">
        <v>44</v>
      </c>
      <c r="C23" s="19">
        <f>C18</f>
        <v>74000</v>
      </c>
      <c r="D23" s="20">
        <v>0.1</v>
      </c>
      <c r="E23" s="19"/>
      <c r="F23" s="21" t="s">
        <v>44</v>
      </c>
      <c r="G23" s="19">
        <f>J18</f>
        <v>83270</v>
      </c>
      <c r="H23" s="20">
        <v>0.1</v>
      </c>
      <c r="I23" s="11"/>
    </row>
    <row r="24" spans="1:13" x14ac:dyDescent="0.25">
      <c r="A24" s="13"/>
      <c r="B24" s="11" t="s">
        <v>17</v>
      </c>
      <c r="C24" s="19">
        <f>'JANUARY 21'!G33</f>
        <v>1740</v>
      </c>
      <c r="D24" s="11"/>
      <c r="E24" s="11"/>
      <c r="F24" s="11" t="s">
        <v>17</v>
      </c>
      <c r="G24" s="19">
        <f>'JANUARY 21'!K33</f>
        <v>1740</v>
      </c>
      <c r="H24" s="11"/>
      <c r="I24" s="11"/>
    </row>
    <row r="25" spans="1:13" x14ac:dyDescent="0.25">
      <c r="A25" s="13"/>
      <c r="B25" s="11" t="s">
        <v>47</v>
      </c>
      <c r="C25" s="19">
        <f>2500+2500</f>
        <v>5000</v>
      </c>
      <c r="D25" s="11"/>
      <c r="E25" s="11"/>
      <c r="F25" s="11"/>
      <c r="G25" s="19"/>
      <c r="H25" s="11"/>
      <c r="I25" s="11"/>
    </row>
    <row r="26" spans="1:13" x14ac:dyDescent="0.25">
      <c r="A26" s="13"/>
      <c r="B26" s="11" t="s">
        <v>49</v>
      </c>
      <c r="C26" s="19">
        <f>E18</f>
        <v>1000</v>
      </c>
      <c r="D26" s="11"/>
      <c r="E26" s="11"/>
      <c r="F26" s="11"/>
      <c r="G26" s="19"/>
      <c r="H26" s="11"/>
      <c r="I26" s="11"/>
    </row>
    <row r="27" spans="1:13" x14ac:dyDescent="0.25">
      <c r="A27" s="13"/>
      <c r="B27" s="11" t="s">
        <v>32</v>
      </c>
      <c r="C27" s="19">
        <f>F18</f>
        <v>3600</v>
      </c>
      <c r="D27" s="11"/>
      <c r="E27" s="11"/>
      <c r="F27" s="11"/>
      <c r="G27" s="19"/>
      <c r="H27" s="11"/>
      <c r="I27" s="11"/>
    </row>
    <row r="28" spans="1:13" x14ac:dyDescent="0.25">
      <c r="A28" s="13"/>
      <c r="B28" s="11" t="s">
        <v>33</v>
      </c>
      <c r="C28" s="19">
        <f>G18</f>
        <v>2200</v>
      </c>
      <c r="D28" s="11"/>
      <c r="E28" s="11"/>
      <c r="F28" s="11"/>
      <c r="G28" s="19"/>
      <c r="H28" s="11"/>
      <c r="I28" s="11"/>
    </row>
    <row r="29" spans="1:13" x14ac:dyDescent="0.25">
      <c r="A29" s="13"/>
      <c r="B29" s="11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3" x14ac:dyDescent="0.25">
      <c r="A30" s="13"/>
      <c r="B30" s="11" t="s">
        <v>18</v>
      </c>
      <c r="C30" s="22"/>
      <c r="D30" s="11">
        <f>C23*D23</f>
        <v>7400</v>
      </c>
      <c r="E30" s="11"/>
      <c r="F30" s="11" t="s">
        <v>18</v>
      </c>
      <c r="G30" s="22"/>
      <c r="H30" s="11">
        <f>D30</f>
        <v>7400</v>
      </c>
      <c r="I30" s="11"/>
    </row>
    <row r="31" spans="1:13" x14ac:dyDescent="0.25">
      <c r="A31" s="13"/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</row>
    <row r="32" spans="1:13" x14ac:dyDescent="0.25">
      <c r="A32" s="13"/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</row>
    <row r="33" spans="1:14" x14ac:dyDescent="0.25">
      <c r="A33" s="13"/>
      <c r="B33" s="8" t="s">
        <v>50</v>
      </c>
      <c r="C33" s="8"/>
      <c r="D33" s="8">
        <v>81040</v>
      </c>
      <c r="E33" s="8"/>
      <c r="F33" s="8" t="s">
        <v>50</v>
      </c>
      <c r="G33" s="8"/>
      <c r="H33" s="8">
        <v>81040</v>
      </c>
      <c r="I33" s="8"/>
      <c r="N33" s="8"/>
    </row>
    <row r="34" spans="1:14" x14ac:dyDescent="0.25">
      <c r="A34" s="13"/>
      <c r="B34" s="8" t="s">
        <v>52</v>
      </c>
      <c r="C34" s="13"/>
      <c r="D34" s="8">
        <v>500</v>
      </c>
      <c r="E34" s="8"/>
      <c r="F34" s="8" t="s">
        <v>52</v>
      </c>
      <c r="G34" s="13"/>
      <c r="H34" s="8">
        <v>500</v>
      </c>
      <c r="I34" s="11"/>
    </row>
    <row r="35" spans="1:14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14" x14ac:dyDescent="0.25">
      <c r="A36" s="13"/>
      <c r="B36" s="25" t="s">
        <v>9</v>
      </c>
      <c r="C36" s="26">
        <f>C23+C24+C29+C26+C25+C27+C28+C29-D30</f>
        <v>80140</v>
      </c>
      <c r="D36" s="25">
        <f>SUM(D32:D35)</f>
        <v>81540</v>
      </c>
      <c r="E36" s="26">
        <f>C36-D36</f>
        <v>-1400</v>
      </c>
      <c r="F36" s="21"/>
      <c r="G36" s="26">
        <f>G23+G24-H30</f>
        <v>77610</v>
      </c>
      <c r="H36" s="26">
        <f>SUM(H32:H35)</f>
        <v>81540</v>
      </c>
      <c r="I36" s="26">
        <f>G36-H36</f>
        <v>-3930</v>
      </c>
    </row>
    <row r="37" spans="1:14" x14ac:dyDescent="0.25">
      <c r="E37" s="27"/>
    </row>
    <row r="38" spans="1:14" x14ac:dyDescent="0.25">
      <c r="E38" s="27"/>
    </row>
    <row r="39" spans="1:14" x14ac:dyDescent="0.25">
      <c r="B39" s="13" t="s">
        <v>21</v>
      </c>
      <c r="D39" s="13" t="s">
        <v>22</v>
      </c>
      <c r="F39" s="13"/>
      <c r="G39" s="13" t="s">
        <v>23</v>
      </c>
    </row>
    <row r="40" spans="1:14" x14ac:dyDescent="0.25">
      <c r="B40" t="s">
        <v>24</v>
      </c>
      <c r="D40" s="13" t="s">
        <v>25</v>
      </c>
      <c r="F40" s="13"/>
      <c r="G40" s="1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B12" sqref="B12"/>
    </sheetView>
  </sheetViews>
  <sheetFormatPr defaultRowHeight="15" x14ac:dyDescent="0.25"/>
  <cols>
    <col min="1" max="1" width="4" customWidth="1"/>
    <col min="2" max="2" width="19.7109375" customWidth="1"/>
  </cols>
  <sheetData>
    <row r="1" spans="1:13" ht="18.75" x14ac:dyDescent="0.25">
      <c r="C1" s="1" t="s">
        <v>26</v>
      </c>
      <c r="D1" s="1"/>
      <c r="E1" s="1"/>
      <c r="F1" s="1"/>
      <c r="G1" s="1"/>
      <c r="H1" s="2"/>
      <c r="I1" s="3"/>
      <c r="J1" s="4"/>
    </row>
    <row r="2" spans="1:13" ht="18.75" x14ac:dyDescent="0.25">
      <c r="C2" s="1" t="s">
        <v>0</v>
      </c>
      <c r="D2" s="1"/>
      <c r="E2" s="1"/>
      <c r="F2" s="1"/>
      <c r="G2" s="1"/>
      <c r="H2" s="1"/>
      <c r="I2" s="5"/>
      <c r="J2" s="5"/>
    </row>
    <row r="3" spans="1:13" ht="18.75" x14ac:dyDescent="0.25">
      <c r="C3" s="1" t="s">
        <v>54</v>
      </c>
      <c r="D3" s="1"/>
      <c r="E3" s="1"/>
      <c r="F3" s="1"/>
      <c r="G3" s="1"/>
      <c r="H3" s="1"/>
      <c r="I3" s="5"/>
      <c r="J3" s="5"/>
    </row>
    <row r="4" spans="1:13" x14ac:dyDescent="0.25">
      <c r="A4" s="6" t="s">
        <v>2</v>
      </c>
      <c r="B4" s="6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/>
      <c r="M4" s="7"/>
    </row>
    <row r="5" spans="1:13" x14ac:dyDescent="0.25">
      <c r="A5" s="8">
        <v>1</v>
      </c>
      <c r="B5" s="8" t="s">
        <v>27</v>
      </c>
      <c r="C5" s="8">
        <v>9000</v>
      </c>
      <c r="D5" s="8"/>
      <c r="E5" s="8"/>
      <c r="F5" s="8">
        <v>150</v>
      </c>
      <c r="G5" s="8">
        <v>200</v>
      </c>
      <c r="H5" s="8">
        <f>FEBRUARY21!K5:K17</f>
        <v>0</v>
      </c>
      <c r="I5" s="8">
        <f>C5+H5+F5+G5+D5+E5</f>
        <v>9350</v>
      </c>
      <c r="J5" s="8">
        <f>5150+3200</f>
        <v>8350</v>
      </c>
      <c r="K5" s="8">
        <f>I5-J5</f>
        <v>1000</v>
      </c>
      <c r="L5" s="8"/>
    </row>
    <row r="6" spans="1:13" x14ac:dyDescent="0.25">
      <c r="A6" s="8">
        <v>2</v>
      </c>
      <c r="B6" t="s">
        <v>34</v>
      </c>
      <c r="C6" s="8">
        <v>6000</v>
      </c>
      <c r="D6" s="8"/>
      <c r="E6" s="8"/>
      <c r="F6" s="8"/>
      <c r="G6" s="8">
        <v>200</v>
      </c>
      <c r="H6" s="8">
        <f>FEBRUARY21!K6:K18</f>
        <v>-100</v>
      </c>
      <c r="I6" s="8">
        <f t="shared" ref="I6:I16" si="0">C6+H6+F6+G6+D6+E6</f>
        <v>6100</v>
      </c>
      <c r="J6" s="8"/>
      <c r="K6" s="8">
        <f>I6-J6</f>
        <v>6100</v>
      </c>
      <c r="L6" s="8"/>
      <c r="M6" t="s">
        <v>56</v>
      </c>
    </row>
    <row r="7" spans="1:13" x14ac:dyDescent="0.25">
      <c r="A7" s="8">
        <v>3</v>
      </c>
      <c r="B7" s="11" t="s">
        <v>46</v>
      </c>
      <c r="C7" s="8">
        <v>5000</v>
      </c>
      <c r="D7" s="8"/>
      <c r="E7" s="8"/>
      <c r="F7" s="8">
        <v>300</v>
      </c>
      <c r="G7" s="8">
        <v>200</v>
      </c>
      <c r="H7" s="8">
        <f>FEBRUARY21!K7:K19</f>
        <v>0</v>
      </c>
      <c r="I7" s="8">
        <f t="shared" si="0"/>
        <v>5500</v>
      </c>
      <c r="J7" s="8">
        <f>5300</f>
        <v>5300</v>
      </c>
      <c r="K7" s="8">
        <f>I7-J7</f>
        <v>200</v>
      </c>
      <c r="L7" s="8"/>
    </row>
    <row r="8" spans="1:13" x14ac:dyDescent="0.25">
      <c r="A8" s="8">
        <v>4</v>
      </c>
      <c r="B8" s="8" t="s">
        <v>35</v>
      </c>
      <c r="C8" s="8">
        <v>9000</v>
      </c>
      <c r="D8" s="8"/>
      <c r="E8" s="8"/>
      <c r="F8" s="8">
        <v>450</v>
      </c>
      <c r="G8" s="8">
        <v>200</v>
      </c>
      <c r="H8" s="8">
        <f>FEBRUARY21!K8:K20</f>
        <v>300</v>
      </c>
      <c r="I8" s="8">
        <f t="shared" si="0"/>
        <v>9950</v>
      </c>
      <c r="J8" s="8">
        <f>9650</f>
        <v>9650</v>
      </c>
      <c r="K8" s="8">
        <f t="shared" ref="K8:K17" si="1">I8-J8</f>
        <v>300</v>
      </c>
      <c r="L8" s="8"/>
    </row>
    <row r="9" spans="1:13" x14ac:dyDescent="0.25">
      <c r="A9" s="8">
        <v>5</v>
      </c>
      <c r="B9" s="8" t="s">
        <v>28</v>
      </c>
      <c r="C9" s="8">
        <v>6000</v>
      </c>
      <c r="D9" s="8"/>
      <c r="E9" s="8"/>
      <c r="F9" s="8">
        <v>900</v>
      </c>
      <c r="G9" s="8">
        <v>200</v>
      </c>
      <c r="H9" s="8">
        <f>FEBRUARY21!K9:K21</f>
        <v>0</v>
      </c>
      <c r="I9" s="8">
        <f t="shared" si="0"/>
        <v>7100</v>
      </c>
      <c r="J9" s="8">
        <v>7100</v>
      </c>
      <c r="K9" s="8">
        <f>I9-J9</f>
        <v>0</v>
      </c>
      <c r="L9" s="8"/>
    </row>
    <row r="10" spans="1:13" x14ac:dyDescent="0.25">
      <c r="A10" s="8">
        <v>6</v>
      </c>
      <c r="B10" s="9" t="s">
        <v>36</v>
      </c>
      <c r="C10" s="8">
        <v>5000</v>
      </c>
      <c r="D10" s="8"/>
      <c r="E10" s="8"/>
      <c r="F10" s="8">
        <v>750</v>
      </c>
      <c r="G10" s="8">
        <v>200</v>
      </c>
      <c r="H10" s="8">
        <f>FEBRUARY21!K10:K22</f>
        <v>-70</v>
      </c>
      <c r="I10" s="8">
        <f t="shared" si="0"/>
        <v>5880</v>
      </c>
      <c r="J10" s="8">
        <f>5700</f>
        <v>5700</v>
      </c>
      <c r="K10" s="8">
        <f t="shared" si="1"/>
        <v>180</v>
      </c>
      <c r="L10" s="8"/>
    </row>
    <row r="11" spans="1:13" x14ac:dyDescent="0.25">
      <c r="A11" s="8">
        <v>7</v>
      </c>
      <c r="B11" s="8" t="s">
        <v>29</v>
      </c>
      <c r="C11" s="8">
        <v>9000</v>
      </c>
      <c r="D11" s="8"/>
      <c r="E11" s="8"/>
      <c r="F11" s="8">
        <v>900</v>
      </c>
      <c r="G11" s="8">
        <v>200</v>
      </c>
      <c r="H11" s="8">
        <f>FEBRUARY21!K11:K23</f>
        <v>3200</v>
      </c>
      <c r="I11" s="8">
        <f t="shared" si="0"/>
        <v>13300</v>
      </c>
      <c r="J11" s="8">
        <f>9900</f>
        <v>9900</v>
      </c>
      <c r="K11" s="8">
        <f t="shared" si="1"/>
        <v>3400</v>
      </c>
      <c r="L11" s="8"/>
    </row>
    <row r="12" spans="1:13" x14ac:dyDescent="0.25">
      <c r="A12" s="8">
        <v>8</v>
      </c>
      <c r="B12" s="8" t="s">
        <v>37</v>
      </c>
      <c r="C12" s="8">
        <v>9000</v>
      </c>
      <c r="D12" s="8"/>
      <c r="E12" s="8"/>
      <c r="F12" s="8">
        <v>450</v>
      </c>
      <c r="G12" s="8">
        <v>200</v>
      </c>
      <c r="H12" s="8">
        <f>FEBRUARY21!K12:K24</f>
        <v>0</v>
      </c>
      <c r="I12" s="8">
        <f t="shared" si="0"/>
        <v>9650</v>
      </c>
      <c r="J12" s="8">
        <v>9650</v>
      </c>
      <c r="K12" s="8">
        <f t="shared" si="1"/>
        <v>0</v>
      </c>
      <c r="L12" s="8"/>
    </row>
    <row r="13" spans="1:13" x14ac:dyDescent="0.25">
      <c r="A13" s="8">
        <v>9</v>
      </c>
      <c r="B13" s="28" t="s">
        <v>41</v>
      </c>
      <c r="C13" s="8"/>
      <c r="D13" s="8"/>
      <c r="E13" s="8"/>
      <c r="F13" s="8"/>
      <c r="G13" s="8"/>
      <c r="H13" s="8">
        <f>FEBRUARY21!K13:K25</f>
        <v>0</v>
      </c>
      <c r="I13" s="8">
        <f t="shared" si="0"/>
        <v>0</v>
      </c>
      <c r="J13" s="8"/>
      <c r="K13" s="8">
        <f t="shared" si="1"/>
        <v>0</v>
      </c>
      <c r="L13" s="8"/>
    </row>
    <row r="14" spans="1:13" x14ac:dyDescent="0.25">
      <c r="A14" s="8">
        <v>10</v>
      </c>
      <c r="B14" s="8" t="s">
        <v>38</v>
      </c>
      <c r="C14" s="8">
        <v>5000</v>
      </c>
      <c r="D14" s="8"/>
      <c r="E14" s="8"/>
      <c r="F14" s="8">
        <v>150</v>
      </c>
      <c r="G14" s="8">
        <v>200</v>
      </c>
      <c r="H14" s="8">
        <f>FEBRUARY21!K14:K26</f>
        <v>0</v>
      </c>
      <c r="I14" s="8">
        <f t="shared" si="0"/>
        <v>5350</v>
      </c>
      <c r="J14" s="8">
        <f>5350</f>
        <v>5350</v>
      </c>
      <c r="K14" s="8">
        <f t="shared" si="1"/>
        <v>0</v>
      </c>
      <c r="L14" s="8"/>
    </row>
    <row r="15" spans="1:13" x14ac:dyDescent="0.25">
      <c r="A15" s="8">
        <v>11</v>
      </c>
      <c r="B15" s="8" t="s">
        <v>31</v>
      </c>
      <c r="C15" s="8">
        <v>5000</v>
      </c>
      <c r="D15" s="8"/>
      <c r="E15" s="8"/>
      <c r="F15" s="8">
        <v>450</v>
      </c>
      <c r="G15" s="8">
        <v>200</v>
      </c>
      <c r="H15" s="8"/>
      <c r="I15" s="8">
        <f t="shared" si="0"/>
        <v>5650</v>
      </c>
      <c r="J15" s="8">
        <f>5450+200</f>
        <v>5650</v>
      </c>
      <c r="K15" s="8">
        <f>I15-J15</f>
        <v>0</v>
      </c>
      <c r="L15" s="8"/>
      <c r="M15" t="s">
        <v>40</v>
      </c>
    </row>
    <row r="16" spans="1:13" x14ac:dyDescent="0.25">
      <c r="A16" s="8">
        <v>12</v>
      </c>
      <c r="B16" s="8" t="s">
        <v>30</v>
      </c>
      <c r="C16" s="8">
        <v>5000</v>
      </c>
      <c r="D16" s="8"/>
      <c r="E16" s="8"/>
      <c r="F16" s="8">
        <v>0</v>
      </c>
      <c r="G16" s="8">
        <v>200</v>
      </c>
      <c r="H16" s="8">
        <f>FEBRUARY21!K16:K28</f>
        <v>200</v>
      </c>
      <c r="I16" s="8">
        <f t="shared" si="0"/>
        <v>5400</v>
      </c>
      <c r="J16" s="8">
        <f>5400</f>
        <v>5400</v>
      </c>
      <c r="K16" s="8">
        <f t="shared" si="1"/>
        <v>0</v>
      </c>
      <c r="L16" s="8"/>
    </row>
    <row r="17" spans="1:13" x14ac:dyDescent="0.25">
      <c r="A17" s="8"/>
      <c r="B17" s="8"/>
      <c r="C17" s="8"/>
      <c r="D17" s="8"/>
      <c r="E17" s="8"/>
      <c r="F17" s="8"/>
      <c r="G17" s="8"/>
      <c r="H17" s="8">
        <f>FEBRUARY21!K17:K29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6"/>
      <c r="B18" s="12" t="s">
        <v>9</v>
      </c>
      <c r="C18" s="6">
        <f t="shared" ref="C18:K18" si="2">SUM(C5:C17)</f>
        <v>73000</v>
      </c>
      <c r="D18" s="6">
        <f t="shared" si="2"/>
        <v>0</v>
      </c>
      <c r="E18" s="6">
        <f t="shared" si="2"/>
        <v>0</v>
      </c>
      <c r="F18" s="6">
        <f t="shared" si="2"/>
        <v>4500</v>
      </c>
      <c r="G18" s="6">
        <f t="shared" si="2"/>
        <v>2200</v>
      </c>
      <c r="H18" s="8">
        <f t="shared" si="2"/>
        <v>3530</v>
      </c>
      <c r="I18" s="6">
        <f t="shared" si="2"/>
        <v>83230</v>
      </c>
      <c r="J18" s="6">
        <f t="shared" si="2"/>
        <v>72050</v>
      </c>
      <c r="K18" s="6">
        <f t="shared" si="2"/>
        <v>11180</v>
      </c>
      <c r="L18" s="6"/>
      <c r="M18" s="7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x14ac:dyDescent="0.25">
      <c r="A20" s="13"/>
    </row>
    <row r="21" spans="1:13" ht="18.75" x14ac:dyDescent="0.3">
      <c r="A21" s="13"/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A22" s="13">
        <f>1500*8</f>
        <v>12000</v>
      </c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A23" s="13"/>
      <c r="B23" s="18" t="s">
        <v>53</v>
      </c>
      <c r="C23" s="19">
        <f>C18</f>
        <v>73000</v>
      </c>
      <c r="D23" s="20">
        <v>0.1</v>
      </c>
      <c r="E23" s="19"/>
      <c r="F23" s="21" t="s">
        <v>53</v>
      </c>
      <c r="G23" s="19">
        <f>J18</f>
        <v>72050</v>
      </c>
      <c r="H23" s="20">
        <v>0.1</v>
      </c>
      <c r="I23" s="11"/>
    </row>
    <row r="24" spans="1:13" x14ac:dyDescent="0.25">
      <c r="A24" s="13"/>
      <c r="B24" s="11" t="s">
        <v>17</v>
      </c>
      <c r="C24" s="19">
        <f>FEBRUARY21!E36</f>
        <v>-1400</v>
      </c>
      <c r="D24" s="11"/>
      <c r="E24" s="11"/>
      <c r="F24" s="11" t="s">
        <v>17</v>
      </c>
      <c r="G24" s="19">
        <f>FEBRUARY21!I36</f>
        <v>-3930</v>
      </c>
      <c r="H24" s="11"/>
      <c r="I24" s="11"/>
    </row>
    <row r="25" spans="1:13" x14ac:dyDescent="0.25">
      <c r="A25" s="13"/>
      <c r="B25" s="11" t="s">
        <v>47</v>
      </c>
      <c r="C25" s="19"/>
      <c r="D25" s="11"/>
      <c r="E25" s="11"/>
      <c r="F25" s="11"/>
      <c r="G25" s="19"/>
      <c r="H25" s="11"/>
      <c r="I25" s="11"/>
    </row>
    <row r="26" spans="1:13" x14ac:dyDescent="0.25">
      <c r="A26" s="13"/>
      <c r="B26" s="11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3" x14ac:dyDescent="0.25">
      <c r="A27" s="13"/>
      <c r="B27" s="11" t="s">
        <v>32</v>
      </c>
      <c r="C27" s="19">
        <f>F18</f>
        <v>4500</v>
      </c>
      <c r="D27" s="11"/>
      <c r="E27" s="11"/>
      <c r="F27" s="11"/>
      <c r="G27" s="19"/>
      <c r="H27" s="11"/>
      <c r="I27" s="11"/>
    </row>
    <row r="28" spans="1:13" x14ac:dyDescent="0.25">
      <c r="A28" s="13"/>
      <c r="B28" s="11" t="s">
        <v>33</v>
      </c>
      <c r="C28" s="19">
        <f>G18</f>
        <v>2200</v>
      </c>
      <c r="D28" s="11"/>
      <c r="E28" s="11"/>
      <c r="F28" s="11"/>
      <c r="G28" s="19"/>
      <c r="H28" s="11"/>
      <c r="I28" s="11"/>
    </row>
    <row r="29" spans="1:13" x14ac:dyDescent="0.25">
      <c r="A29" s="13"/>
      <c r="B29" s="11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3" x14ac:dyDescent="0.25">
      <c r="A30" s="13"/>
      <c r="B30" s="11" t="s">
        <v>18</v>
      </c>
      <c r="C30" s="22"/>
      <c r="D30" s="11">
        <f>C23*D23</f>
        <v>7300</v>
      </c>
      <c r="E30" s="11"/>
      <c r="F30" s="11" t="s">
        <v>18</v>
      </c>
      <c r="G30" s="22"/>
      <c r="H30" s="11">
        <f>D30</f>
        <v>7300</v>
      </c>
      <c r="I30" s="11"/>
    </row>
    <row r="31" spans="1:13" x14ac:dyDescent="0.25">
      <c r="A31" s="13"/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</row>
    <row r="32" spans="1:13" x14ac:dyDescent="0.25">
      <c r="A32" s="13"/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</row>
    <row r="33" spans="1:14" x14ac:dyDescent="0.25">
      <c r="A33" s="13"/>
      <c r="B33" s="8" t="s">
        <v>55</v>
      </c>
      <c r="C33" s="8"/>
      <c r="D33" s="8">
        <v>71900</v>
      </c>
      <c r="E33" s="8"/>
      <c r="F33" s="8" t="s">
        <v>55</v>
      </c>
      <c r="G33" s="8"/>
      <c r="H33" s="8">
        <v>71900</v>
      </c>
      <c r="I33" s="8"/>
      <c r="N33" s="8"/>
    </row>
    <row r="34" spans="1:14" x14ac:dyDescent="0.25">
      <c r="A34" s="13"/>
      <c r="B34" s="8" t="s">
        <v>57</v>
      </c>
      <c r="C34" s="13"/>
      <c r="D34" s="8">
        <f>6100</f>
        <v>6100</v>
      </c>
      <c r="E34" s="8"/>
      <c r="F34" s="8"/>
      <c r="G34" s="13"/>
      <c r="H34" s="8"/>
      <c r="I34" s="11"/>
    </row>
    <row r="35" spans="1:14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14" x14ac:dyDescent="0.25">
      <c r="A36" s="13"/>
      <c r="B36" s="25" t="s">
        <v>9</v>
      </c>
      <c r="C36" s="26">
        <f>C23+C24+C29+C26+C25+C27+C28+C29-D30</f>
        <v>71000</v>
      </c>
      <c r="D36" s="25">
        <f>SUM(D32:D35)</f>
        <v>78000</v>
      </c>
      <c r="E36" s="26">
        <f>C36-D36</f>
        <v>-7000</v>
      </c>
      <c r="F36" s="21"/>
      <c r="G36" s="26">
        <f>G23+G24-H30</f>
        <v>60820</v>
      </c>
      <c r="H36" s="26">
        <f>SUM(H32:H35)</f>
        <v>71900</v>
      </c>
      <c r="I36" s="26">
        <f>G36-H36</f>
        <v>-11080</v>
      </c>
    </row>
    <row r="37" spans="1:14" x14ac:dyDescent="0.25">
      <c r="E37" s="27"/>
    </row>
    <row r="38" spans="1:14" x14ac:dyDescent="0.25">
      <c r="E38" s="27"/>
    </row>
    <row r="39" spans="1:14" x14ac:dyDescent="0.25">
      <c r="B39" s="13" t="s">
        <v>21</v>
      </c>
      <c r="D39" s="13" t="s">
        <v>22</v>
      </c>
      <c r="F39" s="13"/>
      <c r="G39" s="13" t="s">
        <v>23</v>
      </c>
      <c r="K39">
        <f>3000/30</f>
        <v>100</v>
      </c>
    </row>
    <row r="40" spans="1:14" x14ac:dyDescent="0.25">
      <c r="B40" t="s">
        <v>24</v>
      </c>
      <c r="D40" s="13" t="s">
        <v>25</v>
      </c>
      <c r="F40" s="13"/>
      <c r="G40" s="13" t="s">
        <v>59</v>
      </c>
      <c r="K40">
        <f>K39*10</f>
        <v>1000</v>
      </c>
    </row>
    <row r="41" spans="1:14" x14ac:dyDescent="0.25">
      <c r="K41">
        <f>6200</f>
        <v>6200</v>
      </c>
    </row>
    <row r="42" spans="1:14" x14ac:dyDescent="0.25">
      <c r="K42">
        <f>K40+K41</f>
        <v>7200</v>
      </c>
    </row>
    <row r="50" spans="11:11" x14ac:dyDescent="0.25">
      <c r="K50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8" sqref="J8"/>
    </sheetView>
  </sheetViews>
  <sheetFormatPr defaultRowHeight="15" x14ac:dyDescent="0.25"/>
  <cols>
    <col min="1" max="1" width="4.28515625" customWidth="1"/>
    <col min="2" max="2" width="19.42578125" customWidth="1"/>
  </cols>
  <sheetData>
    <row r="1" spans="1:13" ht="18.75" x14ac:dyDescent="0.25">
      <c r="C1" s="1" t="s">
        <v>26</v>
      </c>
      <c r="D1" s="1"/>
      <c r="E1" s="1"/>
      <c r="F1" s="1"/>
      <c r="G1" s="1"/>
      <c r="H1" s="2"/>
      <c r="I1" s="3"/>
      <c r="J1" s="4"/>
    </row>
    <row r="2" spans="1:13" ht="18.75" x14ac:dyDescent="0.25">
      <c r="C2" s="1" t="s">
        <v>0</v>
      </c>
      <c r="D2" s="1"/>
      <c r="E2" s="1"/>
      <c r="F2" s="1"/>
      <c r="G2" s="1"/>
      <c r="H2" s="1"/>
      <c r="I2" s="5"/>
      <c r="J2" s="5"/>
    </row>
    <row r="3" spans="1:13" ht="18.75" x14ac:dyDescent="0.25">
      <c r="C3" s="1" t="s">
        <v>54</v>
      </c>
      <c r="D3" s="1"/>
      <c r="E3" s="1"/>
      <c r="F3" s="1"/>
      <c r="G3" s="1"/>
      <c r="H3" s="1"/>
      <c r="I3" s="5"/>
      <c r="J3" s="5"/>
    </row>
    <row r="4" spans="1:13" x14ac:dyDescent="0.25">
      <c r="A4" s="6" t="s">
        <v>2</v>
      </c>
      <c r="B4" s="6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/>
      <c r="M4" s="7"/>
    </row>
    <row r="5" spans="1:13" x14ac:dyDescent="0.25">
      <c r="A5" s="8">
        <v>1</v>
      </c>
      <c r="B5" s="8" t="s">
        <v>27</v>
      </c>
      <c r="C5" s="8">
        <v>9000</v>
      </c>
      <c r="D5" s="8"/>
      <c r="E5" s="8"/>
      <c r="F5" s="8">
        <v>150</v>
      </c>
      <c r="G5" s="8">
        <v>200</v>
      </c>
      <c r="H5" s="8">
        <f>'MARCH 21'!K5:K17</f>
        <v>1000</v>
      </c>
      <c r="I5" s="8">
        <f>C5+H5+F5+G5+D5+E5</f>
        <v>10350</v>
      </c>
      <c r="J5" s="8">
        <f>1000+5350+2000+1000+1000</f>
        <v>10350</v>
      </c>
      <c r="K5" s="8">
        <f>I5-J5</f>
        <v>0</v>
      </c>
      <c r="L5" s="8"/>
    </row>
    <row r="6" spans="1:13" x14ac:dyDescent="0.25">
      <c r="A6" s="8">
        <v>2</v>
      </c>
      <c r="B6" s="29" t="s">
        <v>41</v>
      </c>
      <c r="C6" s="8"/>
      <c r="D6" s="8"/>
      <c r="E6" s="8"/>
      <c r="F6" s="8"/>
      <c r="G6" s="8"/>
      <c r="H6" s="8"/>
      <c r="I6" s="8">
        <f t="shared" ref="I6:I16" si="0">C6+H6+F6+G6+D6+E6</f>
        <v>0</v>
      </c>
      <c r="J6" s="8"/>
      <c r="K6" s="8">
        <f>I6-J6</f>
        <v>0</v>
      </c>
      <c r="L6" s="8"/>
    </row>
    <row r="7" spans="1:13" x14ac:dyDescent="0.25">
      <c r="A7" s="8">
        <v>3</v>
      </c>
      <c r="B7" s="11" t="s">
        <v>46</v>
      </c>
      <c r="C7" s="8">
        <v>5000</v>
      </c>
      <c r="D7" s="8"/>
      <c r="E7" s="8"/>
      <c r="F7" s="8">
        <v>150</v>
      </c>
      <c r="G7" s="8">
        <v>200</v>
      </c>
      <c r="H7" s="8">
        <f>'MARCH 21'!K7:K19</f>
        <v>200</v>
      </c>
      <c r="I7" s="8">
        <f t="shared" si="0"/>
        <v>5550</v>
      </c>
      <c r="J7" s="8">
        <f>5150+400</f>
        <v>5550</v>
      </c>
      <c r="K7" s="8">
        <f>I7-J7</f>
        <v>0</v>
      </c>
      <c r="L7" s="8"/>
    </row>
    <row r="8" spans="1:13" x14ac:dyDescent="0.25">
      <c r="A8" s="8">
        <v>4</v>
      </c>
      <c r="B8" s="8" t="s">
        <v>35</v>
      </c>
      <c r="C8" s="8">
        <v>9000</v>
      </c>
      <c r="D8" s="8"/>
      <c r="E8" s="8"/>
      <c r="F8" s="8">
        <v>750</v>
      </c>
      <c r="G8" s="8">
        <v>200</v>
      </c>
      <c r="H8" s="8">
        <f>'MARCH 21'!K8:K20</f>
        <v>300</v>
      </c>
      <c r="I8" s="8">
        <f t="shared" si="0"/>
        <v>10250</v>
      </c>
      <c r="J8" s="8">
        <f>9800</f>
        <v>9800</v>
      </c>
      <c r="K8" s="8">
        <f t="shared" ref="K8:K17" si="1">I8-J8</f>
        <v>450</v>
      </c>
      <c r="L8" s="8"/>
    </row>
    <row r="9" spans="1:13" x14ac:dyDescent="0.25">
      <c r="A9" s="8">
        <v>5</v>
      </c>
      <c r="B9" s="8" t="s">
        <v>28</v>
      </c>
      <c r="C9" s="8">
        <v>6000</v>
      </c>
      <c r="D9" s="8"/>
      <c r="E9" s="8"/>
      <c r="F9" s="8">
        <v>750</v>
      </c>
      <c r="G9" s="8">
        <v>200</v>
      </c>
      <c r="H9" s="8">
        <f>'MARCH 21'!K9:K21</f>
        <v>0</v>
      </c>
      <c r="I9" s="8">
        <f t="shared" si="0"/>
        <v>6950</v>
      </c>
      <c r="J9" s="8">
        <f>6100</f>
        <v>6100</v>
      </c>
      <c r="K9" s="8">
        <f>I9-J9</f>
        <v>850</v>
      </c>
      <c r="L9" s="8"/>
    </row>
    <row r="10" spans="1:13" x14ac:dyDescent="0.25">
      <c r="A10" s="8">
        <v>6</v>
      </c>
      <c r="B10" s="9" t="s">
        <v>36</v>
      </c>
      <c r="C10" s="8">
        <v>5000</v>
      </c>
      <c r="D10" s="8"/>
      <c r="E10" s="8"/>
      <c r="F10" s="8">
        <v>300</v>
      </c>
      <c r="G10" s="8">
        <v>200</v>
      </c>
      <c r="H10" s="8">
        <f>'MARCH 21'!K10:K22</f>
        <v>180</v>
      </c>
      <c r="I10" s="8">
        <f t="shared" si="0"/>
        <v>5680</v>
      </c>
      <c r="J10" s="8">
        <f>5550</f>
        <v>5550</v>
      </c>
      <c r="K10" s="8">
        <f t="shared" si="1"/>
        <v>130</v>
      </c>
      <c r="L10" s="8"/>
    </row>
    <row r="11" spans="1:13" x14ac:dyDescent="0.25">
      <c r="A11" s="8">
        <v>7</v>
      </c>
      <c r="B11" s="8" t="s">
        <v>29</v>
      </c>
      <c r="C11" s="8">
        <v>9000</v>
      </c>
      <c r="D11" s="8"/>
      <c r="E11" s="8"/>
      <c r="F11" s="8">
        <v>750</v>
      </c>
      <c r="G11" s="8">
        <v>200</v>
      </c>
      <c r="H11" s="8">
        <f>'MARCH 21'!K11:K23</f>
        <v>3400</v>
      </c>
      <c r="I11" s="8">
        <f t="shared" si="0"/>
        <v>13350</v>
      </c>
      <c r="J11" s="8">
        <f>5000+4950</f>
        <v>9950</v>
      </c>
      <c r="K11" s="8">
        <f t="shared" si="1"/>
        <v>3400</v>
      </c>
      <c r="L11" s="8"/>
    </row>
    <row r="12" spans="1:13" x14ac:dyDescent="0.25">
      <c r="A12" s="8">
        <v>8</v>
      </c>
      <c r="B12" s="8" t="s">
        <v>37</v>
      </c>
      <c r="C12" s="8">
        <v>9000</v>
      </c>
      <c r="D12" s="8"/>
      <c r="E12" s="8"/>
      <c r="F12" s="8">
        <v>300</v>
      </c>
      <c r="G12" s="8">
        <v>200</v>
      </c>
      <c r="H12" s="8">
        <f>'MARCH 21'!K12:K24</f>
        <v>0</v>
      </c>
      <c r="I12" s="8">
        <f t="shared" si="0"/>
        <v>9500</v>
      </c>
      <c r="J12" s="8">
        <v>9500</v>
      </c>
      <c r="K12" s="8">
        <f t="shared" si="1"/>
        <v>0</v>
      </c>
      <c r="L12" s="8"/>
    </row>
    <row r="13" spans="1:13" x14ac:dyDescent="0.25">
      <c r="A13" s="8">
        <v>9</v>
      </c>
      <c r="B13" s="28" t="s">
        <v>41</v>
      </c>
      <c r="C13" s="8"/>
      <c r="D13" s="8"/>
      <c r="E13" s="8"/>
      <c r="F13" s="8"/>
      <c r="G13" s="8"/>
      <c r="H13" s="8">
        <f>'MARCH 21'!K13:K25</f>
        <v>0</v>
      </c>
      <c r="I13" s="8">
        <f t="shared" si="0"/>
        <v>0</v>
      </c>
      <c r="J13" s="8"/>
      <c r="K13" s="8">
        <f t="shared" si="1"/>
        <v>0</v>
      </c>
      <c r="L13" s="8"/>
    </row>
    <row r="14" spans="1:13" x14ac:dyDescent="0.25">
      <c r="A14" s="8">
        <v>10</v>
      </c>
      <c r="B14" s="8" t="s">
        <v>38</v>
      </c>
      <c r="C14" s="8">
        <v>5000</v>
      </c>
      <c r="D14" s="8"/>
      <c r="E14" s="8"/>
      <c r="F14" s="8">
        <v>300</v>
      </c>
      <c r="G14" s="8">
        <v>200</v>
      </c>
      <c r="H14" s="8">
        <f>'MARCH 21'!K14:K26</f>
        <v>0</v>
      </c>
      <c r="I14" s="8">
        <f t="shared" si="0"/>
        <v>5500</v>
      </c>
      <c r="J14" s="8">
        <v>5500</v>
      </c>
      <c r="K14" s="8">
        <f t="shared" si="1"/>
        <v>0</v>
      </c>
      <c r="L14" s="8"/>
    </row>
    <row r="15" spans="1:13" x14ac:dyDescent="0.25">
      <c r="A15" s="8">
        <v>11</v>
      </c>
      <c r="B15" s="8" t="s">
        <v>31</v>
      </c>
      <c r="C15" s="8">
        <v>5000</v>
      </c>
      <c r="D15" s="8"/>
      <c r="E15" s="8"/>
      <c r="F15" s="8">
        <v>300</v>
      </c>
      <c r="G15" s="8">
        <v>200</v>
      </c>
      <c r="H15" s="8">
        <f>'MARCH 21'!K15:K27</f>
        <v>0</v>
      </c>
      <c r="I15" s="8">
        <f t="shared" si="0"/>
        <v>5500</v>
      </c>
      <c r="J15" s="8">
        <v>5300</v>
      </c>
      <c r="K15" s="8">
        <f>I15-J15</f>
        <v>200</v>
      </c>
      <c r="L15" s="8"/>
    </row>
    <row r="16" spans="1:13" x14ac:dyDescent="0.25">
      <c r="A16" s="8">
        <v>12</v>
      </c>
      <c r="B16" s="8" t="s">
        <v>30</v>
      </c>
      <c r="C16" s="8">
        <v>5000</v>
      </c>
      <c r="D16" s="8"/>
      <c r="E16" s="8"/>
      <c r="F16" s="8">
        <v>0</v>
      </c>
      <c r="G16" s="8">
        <v>200</v>
      </c>
      <c r="H16" s="8">
        <f>'MARCH 21'!K16:K28</f>
        <v>0</v>
      </c>
      <c r="I16" s="8">
        <f t="shared" si="0"/>
        <v>5200</v>
      </c>
      <c r="J16" s="8">
        <f>5000</f>
        <v>5000</v>
      </c>
      <c r="K16" s="8">
        <f t="shared" si="1"/>
        <v>200</v>
      </c>
      <c r="L16" s="8"/>
    </row>
    <row r="17" spans="1:13" x14ac:dyDescent="0.25">
      <c r="A17" s="8"/>
      <c r="B17" s="8"/>
      <c r="C17" s="8"/>
      <c r="D17" s="8"/>
      <c r="E17" s="8"/>
      <c r="F17" s="8"/>
      <c r="G17" s="8"/>
      <c r="H17" s="8">
        <f>'MARCH 21'!K17:K29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6"/>
      <c r="B18" s="12" t="s">
        <v>9</v>
      </c>
      <c r="C18" s="6">
        <f t="shared" ref="C18:K18" si="2">SUM(C5:C17)</f>
        <v>67000</v>
      </c>
      <c r="D18" s="6">
        <f t="shared" si="2"/>
        <v>0</v>
      </c>
      <c r="E18" s="6">
        <f t="shared" si="2"/>
        <v>0</v>
      </c>
      <c r="F18" s="6">
        <f t="shared" si="2"/>
        <v>3750</v>
      </c>
      <c r="G18" s="6">
        <f t="shared" si="2"/>
        <v>2000</v>
      </c>
      <c r="H18" s="8">
        <f t="shared" si="2"/>
        <v>5080</v>
      </c>
      <c r="I18" s="6">
        <f t="shared" si="2"/>
        <v>77830</v>
      </c>
      <c r="J18" s="6">
        <f t="shared" si="2"/>
        <v>72600</v>
      </c>
      <c r="K18" s="6">
        <f t="shared" si="2"/>
        <v>5230</v>
      </c>
      <c r="L18" s="6"/>
      <c r="M18" s="7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x14ac:dyDescent="0.25">
      <c r="A20" s="13"/>
    </row>
    <row r="21" spans="1:13" ht="18.75" x14ac:dyDescent="0.3">
      <c r="A21" s="13"/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A22" s="13">
        <f>1500*8</f>
        <v>12000</v>
      </c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A23" s="13"/>
      <c r="B23" s="18" t="s">
        <v>58</v>
      </c>
      <c r="C23" s="19">
        <f>C18</f>
        <v>67000</v>
      </c>
      <c r="D23" s="20">
        <v>0.1</v>
      </c>
      <c r="E23" s="19"/>
      <c r="F23" s="21" t="s">
        <v>58</v>
      </c>
      <c r="G23" s="19">
        <f>J18</f>
        <v>72600</v>
      </c>
      <c r="H23" s="20">
        <v>0.1</v>
      </c>
      <c r="I23" s="11"/>
    </row>
    <row r="24" spans="1:13" x14ac:dyDescent="0.25">
      <c r="A24" s="13"/>
      <c r="B24" s="11" t="s">
        <v>17</v>
      </c>
      <c r="C24" s="19">
        <f>'MARCH 21'!E36</f>
        <v>-7000</v>
      </c>
      <c r="D24" s="11"/>
      <c r="E24" s="11"/>
      <c r="F24" s="11" t="s">
        <v>17</v>
      </c>
      <c r="G24" s="19">
        <f>'MARCH 21'!I36</f>
        <v>-11080</v>
      </c>
      <c r="H24" s="11"/>
      <c r="I24" s="11"/>
    </row>
    <row r="25" spans="1:13" x14ac:dyDescent="0.25">
      <c r="A25" s="13"/>
      <c r="B25" s="11" t="s">
        <v>47</v>
      </c>
      <c r="C25" s="19"/>
      <c r="D25" s="11"/>
      <c r="E25" s="11"/>
      <c r="F25" s="11"/>
      <c r="G25" s="19"/>
      <c r="H25" s="11"/>
      <c r="I25" s="11"/>
    </row>
    <row r="26" spans="1:13" x14ac:dyDescent="0.25">
      <c r="A26" s="13"/>
      <c r="B26" s="11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3" x14ac:dyDescent="0.25">
      <c r="A27" s="13"/>
      <c r="B27" s="11" t="s">
        <v>32</v>
      </c>
      <c r="C27" s="19">
        <f>F18</f>
        <v>3750</v>
      </c>
      <c r="D27" s="11"/>
      <c r="E27" s="11"/>
      <c r="F27" s="11"/>
      <c r="G27" s="19"/>
      <c r="H27" s="11"/>
      <c r="I27" s="11"/>
    </row>
    <row r="28" spans="1:13" x14ac:dyDescent="0.25">
      <c r="A28" s="13"/>
      <c r="B28" s="11" t="s">
        <v>33</v>
      </c>
      <c r="C28" s="19">
        <f>G18</f>
        <v>2000</v>
      </c>
      <c r="D28" s="11"/>
      <c r="E28" s="11"/>
      <c r="F28" s="11"/>
      <c r="G28" s="19"/>
      <c r="H28" s="11"/>
      <c r="I28" s="11"/>
    </row>
    <row r="29" spans="1:13" x14ac:dyDescent="0.25">
      <c r="A29" s="13"/>
      <c r="B29" s="11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3" x14ac:dyDescent="0.25">
      <c r="A30" s="13"/>
      <c r="B30" s="11" t="s">
        <v>18</v>
      </c>
      <c r="C30" s="22"/>
      <c r="D30" s="11">
        <f>C23*D23</f>
        <v>6700</v>
      </c>
      <c r="E30" s="11"/>
      <c r="F30" s="11" t="s">
        <v>18</v>
      </c>
      <c r="G30" s="22"/>
      <c r="H30" s="11">
        <f>D30</f>
        <v>6700</v>
      </c>
      <c r="I30" s="11"/>
    </row>
    <row r="31" spans="1:13" x14ac:dyDescent="0.25">
      <c r="A31" s="13"/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</row>
    <row r="32" spans="1:13" x14ac:dyDescent="0.25">
      <c r="A32" s="13"/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</row>
    <row r="33" spans="1:14" x14ac:dyDescent="0.25">
      <c r="A33" s="13"/>
      <c r="B33" s="8" t="s">
        <v>60</v>
      </c>
      <c r="C33" s="8"/>
      <c r="D33" s="8">
        <v>59105</v>
      </c>
      <c r="E33" s="8"/>
      <c r="F33" s="8" t="s">
        <v>60</v>
      </c>
      <c r="G33" s="8"/>
      <c r="H33" s="8">
        <v>59105</v>
      </c>
      <c r="I33" s="8"/>
      <c r="N33" s="8"/>
    </row>
    <row r="34" spans="1:14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14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14" x14ac:dyDescent="0.25">
      <c r="A36" s="13"/>
      <c r="B36" s="25" t="s">
        <v>9</v>
      </c>
      <c r="C36" s="26">
        <f>C23+C24+C29+C26+C25+C27+C28+C29-D30</f>
        <v>59050</v>
      </c>
      <c r="D36" s="25">
        <f>SUM(D32:D35)</f>
        <v>59105</v>
      </c>
      <c r="E36" s="26">
        <f>C36-D36</f>
        <v>-55</v>
      </c>
      <c r="F36" s="21"/>
      <c r="G36" s="26">
        <f>G23+G24-H30</f>
        <v>54820</v>
      </c>
      <c r="H36" s="26">
        <f>SUM(H32:H35)</f>
        <v>59105</v>
      </c>
      <c r="I36" s="26">
        <f>G36-H36</f>
        <v>-4285</v>
      </c>
    </row>
    <row r="37" spans="1:14" x14ac:dyDescent="0.25">
      <c r="E37" s="27"/>
    </row>
    <row r="38" spans="1:14" x14ac:dyDescent="0.25">
      <c r="E38" s="27"/>
    </row>
    <row r="39" spans="1:14" x14ac:dyDescent="0.25">
      <c r="B39" s="13" t="s">
        <v>21</v>
      </c>
      <c r="D39" s="13" t="s">
        <v>22</v>
      </c>
      <c r="F39" s="13"/>
      <c r="G39" s="13" t="s">
        <v>23</v>
      </c>
    </row>
    <row r="40" spans="1:14" x14ac:dyDescent="0.25">
      <c r="B40" t="s">
        <v>24</v>
      </c>
      <c r="D40" s="13" t="s">
        <v>25</v>
      </c>
      <c r="F40" s="13"/>
      <c r="G40" s="13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F13" sqref="F13"/>
    </sheetView>
  </sheetViews>
  <sheetFormatPr defaultRowHeight="15" x14ac:dyDescent="0.25"/>
  <cols>
    <col min="1" max="1" width="4" customWidth="1"/>
    <col min="2" max="2" width="20.28515625" customWidth="1"/>
    <col min="13" max="13" width="10" bestFit="1" customWidth="1"/>
  </cols>
  <sheetData>
    <row r="1" spans="1:13" ht="18.75" x14ac:dyDescent="0.25">
      <c r="C1" s="1" t="s">
        <v>26</v>
      </c>
      <c r="D1" s="1"/>
      <c r="E1" s="1"/>
      <c r="F1" s="1"/>
      <c r="G1" s="1"/>
      <c r="H1" s="2"/>
      <c r="I1" s="3"/>
      <c r="J1" s="4"/>
    </row>
    <row r="2" spans="1:13" ht="18.75" x14ac:dyDescent="0.25">
      <c r="C2" s="1" t="s">
        <v>0</v>
      </c>
      <c r="D2" s="1"/>
      <c r="E2" s="1"/>
      <c r="F2" s="1"/>
      <c r="G2" s="1"/>
      <c r="H2" s="1"/>
      <c r="I2" s="5"/>
      <c r="J2" s="5"/>
    </row>
    <row r="3" spans="1:13" ht="18.75" x14ac:dyDescent="0.25">
      <c r="C3" s="1" t="s">
        <v>61</v>
      </c>
      <c r="D3" s="1"/>
      <c r="E3" s="1"/>
      <c r="F3" s="1"/>
      <c r="G3" s="1"/>
      <c r="H3" s="1"/>
      <c r="I3" s="5"/>
      <c r="J3" s="5"/>
    </row>
    <row r="4" spans="1:13" x14ac:dyDescent="0.25">
      <c r="A4" s="6" t="s">
        <v>2</v>
      </c>
      <c r="B4" s="6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45</v>
      </c>
      <c r="M4" s="7"/>
    </row>
    <row r="5" spans="1:13" x14ac:dyDescent="0.25">
      <c r="A5" s="8">
        <v>1</v>
      </c>
      <c r="B5" s="8" t="s">
        <v>27</v>
      </c>
      <c r="C5" s="8">
        <v>9000</v>
      </c>
      <c r="D5" s="8"/>
      <c r="E5" s="8"/>
      <c r="F5" s="8">
        <v>450</v>
      </c>
      <c r="G5" s="8">
        <v>200</v>
      </c>
      <c r="H5" s="8">
        <f>'APRIL 21'!K5:K18</f>
        <v>0</v>
      </c>
      <c r="I5" s="8">
        <f>C5+H5+F5+G5+D5+E5</f>
        <v>9650</v>
      </c>
      <c r="J5" s="8">
        <f>4200+4000</f>
        <v>8200</v>
      </c>
      <c r="K5" s="8">
        <f>I5-J5</f>
        <v>1450</v>
      </c>
      <c r="L5" s="8"/>
    </row>
    <row r="6" spans="1:13" x14ac:dyDescent="0.25">
      <c r="A6" s="8">
        <v>2</v>
      </c>
      <c r="B6" s="29" t="s">
        <v>63</v>
      </c>
      <c r="C6" s="8"/>
      <c r="D6" s="8"/>
      <c r="E6" s="8"/>
      <c r="F6" s="8"/>
      <c r="G6" s="8"/>
      <c r="H6" s="8">
        <f>'APRIL 21'!K6:K19</f>
        <v>0</v>
      </c>
      <c r="I6" s="8">
        <f t="shared" ref="I6:I16" si="0">C6+H6+F6+G6+D6+E6</f>
        <v>0</v>
      </c>
      <c r="J6" s="8"/>
      <c r="K6" s="8">
        <f>I6-J6</f>
        <v>0</v>
      </c>
      <c r="L6" s="8"/>
      <c r="M6">
        <v>798066728</v>
      </c>
    </row>
    <row r="7" spans="1:13" x14ac:dyDescent="0.25">
      <c r="A7" s="8">
        <v>3</v>
      </c>
      <c r="B7" s="11" t="s">
        <v>46</v>
      </c>
      <c r="C7" s="8">
        <v>5000</v>
      </c>
      <c r="D7" s="8"/>
      <c r="E7" s="8"/>
      <c r="F7" s="8">
        <v>300</v>
      </c>
      <c r="G7" s="8">
        <v>200</v>
      </c>
      <c r="H7" s="8">
        <f>'APRIL 21'!K7:K20</f>
        <v>0</v>
      </c>
      <c r="I7" s="8">
        <f t="shared" si="0"/>
        <v>5500</v>
      </c>
      <c r="J7" s="8">
        <f>5200</f>
        <v>5200</v>
      </c>
      <c r="K7" s="8">
        <f>I7-J7</f>
        <v>300</v>
      </c>
      <c r="L7" s="8"/>
    </row>
    <row r="8" spans="1:13" x14ac:dyDescent="0.25">
      <c r="A8" s="8">
        <v>4</v>
      </c>
      <c r="B8" s="8" t="s">
        <v>35</v>
      </c>
      <c r="C8" s="8">
        <v>9000</v>
      </c>
      <c r="D8" s="8"/>
      <c r="E8" s="8"/>
      <c r="F8" s="8">
        <v>900</v>
      </c>
      <c r="G8" s="8">
        <v>200</v>
      </c>
      <c r="H8" s="8">
        <f>'APRIL 21'!K8:K21</f>
        <v>450</v>
      </c>
      <c r="I8" s="8">
        <f t="shared" si="0"/>
        <v>10550</v>
      </c>
      <c r="J8" s="8">
        <f>9680</f>
        <v>9680</v>
      </c>
      <c r="K8" s="8">
        <f t="shared" ref="K8:K17" si="1">I8-J8</f>
        <v>870</v>
      </c>
      <c r="L8" s="8"/>
    </row>
    <row r="9" spans="1:13" x14ac:dyDescent="0.25">
      <c r="A9" s="8">
        <v>5</v>
      </c>
      <c r="B9" s="8" t="s">
        <v>28</v>
      </c>
      <c r="C9" s="8">
        <v>6000</v>
      </c>
      <c r="D9" s="8"/>
      <c r="E9" s="8"/>
      <c r="F9" s="8">
        <v>450</v>
      </c>
      <c r="G9" s="8">
        <v>200</v>
      </c>
      <c r="H9" s="8">
        <f>'APRIL 21'!K9:K22</f>
        <v>850</v>
      </c>
      <c r="I9" s="8">
        <f t="shared" si="0"/>
        <v>7500</v>
      </c>
      <c r="J9" s="8">
        <f>6300</f>
        <v>6300</v>
      </c>
      <c r="K9" s="8">
        <f>I9-J9</f>
        <v>1200</v>
      </c>
      <c r="L9" s="8"/>
    </row>
    <row r="10" spans="1:13" x14ac:dyDescent="0.25">
      <c r="A10" s="8">
        <v>6</v>
      </c>
      <c r="B10" s="9" t="s">
        <v>36</v>
      </c>
      <c r="C10" s="8">
        <v>5000</v>
      </c>
      <c r="D10" s="8"/>
      <c r="E10" s="8"/>
      <c r="F10" s="8">
        <v>300</v>
      </c>
      <c r="G10" s="8">
        <v>200</v>
      </c>
      <c r="H10" s="8">
        <f>'APRIL 21'!K10:K23</f>
        <v>130</v>
      </c>
      <c r="I10" s="8">
        <f t="shared" si="0"/>
        <v>5630</v>
      </c>
      <c r="J10" s="8">
        <f>5600</f>
        <v>5600</v>
      </c>
      <c r="K10" s="8">
        <f t="shared" si="1"/>
        <v>30</v>
      </c>
      <c r="L10" s="8"/>
    </row>
    <row r="11" spans="1:13" x14ac:dyDescent="0.25">
      <c r="A11" s="8">
        <v>7</v>
      </c>
      <c r="B11" s="8" t="s">
        <v>29</v>
      </c>
      <c r="C11" s="8">
        <v>9000</v>
      </c>
      <c r="D11" s="8"/>
      <c r="E11" s="8"/>
      <c r="F11" s="8">
        <v>900</v>
      </c>
      <c r="G11" s="8">
        <v>200</v>
      </c>
      <c r="H11" s="8">
        <f>'APRIL 21'!K11:K24</f>
        <v>3400</v>
      </c>
      <c r="I11" s="8">
        <f t="shared" si="0"/>
        <v>13500</v>
      </c>
      <c r="J11" s="8">
        <v>13500</v>
      </c>
      <c r="K11" s="8">
        <f t="shared" si="1"/>
        <v>0</v>
      </c>
      <c r="L11" s="8">
        <v>1000</v>
      </c>
    </row>
    <row r="12" spans="1:13" x14ac:dyDescent="0.25">
      <c r="A12" s="8">
        <v>8</v>
      </c>
      <c r="B12" s="8" t="s">
        <v>37</v>
      </c>
      <c r="C12" s="8">
        <v>9000</v>
      </c>
      <c r="D12" s="8"/>
      <c r="E12" s="8"/>
      <c r="F12" s="8">
        <v>750</v>
      </c>
      <c r="G12" s="8">
        <v>200</v>
      </c>
      <c r="H12" s="8">
        <f>'APRIL 21'!K12:K25</f>
        <v>0</v>
      </c>
      <c r="I12" s="8">
        <f t="shared" si="0"/>
        <v>9950</v>
      </c>
      <c r="J12" s="8">
        <f>9000+800</f>
        <v>9800</v>
      </c>
      <c r="K12" s="8">
        <f t="shared" si="1"/>
        <v>150</v>
      </c>
      <c r="L12" s="8"/>
    </row>
    <row r="13" spans="1:13" x14ac:dyDescent="0.25">
      <c r="A13" s="8">
        <v>9</v>
      </c>
      <c r="B13" s="28" t="s">
        <v>64</v>
      </c>
      <c r="C13" s="8"/>
      <c r="D13" s="8"/>
      <c r="E13" s="8"/>
      <c r="F13" s="8"/>
      <c r="G13" s="8"/>
      <c r="H13" s="8">
        <f>'APRIL 21'!K13:K26</f>
        <v>0</v>
      </c>
      <c r="I13" s="8">
        <f t="shared" si="0"/>
        <v>0</v>
      </c>
      <c r="J13" s="8"/>
      <c r="K13" s="8">
        <f t="shared" si="1"/>
        <v>0</v>
      </c>
      <c r="L13" s="8"/>
      <c r="M13">
        <v>724211846</v>
      </c>
    </row>
    <row r="14" spans="1:13" x14ac:dyDescent="0.25">
      <c r="A14" s="8">
        <v>10</v>
      </c>
      <c r="B14" s="8" t="s">
        <v>38</v>
      </c>
      <c r="C14" s="8">
        <v>5000</v>
      </c>
      <c r="D14" s="8"/>
      <c r="E14" s="8"/>
      <c r="F14" s="8">
        <v>300</v>
      </c>
      <c r="G14" s="8">
        <v>200</v>
      </c>
      <c r="H14" s="8">
        <f>'APRIL 21'!K14:K27</f>
        <v>0</v>
      </c>
      <c r="I14" s="8">
        <f t="shared" si="0"/>
        <v>5500</v>
      </c>
      <c r="J14" s="8">
        <f>5000</f>
        <v>5000</v>
      </c>
      <c r="K14" s="8">
        <f t="shared" si="1"/>
        <v>500</v>
      </c>
      <c r="L14" s="8"/>
    </row>
    <row r="15" spans="1:13" x14ac:dyDescent="0.25">
      <c r="A15" s="8">
        <v>11</v>
      </c>
      <c r="B15" s="8" t="s">
        <v>31</v>
      </c>
      <c r="C15" s="8">
        <v>5000</v>
      </c>
      <c r="D15" s="8"/>
      <c r="E15" s="8"/>
      <c r="F15" s="8">
        <v>300</v>
      </c>
      <c r="G15" s="8">
        <v>200</v>
      </c>
      <c r="H15" s="8">
        <f>'APRIL 21'!K15:K28</f>
        <v>200</v>
      </c>
      <c r="I15" s="8">
        <f t="shared" si="0"/>
        <v>5700</v>
      </c>
      <c r="J15" s="8">
        <f>4000</f>
        <v>4000</v>
      </c>
      <c r="K15" s="8">
        <f>I15-J15</f>
        <v>1700</v>
      </c>
      <c r="L15" s="8"/>
    </row>
    <row r="16" spans="1:13" x14ac:dyDescent="0.25">
      <c r="A16" s="8">
        <v>12</v>
      </c>
      <c r="B16" s="8" t="s">
        <v>30</v>
      </c>
      <c r="C16" s="8">
        <v>5000</v>
      </c>
      <c r="D16" s="8"/>
      <c r="E16" s="8"/>
      <c r="F16" s="8">
        <v>0</v>
      </c>
      <c r="G16" s="8">
        <v>200</v>
      </c>
      <c r="H16" s="8">
        <f>'APRIL 21'!K16:K29</f>
        <v>200</v>
      </c>
      <c r="I16" s="8">
        <f t="shared" si="0"/>
        <v>5400</v>
      </c>
      <c r="J16" s="8">
        <f>5400</f>
        <v>5400</v>
      </c>
      <c r="K16" s="8">
        <f t="shared" si="1"/>
        <v>0</v>
      </c>
      <c r="L16" s="8"/>
    </row>
    <row r="17" spans="1:13" x14ac:dyDescent="0.25">
      <c r="A17" s="8"/>
      <c r="B17" s="8"/>
      <c r="C17" s="8"/>
      <c r="D17" s="8"/>
      <c r="E17" s="8"/>
      <c r="F17" s="8"/>
      <c r="G17" s="8"/>
      <c r="H17" s="8">
        <f>'APRIL 21'!K17:K30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6"/>
      <c r="B18" s="12" t="s">
        <v>9</v>
      </c>
      <c r="C18" s="6">
        <f t="shared" ref="C18:L18" si="2">SUM(C5:C17)</f>
        <v>67000</v>
      </c>
      <c r="D18" s="6">
        <f t="shared" si="2"/>
        <v>0</v>
      </c>
      <c r="E18" s="6">
        <f t="shared" si="2"/>
        <v>0</v>
      </c>
      <c r="F18" s="6">
        <f t="shared" si="2"/>
        <v>4650</v>
      </c>
      <c r="G18" s="6">
        <f t="shared" si="2"/>
        <v>2000</v>
      </c>
      <c r="H18" s="8">
        <f t="shared" si="2"/>
        <v>5230</v>
      </c>
      <c r="I18" s="6">
        <f t="shared" si="2"/>
        <v>78880</v>
      </c>
      <c r="J18" s="6">
        <f t="shared" si="2"/>
        <v>72680</v>
      </c>
      <c r="K18" s="6">
        <f t="shared" si="2"/>
        <v>6200</v>
      </c>
      <c r="L18" s="6">
        <f t="shared" si="2"/>
        <v>1000</v>
      </c>
      <c r="M18" s="7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x14ac:dyDescent="0.25">
      <c r="A20" s="13"/>
    </row>
    <row r="21" spans="1:13" ht="18.75" x14ac:dyDescent="0.3">
      <c r="A21" s="13"/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A22" s="13">
        <f>1500*8</f>
        <v>12000</v>
      </c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A23" s="13"/>
      <c r="B23" s="18" t="s">
        <v>62</v>
      </c>
      <c r="C23" s="19">
        <f>C18</f>
        <v>67000</v>
      </c>
      <c r="D23" s="20">
        <v>0.1</v>
      </c>
      <c r="E23" s="19"/>
      <c r="F23" s="21" t="s">
        <v>62</v>
      </c>
      <c r="G23" s="19">
        <f>J18</f>
        <v>72680</v>
      </c>
      <c r="H23" s="20">
        <v>0.1</v>
      </c>
      <c r="I23" s="11"/>
    </row>
    <row r="24" spans="1:13" x14ac:dyDescent="0.25">
      <c r="A24" s="13"/>
      <c r="B24" s="11" t="s">
        <v>17</v>
      </c>
      <c r="C24" s="19">
        <f>'APRIL 21'!E36</f>
        <v>-55</v>
      </c>
      <c r="D24" s="11"/>
      <c r="E24" s="11"/>
      <c r="F24" s="11" t="s">
        <v>17</v>
      </c>
      <c r="G24" s="19">
        <f>'APRIL 21'!I36</f>
        <v>-4285</v>
      </c>
      <c r="H24" s="11"/>
      <c r="I24" s="11"/>
    </row>
    <row r="25" spans="1:13" x14ac:dyDescent="0.25">
      <c r="A25" s="13"/>
      <c r="B25" s="11" t="s">
        <v>47</v>
      </c>
      <c r="C25" s="19"/>
      <c r="D25" s="11"/>
      <c r="E25" s="11"/>
      <c r="F25" s="11"/>
      <c r="G25" s="19"/>
      <c r="H25" s="11"/>
      <c r="I25" s="11"/>
    </row>
    <row r="26" spans="1:13" x14ac:dyDescent="0.25">
      <c r="A26" s="13"/>
      <c r="B26" s="11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3" x14ac:dyDescent="0.25">
      <c r="A27" s="13"/>
      <c r="B27" s="11" t="s">
        <v>32</v>
      </c>
      <c r="C27" s="19">
        <f>F18</f>
        <v>4650</v>
      </c>
      <c r="D27" s="11"/>
      <c r="E27" s="11"/>
      <c r="F27" s="11"/>
      <c r="G27" s="19"/>
      <c r="H27" s="11"/>
      <c r="I27" s="11"/>
    </row>
    <row r="28" spans="1:13" x14ac:dyDescent="0.25">
      <c r="A28" s="13"/>
      <c r="B28" s="11" t="s">
        <v>33</v>
      </c>
      <c r="C28" s="19">
        <f>G18</f>
        <v>2000</v>
      </c>
      <c r="D28" s="11"/>
      <c r="E28" s="11"/>
      <c r="F28" s="11"/>
      <c r="G28" s="19"/>
      <c r="H28" s="11"/>
      <c r="I28" s="11"/>
    </row>
    <row r="29" spans="1:13" x14ac:dyDescent="0.25">
      <c r="A29" s="13"/>
      <c r="B29" s="11" t="s">
        <v>45</v>
      </c>
      <c r="C29" s="19">
        <f>L18</f>
        <v>1000</v>
      </c>
      <c r="D29" s="11"/>
      <c r="E29" s="11"/>
      <c r="F29" s="11"/>
      <c r="G29" s="19"/>
      <c r="H29" s="11"/>
      <c r="I29" s="11"/>
    </row>
    <row r="30" spans="1:13" x14ac:dyDescent="0.25">
      <c r="A30" s="13"/>
      <c r="B30" s="11" t="s">
        <v>18</v>
      </c>
      <c r="C30" s="22"/>
      <c r="D30" s="11">
        <f>C23*D23</f>
        <v>6700</v>
      </c>
      <c r="E30" s="11"/>
      <c r="F30" s="11" t="s">
        <v>18</v>
      </c>
      <c r="G30" s="22"/>
      <c r="H30" s="11">
        <f>D30</f>
        <v>6700</v>
      </c>
      <c r="I30" s="11"/>
    </row>
    <row r="31" spans="1:13" x14ac:dyDescent="0.25">
      <c r="A31" s="13"/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</row>
    <row r="32" spans="1:13" x14ac:dyDescent="0.25">
      <c r="A32" s="13"/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</row>
    <row r="33" spans="1:9" x14ac:dyDescent="0.25">
      <c r="A33" s="13"/>
      <c r="B33" s="8" t="s">
        <v>65</v>
      </c>
      <c r="C33" s="8"/>
      <c r="D33" s="8">
        <v>5000</v>
      </c>
      <c r="E33" s="8"/>
      <c r="F33" s="8" t="s">
        <v>65</v>
      </c>
      <c r="G33" s="8"/>
      <c r="H33" s="8">
        <v>5000</v>
      </c>
      <c r="I33" s="8"/>
    </row>
    <row r="34" spans="1:9" x14ac:dyDescent="0.25">
      <c r="A34" s="13"/>
      <c r="B34" s="8" t="s">
        <v>66</v>
      </c>
      <c r="C34" s="13"/>
      <c r="D34" s="8">
        <v>62745</v>
      </c>
      <c r="E34" s="8"/>
      <c r="F34" s="8" t="s">
        <v>66</v>
      </c>
      <c r="G34" s="13"/>
      <c r="H34" s="8">
        <v>62745</v>
      </c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25" t="s">
        <v>9</v>
      </c>
      <c r="C36" s="26">
        <f>C23+C24+C29+C26+C25+C27+C28-D30</f>
        <v>67895</v>
      </c>
      <c r="D36" s="25">
        <f>SUM(D32:D35)</f>
        <v>67745</v>
      </c>
      <c r="E36" s="26">
        <f>C36-D36</f>
        <v>150</v>
      </c>
      <c r="F36" s="21"/>
      <c r="G36" s="26">
        <f>G23+G24-H30</f>
        <v>61695</v>
      </c>
      <c r="H36" s="26">
        <f>SUM(H32:H35)</f>
        <v>67745</v>
      </c>
      <c r="I36" s="26">
        <f>G36-H36</f>
        <v>-6050</v>
      </c>
    </row>
    <row r="37" spans="1:9" x14ac:dyDescent="0.25">
      <c r="E37" s="27"/>
    </row>
    <row r="38" spans="1:9" x14ac:dyDescent="0.25">
      <c r="E38" s="27"/>
    </row>
    <row r="39" spans="1:9" x14ac:dyDescent="0.25">
      <c r="B39" s="13" t="s">
        <v>21</v>
      </c>
      <c r="D39" s="13" t="s">
        <v>22</v>
      </c>
      <c r="F39" s="13"/>
      <c r="G39" s="13" t="s">
        <v>23</v>
      </c>
    </row>
    <row r="40" spans="1:9" x14ac:dyDescent="0.25">
      <c r="B40" t="s">
        <v>24</v>
      </c>
      <c r="D40" s="13" t="s">
        <v>25</v>
      </c>
      <c r="F40" s="13"/>
      <c r="G40" s="13" t="s">
        <v>59</v>
      </c>
    </row>
    <row r="44" spans="1:9" x14ac:dyDescent="0.25">
      <c r="F44" s="27">
        <f>C23+C27+C28+C29+C24</f>
        <v>74595</v>
      </c>
    </row>
    <row r="45" spans="1:9" x14ac:dyDescent="0.25">
      <c r="F45">
        <f>D30</f>
        <v>6700</v>
      </c>
    </row>
    <row r="46" spans="1:9" x14ac:dyDescent="0.25">
      <c r="F46" s="27">
        <f>F44-F45</f>
        <v>67895</v>
      </c>
    </row>
    <row r="47" spans="1:9" x14ac:dyDescent="0.25">
      <c r="E47" t="s">
        <v>65</v>
      </c>
      <c r="F47">
        <v>5000</v>
      </c>
    </row>
    <row r="48" spans="1:9" x14ac:dyDescent="0.25">
      <c r="F48" s="27">
        <f>F46-F47</f>
        <v>62895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G5" sqref="G5"/>
    </sheetView>
  </sheetViews>
  <sheetFormatPr defaultRowHeight="15" x14ac:dyDescent="0.25"/>
  <cols>
    <col min="1" max="1" width="20" customWidth="1"/>
  </cols>
  <sheetData>
    <row r="1" spans="1:12" ht="18.75" x14ac:dyDescent="0.25">
      <c r="B1" s="1" t="s">
        <v>26</v>
      </c>
      <c r="C1" s="1"/>
      <c r="D1" s="1"/>
      <c r="E1" s="1"/>
      <c r="F1" s="1"/>
      <c r="G1" s="2"/>
      <c r="H1" s="3"/>
      <c r="I1" s="4"/>
    </row>
    <row r="2" spans="1:12" ht="18.75" x14ac:dyDescent="0.25">
      <c r="B2" s="1" t="s">
        <v>0</v>
      </c>
      <c r="C2" s="1"/>
      <c r="D2" s="1"/>
      <c r="E2" s="1"/>
      <c r="F2" s="1"/>
      <c r="G2" s="1"/>
      <c r="H2" s="5"/>
      <c r="I2" s="5"/>
    </row>
    <row r="3" spans="1:12" ht="18.75" x14ac:dyDescent="0.25">
      <c r="B3" s="1" t="s">
        <v>67</v>
      </c>
      <c r="C3" s="1"/>
      <c r="D3" s="1"/>
      <c r="E3" s="1"/>
      <c r="F3" s="1"/>
      <c r="G3" s="1"/>
      <c r="H3" s="5"/>
      <c r="I3" s="5"/>
    </row>
    <row r="4" spans="1:12" x14ac:dyDescent="0.25">
      <c r="A4" s="6" t="s">
        <v>3</v>
      </c>
      <c r="B4" s="6" t="s">
        <v>4</v>
      </c>
      <c r="C4" s="6" t="s">
        <v>47</v>
      </c>
      <c r="D4" s="6" t="s">
        <v>48</v>
      </c>
      <c r="E4" s="6" t="s">
        <v>32</v>
      </c>
      <c r="F4" s="6" t="s">
        <v>33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45</v>
      </c>
      <c r="L4" s="7"/>
    </row>
    <row r="5" spans="1:12" x14ac:dyDescent="0.25">
      <c r="A5" s="8" t="s">
        <v>27</v>
      </c>
      <c r="B5" s="8">
        <v>9000</v>
      </c>
      <c r="C5" s="8"/>
      <c r="D5" s="8"/>
      <c r="E5" s="8">
        <v>450</v>
      </c>
      <c r="F5" s="8">
        <v>200</v>
      </c>
      <c r="G5" s="8">
        <f>'MAY 21'!K5:K18</f>
        <v>1450</v>
      </c>
      <c r="H5" s="8">
        <f>B5+G5+E5+F5+C5+D5</f>
        <v>11100</v>
      </c>
      <c r="I5" s="8">
        <f>1450+3000+2000+2000+650+1000</f>
        <v>10100</v>
      </c>
      <c r="J5" s="8">
        <f>H5-I5</f>
        <v>1000</v>
      </c>
      <c r="K5" s="8"/>
    </row>
    <row r="6" spans="1:12" x14ac:dyDescent="0.25">
      <c r="A6" s="29" t="s">
        <v>64</v>
      </c>
      <c r="B6" s="8">
        <v>6000</v>
      </c>
      <c r="C6" s="8"/>
      <c r="D6" s="8"/>
      <c r="E6" s="8">
        <v>900</v>
      </c>
      <c r="F6" s="8">
        <v>200</v>
      </c>
      <c r="G6" s="8">
        <f>'MAY 21'!K6:K19</f>
        <v>0</v>
      </c>
      <c r="H6" s="8">
        <f t="shared" ref="H6:H16" si="0">B6+G6+E6+F6+C6+D6</f>
        <v>7100</v>
      </c>
      <c r="I6" s="8">
        <f>7000+100</f>
        <v>7100</v>
      </c>
      <c r="J6" s="8">
        <f>H6-I6</f>
        <v>0</v>
      </c>
      <c r="K6" s="8"/>
    </row>
    <row r="7" spans="1:12" x14ac:dyDescent="0.25">
      <c r="A7" s="11" t="s">
        <v>46</v>
      </c>
      <c r="B7" s="8">
        <v>5000</v>
      </c>
      <c r="C7" s="8"/>
      <c r="D7" s="8"/>
      <c r="E7" s="8">
        <v>450</v>
      </c>
      <c r="F7" s="8">
        <v>200</v>
      </c>
      <c r="G7" s="8">
        <f>'MAY 21'!K7:K20</f>
        <v>300</v>
      </c>
      <c r="H7" s="8">
        <f t="shared" si="0"/>
        <v>5950</v>
      </c>
      <c r="I7" s="8">
        <v>5950</v>
      </c>
      <c r="J7" s="8">
        <f>H7-I7</f>
        <v>0</v>
      </c>
      <c r="K7" s="8"/>
    </row>
    <row r="8" spans="1:12" x14ac:dyDescent="0.25">
      <c r="A8" s="8" t="s">
        <v>35</v>
      </c>
      <c r="B8" s="8">
        <v>9000</v>
      </c>
      <c r="C8" s="8"/>
      <c r="D8" s="8"/>
      <c r="E8" s="8">
        <v>300</v>
      </c>
      <c r="F8" s="8">
        <v>200</v>
      </c>
      <c r="G8" s="8">
        <f>'MAY 21'!K8:K21</f>
        <v>870</v>
      </c>
      <c r="H8" s="8">
        <f t="shared" si="0"/>
        <v>10370</v>
      </c>
      <c r="I8" s="8">
        <f>9000</f>
        <v>9000</v>
      </c>
      <c r="J8" s="8">
        <f t="shared" ref="J8:J17" si="1">H8-I8</f>
        <v>1370</v>
      </c>
      <c r="K8" s="8"/>
    </row>
    <row r="9" spans="1:12" x14ac:dyDescent="0.25">
      <c r="A9" s="8" t="s">
        <v>28</v>
      </c>
      <c r="B9" s="8">
        <v>6000</v>
      </c>
      <c r="C9" s="8"/>
      <c r="D9" s="8"/>
      <c r="E9" s="8">
        <v>450</v>
      </c>
      <c r="F9" s="8">
        <v>200</v>
      </c>
      <c r="G9" s="8">
        <f>'MAY 21'!K9:K22</f>
        <v>1200</v>
      </c>
      <c r="H9" s="8">
        <f t="shared" si="0"/>
        <v>7850</v>
      </c>
      <c r="I9" s="8">
        <v>6650</v>
      </c>
      <c r="J9" s="8">
        <f>H9-I9</f>
        <v>1200</v>
      </c>
      <c r="K9" s="8"/>
    </row>
    <row r="10" spans="1:12" x14ac:dyDescent="0.25">
      <c r="A10" s="9" t="s">
        <v>36</v>
      </c>
      <c r="B10" s="8">
        <v>5000</v>
      </c>
      <c r="C10" s="8"/>
      <c r="D10" s="8"/>
      <c r="E10" s="8">
        <v>300</v>
      </c>
      <c r="F10" s="8">
        <v>200</v>
      </c>
      <c r="G10" s="8">
        <f>'MAY 21'!K10:K23</f>
        <v>30</v>
      </c>
      <c r="H10" s="8">
        <f t="shared" si="0"/>
        <v>5530</v>
      </c>
      <c r="I10" s="8">
        <v>5530</v>
      </c>
      <c r="J10" s="8">
        <f t="shared" si="1"/>
        <v>0</v>
      </c>
      <c r="K10" s="8"/>
    </row>
    <row r="11" spans="1:12" x14ac:dyDescent="0.25">
      <c r="A11" s="8" t="s">
        <v>29</v>
      </c>
      <c r="B11" s="8">
        <v>9000</v>
      </c>
      <c r="C11" s="8"/>
      <c r="D11" s="8"/>
      <c r="E11" s="8">
        <v>450</v>
      </c>
      <c r="F11" s="8">
        <v>200</v>
      </c>
      <c r="G11" s="8">
        <f>'MAY 21'!K11:K24</f>
        <v>0</v>
      </c>
      <c r="H11" s="8">
        <f t="shared" si="0"/>
        <v>9650</v>
      </c>
      <c r="I11" s="8">
        <f>9650</f>
        <v>9650</v>
      </c>
      <c r="J11" s="8">
        <f t="shared" si="1"/>
        <v>0</v>
      </c>
      <c r="K11" s="8"/>
    </row>
    <row r="12" spans="1:12" x14ac:dyDescent="0.25">
      <c r="A12" s="8" t="s">
        <v>37</v>
      </c>
      <c r="B12" s="8">
        <v>9000</v>
      </c>
      <c r="C12" s="8"/>
      <c r="D12" s="8"/>
      <c r="E12" s="8">
        <v>750</v>
      </c>
      <c r="F12" s="8">
        <v>200</v>
      </c>
      <c r="G12" s="8">
        <f>'MAY 21'!K12:K25</f>
        <v>150</v>
      </c>
      <c r="H12" s="8">
        <f t="shared" si="0"/>
        <v>10100</v>
      </c>
      <c r="I12" s="8">
        <f>9950</f>
        <v>9950</v>
      </c>
      <c r="J12" s="8">
        <f t="shared" si="1"/>
        <v>150</v>
      </c>
      <c r="K12" s="8"/>
    </row>
    <row r="13" spans="1:12" x14ac:dyDescent="0.25">
      <c r="A13" s="11" t="s">
        <v>70</v>
      </c>
      <c r="B13" s="8">
        <v>5000</v>
      </c>
      <c r="C13" s="8"/>
      <c r="D13" s="8"/>
      <c r="E13" s="8">
        <v>300</v>
      </c>
      <c r="F13" s="8">
        <v>200</v>
      </c>
      <c r="G13" s="8">
        <f>'MAY 21'!K13:K26</f>
        <v>0</v>
      </c>
      <c r="H13" s="8">
        <f t="shared" si="0"/>
        <v>5500</v>
      </c>
      <c r="I13" s="8">
        <v>5500</v>
      </c>
      <c r="J13" s="8">
        <f t="shared" si="1"/>
        <v>0</v>
      </c>
      <c r="K13" s="8"/>
    </row>
    <row r="14" spans="1:12" x14ac:dyDescent="0.25">
      <c r="A14" s="8" t="s">
        <v>38</v>
      </c>
      <c r="B14" s="8">
        <v>5000</v>
      </c>
      <c r="C14" s="8"/>
      <c r="D14" s="8"/>
      <c r="E14" s="8">
        <v>150</v>
      </c>
      <c r="F14" s="8">
        <v>200</v>
      </c>
      <c r="G14" s="8">
        <f>'MAY 21'!K14:K27</f>
        <v>500</v>
      </c>
      <c r="H14" s="8">
        <f t="shared" si="0"/>
        <v>5850</v>
      </c>
      <c r="I14" s="8">
        <f>5350</f>
        <v>5350</v>
      </c>
      <c r="J14" s="8">
        <f t="shared" si="1"/>
        <v>500</v>
      </c>
      <c r="K14" s="8"/>
    </row>
    <row r="15" spans="1:12" x14ac:dyDescent="0.25">
      <c r="A15" s="8" t="s">
        <v>31</v>
      </c>
      <c r="B15" s="8">
        <v>5000</v>
      </c>
      <c r="C15" s="8"/>
      <c r="D15" s="8"/>
      <c r="E15" s="8"/>
      <c r="F15" s="8">
        <v>200</v>
      </c>
      <c r="G15" s="8">
        <f>'MAY 21'!K15:K28</f>
        <v>1700</v>
      </c>
      <c r="H15" s="8">
        <f t="shared" si="0"/>
        <v>6900</v>
      </c>
      <c r="I15" s="8">
        <f>4150</f>
        <v>4150</v>
      </c>
      <c r="J15" s="8">
        <f>H15-I15</f>
        <v>2750</v>
      </c>
      <c r="K15" s="8"/>
    </row>
    <row r="16" spans="1:12" x14ac:dyDescent="0.25">
      <c r="A16" s="8" t="s">
        <v>30</v>
      </c>
      <c r="B16" s="8">
        <v>5000</v>
      </c>
      <c r="C16" s="8"/>
      <c r="D16" s="8"/>
      <c r="E16" s="8">
        <v>150</v>
      </c>
      <c r="F16" s="8">
        <v>200</v>
      </c>
      <c r="G16" s="8">
        <f>'MAY 21'!K16:K29</f>
        <v>0</v>
      </c>
      <c r="H16" s="8">
        <f t="shared" si="0"/>
        <v>5350</v>
      </c>
      <c r="I16" s="8">
        <v>5350</v>
      </c>
      <c r="J16" s="8">
        <f t="shared" si="1"/>
        <v>0</v>
      </c>
      <c r="K16" s="8"/>
    </row>
    <row r="17" spans="1:12" x14ac:dyDescent="0.25">
      <c r="A17" s="8"/>
      <c r="B17" s="8"/>
      <c r="C17" s="8"/>
      <c r="D17" s="8"/>
      <c r="E17" s="8"/>
      <c r="F17" s="8"/>
      <c r="G17" s="8">
        <f>'MAY 21'!K17:K30</f>
        <v>0</v>
      </c>
      <c r="H17" s="8">
        <f>B17+G17+E17+F17+C17</f>
        <v>0</v>
      </c>
      <c r="I17" s="8"/>
      <c r="J17" s="8">
        <f t="shared" si="1"/>
        <v>0</v>
      </c>
      <c r="K17" s="8"/>
    </row>
    <row r="18" spans="1:12" x14ac:dyDescent="0.25">
      <c r="A18" s="12" t="s">
        <v>9</v>
      </c>
      <c r="B18" s="6">
        <f t="shared" ref="B18:K18" si="2">SUM(B5:B17)</f>
        <v>78000</v>
      </c>
      <c r="C18" s="6">
        <f t="shared" si="2"/>
        <v>0</v>
      </c>
      <c r="D18" s="6">
        <f t="shared" si="2"/>
        <v>0</v>
      </c>
      <c r="E18" s="6">
        <f t="shared" si="2"/>
        <v>4650</v>
      </c>
      <c r="F18" s="6">
        <f t="shared" si="2"/>
        <v>2400</v>
      </c>
      <c r="G18" s="8">
        <f t="shared" si="2"/>
        <v>6200</v>
      </c>
      <c r="H18" s="6">
        <f t="shared" si="2"/>
        <v>91250</v>
      </c>
      <c r="I18" s="6">
        <f t="shared" si="2"/>
        <v>84280</v>
      </c>
      <c r="J18" s="6">
        <f t="shared" si="2"/>
        <v>6970</v>
      </c>
      <c r="K18" s="6">
        <f t="shared" si="2"/>
        <v>0</v>
      </c>
      <c r="L18" s="7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1" spans="1:12" ht="18.75" x14ac:dyDescent="0.3">
      <c r="B21" s="14"/>
      <c r="C21" s="15" t="s">
        <v>10</v>
      </c>
      <c r="D21" s="14"/>
      <c r="E21" s="14"/>
      <c r="F21" s="14"/>
      <c r="G21" s="16"/>
      <c r="H21" s="16"/>
    </row>
    <row r="22" spans="1:12" ht="15.75" x14ac:dyDescent="0.25">
      <c r="A22" s="17" t="s">
        <v>11</v>
      </c>
      <c r="B22" s="17" t="s">
        <v>12</v>
      </c>
      <c r="C22" s="17" t="s">
        <v>13</v>
      </c>
      <c r="D22" s="17" t="s">
        <v>14</v>
      </c>
      <c r="E22" s="17" t="s">
        <v>15</v>
      </c>
      <c r="F22" s="17" t="s">
        <v>12</v>
      </c>
      <c r="G22" s="17" t="s">
        <v>13</v>
      </c>
      <c r="H22" s="17" t="s">
        <v>14</v>
      </c>
    </row>
    <row r="23" spans="1:12" x14ac:dyDescent="0.25">
      <c r="A23" s="18" t="s">
        <v>68</v>
      </c>
      <c r="B23" s="19">
        <f>B18</f>
        <v>78000</v>
      </c>
      <c r="C23" s="20">
        <v>0.1</v>
      </c>
      <c r="D23" s="19"/>
      <c r="E23" s="21" t="s">
        <v>68</v>
      </c>
      <c r="F23" s="19">
        <f>I18</f>
        <v>84280</v>
      </c>
      <c r="G23" s="20">
        <v>0.1</v>
      </c>
      <c r="H23" s="11"/>
    </row>
    <row r="24" spans="1:12" x14ac:dyDescent="0.25">
      <c r="A24" s="11" t="s">
        <v>17</v>
      </c>
      <c r="B24" s="19">
        <f>'MAY 21'!E36</f>
        <v>150</v>
      </c>
      <c r="C24" s="11"/>
      <c r="D24" s="11"/>
      <c r="E24" s="11" t="s">
        <v>17</v>
      </c>
      <c r="F24" s="19">
        <f>'MAY 21'!I36</f>
        <v>-6050</v>
      </c>
      <c r="G24" s="11"/>
      <c r="H24" s="11"/>
    </row>
    <row r="25" spans="1:12" x14ac:dyDescent="0.25">
      <c r="A25" s="11" t="s">
        <v>47</v>
      </c>
      <c r="B25" s="19"/>
      <c r="C25" s="11"/>
      <c r="D25" s="11"/>
      <c r="E25" s="11"/>
      <c r="F25" s="19"/>
      <c r="G25" s="11"/>
      <c r="H25" s="11"/>
    </row>
    <row r="26" spans="1:12" x14ac:dyDescent="0.25">
      <c r="A26" s="11" t="s">
        <v>49</v>
      </c>
      <c r="B26" s="19">
        <f>D18</f>
        <v>0</v>
      </c>
      <c r="C26" s="11"/>
      <c r="D26" s="11"/>
      <c r="E26" s="11"/>
      <c r="F26" s="19"/>
      <c r="G26" s="11"/>
      <c r="H26" s="11"/>
    </row>
    <row r="27" spans="1:12" x14ac:dyDescent="0.25">
      <c r="A27" s="11" t="s">
        <v>32</v>
      </c>
      <c r="B27" s="19">
        <f>E18</f>
        <v>4650</v>
      </c>
      <c r="C27" s="11"/>
      <c r="D27" s="11"/>
      <c r="E27" s="11"/>
      <c r="F27" s="19"/>
      <c r="G27" s="11"/>
      <c r="H27" s="11"/>
    </row>
    <row r="28" spans="1:12" x14ac:dyDescent="0.25">
      <c r="A28" s="11" t="s">
        <v>33</v>
      </c>
      <c r="B28" s="19">
        <f>F18</f>
        <v>2400</v>
      </c>
      <c r="C28" s="11"/>
      <c r="D28" s="11"/>
      <c r="E28" s="11"/>
      <c r="F28" s="19"/>
      <c r="G28" s="11"/>
      <c r="H28" s="11"/>
    </row>
    <row r="29" spans="1:12" x14ac:dyDescent="0.25">
      <c r="A29" s="11" t="s">
        <v>45</v>
      </c>
      <c r="B29" s="19">
        <f>K18</f>
        <v>0</v>
      </c>
      <c r="C29" s="11"/>
      <c r="D29" s="11"/>
      <c r="E29" s="11"/>
      <c r="F29" s="19"/>
      <c r="G29" s="11"/>
      <c r="H29" s="11"/>
    </row>
    <row r="30" spans="1:12" x14ac:dyDescent="0.25">
      <c r="A30" s="11" t="s">
        <v>18</v>
      </c>
      <c r="B30" s="22"/>
      <c r="C30" s="11">
        <f>B23*C23</f>
        <v>7800</v>
      </c>
      <c r="D30" s="11"/>
      <c r="E30" s="11" t="s">
        <v>18</v>
      </c>
      <c r="F30" s="22"/>
      <c r="G30" s="11">
        <f>C30</f>
        <v>7800</v>
      </c>
      <c r="H30" s="11"/>
    </row>
    <row r="31" spans="1:12" x14ac:dyDescent="0.25">
      <c r="A31" s="23" t="s">
        <v>19</v>
      </c>
      <c r="B31" s="11"/>
      <c r="C31" s="11"/>
      <c r="D31" s="11"/>
      <c r="E31" s="23" t="s">
        <v>19</v>
      </c>
      <c r="F31" s="11"/>
      <c r="G31" s="11"/>
      <c r="H31" s="11"/>
    </row>
    <row r="32" spans="1:12" x14ac:dyDescent="0.25">
      <c r="A32" s="10" t="s">
        <v>20</v>
      </c>
      <c r="B32" s="24">
        <v>0.3</v>
      </c>
      <c r="C32" s="11"/>
      <c r="D32" s="11"/>
      <c r="E32" s="10" t="s">
        <v>20</v>
      </c>
      <c r="F32" s="24">
        <v>0.3</v>
      </c>
      <c r="G32" s="11"/>
      <c r="H32" s="11"/>
    </row>
    <row r="33" spans="1:10" x14ac:dyDescent="0.25">
      <c r="A33" s="8" t="s">
        <v>65</v>
      </c>
      <c r="B33" s="8"/>
      <c r="C33" s="8">
        <v>5000</v>
      </c>
      <c r="D33" s="8"/>
      <c r="E33" s="8" t="s">
        <v>65</v>
      </c>
      <c r="F33" s="8"/>
      <c r="G33" s="8">
        <v>5000</v>
      </c>
      <c r="H33" s="8"/>
    </row>
    <row r="34" spans="1:10" x14ac:dyDescent="0.25">
      <c r="A34" s="8" t="s">
        <v>69</v>
      </c>
      <c r="B34" s="13"/>
      <c r="C34" s="8">
        <v>72210</v>
      </c>
      <c r="D34" s="8"/>
      <c r="E34" s="8" t="s">
        <v>69</v>
      </c>
      <c r="F34" s="13"/>
      <c r="G34" s="8">
        <v>72210</v>
      </c>
      <c r="H34" s="11"/>
    </row>
    <row r="35" spans="1:10" x14ac:dyDescent="0.25">
      <c r="A35" s="8" t="s">
        <v>63</v>
      </c>
      <c r="B35" s="13"/>
      <c r="C35" s="8">
        <v>100</v>
      </c>
      <c r="D35" s="8"/>
      <c r="E35" s="8" t="s">
        <v>63</v>
      </c>
      <c r="F35" s="13"/>
      <c r="G35" s="8">
        <v>100</v>
      </c>
      <c r="H35" s="11"/>
      <c r="J35" s="27"/>
    </row>
    <row r="36" spans="1:10" x14ac:dyDescent="0.25">
      <c r="A36" s="25" t="s">
        <v>9</v>
      </c>
      <c r="B36" s="26">
        <f>B23+B24+B29+B26+B25+B27+B28-C30</f>
        <v>77400</v>
      </c>
      <c r="C36" s="25">
        <f>SUM(C32:C35)</f>
        <v>77310</v>
      </c>
      <c r="D36" s="26">
        <f>B36-C36</f>
        <v>90</v>
      </c>
      <c r="E36" s="21"/>
      <c r="F36" s="26">
        <f>F23+F24-G30</f>
        <v>70430</v>
      </c>
      <c r="G36" s="26">
        <f>SUM(G32:G35)</f>
        <v>77310</v>
      </c>
      <c r="H36" s="26">
        <f>F36-G36</f>
        <v>-6880</v>
      </c>
    </row>
    <row r="37" spans="1:10" x14ac:dyDescent="0.25">
      <c r="D37" s="27"/>
    </row>
    <row r="38" spans="1:10" x14ac:dyDescent="0.25">
      <c r="D38" s="27"/>
    </row>
    <row r="39" spans="1:10" x14ac:dyDescent="0.25">
      <c r="A39" s="13" t="s">
        <v>21</v>
      </c>
      <c r="C39" s="13" t="s">
        <v>22</v>
      </c>
      <c r="E39" s="13"/>
      <c r="F39" s="13" t="s">
        <v>23</v>
      </c>
    </row>
    <row r="40" spans="1:10" x14ac:dyDescent="0.25">
      <c r="A40" t="s">
        <v>24</v>
      </c>
      <c r="C40" s="13" t="s">
        <v>25</v>
      </c>
      <c r="E40" s="13"/>
      <c r="F40" s="13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H6" sqref="H6"/>
    </sheetView>
  </sheetViews>
  <sheetFormatPr defaultRowHeight="15" x14ac:dyDescent="0.25"/>
  <cols>
    <col min="2" max="2" width="20.42578125" bestFit="1" customWidth="1"/>
  </cols>
  <sheetData>
    <row r="1" spans="1:13" ht="18.75" x14ac:dyDescent="0.25">
      <c r="C1" s="1" t="s">
        <v>26</v>
      </c>
      <c r="D1" s="1"/>
      <c r="E1" s="1"/>
      <c r="F1" s="1"/>
      <c r="G1" s="1"/>
      <c r="H1" s="2"/>
      <c r="I1" s="3"/>
      <c r="J1" s="4"/>
    </row>
    <row r="2" spans="1:13" ht="18.75" x14ac:dyDescent="0.25">
      <c r="C2" s="1" t="s">
        <v>0</v>
      </c>
      <c r="D2" s="1"/>
      <c r="E2" s="1"/>
      <c r="F2" s="1"/>
      <c r="G2" s="1"/>
      <c r="H2" s="1"/>
      <c r="I2" s="5"/>
      <c r="J2" s="5"/>
    </row>
    <row r="3" spans="1:13" ht="18.75" x14ac:dyDescent="0.25">
      <c r="C3" s="1" t="s">
        <v>71</v>
      </c>
      <c r="D3" s="1"/>
      <c r="E3" s="1"/>
      <c r="F3" s="1"/>
      <c r="G3" s="1"/>
      <c r="H3" s="1"/>
      <c r="I3" s="5"/>
      <c r="J3" s="5"/>
    </row>
    <row r="4" spans="1:13" x14ac:dyDescent="0.25">
      <c r="A4" s="8"/>
      <c r="B4" s="30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45</v>
      </c>
      <c r="M4" s="7"/>
    </row>
    <row r="5" spans="1:13" x14ac:dyDescent="0.25">
      <c r="A5" s="8">
        <v>1</v>
      </c>
      <c r="B5" s="31" t="s">
        <v>27</v>
      </c>
      <c r="C5" s="8">
        <v>9000</v>
      </c>
      <c r="D5" s="8"/>
      <c r="E5" s="8"/>
      <c r="F5" s="8">
        <v>450</v>
      </c>
      <c r="G5" s="8">
        <v>200</v>
      </c>
      <c r="H5" s="8">
        <f>JUNE21!J5:J17</f>
        <v>1000</v>
      </c>
      <c r="I5" s="8">
        <f>C5+H5+F5+G5+D5+E5</f>
        <v>10650</v>
      </c>
      <c r="J5" s="8">
        <f>1000+5450+200+4000</f>
        <v>10650</v>
      </c>
      <c r="K5" s="8">
        <f>I5-J5</f>
        <v>0</v>
      </c>
      <c r="L5" s="8"/>
    </row>
    <row r="6" spans="1:13" x14ac:dyDescent="0.25">
      <c r="A6" s="8">
        <v>2</v>
      </c>
      <c r="B6" s="29" t="s">
        <v>64</v>
      </c>
      <c r="C6" s="8">
        <v>6000</v>
      </c>
      <c r="D6" s="8"/>
      <c r="E6" s="8"/>
      <c r="F6" s="8">
        <v>600</v>
      </c>
      <c r="G6" s="8">
        <v>200</v>
      </c>
      <c r="H6" s="8">
        <f>JUNE21!J6:J18</f>
        <v>0</v>
      </c>
      <c r="I6" s="8">
        <f t="shared" ref="I6:I16" si="0">C6+H6+F6+G6+D6+E6</f>
        <v>6800</v>
      </c>
      <c r="J6" s="8">
        <f>800+6000</f>
        <v>6800</v>
      </c>
      <c r="K6" s="8">
        <f>I6-J6</f>
        <v>0</v>
      </c>
      <c r="L6" s="8"/>
    </row>
    <row r="7" spans="1:13" x14ac:dyDescent="0.25">
      <c r="A7" s="8">
        <v>3</v>
      </c>
      <c r="B7" s="32" t="s">
        <v>46</v>
      </c>
      <c r="C7" s="8">
        <v>5000</v>
      </c>
      <c r="D7" s="8"/>
      <c r="E7" s="8"/>
      <c r="F7" s="8">
        <v>600</v>
      </c>
      <c r="G7" s="8">
        <v>200</v>
      </c>
      <c r="H7" s="8">
        <f>JUNE21!J7:J19</f>
        <v>0</v>
      </c>
      <c r="I7" s="8">
        <f t="shared" si="0"/>
        <v>5800</v>
      </c>
      <c r="J7" s="8">
        <v>5800</v>
      </c>
      <c r="K7" s="8">
        <f>I7-J7</f>
        <v>0</v>
      </c>
      <c r="L7" s="8"/>
    </row>
    <row r="8" spans="1:13" x14ac:dyDescent="0.25">
      <c r="A8" s="8">
        <v>4</v>
      </c>
      <c r="B8" s="31" t="s">
        <v>35</v>
      </c>
      <c r="C8" s="8">
        <v>9000</v>
      </c>
      <c r="D8" s="8"/>
      <c r="E8" s="8"/>
      <c r="F8" s="8">
        <v>0</v>
      </c>
      <c r="G8" s="8">
        <v>200</v>
      </c>
      <c r="H8" s="8">
        <f>JUNE21!J8:J20</f>
        <v>1370</v>
      </c>
      <c r="I8" s="8">
        <f t="shared" si="0"/>
        <v>10570</v>
      </c>
      <c r="J8" s="8">
        <f>9200</f>
        <v>9200</v>
      </c>
      <c r="K8" s="8">
        <f t="shared" ref="K8:K17" si="1">I8-J8</f>
        <v>1370</v>
      </c>
      <c r="L8" s="8"/>
    </row>
    <row r="9" spans="1:13" x14ac:dyDescent="0.25">
      <c r="A9" s="8">
        <v>5</v>
      </c>
      <c r="B9" s="35" t="s">
        <v>28</v>
      </c>
      <c r="C9" s="28">
        <v>6000</v>
      </c>
      <c r="D9" s="8"/>
      <c r="E9" s="8"/>
      <c r="F9" s="28">
        <v>750</v>
      </c>
      <c r="G9" s="28">
        <v>200</v>
      </c>
      <c r="H9" s="28">
        <f>JUNE21!J9:J21</f>
        <v>1200</v>
      </c>
      <c r="I9" s="28">
        <f t="shared" si="0"/>
        <v>8150</v>
      </c>
      <c r="J9" s="8"/>
      <c r="K9" s="8">
        <f>I9-J9</f>
        <v>8150</v>
      </c>
      <c r="L9" s="8"/>
      <c r="M9" t="s">
        <v>56</v>
      </c>
    </row>
    <row r="10" spans="1:13" x14ac:dyDescent="0.25">
      <c r="A10" s="8">
        <v>6</v>
      </c>
      <c r="B10" s="33" t="s">
        <v>36</v>
      </c>
      <c r="C10" s="8">
        <v>5000</v>
      </c>
      <c r="D10" s="8"/>
      <c r="E10" s="8"/>
      <c r="F10" s="8">
        <v>300</v>
      </c>
      <c r="G10" s="8">
        <v>200</v>
      </c>
      <c r="H10" s="8">
        <f>JUNE21!J10:J22</f>
        <v>0</v>
      </c>
      <c r="I10" s="8">
        <f t="shared" si="0"/>
        <v>5500</v>
      </c>
      <c r="J10" s="8">
        <f>730+4770</f>
        <v>5500</v>
      </c>
      <c r="K10" s="8">
        <f t="shared" si="1"/>
        <v>0</v>
      </c>
      <c r="L10" s="8"/>
    </row>
    <row r="11" spans="1:13" x14ac:dyDescent="0.25">
      <c r="A11" s="8">
        <v>7</v>
      </c>
      <c r="B11" s="31" t="s">
        <v>29</v>
      </c>
      <c r="C11" s="8">
        <v>9000</v>
      </c>
      <c r="D11" s="8"/>
      <c r="E11" s="8"/>
      <c r="F11" s="8">
        <v>750</v>
      </c>
      <c r="G11" s="8">
        <v>200</v>
      </c>
      <c r="H11" s="8">
        <f>JUNE21!J11:J23</f>
        <v>0</v>
      </c>
      <c r="I11" s="8">
        <f t="shared" si="0"/>
        <v>9950</v>
      </c>
      <c r="J11" s="8">
        <f>9950</f>
        <v>9950</v>
      </c>
      <c r="K11" s="8">
        <f t="shared" si="1"/>
        <v>0</v>
      </c>
      <c r="L11" s="8"/>
    </row>
    <row r="12" spans="1:13" x14ac:dyDescent="0.25">
      <c r="A12" s="8">
        <v>8</v>
      </c>
      <c r="B12" s="31" t="s">
        <v>37</v>
      </c>
      <c r="C12" s="8">
        <v>9000</v>
      </c>
      <c r="D12" s="8"/>
      <c r="E12" s="8"/>
      <c r="F12" s="8">
        <v>1050</v>
      </c>
      <c r="G12" s="8">
        <v>200</v>
      </c>
      <c r="H12" s="8">
        <f>JUNE21!J12:J24</f>
        <v>150</v>
      </c>
      <c r="I12" s="8">
        <f t="shared" si="0"/>
        <v>10400</v>
      </c>
      <c r="J12" s="8">
        <f>10250</f>
        <v>10250</v>
      </c>
      <c r="K12" s="8">
        <f t="shared" si="1"/>
        <v>150</v>
      </c>
      <c r="L12" s="8"/>
    </row>
    <row r="13" spans="1:13" x14ac:dyDescent="0.25">
      <c r="A13" s="8">
        <v>9</v>
      </c>
      <c r="B13" s="32" t="s">
        <v>70</v>
      </c>
      <c r="C13" s="8">
        <v>5000</v>
      </c>
      <c r="D13" s="8"/>
      <c r="E13" s="8"/>
      <c r="F13" s="8">
        <v>600</v>
      </c>
      <c r="G13" s="8">
        <v>200</v>
      </c>
      <c r="H13" s="8">
        <f>JUNE21!J13:J25</f>
        <v>0</v>
      </c>
      <c r="I13" s="8">
        <f t="shared" si="0"/>
        <v>5800</v>
      </c>
      <c r="J13" s="8">
        <f>5000</f>
        <v>5000</v>
      </c>
      <c r="K13" s="8">
        <f t="shared" si="1"/>
        <v>800</v>
      </c>
      <c r="L13" s="8"/>
    </row>
    <row r="14" spans="1:13" x14ac:dyDescent="0.25">
      <c r="A14" s="8">
        <v>10</v>
      </c>
      <c r="B14" s="31" t="s">
        <v>38</v>
      </c>
      <c r="C14" s="8">
        <v>5000</v>
      </c>
      <c r="D14" s="8"/>
      <c r="E14" s="8"/>
      <c r="F14" s="8">
        <v>150</v>
      </c>
      <c r="G14" s="8">
        <v>200</v>
      </c>
      <c r="H14" s="8">
        <f>JUNE21!J14:J26</f>
        <v>500</v>
      </c>
      <c r="I14" s="8">
        <f t="shared" si="0"/>
        <v>5850</v>
      </c>
      <c r="J14" s="8">
        <v>5350</v>
      </c>
      <c r="K14" s="8">
        <f t="shared" si="1"/>
        <v>500</v>
      </c>
      <c r="L14" s="8"/>
    </row>
    <row r="15" spans="1:13" x14ac:dyDescent="0.25">
      <c r="A15" s="8">
        <v>11</v>
      </c>
      <c r="B15" s="35" t="s">
        <v>31</v>
      </c>
      <c r="C15" s="28">
        <v>6000</v>
      </c>
      <c r="D15" s="8"/>
      <c r="E15" s="8"/>
      <c r="F15" s="8">
        <v>150</v>
      </c>
      <c r="G15" s="8">
        <v>200</v>
      </c>
      <c r="H15" s="8">
        <f>JUNE21!J15:J27</f>
        <v>2750</v>
      </c>
      <c r="I15" s="28">
        <f>C15+H15+F15+G15+D15+E15</f>
        <v>9100</v>
      </c>
      <c r="J15" s="8"/>
      <c r="K15" s="8">
        <f>I15-J15</f>
        <v>9100</v>
      </c>
      <c r="L15" s="8"/>
      <c r="M15" s="29" t="s">
        <v>79</v>
      </c>
    </row>
    <row r="16" spans="1:13" x14ac:dyDescent="0.25">
      <c r="A16" s="8">
        <v>12</v>
      </c>
      <c r="B16" s="31" t="s">
        <v>30</v>
      </c>
      <c r="C16" s="8">
        <v>5000</v>
      </c>
      <c r="D16" s="8"/>
      <c r="E16" s="8"/>
      <c r="F16" s="8">
        <v>300</v>
      </c>
      <c r="G16" s="8">
        <v>200</v>
      </c>
      <c r="H16" s="8">
        <f>JUNE21!J16:J28</f>
        <v>0</v>
      </c>
      <c r="I16" s="8">
        <f t="shared" si="0"/>
        <v>5500</v>
      </c>
      <c r="J16" s="8">
        <v>5500</v>
      </c>
      <c r="K16" s="8">
        <f t="shared" si="1"/>
        <v>0</v>
      </c>
      <c r="L16" s="8"/>
    </row>
    <row r="17" spans="1:13" x14ac:dyDescent="0.25">
      <c r="A17" s="8"/>
      <c r="B17" s="31"/>
      <c r="C17" s="8"/>
      <c r="D17" s="8"/>
      <c r="E17" s="8"/>
      <c r="F17" s="8"/>
      <c r="G17" s="8"/>
      <c r="H17" s="8">
        <f>JUNE21!J17:J29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8"/>
      <c r="B18" s="34" t="s">
        <v>9</v>
      </c>
      <c r="C18" s="6">
        <f t="shared" ref="C18:L18" si="2">SUM(C5:C17)</f>
        <v>79000</v>
      </c>
      <c r="D18" s="6">
        <f t="shared" si="2"/>
        <v>0</v>
      </c>
      <c r="E18" s="6">
        <f t="shared" si="2"/>
        <v>0</v>
      </c>
      <c r="F18" s="6">
        <f t="shared" si="2"/>
        <v>5700</v>
      </c>
      <c r="G18" s="6">
        <f t="shared" si="2"/>
        <v>2400</v>
      </c>
      <c r="H18" s="8">
        <f>SUM(H5:H17)</f>
        <v>6970</v>
      </c>
      <c r="I18" s="6">
        <f t="shared" si="2"/>
        <v>94070</v>
      </c>
      <c r="J18" s="6">
        <f t="shared" si="2"/>
        <v>74000</v>
      </c>
      <c r="K18" s="6">
        <f t="shared" si="2"/>
        <v>20070</v>
      </c>
      <c r="L18" s="6">
        <f t="shared" si="2"/>
        <v>0</v>
      </c>
      <c r="M18" s="7"/>
    </row>
    <row r="19" spans="1:13" x14ac:dyDescent="0.25">
      <c r="A19" s="8"/>
      <c r="B19" s="31"/>
      <c r="C19" s="8"/>
      <c r="D19" s="8"/>
      <c r="E19" s="8"/>
      <c r="F19" s="8"/>
      <c r="G19" s="8"/>
      <c r="H19" s="8"/>
      <c r="I19" s="8"/>
      <c r="J19" s="8"/>
      <c r="K19" s="8"/>
      <c r="L19" s="8"/>
    </row>
    <row r="21" spans="1:13" ht="18.75" x14ac:dyDescent="0.3"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B23" s="18" t="s">
        <v>72</v>
      </c>
      <c r="C23" s="19">
        <f>C18</f>
        <v>79000</v>
      </c>
      <c r="D23" s="20">
        <v>0.1</v>
      </c>
      <c r="E23" s="19"/>
      <c r="F23" s="21" t="s">
        <v>72</v>
      </c>
      <c r="G23" s="19">
        <f>J18</f>
        <v>74000</v>
      </c>
      <c r="H23" s="20">
        <v>0.1</v>
      </c>
      <c r="I23" s="11"/>
    </row>
    <row r="24" spans="1:13" x14ac:dyDescent="0.25">
      <c r="B24" s="11" t="s">
        <v>17</v>
      </c>
      <c r="C24" s="19">
        <f>JUNE21!D36</f>
        <v>90</v>
      </c>
      <c r="D24" s="11"/>
      <c r="E24" s="11"/>
      <c r="F24" s="11" t="s">
        <v>17</v>
      </c>
      <c r="G24" s="19">
        <f>JUNE21!H36</f>
        <v>-6880</v>
      </c>
      <c r="H24" s="11"/>
      <c r="I24" s="11"/>
    </row>
    <row r="25" spans="1:13" x14ac:dyDescent="0.25">
      <c r="B25" s="11" t="s">
        <v>47</v>
      </c>
      <c r="C25" s="19"/>
      <c r="D25" s="11"/>
      <c r="E25" s="11"/>
      <c r="F25" s="11"/>
      <c r="G25" s="19"/>
      <c r="H25" s="11"/>
      <c r="I25" s="11"/>
    </row>
    <row r="26" spans="1:13" x14ac:dyDescent="0.25">
      <c r="B26" s="11" t="s">
        <v>49</v>
      </c>
      <c r="C26" s="19">
        <f>E18</f>
        <v>0</v>
      </c>
      <c r="D26" s="11"/>
      <c r="E26" s="11"/>
      <c r="F26" s="11"/>
      <c r="G26" s="19"/>
      <c r="H26" s="11"/>
      <c r="I26" s="11"/>
    </row>
    <row r="27" spans="1:13" x14ac:dyDescent="0.25">
      <c r="B27" s="11" t="s">
        <v>32</v>
      </c>
      <c r="C27" s="19">
        <f>F18</f>
        <v>5700</v>
      </c>
      <c r="D27" s="11"/>
      <c r="E27" s="11"/>
      <c r="F27" s="11"/>
      <c r="G27" s="19"/>
      <c r="H27" s="11"/>
      <c r="I27" s="11"/>
    </row>
    <row r="28" spans="1:13" x14ac:dyDescent="0.25">
      <c r="B28" s="11" t="s">
        <v>33</v>
      </c>
      <c r="C28" s="19">
        <f>G18</f>
        <v>2400</v>
      </c>
      <c r="D28" s="11"/>
      <c r="E28" s="11"/>
      <c r="F28" s="11"/>
      <c r="G28" s="19"/>
      <c r="H28" s="11"/>
      <c r="I28" s="11"/>
    </row>
    <row r="29" spans="1:13" x14ac:dyDescent="0.25">
      <c r="B29" s="11" t="s">
        <v>45</v>
      </c>
      <c r="C29" s="19">
        <f>L18</f>
        <v>0</v>
      </c>
      <c r="D29" s="11"/>
      <c r="E29" s="11"/>
      <c r="F29" s="11"/>
      <c r="G29" s="19"/>
      <c r="H29" s="11"/>
      <c r="I29" s="11"/>
    </row>
    <row r="30" spans="1:13" x14ac:dyDescent="0.25">
      <c r="B30" s="11" t="s">
        <v>18</v>
      </c>
      <c r="C30" s="22"/>
      <c r="D30" s="11">
        <f>C23*D23</f>
        <v>7900</v>
      </c>
      <c r="E30" s="11"/>
      <c r="F30" s="11" t="s">
        <v>18</v>
      </c>
      <c r="G30" s="22"/>
      <c r="H30" s="11">
        <f>D30</f>
        <v>7900</v>
      </c>
      <c r="I30" s="11"/>
    </row>
    <row r="31" spans="1:13" x14ac:dyDescent="0.25"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</row>
    <row r="32" spans="1:13" x14ac:dyDescent="0.25"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</row>
    <row r="33" spans="2:13" x14ac:dyDescent="0.25">
      <c r="B33" s="8" t="s">
        <v>65</v>
      </c>
      <c r="C33" s="8"/>
      <c r="D33" s="8">
        <v>5000</v>
      </c>
      <c r="E33" s="8"/>
      <c r="F33" s="8" t="s">
        <v>65</v>
      </c>
      <c r="G33" s="8"/>
      <c r="H33" s="8">
        <v>5000</v>
      </c>
      <c r="I33" s="8"/>
    </row>
    <row r="34" spans="2:13" x14ac:dyDescent="0.25">
      <c r="B34" s="8" t="s">
        <v>73</v>
      </c>
      <c r="C34" s="8"/>
      <c r="D34" s="8">
        <v>7300</v>
      </c>
      <c r="E34" s="8"/>
      <c r="F34" s="8" t="s">
        <v>73</v>
      </c>
      <c r="G34" s="8"/>
      <c r="H34" s="8">
        <v>7300</v>
      </c>
      <c r="I34" s="11"/>
      <c r="L34" s="29">
        <f>D36+D37</f>
        <v>17250</v>
      </c>
      <c r="M34" t="s">
        <v>85</v>
      </c>
    </row>
    <row r="35" spans="2:13" x14ac:dyDescent="0.25">
      <c r="B35" s="8" t="s">
        <v>74</v>
      </c>
      <c r="C35" s="8"/>
      <c r="D35" s="8">
        <v>66990</v>
      </c>
      <c r="E35" s="8"/>
      <c r="F35" s="8" t="s">
        <v>74</v>
      </c>
      <c r="G35" s="8"/>
      <c r="H35" s="8">
        <v>66990</v>
      </c>
      <c r="I35" s="11"/>
    </row>
    <row r="36" spans="2:13" x14ac:dyDescent="0.25">
      <c r="B36" s="8" t="s">
        <v>77</v>
      </c>
      <c r="C36" s="8"/>
      <c r="D36" s="8">
        <f>I15</f>
        <v>9100</v>
      </c>
      <c r="E36" s="8"/>
      <c r="F36" s="8"/>
      <c r="G36" s="8"/>
      <c r="H36" s="8"/>
      <c r="I36" s="11"/>
    </row>
    <row r="37" spans="2:13" x14ac:dyDescent="0.25">
      <c r="B37" s="8" t="s">
        <v>78</v>
      </c>
      <c r="C37" s="8"/>
      <c r="D37" s="8">
        <v>8150</v>
      </c>
      <c r="E37" s="8"/>
      <c r="F37" s="8"/>
      <c r="G37" s="8"/>
      <c r="H37" s="8"/>
      <c r="I37" s="11"/>
      <c r="K37" s="27"/>
    </row>
    <row r="38" spans="2:13" x14ac:dyDescent="0.25">
      <c r="B38" s="25" t="s">
        <v>9</v>
      </c>
      <c r="C38" s="26">
        <f>C23+C24+C29+C26+C25+C27+C28-D30</f>
        <v>79290</v>
      </c>
      <c r="D38" s="25">
        <f>SUM(D32:D37)</f>
        <v>96540</v>
      </c>
      <c r="E38" s="26">
        <f>C38-D38</f>
        <v>-17250</v>
      </c>
      <c r="F38" s="21"/>
      <c r="G38" s="26">
        <f>G23+G24-H30</f>
        <v>59220</v>
      </c>
      <c r="H38" s="26">
        <f>SUM(H32:H37)</f>
        <v>79290</v>
      </c>
      <c r="I38" s="26">
        <f>G38-H38</f>
        <v>-20070</v>
      </c>
    </row>
    <row r="39" spans="2:13" x14ac:dyDescent="0.25">
      <c r="E39" s="27"/>
    </row>
    <row r="40" spans="2:13" x14ac:dyDescent="0.25">
      <c r="E40" s="27"/>
    </row>
    <row r="41" spans="2:13" x14ac:dyDescent="0.25">
      <c r="B41" s="13" t="s">
        <v>21</v>
      </c>
      <c r="D41" s="13" t="s">
        <v>22</v>
      </c>
      <c r="F41" s="13"/>
      <c r="G41" s="13" t="s">
        <v>23</v>
      </c>
    </row>
    <row r="42" spans="2:13" x14ac:dyDescent="0.25">
      <c r="B42" t="s">
        <v>24</v>
      </c>
      <c r="D42" s="13" t="s">
        <v>25</v>
      </c>
      <c r="F42" s="13"/>
      <c r="G42" s="13" t="s">
        <v>59</v>
      </c>
    </row>
    <row r="47" spans="2:13" x14ac:dyDescent="0.25">
      <c r="H47">
        <f>13080-6400</f>
        <v>6680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E36" sqref="E36"/>
    </sheetView>
  </sheetViews>
  <sheetFormatPr defaultRowHeight="15" x14ac:dyDescent="0.25"/>
  <cols>
    <col min="2" max="2" width="20.5703125" customWidth="1"/>
    <col min="5" max="5" width="11.28515625" customWidth="1"/>
  </cols>
  <sheetData>
    <row r="1" spans="1:13" ht="18.75" x14ac:dyDescent="0.25">
      <c r="C1" s="1" t="s">
        <v>26</v>
      </c>
      <c r="D1" s="1"/>
      <c r="E1" s="1"/>
      <c r="F1" s="1"/>
      <c r="G1" s="1"/>
      <c r="H1" s="2"/>
      <c r="I1" s="3"/>
      <c r="J1" s="4"/>
    </row>
    <row r="2" spans="1:13" ht="18.75" x14ac:dyDescent="0.25">
      <c r="C2" s="1" t="s">
        <v>0</v>
      </c>
      <c r="D2" s="1"/>
      <c r="E2" s="1"/>
      <c r="F2" s="1"/>
      <c r="G2" s="1"/>
      <c r="H2" s="1"/>
      <c r="I2" s="5"/>
      <c r="J2" s="5"/>
    </row>
    <row r="3" spans="1:13" ht="18.75" x14ac:dyDescent="0.25">
      <c r="C3" s="1" t="s">
        <v>75</v>
      </c>
      <c r="D3" s="1"/>
      <c r="E3" s="1"/>
      <c r="F3" s="1"/>
      <c r="G3" s="1"/>
      <c r="H3" s="1"/>
      <c r="I3" s="5"/>
      <c r="J3" s="5"/>
    </row>
    <row r="4" spans="1:13" x14ac:dyDescent="0.25">
      <c r="A4" s="8"/>
      <c r="B4" s="30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45</v>
      </c>
      <c r="M4" s="7"/>
    </row>
    <row r="5" spans="1:13" x14ac:dyDescent="0.25">
      <c r="A5" s="8">
        <v>1</v>
      </c>
      <c r="B5" s="31" t="s">
        <v>27</v>
      </c>
      <c r="C5" s="8">
        <v>9000</v>
      </c>
      <c r="D5" s="8"/>
      <c r="E5" s="8"/>
      <c r="F5" s="8">
        <v>450</v>
      </c>
      <c r="G5" s="8">
        <v>200</v>
      </c>
      <c r="H5" s="8">
        <f>'JULY 21'!K5:K18</f>
        <v>0</v>
      </c>
      <c r="I5" s="8">
        <f>C5+H5+F5+G5+D5+E5</f>
        <v>9650</v>
      </c>
      <c r="J5" s="8">
        <f>3500+2000+2450+1000+700</f>
        <v>9650</v>
      </c>
      <c r="K5" s="8">
        <f>I5-J5</f>
        <v>0</v>
      </c>
      <c r="L5" s="8"/>
    </row>
    <row r="6" spans="1:13" x14ac:dyDescent="0.25">
      <c r="A6" s="8">
        <v>2</v>
      </c>
      <c r="B6" s="16" t="s">
        <v>82</v>
      </c>
      <c r="C6" s="8">
        <v>6000</v>
      </c>
      <c r="D6" s="8"/>
      <c r="E6" s="8"/>
      <c r="F6" s="8">
        <v>600</v>
      </c>
      <c r="G6" s="8">
        <v>200</v>
      </c>
      <c r="H6" s="8">
        <f>'JULY 21'!K6:K19</f>
        <v>0</v>
      </c>
      <c r="I6" s="8">
        <f t="shared" ref="I6:I16" si="0">C6+H6+F6+G6+D6+E6</f>
        <v>6800</v>
      </c>
      <c r="J6" s="8">
        <f>6400</f>
        <v>6400</v>
      </c>
      <c r="K6" s="8">
        <f>I6-J6</f>
        <v>400</v>
      </c>
      <c r="L6" s="8"/>
    </row>
    <row r="7" spans="1:13" x14ac:dyDescent="0.25">
      <c r="A7" s="8">
        <v>3</v>
      </c>
      <c r="B7" s="32" t="s">
        <v>46</v>
      </c>
      <c r="C7" s="8">
        <v>5000</v>
      </c>
      <c r="D7" s="8"/>
      <c r="E7" s="8"/>
      <c r="F7" s="8">
        <v>450</v>
      </c>
      <c r="G7" s="8">
        <v>200</v>
      </c>
      <c r="H7" s="8">
        <f>'JULY 21'!K7:K20</f>
        <v>0</v>
      </c>
      <c r="I7" s="8">
        <f t="shared" si="0"/>
        <v>5650</v>
      </c>
      <c r="J7" s="8">
        <v>5650</v>
      </c>
      <c r="K7" s="8">
        <f>I7-J7</f>
        <v>0</v>
      </c>
      <c r="L7" s="8"/>
    </row>
    <row r="8" spans="1:13" x14ac:dyDescent="0.25">
      <c r="A8" s="8">
        <v>4</v>
      </c>
      <c r="B8" s="31" t="s">
        <v>35</v>
      </c>
      <c r="C8" s="8">
        <v>9000</v>
      </c>
      <c r="D8" s="8"/>
      <c r="E8" s="8"/>
      <c r="F8" s="8">
        <v>600</v>
      </c>
      <c r="G8" s="8">
        <v>200</v>
      </c>
      <c r="H8" s="8">
        <f>'JULY 21'!K8:K21</f>
        <v>1370</v>
      </c>
      <c r="I8" s="8">
        <f t="shared" si="0"/>
        <v>11170</v>
      </c>
      <c r="J8" s="8">
        <f>9800</f>
        <v>9800</v>
      </c>
      <c r="K8" s="8">
        <f>I8-J8</f>
        <v>1370</v>
      </c>
      <c r="L8" s="8"/>
    </row>
    <row r="9" spans="1:13" x14ac:dyDescent="0.25">
      <c r="A9" s="8">
        <v>5</v>
      </c>
      <c r="B9" s="31" t="s">
        <v>81</v>
      </c>
      <c r="C9" s="8">
        <v>6000</v>
      </c>
      <c r="D9" s="8">
        <v>6000</v>
      </c>
      <c r="E9" s="8">
        <v>1000</v>
      </c>
      <c r="F9" s="8"/>
      <c r="G9" s="8">
        <v>200</v>
      </c>
      <c r="H9" s="8"/>
      <c r="I9" s="8">
        <f t="shared" si="0"/>
        <v>13200</v>
      </c>
      <c r="J9" s="8">
        <f>12000</f>
        <v>12000</v>
      </c>
      <c r="K9" s="8">
        <f>I9-J9</f>
        <v>1200</v>
      </c>
      <c r="L9" s="8"/>
    </row>
    <row r="10" spans="1:13" x14ac:dyDescent="0.25">
      <c r="A10" s="8">
        <v>6</v>
      </c>
      <c r="B10" s="33" t="s">
        <v>36</v>
      </c>
      <c r="C10" s="8">
        <v>5000</v>
      </c>
      <c r="D10" s="8"/>
      <c r="E10" s="8"/>
      <c r="F10" s="8">
        <v>300</v>
      </c>
      <c r="G10" s="8">
        <v>200</v>
      </c>
      <c r="H10" s="8">
        <f>'JULY 21'!K10:K23</f>
        <v>0</v>
      </c>
      <c r="I10" s="8">
        <f t="shared" si="0"/>
        <v>5500</v>
      </c>
      <c r="J10" s="8">
        <v>5500</v>
      </c>
      <c r="K10" s="8">
        <f t="shared" ref="K10:K17" si="1">I10-J10</f>
        <v>0</v>
      </c>
      <c r="L10" s="8"/>
    </row>
    <row r="11" spans="1:13" x14ac:dyDescent="0.25">
      <c r="A11" s="8">
        <v>7</v>
      </c>
      <c r="B11" s="31" t="s">
        <v>29</v>
      </c>
      <c r="C11" s="8">
        <v>9000</v>
      </c>
      <c r="D11" s="8"/>
      <c r="E11" s="8"/>
      <c r="F11" s="8">
        <v>450</v>
      </c>
      <c r="G11" s="8">
        <v>200</v>
      </c>
      <c r="H11" s="8">
        <f>'JULY 21'!K11:K24</f>
        <v>0</v>
      </c>
      <c r="I11" s="8">
        <f t="shared" si="0"/>
        <v>9650</v>
      </c>
      <c r="J11" s="8">
        <v>9650</v>
      </c>
      <c r="K11" s="8">
        <f t="shared" si="1"/>
        <v>0</v>
      </c>
      <c r="L11" s="8"/>
    </row>
    <row r="12" spans="1:13" x14ac:dyDescent="0.25">
      <c r="A12" s="8">
        <v>8</v>
      </c>
      <c r="B12" s="31" t="s">
        <v>37</v>
      </c>
      <c r="C12" s="8">
        <v>9000</v>
      </c>
      <c r="D12" s="8"/>
      <c r="E12" s="8"/>
      <c r="F12" s="8">
        <v>1200</v>
      </c>
      <c r="G12" s="8">
        <v>200</v>
      </c>
      <c r="H12" s="8">
        <f>'JULY 21'!K12:K25</f>
        <v>150</v>
      </c>
      <c r="I12" s="8">
        <f t="shared" si="0"/>
        <v>10550</v>
      </c>
      <c r="J12" s="8">
        <f>1250+9000</f>
        <v>10250</v>
      </c>
      <c r="K12" s="8">
        <f t="shared" si="1"/>
        <v>300</v>
      </c>
      <c r="L12" s="8"/>
    </row>
    <row r="13" spans="1:13" x14ac:dyDescent="0.25">
      <c r="A13" s="8">
        <v>9</v>
      </c>
      <c r="B13" s="32" t="s">
        <v>70</v>
      </c>
      <c r="C13" s="8">
        <v>5000</v>
      </c>
      <c r="D13" s="8"/>
      <c r="E13" s="8"/>
      <c r="F13" s="8">
        <v>600</v>
      </c>
      <c r="G13" s="8">
        <v>200</v>
      </c>
      <c r="H13" s="8">
        <f>'JULY 21'!K13:K26</f>
        <v>800</v>
      </c>
      <c r="I13" s="8">
        <f t="shared" si="0"/>
        <v>6600</v>
      </c>
      <c r="J13" s="8">
        <v>5600</v>
      </c>
      <c r="K13" s="8">
        <f t="shared" si="1"/>
        <v>1000</v>
      </c>
      <c r="L13" s="8"/>
    </row>
    <row r="14" spans="1:13" x14ac:dyDescent="0.25">
      <c r="A14" s="8">
        <v>10</v>
      </c>
      <c r="B14" s="31" t="s">
        <v>38</v>
      </c>
      <c r="C14" s="8">
        <v>5000</v>
      </c>
      <c r="D14" s="8"/>
      <c r="E14" s="8"/>
      <c r="F14" s="8">
        <v>150</v>
      </c>
      <c r="G14" s="8">
        <v>200</v>
      </c>
      <c r="H14" s="8">
        <f>'JULY 21'!K14:K27</f>
        <v>500</v>
      </c>
      <c r="I14" s="8">
        <f t="shared" si="0"/>
        <v>5850</v>
      </c>
      <c r="J14" s="8">
        <f>5350</f>
        <v>5350</v>
      </c>
      <c r="K14" s="8">
        <f t="shared" si="1"/>
        <v>500</v>
      </c>
      <c r="L14" s="8"/>
    </row>
    <row r="15" spans="1:13" x14ac:dyDescent="0.25">
      <c r="A15" s="8">
        <v>11</v>
      </c>
      <c r="B15" s="31" t="s">
        <v>80</v>
      </c>
      <c r="C15" s="8">
        <v>6000</v>
      </c>
      <c r="D15" s="8">
        <v>6000</v>
      </c>
      <c r="E15" s="8">
        <v>1000</v>
      </c>
      <c r="F15" s="8"/>
      <c r="G15" s="8">
        <v>200</v>
      </c>
      <c r="H15" s="8"/>
      <c r="I15" s="8">
        <f t="shared" si="0"/>
        <v>13200</v>
      </c>
      <c r="J15" s="8">
        <f>7000+3000</f>
        <v>10000</v>
      </c>
      <c r="K15" s="8">
        <f>I15-J15</f>
        <v>3200</v>
      </c>
      <c r="L15" s="8"/>
    </row>
    <row r="16" spans="1:13" x14ac:dyDescent="0.25">
      <c r="A16" s="8">
        <v>12</v>
      </c>
      <c r="B16" s="31" t="s">
        <v>30</v>
      </c>
      <c r="C16" s="8">
        <v>5000</v>
      </c>
      <c r="D16" s="8"/>
      <c r="E16" s="8"/>
      <c r="F16" s="8">
        <v>150</v>
      </c>
      <c r="G16" s="8">
        <v>200</v>
      </c>
      <c r="H16" s="8">
        <f>'JULY 21'!K16:K29</f>
        <v>0</v>
      </c>
      <c r="I16" s="8">
        <f t="shared" si="0"/>
        <v>5350</v>
      </c>
      <c r="J16" s="8">
        <v>5350</v>
      </c>
      <c r="K16" s="8">
        <f t="shared" si="1"/>
        <v>0</v>
      </c>
      <c r="L16" s="8"/>
    </row>
    <row r="17" spans="1:13" x14ac:dyDescent="0.25">
      <c r="A17" s="8"/>
      <c r="B17" s="31"/>
      <c r="C17" s="8"/>
      <c r="D17" s="8"/>
      <c r="E17" s="8"/>
      <c r="F17" s="8"/>
      <c r="G17" s="8"/>
      <c r="H17" s="8">
        <f>'JULY 21'!K17:K30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8"/>
      <c r="B18" s="34" t="s">
        <v>9</v>
      </c>
      <c r="C18" s="6">
        <f t="shared" ref="C18:L18" si="2">SUM(C5:C17)</f>
        <v>79000</v>
      </c>
      <c r="D18" s="6">
        <f t="shared" si="2"/>
        <v>12000</v>
      </c>
      <c r="E18" s="6">
        <f t="shared" si="2"/>
        <v>2000</v>
      </c>
      <c r="F18" s="6">
        <f t="shared" si="2"/>
        <v>4950</v>
      </c>
      <c r="G18" s="6">
        <f t="shared" si="2"/>
        <v>2400</v>
      </c>
      <c r="H18" s="8">
        <f>SUM(H5:H17)</f>
        <v>2820</v>
      </c>
      <c r="I18" s="6">
        <f t="shared" si="2"/>
        <v>103170</v>
      </c>
      <c r="J18" s="6">
        <f t="shared" si="2"/>
        <v>95200</v>
      </c>
      <c r="K18" s="6">
        <f t="shared" si="2"/>
        <v>7970</v>
      </c>
      <c r="L18" s="6">
        <f t="shared" si="2"/>
        <v>0</v>
      </c>
      <c r="M18" s="7"/>
    </row>
    <row r="19" spans="1:13" x14ac:dyDescent="0.25">
      <c r="A19" s="8"/>
      <c r="B19" s="31"/>
      <c r="C19" s="8"/>
      <c r="D19" s="8"/>
      <c r="E19" s="8"/>
      <c r="F19" s="8"/>
      <c r="G19" s="8"/>
      <c r="H19" s="8"/>
      <c r="I19" s="8"/>
      <c r="J19" s="8"/>
      <c r="K19" s="8"/>
      <c r="L19" s="8"/>
    </row>
    <row r="21" spans="1:13" ht="18.75" x14ac:dyDescent="0.3"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B23" s="18" t="s">
        <v>76</v>
      </c>
      <c r="C23" s="19">
        <f>C18</f>
        <v>79000</v>
      </c>
      <c r="D23" s="20">
        <v>0.1</v>
      </c>
      <c r="E23" s="19"/>
      <c r="F23" s="21" t="s">
        <v>76</v>
      </c>
      <c r="G23" s="19">
        <f>J18</f>
        <v>95200</v>
      </c>
      <c r="H23" s="20">
        <v>0.1</v>
      </c>
      <c r="I23" s="11"/>
    </row>
    <row r="24" spans="1:13" x14ac:dyDescent="0.25">
      <c r="B24" s="11" t="s">
        <v>17</v>
      </c>
      <c r="C24" s="19">
        <f>'JULY 21'!E38</f>
        <v>-17250</v>
      </c>
      <c r="D24" s="11"/>
      <c r="E24" s="11"/>
      <c r="F24" s="11" t="s">
        <v>17</v>
      </c>
      <c r="G24" s="19">
        <f>'JULY 21'!I38</f>
        <v>-20070</v>
      </c>
      <c r="H24" s="11"/>
      <c r="I24" s="11"/>
    </row>
    <row r="25" spans="1:13" x14ac:dyDescent="0.25">
      <c r="B25" s="11" t="s">
        <v>47</v>
      </c>
      <c r="C25" s="19">
        <f>D18</f>
        <v>12000</v>
      </c>
      <c r="D25" s="11"/>
      <c r="E25" s="11"/>
      <c r="F25" s="11"/>
      <c r="G25" s="19"/>
      <c r="H25" s="11"/>
      <c r="I25" s="11"/>
      <c r="L25">
        <f>C18</f>
        <v>79000</v>
      </c>
    </row>
    <row r="26" spans="1:13" x14ac:dyDescent="0.25">
      <c r="B26" s="11" t="s">
        <v>49</v>
      </c>
      <c r="C26" s="19">
        <f>E18</f>
        <v>2000</v>
      </c>
      <c r="D26" s="11"/>
      <c r="E26" s="11"/>
      <c r="F26" s="11"/>
      <c r="G26" s="19"/>
      <c r="H26" s="11"/>
      <c r="I26" s="11"/>
      <c r="L26">
        <f>D30</f>
        <v>7900</v>
      </c>
    </row>
    <row r="27" spans="1:13" x14ac:dyDescent="0.25">
      <c r="B27" s="11" t="s">
        <v>32</v>
      </c>
      <c r="C27" s="19">
        <f>F18</f>
        <v>4950</v>
      </c>
      <c r="D27" s="11"/>
      <c r="E27" s="11"/>
      <c r="F27" s="11"/>
      <c r="G27" s="19"/>
      <c r="H27" s="11"/>
      <c r="I27" s="11"/>
      <c r="L27">
        <f>L25-L26</f>
        <v>71100</v>
      </c>
    </row>
    <row r="28" spans="1:13" x14ac:dyDescent="0.25">
      <c r="B28" s="11" t="s">
        <v>33</v>
      </c>
      <c r="C28" s="19">
        <f>G18</f>
        <v>2400</v>
      </c>
      <c r="D28" s="11"/>
      <c r="E28" s="11"/>
      <c r="F28" s="11"/>
      <c r="G28" s="19"/>
      <c r="H28" s="11"/>
      <c r="I28" s="11"/>
      <c r="K28" t="s">
        <v>84</v>
      </c>
      <c r="L28">
        <f>11000</f>
        <v>11000</v>
      </c>
    </row>
    <row r="29" spans="1:13" x14ac:dyDescent="0.25">
      <c r="B29" s="11" t="s">
        <v>45</v>
      </c>
      <c r="C29" s="19">
        <f>L18</f>
        <v>0</v>
      </c>
      <c r="D29" s="11"/>
      <c r="E29" s="11"/>
      <c r="F29" s="11"/>
      <c r="G29" s="19"/>
      <c r="H29" s="11"/>
      <c r="I29" s="11"/>
      <c r="L29">
        <f>F18</f>
        <v>4950</v>
      </c>
    </row>
    <row r="30" spans="1:13" x14ac:dyDescent="0.25">
      <c r="B30" s="11" t="s">
        <v>18</v>
      </c>
      <c r="C30" s="22"/>
      <c r="D30" s="11">
        <f>C23*D23</f>
        <v>7900</v>
      </c>
      <c r="E30" s="11"/>
      <c r="F30" s="11" t="s">
        <v>18</v>
      </c>
      <c r="G30" s="22"/>
      <c r="H30" s="11">
        <f>D30</f>
        <v>7900</v>
      </c>
      <c r="I30" s="11"/>
      <c r="L30">
        <f>G18</f>
        <v>2400</v>
      </c>
    </row>
    <row r="31" spans="1:13" x14ac:dyDescent="0.25"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  <c r="L31">
        <f>L27+L28+L29+L30</f>
        <v>89450</v>
      </c>
    </row>
    <row r="32" spans="1:13" x14ac:dyDescent="0.25"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  <c r="K32" t="s">
        <v>65</v>
      </c>
      <c r="L32">
        <f>D33</f>
        <v>5000</v>
      </c>
    </row>
    <row r="33" spans="2:12" x14ac:dyDescent="0.25">
      <c r="B33" s="8" t="s">
        <v>65</v>
      </c>
      <c r="C33" s="8"/>
      <c r="D33" s="8">
        <v>5000</v>
      </c>
      <c r="E33" s="8"/>
      <c r="F33" s="8" t="s">
        <v>65</v>
      </c>
      <c r="G33" s="8"/>
      <c r="H33" s="8">
        <v>5000</v>
      </c>
      <c r="I33" s="8"/>
      <c r="K33" t="s">
        <v>83</v>
      </c>
      <c r="L33">
        <f>D34</f>
        <v>3700</v>
      </c>
    </row>
    <row r="34" spans="2:12" x14ac:dyDescent="0.25">
      <c r="B34" s="8" t="s">
        <v>73</v>
      </c>
      <c r="C34" s="13"/>
      <c r="D34" s="8">
        <v>3700</v>
      </c>
      <c r="E34" s="8"/>
      <c r="F34" s="8" t="s">
        <v>73</v>
      </c>
      <c r="G34" s="13"/>
      <c r="H34" s="8">
        <v>3700</v>
      </c>
      <c r="I34" s="11"/>
      <c r="L34">
        <f>L31-L32-L33</f>
        <v>80750</v>
      </c>
    </row>
    <row r="35" spans="2:12" x14ac:dyDescent="0.25">
      <c r="B35" s="8" t="s">
        <v>86</v>
      </c>
      <c r="C35" s="13"/>
      <c r="D35" s="8">
        <v>80750</v>
      </c>
      <c r="E35" s="8"/>
      <c r="F35" s="8" t="s">
        <v>86</v>
      </c>
      <c r="G35" s="13"/>
      <c r="H35" s="8">
        <v>80750</v>
      </c>
      <c r="I35" s="11"/>
      <c r="K35" s="27"/>
    </row>
    <row r="36" spans="2:12" x14ac:dyDescent="0.25">
      <c r="B36" s="25" t="s">
        <v>9</v>
      </c>
      <c r="C36" s="26">
        <f>C23+C24+C29+C26+C25+C27+C28-D30</f>
        <v>75200</v>
      </c>
      <c r="D36" s="25">
        <f>SUM(D32:D35)</f>
        <v>89450</v>
      </c>
      <c r="E36" s="26">
        <f>C36-D36</f>
        <v>-14250</v>
      </c>
      <c r="F36" s="21"/>
      <c r="G36" s="26">
        <f>G23+G24-H30</f>
        <v>67230</v>
      </c>
      <c r="H36" s="26">
        <f>SUM(H32:H35)</f>
        <v>89450</v>
      </c>
      <c r="I36" s="26">
        <f>G36-H36</f>
        <v>-22220</v>
      </c>
    </row>
    <row r="37" spans="2:12" x14ac:dyDescent="0.25">
      <c r="E37" s="27"/>
    </row>
    <row r="38" spans="2:12" x14ac:dyDescent="0.25">
      <c r="E38" s="27"/>
    </row>
    <row r="39" spans="2:12" x14ac:dyDescent="0.25">
      <c r="B39" s="13" t="s">
        <v>21</v>
      </c>
      <c r="D39" s="13" t="s">
        <v>22</v>
      </c>
      <c r="F39" s="13"/>
      <c r="G39" s="13" t="s">
        <v>23</v>
      </c>
    </row>
    <row r="40" spans="2:12" x14ac:dyDescent="0.25">
      <c r="B40" t="s">
        <v>24</v>
      </c>
      <c r="D40" s="13" t="s">
        <v>25</v>
      </c>
      <c r="F40" s="13"/>
      <c r="G40" s="13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N5" sqref="N5"/>
    </sheetView>
  </sheetViews>
  <sheetFormatPr defaultRowHeight="15" x14ac:dyDescent="0.25"/>
  <cols>
    <col min="1" max="1" width="5.5703125" customWidth="1"/>
    <col min="2" max="2" width="21.28515625" customWidth="1"/>
    <col min="5" max="5" width="12" customWidth="1"/>
  </cols>
  <sheetData>
    <row r="1" spans="1:17" ht="18.75" x14ac:dyDescent="0.25">
      <c r="C1" s="57" t="s">
        <v>26</v>
      </c>
      <c r="D1" s="57"/>
      <c r="E1" s="1"/>
      <c r="F1" s="1"/>
      <c r="G1" s="1"/>
      <c r="H1" s="2"/>
      <c r="I1" s="3"/>
      <c r="J1" s="4"/>
    </row>
    <row r="2" spans="1:17" ht="18.75" x14ac:dyDescent="0.25">
      <c r="C2" s="57" t="s">
        <v>0</v>
      </c>
      <c r="D2" s="57"/>
      <c r="E2" s="57"/>
      <c r="F2" s="1"/>
      <c r="G2" s="1"/>
      <c r="H2" s="1"/>
      <c r="I2" s="5"/>
      <c r="J2" s="5"/>
    </row>
    <row r="3" spans="1:17" ht="18.75" x14ac:dyDescent="0.25">
      <c r="C3" s="58" t="s">
        <v>87</v>
      </c>
      <c r="D3" s="58"/>
      <c r="E3" s="58"/>
      <c r="F3" s="58"/>
      <c r="G3" s="58"/>
      <c r="H3" s="1"/>
      <c r="I3" s="5"/>
      <c r="J3" s="5"/>
    </row>
    <row r="4" spans="1:17" x14ac:dyDescent="0.25">
      <c r="A4" s="8"/>
      <c r="B4" s="30" t="s">
        <v>3</v>
      </c>
      <c r="C4" s="6" t="s">
        <v>4</v>
      </c>
      <c r="D4" s="6" t="s">
        <v>47</v>
      </c>
      <c r="E4" s="6" t="s">
        <v>48</v>
      </c>
      <c r="F4" s="6" t="s">
        <v>32</v>
      </c>
      <c r="G4" s="6" t="s">
        <v>33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45</v>
      </c>
      <c r="M4" s="7"/>
    </row>
    <row r="5" spans="1:17" x14ac:dyDescent="0.25">
      <c r="A5" s="8">
        <v>1</v>
      </c>
      <c r="B5" s="31" t="s">
        <v>27</v>
      </c>
      <c r="C5" s="8">
        <v>9000</v>
      </c>
      <c r="D5" s="8"/>
      <c r="E5" s="8"/>
      <c r="F5" s="8">
        <v>450</v>
      </c>
      <c r="G5" s="8">
        <v>200</v>
      </c>
      <c r="H5" s="8">
        <f>'AUGUST 21'!K5:K17</f>
        <v>0</v>
      </c>
      <c r="I5" s="8">
        <f>C5+H5+F5+G5+D5+E5</f>
        <v>9650</v>
      </c>
      <c r="J5" s="8">
        <f>2450+3000+2000+2000</f>
        <v>9450</v>
      </c>
      <c r="K5" s="8">
        <f>I5-J5</f>
        <v>200</v>
      </c>
      <c r="L5" s="8"/>
    </row>
    <row r="6" spans="1:17" x14ac:dyDescent="0.25">
      <c r="A6" s="8">
        <v>2</v>
      </c>
      <c r="B6" s="31" t="s">
        <v>81</v>
      </c>
      <c r="C6">
        <v>6000</v>
      </c>
      <c r="D6" s="8"/>
      <c r="E6" s="8"/>
      <c r="F6" s="8">
        <v>300</v>
      </c>
      <c r="G6" s="8">
        <v>200</v>
      </c>
      <c r="H6" s="8">
        <v>1200</v>
      </c>
      <c r="I6" s="8">
        <f t="shared" ref="I6:I16" si="0">C6+H6+F6+G6+D6+E6</f>
        <v>7700</v>
      </c>
      <c r="J6" s="8">
        <v>7000</v>
      </c>
      <c r="K6" s="8">
        <f>I6-J6</f>
        <v>700</v>
      </c>
      <c r="L6" s="8"/>
    </row>
    <row r="7" spans="1:17" x14ac:dyDescent="0.25">
      <c r="A7" s="8">
        <v>3</v>
      </c>
      <c r="B7" s="32" t="s">
        <v>46</v>
      </c>
      <c r="C7" s="8">
        <v>5000</v>
      </c>
      <c r="D7" s="8"/>
      <c r="E7" s="8"/>
      <c r="F7" s="8">
        <v>300</v>
      </c>
      <c r="G7" s="8">
        <v>200</v>
      </c>
      <c r="H7" s="8">
        <f>'AUGUST 21'!K7:K19</f>
        <v>0</v>
      </c>
      <c r="I7" s="8">
        <f t="shared" si="0"/>
        <v>5500</v>
      </c>
      <c r="J7" s="8">
        <f>300+5200</f>
        <v>5500</v>
      </c>
      <c r="K7" s="8">
        <f>I7-J7</f>
        <v>0</v>
      </c>
      <c r="L7" s="8"/>
    </row>
    <row r="8" spans="1:17" x14ac:dyDescent="0.25">
      <c r="A8" s="8">
        <v>4</v>
      </c>
      <c r="B8" s="31" t="s">
        <v>35</v>
      </c>
      <c r="C8" s="8">
        <v>9000</v>
      </c>
      <c r="D8" s="8"/>
      <c r="E8" s="8"/>
      <c r="F8" s="8">
        <v>450</v>
      </c>
      <c r="G8" s="8">
        <v>200</v>
      </c>
      <c r="H8" s="8">
        <f>'AUGUST 21'!K8:K20</f>
        <v>1370</v>
      </c>
      <c r="I8" s="8">
        <f t="shared" si="0"/>
        <v>11020</v>
      </c>
      <c r="J8" s="8">
        <f>9800</f>
        <v>9800</v>
      </c>
      <c r="K8" s="8">
        <f>I8-J8</f>
        <v>1220</v>
      </c>
      <c r="L8" s="8"/>
    </row>
    <row r="9" spans="1:17" x14ac:dyDescent="0.25">
      <c r="A9" s="8">
        <v>5</v>
      </c>
      <c r="B9" s="31" t="s">
        <v>82</v>
      </c>
      <c r="C9" s="8">
        <v>6000</v>
      </c>
      <c r="D9" s="8"/>
      <c r="E9" s="8"/>
      <c r="F9" s="8">
        <v>600</v>
      </c>
      <c r="G9" s="8">
        <v>200</v>
      </c>
      <c r="H9" s="8">
        <v>400</v>
      </c>
      <c r="I9" s="8">
        <f t="shared" si="0"/>
        <v>7200</v>
      </c>
      <c r="J9" s="8">
        <f>6800+400</f>
        <v>7200</v>
      </c>
      <c r="K9" s="8">
        <f>I9-J9</f>
        <v>0</v>
      </c>
      <c r="L9" s="8"/>
    </row>
    <row r="10" spans="1:17" x14ac:dyDescent="0.25">
      <c r="A10" s="8">
        <v>6</v>
      </c>
      <c r="B10" s="33" t="s">
        <v>36</v>
      </c>
      <c r="C10" s="8">
        <v>5000</v>
      </c>
      <c r="D10" s="8"/>
      <c r="E10" s="8"/>
      <c r="F10" s="8">
        <v>150</v>
      </c>
      <c r="G10" s="8">
        <v>200</v>
      </c>
      <c r="H10" s="8">
        <f>'AUGUST 21'!K10:K22</f>
        <v>0</v>
      </c>
      <c r="I10" s="8">
        <f t="shared" si="0"/>
        <v>5350</v>
      </c>
      <c r="J10" s="8">
        <f>5350</f>
        <v>5350</v>
      </c>
      <c r="K10" s="8">
        <f t="shared" ref="K10:K17" si="1">I10-J10</f>
        <v>0</v>
      </c>
      <c r="L10" s="8"/>
    </row>
    <row r="11" spans="1:17" x14ac:dyDescent="0.25">
      <c r="A11" s="8">
        <v>7</v>
      </c>
      <c r="B11" s="31" t="s">
        <v>29</v>
      </c>
      <c r="C11" s="8">
        <v>9000</v>
      </c>
      <c r="D11" s="8"/>
      <c r="E11" s="8"/>
      <c r="F11" s="8">
        <v>450</v>
      </c>
      <c r="G11" s="8">
        <v>200</v>
      </c>
      <c r="H11" s="8">
        <f>'AUGUST 21'!K11:K23</f>
        <v>0</v>
      </c>
      <c r="I11" s="8">
        <f t="shared" si="0"/>
        <v>9650</v>
      </c>
      <c r="J11" s="8">
        <f>9650</f>
        <v>9650</v>
      </c>
      <c r="K11" s="8">
        <f t="shared" si="1"/>
        <v>0</v>
      </c>
      <c r="L11" s="8"/>
    </row>
    <row r="12" spans="1:17" x14ac:dyDescent="0.25">
      <c r="A12" s="8">
        <v>8</v>
      </c>
      <c r="B12" s="31" t="s">
        <v>37</v>
      </c>
      <c r="C12" s="8">
        <v>9000</v>
      </c>
      <c r="D12" s="8"/>
      <c r="E12" s="8"/>
      <c r="F12" s="8">
        <v>900</v>
      </c>
      <c r="G12" s="8">
        <v>200</v>
      </c>
      <c r="H12" s="8">
        <f>'AUGUST 21'!K12:K24</f>
        <v>300</v>
      </c>
      <c r="I12" s="8">
        <f t="shared" si="0"/>
        <v>10400</v>
      </c>
      <c r="J12" s="8">
        <v>10100</v>
      </c>
      <c r="K12" s="8">
        <f t="shared" si="1"/>
        <v>300</v>
      </c>
      <c r="L12" s="8"/>
    </row>
    <row r="13" spans="1:17" x14ac:dyDescent="0.25">
      <c r="A13" s="8">
        <v>9</v>
      </c>
      <c r="B13" s="32" t="s">
        <v>70</v>
      </c>
      <c r="C13" s="8">
        <v>5000</v>
      </c>
      <c r="D13" s="8"/>
      <c r="E13" s="8"/>
      <c r="F13" s="8">
        <f>600+500</f>
        <v>1100</v>
      </c>
      <c r="G13" s="8">
        <v>200</v>
      </c>
      <c r="H13" s="8">
        <f>'AUGUST 21'!K13:K25</f>
        <v>1000</v>
      </c>
      <c r="I13" s="8">
        <f t="shared" si="0"/>
        <v>7300</v>
      </c>
      <c r="J13" s="8">
        <f>5200</f>
        <v>5200</v>
      </c>
      <c r="K13" s="8">
        <f t="shared" si="1"/>
        <v>2100</v>
      </c>
      <c r="L13" s="8"/>
    </row>
    <row r="14" spans="1:17" x14ac:dyDescent="0.25">
      <c r="A14" s="8">
        <v>10</v>
      </c>
      <c r="B14" s="31" t="s">
        <v>38</v>
      </c>
      <c r="C14" s="8">
        <v>5000</v>
      </c>
      <c r="D14" s="8"/>
      <c r="E14" s="8"/>
      <c r="F14" s="8">
        <v>300</v>
      </c>
      <c r="G14" s="8">
        <v>200</v>
      </c>
      <c r="H14" s="8">
        <f>'AUGUST 21'!K14:K26</f>
        <v>500</v>
      </c>
      <c r="I14" s="8">
        <f t="shared" si="0"/>
        <v>6000</v>
      </c>
      <c r="J14" s="8">
        <f>5500</f>
        <v>5500</v>
      </c>
      <c r="K14" s="8">
        <f t="shared" si="1"/>
        <v>500</v>
      </c>
      <c r="L14" s="8"/>
    </row>
    <row r="15" spans="1:17" ht="14.25" customHeight="1" x14ac:dyDescent="0.25">
      <c r="A15" s="8">
        <v>11</v>
      </c>
      <c r="B15" s="31" t="s">
        <v>91</v>
      </c>
      <c r="C15" s="9">
        <v>6000</v>
      </c>
      <c r="D15" s="8"/>
      <c r="E15" s="8"/>
      <c r="F15" s="8">
        <v>900</v>
      </c>
      <c r="G15" s="8">
        <v>200</v>
      </c>
      <c r="H15" s="8">
        <v>3200</v>
      </c>
      <c r="I15" s="8">
        <f t="shared" si="0"/>
        <v>10300</v>
      </c>
      <c r="J15" s="8">
        <f>500+500+500+500+500+500+500+500</f>
        <v>4000</v>
      </c>
      <c r="K15" s="8">
        <f>I15-J15</f>
        <v>6300</v>
      </c>
      <c r="L15" s="8"/>
    </row>
    <row r="16" spans="1:17" x14ac:dyDescent="0.25">
      <c r="A16" s="8">
        <v>12</v>
      </c>
      <c r="B16" s="31" t="s">
        <v>30</v>
      </c>
      <c r="C16" s="8">
        <v>5000</v>
      </c>
      <c r="D16" s="8"/>
      <c r="E16" s="8"/>
      <c r="F16" s="8">
        <v>300</v>
      </c>
      <c r="G16" s="8">
        <v>200</v>
      </c>
      <c r="H16" s="8">
        <f>'AUGUST 21'!K16:K28</f>
        <v>0</v>
      </c>
      <c r="I16" s="8">
        <f t="shared" si="0"/>
        <v>5500</v>
      </c>
      <c r="J16" s="8">
        <v>5500</v>
      </c>
      <c r="K16" s="8">
        <f t="shared" si="1"/>
        <v>0</v>
      </c>
      <c r="L16" s="8"/>
      <c r="Q16" s="31"/>
    </row>
    <row r="17" spans="1:13" x14ac:dyDescent="0.25">
      <c r="A17" s="8"/>
      <c r="B17" s="31"/>
      <c r="C17" s="8"/>
      <c r="D17" s="8"/>
      <c r="E17" s="8"/>
      <c r="F17" s="8"/>
      <c r="G17" s="8"/>
      <c r="H17" s="8">
        <f>'AUGUST 21'!K17:K29</f>
        <v>0</v>
      </c>
      <c r="I17" s="8">
        <f>C17+H17+F17+G17+D17</f>
        <v>0</v>
      </c>
      <c r="J17" s="8"/>
      <c r="K17" s="8">
        <f t="shared" si="1"/>
        <v>0</v>
      </c>
      <c r="L17" s="8"/>
    </row>
    <row r="18" spans="1:13" x14ac:dyDescent="0.25">
      <c r="A18" s="8"/>
      <c r="B18" s="34" t="s">
        <v>9</v>
      </c>
      <c r="C18" s="6">
        <f t="shared" ref="C18:L18" si="2">SUM(C5:C17)</f>
        <v>79000</v>
      </c>
      <c r="D18" s="6">
        <f t="shared" si="2"/>
        <v>0</v>
      </c>
      <c r="E18" s="6">
        <f t="shared" si="2"/>
        <v>0</v>
      </c>
      <c r="F18" s="6">
        <f t="shared" si="2"/>
        <v>6200</v>
      </c>
      <c r="G18" s="6">
        <f t="shared" si="2"/>
        <v>2400</v>
      </c>
      <c r="H18" s="8">
        <f>SUM(H5:H17)</f>
        <v>7970</v>
      </c>
      <c r="I18" s="6">
        <f t="shared" si="2"/>
        <v>95570</v>
      </c>
      <c r="J18" s="6">
        <f t="shared" si="2"/>
        <v>84250</v>
      </c>
      <c r="K18" s="6">
        <f t="shared" si="2"/>
        <v>11320</v>
      </c>
      <c r="L18" s="6">
        <f t="shared" si="2"/>
        <v>0</v>
      </c>
      <c r="M18" s="7"/>
    </row>
    <row r="19" spans="1:13" x14ac:dyDescent="0.25">
      <c r="A19" s="8"/>
      <c r="B19" s="31"/>
      <c r="C19" s="8"/>
      <c r="D19" s="8"/>
      <c r="E19" s="8"/>
      <c r="F19" s="8"/>
      <c r="G19" s="8"/>
      <c r="H19" s="8"/>
      <c r="I19" s="8"/>
      <c r="J19" s="8"/>
      <c r="K19" s="8"/>
      <c r="L19" s="8"/>
    </row>
    <row r="21" spans="1:13" ht="18.75" x14ac:dyDescent="0.3">
      <c r="C21" s="14"/>
      <c r="D21" s="15" t="s">
        <v>10</v>
      </c>
      <c r="E21" s="14"/>
      <c r="F21" s="14"/>
      <c r="G21" s="14"/>
      <c r="H21" s="16"/>
      <c r="I21" s="16"/>
    </row>
    <row r="22" spans="1:13" ht="15.75" x14ac:dyDescent="0.25">
      <c r="B22" s="17" t="s">
        <v>11</v>
      </c>
      <c r="C22" s="17" t="s">
        <v>12</v>
      </c>
      <c r="D22" s="17" t="s">
        <v>13</v>
      </c>
      <c r="E22" s="17" t="s">
        <v>14</v>
      </c>
      <c r="F22" s="17" t="s">
        <v>15</v>
      </c>
      <c r="G22" s="17" t="s">
        <v>12</v>
      </c>
      <c r="H22" s="17" t="s">
        <v>13</v>
      </c>
      <c r="I22" s="17" t="s">
        <v>14</v>
      </c>
    </row>
    <row r="23" spans="1:13" x14ac:dyDescent="0.25">
      <c r="B23" s="18" t="s">
        <v>88</v>
      </c>
      <c r="C23" s="19">
        <f>C18</f>
        <v>79000</v>
      </c>
      <c r="D23" s="20">
        <v>0.1</v>
      </c>
      <c r="E23" s="19"/>
      <c r="F23" s="21" t="s">
        <v>88</v>
      </c>
      <c r="G23" s="19">
        <f>J18</f>
        <v>84250</v>
      </c>
      <c r="H23" s="20">
        <v>0.1</v>
      </c>
      <c r="I23" s="11"/>
    </row>
    <row r="24" spans="1:13" x14ac:dyDescent="0.25">
      <c r="B24" s="11" t="s">
        <v>17</v>
      </c>
      <c r="C24" s="19">
        <f>'AUGUST 21'!E36</f>
        <v>-14250</v>
      </c>
      <c r="D24" s="11"/>
      <c r="E24" s="11"/>
      <c r="F24" s="11" t="s">
        <v>17</v>
      </c>
      <c r="G24" s="19">
        <f>'AUGUST 21'!I36</f>
        <v>-22220</v>
      </c>
      <c r="H24" s="11"/>
      <c r="I24" s="11"/>
    </row>
    <row r="25" spans="1:13" x14ac:dyDescent="0.25">
      <c r="B25" s="11" t="s">
        <v>47</v>
      </c>
      <c r="C25" s="19">
        <f>D18</f>
        <v>0</v>
      </c>
      <c r="D25" s="11"/>
      <c r="E25" s="11"/>
      <c r="F25" s="11"/>
      <c r="G25" s="19"/>
      <c r="H25" s="11"/>
      <c r="I25" s="11"/>
    </row>
    <row r="26" spans="1:13" x14ac:dyDescent="0.25">
      <c r="B26" s="11" t="s">
        <v>49</v>
      </c>
      <c r="C26" s="19">
        <f>E18</f>
        <v>0</v>
      </c>
      <c r="D26" s="11"/>
      <c r="E26" s="11"/>
      <c r="F26" s="11"/>
      <c r="G26" s="19"/>
      <c r="H26" s="11"/>
      <c r="I26" s="11"/>
      <c r="L26">
        <f>C15+F9+G9</f>
        <v>6800</v>
      </c>
    </row>
    <row r="27" spans="1:13" x14ac:dyDescent="0.25">
      <c r="B27" s="11" t="s">
        <v>32</v>
      </c>
      <c r="C27" s="19">
        <f>F18</f>
        <v>6200</v>
      </c>
      <c r="D27" s="11"/>
      <c r="E27" s="11"/>
      <c r="F27" s="11"/>
      <c r="G27" s="19"/>
      <c r="H27" s="11"/>
      <c r="I27" s="11"/>
    </row>
    <row r="28" spans="1:13" x14ac:dyDescent="0.25">
      <c r="B28" s="11" t="s">
        <v>33</v>
      </c>
      <c r="C28" s="19">
        <f>G18</f>
        <v>2400</v>
      </c>
      <c r="D28" s="11"/>
      <c r="E28" s="11"/>
      <c r="F28" s="11"/>
      <c r="G28" s="19"/>
      <c r="H28" s="11"/>
      <c r="I28" s="11"/>
    </row>
    <row r="29" spans="1:13" x14ac:dyDescent="0.25">
      <c r="B29" s="11" t="s">
        <v>45</v>
      </c>
      <c r="C29" s="19">
        <f>L18</f>
        <v>0</v>
      </c>
      <c r="D29" s="11"/>
      <c r="E29" s="11"/>
      <c r="F29" s="11"/>
      <c r="G29" s="19"/>
      <c r="H29" s="11"/>
      <c r="I29" s="11"/>
      <c r="K29">
        <f>C15+F15+G15</f>
        <v>7100</v>
      </c>
    </row>
    <row r="30" spans="1:13" x14ac:dyDescent="0.25">
      <c r="B30" s="11" t="s">
        <v>18</v>
      </c>
      <c r="C30" s="22"/>
      <c r="D30" s="11">
        <f>C23*D23</f>
        <v>7900</v>
      </c>
      <c r="E30" s="11"/>
      <c r="F30" s="11" t="s">
        <v>18</v>
      </c>
      <c r="G30" s="22"/>
      <c r="H30" s="11">
        <f>D30</f>
        <v>7900</v>
      </c>
      <c r="I30" s="11"/>
    </row>
    <row r="31" spans="1:13" x14ac:dyDescent="0.25">
      <c r="B31" s="23" t="s">
        <v>19</v>
      </c>
      <c r="C31" s="11"/>
      <c r="D31" s="11"/>
      <c r="E31" s="11"/>
      <c r="F31" s="23" t="s">
        <v>19</v>
      </c>
      <c r="G31" s="11"/>
      <c r="H31" s="11"/>
      <c r="I31" s="11"/>
    </row>
    <row r="32" spans="1:13" x14ac:dyDescent="0.25">
      <c r="B32" s="10" t="s">
        <v>20</v>
      </c>
      <c r="C32" s="24">
        <v>0.3</v>
      </c>
      <c r="D32" s="11"/>
      <c r="E32" s="11"/>
      <c r="F32" s="10" t="s">
        <v>20</v>
      </c>
      <c r="G32" s="24">
        <v>0.3</v>
      </c>
      <c r="H32" s="11"/>
      <c r="I32" s="11"/>
      <c r="M32" s="31" t="s">
        <v>80</v>
      </c>
    </row>
    <row r="33" spans="2:11" x14ac:dyDescent="0.25">
      <c r="B33" s="8" t="s">
        <v>65</v>
      </c>
      <c r="C33" s="8"/>
      <c r="D33" s="8">
        <v>10000</v>
      </c>
      <c r="E33" s="8"/>
      <c r="F33" s="8" t="s">
        <v>65</v>
      </c>
      <c r="G33" s="8"/>
      <c r="H33" s="8">
        <v>10000</v>
      </c>
      <c r="I33" s="8"/>
    </row>
    <row r="34" spans="2:11" x14ac:dyDescent="0.25">
      <c r="B34" s="8" t="s">
        <v>73</v>
      </c>
      <c r="C34" s="13"/>
      <c r="D34" s="8">
        <v>4100</v>
      </c>
      <c r="E34" s="8"/>
      <c r="F34" s="8" t="s">
        <v>73</v>
      </c>
      <c r="G34" s="13"/>
      <c r="H34" s="8">
        <v>4100</v>
      </c>
      <c r="I34" s="11"/>
    </row>
    <row r="35" spans="2:11" x14ac:dyDescent="0.25">
      <c r="B35" s="8" t="s">
        <v>89</v>
      </c>
      <c r="C35" s="13"/>
      <c r="D35" s="8">
        <v>62210</v>
      </c>
      <c r="E35" s="8"/>
      <c r="F35" s="8" t="s">
        <v>89</v>
      </c>
      <c r="G35" s="13"/>
      <c r="H35" s="8">
        <v>62210</v>
      </c>
      <c r="I35" s="11"/>
      <c r="K35" s="27"/>
    </row>
    <row r="36" spans="2:11" x14ac:dyDescent="0.25">
      <c r="B36" s="25" t="s">
        <v>9</v>
      </c>
      <c r="C36" s="26">
        <f>C23+C24+C29+C26+C25+C27+C28-D30</f>
        <v>65450</v>
      </c>
      <c r="D36" s="25">
        <f>SUM(D32:D35)</f>
        <v>76310</v>
      </c>
      <c r="E36" s="26">
        <f>C36-D36</f>
        <v>-10860</v>
      </c>
      <c r="F36" s="21"/>
      <c r="G36" s="26">
        <f>G23+G24-H30</f>
        <v>54130</v>
      </c>
      <c r="H36" s="26">
        <f>SUM(H32:H35)</f>
        <v>76310</v>
      </c>
      <c r="I36" s="26">
        <f>G36-H36</f>
        <v>-22180</v>
      </c>
    </row>
    <row r="37" spans="2:11" x14ac:dyDescent="0.25">
      <c r="E37" s="27"/>
    </row>
    <row r="38" spans="2:11" x14ac:dyDescent="0.25">
      <c r="E38" s="27"/>
    </row>
    <row r="39" spans="2:11" x14ac:dyDescent="0.25">
      <c r="B39" s="13" t="s">
        <v>21</v>
      </c>
      <c r="D39" s="13" t="s">
        <v>22</v>
      </c>
      <c r="F39" s="13"/>
      <c r="G39" s="13" t="s">
        <v>23</v>
      </c>
      <c r="I39">
        <f>10860-3000</f>
        <v>7860</v>
      </c>
    </row>
    <row r="40" spans="2:11" x14ac:dyDescent="0.25">
      <c r="B40" t="s">
        <v>24</v>
      </c>
      <c r="D40" s="13" t="s">
        <v>25</v>
      </c>
      <c r="F40" s="13"/>
      <c r="G40" s="13" t="s">
        <v>59</v>
      </c>
    </row>
  </sheetData>
  <mergeCells count="3">
    <mergeCell ref="C1:D1"/>
    <mergeCell ref="C2:E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21</vt:lpstr>
      <vt:lpstr>FEBRUARY21</vt:lpstr>
      <vt:lpstr>MARCH 21</vt:lpstr>
      <vt:lpstr>APRIL 21</vt:lpstr>
      <vt:lpstr>MAY 21</vt:lpstr>
      <vt:lpstr>JUNE21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2020-12-30T12:13:31Z</dcterms:created>
  <dcterms:modified xsi:type="dcterms:W3CDTF">2021-12-15T13:35:47Z</dcterms:modified>
</cp:coreProperties>
</file>