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960" yWindow="825" windowWidth="17715" windowHeight="10800" firstSheet="8" activeTab="12"/>
  </bookViews>
  <sheets>
    <sheet name="DECEMBER 20" sheetId="1" r:id="rId1"/>
    <sheet name="JANUARY 21" sheetId="2" r:id="rId2"/>
    <sheet name="FEBRUARY 21" sheetId="3" r:id="rId3"/>
    <sheet name="MARCH 21" sheetId="4" r:id="rId4"/>
    <sheet name="APRIL 21" sheetId="5" r:id="rId5"/>
    <sheet name="MAY 21" sheetId="6" r:id="rId6"/>
    <sheet name="JUNE 21" sheetId="7" r:id="rId7"/>
    <sheet name="JULY 21" sheetId="8" r:id="rId8"/>
    <sheet name="AUGUST 21" sheetId="9" r:id="rId9"/>
    <sheet name="SEPT 21" sheetId="10" r:id="rId10"/>
    <sheet name="OCTOBER 21" sheetId="11" r:id="rId11"/>
    <sheet name="NOVEMBER 21" sheetId="12" r:id="rId12"/>
    <sheet name="DECEMBER 21" sheetId="13" r:id="rId13"/>
  </sheets>
  <calcPr calcId="162913"/>
</workbook>
</file>

<file path=xl/calcChain.xml><?xml version="1.0" encoding="utf-8"?>
<calcChain xmlns="http://schemas.openxmlformats.org/spreadsheetml/2006/main">
  <c r="I44" i="13" l="1"/>
  <c r="I43" i="13"/>
  <c r="G20" i="12" l="1"/>
  <c r="G19" i="13"/>
  <c r="G7" i="13"/>
  <c r="G41" i="13" l="1"/>
  <c r="C41" i="13"/>
  <c r="I21" i="13"/>
  <c r="B29" i="13" s="1"/>
  <c r="E21" i="13"/>
  <c r="B27" i="13" s="1"/>
  <c r="C21" i="13"/>
  <c r="G21" i="13"/>
  <c r="F27" i="13" s="1"/>
  <c r="F13" i="13"/>
  <c r="H13" i="13" s="1"/>
  <c r="G31" i="13" l="1"/>
  <c r="C31" i="13"/>
  <c r="G24" i="13" s="1"/>
  <c r="G18" i="12"/>
  <c r="G14" i="12" l="1"/>
  <c r="D13" i="12"/>
  <c r="G20" i="11" l="1"/>
  <c r="B30" i="10" l="1"/>
  <c r="G8" i="11"/>
  <c r="J26" i="10"/>
  <c r="G18" i="11"/>
  <c r="G14" i="11"/>
  <c r="G14" i="10"/>
  <c r="G7" i="11"/>
  <c r="C41" i="12" l="1"/>
  <c r="G41" i="12"/>
  <c r="I21" i="12"/>
  <c r="B29" i="12" s="1"/>
  <c r="E21" i="12"/>
  <c r="C21" i="12"/>
  <c r="F13" i="12"/>
  <c r="H13" i="12" s="1"/>
  <c r="F8" i="12"/>
  <c r="H8" i="12" s="1"/>
  <c r="D8" i="13" s="1"/>
  <c r="F8" i="13" s="1"/>
  <c r="H8" i="13" s="1"/>
  <c r="G21" i="12"/>
  <c r="F27" i="12" s="1"/>
  <c r="B27" i="12" l="1"/>
  <c r="G36" i="11"/>
  <c r="G9" i="11"/>
  <c r="C31" i="12" l="1"/>
  <c r="G24" i="12" s="1"/>
  <c r="G31" i="12"/>
  <c r="G19" i="10"/>
  <c r="G41" i="11" l="1"/>
  <c r="C41" i="11"/>
  <c r="I21" i="11"/>
  <c r="B29" i="11" s="1"/>
  <c r="E21" i="11"/>
  <c r="B27" i="11" s="1"/>
  <c r="C21" i="11"/>
  <c r="F13" i="11"/>
  <c r="H13" i="11" s="1"/>
  <c r="G21" i="11"/>
  <c r="F27" i="11" s="1"/>
  <c r="G31" i="11" l="1"/>
  <c r="C31" i="11"/>
  <c r="G20" i="10"/>
  <c r="G24" i="11" l="1"/>
  <c r="G12" i="10" l="1"/>
  <c r="G13" i="10" l="1"/>
  <c r="G41" i="10" l="1"/>
  <c r="C41" i="10"/>
  <c r="I21" i="10"/>
  <c r="B29" i="10" s="1"/>
  <c r="E21" i="10"/>
  <c r="N23" i="10" s="1"/>
  <c r="C21" i="10"/>
  <c r="F8" i="10"/>
  <c r="H8" i="10" s="1"/>
  <c r="D8" i="11" s="1"/>
  <c r="F8" i="11" s="1"/>
  <c r="H8" i="11" s="1"/>
  <c r="G21" i="10"/>
  <c r="F27" i="10" s="1"/>
  <c r="B27" i="10" l="1"/>
  <c r="G18" i="9"/>
  <c r="G16" i="9"/>
  <c r="G7" i="9"/>
  <c r="G31" i="10" l="1"/>
  <c r="C31" i="10"/>
  <c r="G20" i="9"/>
  <c r="G24" i="10" l="1"/>
  <c r="N24" i="10"/>
  <c r="N25" i="10" s="1"/>
  <c r="N27" i="10" s="1"/>
  <c r="G6" i="9"/>
  <c r="G17" i="9" l="1"/>
  <c r="G9" i="9" l="1"/>
  <c r="G10" i="9" l="1"/>
  <c r="G12" i="9" l="1"/>
  <c r="G41" i="9" l="1"/>
  <c r="C41" i="9"/>
  <c r="I21" i="9"/>
  <c r="B29" i="9" s="1"/>
  <c r="E21" i="9"/>
  <c r="C21" i="9"/>
  <c r="B30" i="9" s="1"/>
  <c r="G21" i="9"/>
  <c r="F27" i="9" s="1"/>
  <c r="B27" i="9" l="1"/>
  <c r="G20" i="8"/>
  <c r="G31" i="9" l="1"/>
  <c r="C31" i="9"/>
  <c r="G24" i="9" s="1"/>
  <c r="G20" i="7"/>
  <c r="G20" i="6"/>
  <c r="G16" i="8" l="1"/>
  <c r="G9" i="8" l="1"/>
  <c r="G10" i="8" l="1"/>
  <c r="G12" i="8" l="1"/>
  <c r="G41" i="8" l="1"/>
  <c r="C41" i="8"/>
  <c r="I21" i="8"/>
  <c r="B29" i="8" s="1"/>
  <c r="E21" i="8"/>
  <c r="B27" i="8" s="1"/>
  <c r="C21" i="8"/>
  <c r="B30" i="8" s="1"/>
  <c r="G21" i="8"/>
  <c r="F27" i="8" s="1"/>
  <c r="G31" i="8" l="1"/>
  <c r="C31" i="8"/>
  <c r="G24" i="8" s="1"/>
  <c r="G7" i="7"/>
  <c r="O24" i="2" l="1"/>
  <c r="O25" i="2" s="1"/>
  <c r="G8" i="7" l="1"/>
  <c r="J29" i="7" l="1"/>
  <c r="G9" i="7" l="1"/>
  <c r="G6" i="7" l="1"/>
  <c r="G19" i="7" l="1"/>
  <c r="G18" i="7"/>
  <c r="G18" i="6" l="1"/>
  <c r="G41" i="7" l="1"/>
  <c r="C41" i="7"/>
  <c r="I21" i="7"/>
  <c r="B29" i="7" s="1"/>
  <c r="E21" i="7"/>
  <c r="C21" i="7"/>
  <c r="B30" i="7" s="1"/>
  <c r="G21" i="7"/>
  <c r="F27" i="7" s="1"/>
  <c r="B27" i="7" l="1"/>
  <c r="G31" i="7" l="1"/>
  <c r="C31" i="7"/>
  <c r="G24" i="7" s="1"/>
  <c r="G9" i="6" l="1"/>
  <c r="G12" i="6" l="1"/>
  <c r="G41" i="6" l="1"/>
  <c r="C41" i="6"/>
  <c r="I21" i="6"/>
  <c r="B29" i="6" s="1"/>
  <c r="E21" i="6"/>
  <c r="C21" i="6"/>
  <c r="B30" i="6" s="1"/>
  <c r="G21" i="6"/>
  <c r="F27" i="6" l="1"/>
  <c r="B27" i="6"/>
  <c r="G20" i="5"/>
  <c r="G31" i="6" l="1"/>
  <c r="C31" i="6"/>
  <c r="G24" i="6" s="1"/>
  <c r="G12" i="5"/>
  <c r="G12" i="4" l="1"/>
  <c r="G19" i="5"/>
  <c r="G15" i="5" l="1"/>
  <c r="G14" i="5" l="1"/>
  <c r="G18" i="5" l="1"/>
  <c r="G11" i="5" l="1"/>
  <c r="G20" i="4" l="1"/>
  <c r="I51" i="5" l="1"/>
  <c r="G41" i="5"/>
  <c r="C41" i="5"/>
  <c r="I21" i="5"/>
  <c r="B29" i="5" s="1"/>
  <c r="E21" i="5"/>
  <c r="C21" i="5"/>
  <c r="B30" i="5" s="1"/>
  <c r="G21" i="5"/>
  <c r="F27" i="5" s="1"/>
  <c r="B27" i="5" l="1"/>
  <c r="G31" i="5" s="1"/>
  <c r="J35" i="4"/>
  <c r="I51" i="4"/>
  <c r="G11" i="4"/>
  <c r="C31" i="5" l="1"/>
  <c r="G24" i="5" s="1"/>
  <c r="G12" i="3"/>
  <c r="G13" i="4" l="1"/>
  <c r="G18" i="3" l="1"/>
  <c r="G41" i="4" l="1"/>
  <c r="C41" i="4"/>
  <c r="I21" i="4"/>
  <c r="B29" i="4" s="1"/>
  <c r="E21" i="4"/>
  <c r="C21" i="4"/>
  <c r="G21" i="4"/>
  <c r="F27" i="4" s="1"/>
  <c r="B27" i="4" l="1"/>
  <c r="G20" i="3"/>
  <c r="G19" i="3"/>
  <c r="C31" i="4" l="1"/>
  <c r="G24" i="4" s="1"/>
  <c r="G31" i="4"/>
  <c r="G8" i="3"/>
  <c r="J33" i="3"/>
  <c r="L24" i="4" l="1"/>
  <c r="G9" i="3" l="1"/>
  <c r="G18" i="2" l="1"/>
  <c r="G14" i="3" l="1"/>
  <c r="J29" i="2" l="1"/>
  <c r="G8" i="2"/>
  <c r="G41" i="3" l="1"/>
  <c r="C41" i="3"/>
  <c r="I21" i="3"/>
  <c r="B29" i="3" s="1"/>
  <c r="E21" i="3"/>
  <c r="C21" i="3"/>
  <c r="G21" i="3"/>
  <c r="F27" i="3" s="1"/>
  <c r="B27" i="3" l="1"/>
  <c r="C31" i="3" s="1"/>
  <c r="G24" i="3" s="1"/>
  <c r="G31" i="3" l="1"/>
  <c r="K36" i="2"/>
  <c r="G9" i="2" l="1"/>
  <c r="G17" i="2" l="1"/>
  <c r="G11" i="2" l="1"/>
  <c r="G16" i="2" l="1"/>
  <c r="G12" i="1" l="1"/>
  <c r="C41" i="2" l="1"/>
  <c r="I21" i="2"/>
  <c r="B29" i="2" s="1"/>
  <c r="E21" i="2"/>
  <c r="C21" i="2"/>
  <c r="G21" i="2"/>
  <c r="F27" i="2" s="1"/>
  <c r="F6" i="2"/>
  <c r="B27" i="2" l="1"/>
  <c r="C31" i="2" s="1"/>
  <c r="H6" i="2"/>
  <c r="D6" i="3" s="1"/>
  <c r="F6" i="3" s="1"/>
  <c r="H6" i="3" s="1"/>
  <c r="D6" i="4" s="1"/>
  <c r="F6" i="4" s="1"/>
  <c r="H6" i="4" s="1"/>
  <c r="D6" i="5" s="1"/>
  <c r="F6" i="5" s="1"/>
  <c r="H6" i="5" s="1"/>
  <c r="D6" i="6" s="1"/>
  <c r="F6" i="6" s="1"/>
  <c r="H6" i="6" s="1"/>
  <c r="D6" i="7" s="1"/>
  <c r="F6" i="7" s="1"/>
  <c r="H6" i="7" s="1"/>
  <c r="D6" i="8" s="1"/>
  <c r="G31" i="2"/>
  <c r="G41" i="2"/>
  <c r="G18" i="1"/>
  <c r="F6" i="8" l="1"/>
  <c r="J24" i="2"/>
  <c r="J25" i="2" s="1"/>
  <c r="I24" i="2"/>
  <c r="G15" i="1"/>
  <c r="H6" i="8" l="1"/>
  <c r="K29" i="2"/>
  <c r="I25" i="2"/>
  <c r="C35" i="1"/>
  <c r="G35" i="1" s="1"/>
  <c r="G11" i="1"/>
  <c r="D6" i="9" l="1"/>
  <c r="F6" i="9" s="1"/>
  <c r="G20" i="1"/>
  <c r="G14" i="1"/>
  <c r="G13" i="1"/>
  <c r="G8" i="1"/>
  <c r="H6" i="9" l="1"/>
  <c r="D6" i="10" s="1"/>
  <c r="G16" i="1"/>
  <c r="F6" i="10" l="1"/>
  <c r="G10" i="1"/>
  <c r="H6" i="10" l="1"/>
  <c r="E21" i="1"/>
  <c r="K21" i="1" s="1"/>
  <c r="G41" i="1"/>
  <c r="C41" i="1"/>
  <c r="I21" i="1"/>
  <c r="B29" i="1" s="1"/>
  <c r="B27" i="1"/>
  <c r="G31" i="1" s="1"/>
  <c r="D21" i="1"/>
  <c r="C21" i="1"/>
  <c r="F20" i="1"/>
  <c r="H20" i="1" s="1"/>
  <c r="D20" i="2" s="1"/>
  <c r="F20" i="2" s="1"/>
  <c r="H20" i="2" s="1"/>
  <c r="D20" i="3" s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F17" i="1"/>
  <c r="H17" i="1" s="1"/>
  <c r="D17" i="2" s="1"/>
  <c r="F17" i="2" s="1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F16" i="1"/>
  <c r="H16" i="1" s="1"/>
  <c r="D16" i="2" s="1"/>
  <c r="F16" i="2" s="1"/>
  <c r="H16" i="2" s="1"/>
  <c r="D16" i="3" s="1"/>
  <c r="F16" i="3" s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F15" i="1"/>
  <c r="H15" i="1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F14" i="1"/>
  <c r="H14" i="1" s="1"/>
  <c r="D14" i="2" s="1"/>
  <c r="F14" i="2" s="1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F13" i="1"/>
  <c r="H13" i="1" s="1"/>
  <c r="F13" i="2" s="1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F12" i="1"/>
  <c r="H12" i="1" s="1"/>
  <c r="D12" i="2" s="1"/>
  <c r="F12" i="2" s="1"/>
  <c r="H12" i="2" s="1"/>
  <c r="D12" i="3" s="1"/>
  <c r="F12" i="3" s="1"/>
  <c r="H12" i="3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G21" i="1"/>
  <c r="F27" i="1" s="1"/>
  <c r="F10" i="1"/>
  <c r="H10" i="1" s="1"/>
  <c r="D10" i="2" s="1"/>
  <c r="F10" i="2" s="1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F9" i="1"/>
  <c r="H9" i="1" s="1"/>
  <c r="D9" i="2" s="1"/>
  <c r="F9" i="2" s="1"/>
  <c r="H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F8" i="1"/>
  <c r="H8" i="1" s="1"/>
  <c r="F7" i="1"/>
  <c r="H7" i="1" s="1"/>
  <c r="D7" i="2" s="1"/>
  <c r="F6" i="1"/>
  <c r="D19" i="12" l="1"/>
  <c r="F19" i="12" s="1"/>
  <c r="H19" i="12" s="1"/>
  <c r="D19" i="13" s="1"/>
  <c r="F19" i="13" s="1"/>
  <c r="H19" i="13" s="1"/>
  <c r="D8" i="2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H22" i="1"/>
  <c r="D6" i="11"/>
  <c r="F6" i="11" s="1"/>
  <c r="H22" i="3"/>
  <c r="D12" i="4"/>
  <c r="F20" i="3"/>
  <c r="D21" i="2"/>
  <c r="F7" i="2"/>
  <c r="F21" i="1"/>
  <c r="F41" i="1"/>
  <c r="H41" i="1" s="1"/>
  <c r="F28" i="2" s="1"/>
  <c r="F41" i="2" s="1"/>
  <c r="H41" i="2" s="1"/>
  <c r="C31" i="1"/>
  <c r="K22" i="1" s="1"/>
  <c r="H6" i="1"/>
  <c r="H21" i="1" s="1"/>
  <c r="H6" i="11" l="1"/>
  <c r="D6" i="12" s="1"/>
  <c r="F12" i="4"/>
  <c r="H20" i="3"/>
  <c r="D20" i="4" s="1"/>
  <c r="F20" i="4" s="1"/>
  <c r="H20" i="4" s="1"/>
  <c r="D20" i="5" s="1"/>
  <c r="F20" i="5" s="1"/>
  <c r="H20" i="5" s="1"/>
  <c r="D20" i="6" s="1"/>
  <c r="F20" i="6" s="1"/>
  <c r="H20" i="6" s="1"/>
  <c r="F28" i="3"/>
  <c r="F41" i="3" s="1"/>
  <c r="H41" i="3" s="1"/>
  <c r="F28" i="4" s="1"/>
  <c r="F41" i="4" s="1"/>
  <c r="H41" i="4" s="1"/>
  <c r="F28" i="5" s="1"/>
  <c r="F41" i="5" s="1"/>
  <c r="H41" i="5" s="1"/>
  <c r="F28" i="6" s="1"/>
  <c r="F41" i="6" s="1"/>
  <c r="H41" i="6" s="1"/>
  <c r="F28" i="7" s="1"/>
  <c r="F41" i="7" s="1"/>
  <c r="H41" i="7" s="1"/>
  <c r="F28" i="8" s="1"/>
  <c r="F41" i="8" s="1"/>
  <c r="H41" i="8" s="1"/>
  <c r="F28" i="9" s="1"/>
  <c r="F41" i="9" s="1"/>
  <c r="H41" i="9" s="1"/>
  <c r="F28" i="10" s="1"/>
  <c r="F41" i="10" s="1"/>
  <c r="H41" i="10" s="1"/>
  <c r="F28" i="11" s="1"/>
  <c r="F41" i="11" s="1"/>
  <c r="H41" i="11" s="1"/>
  <c r="F28" i="12" s="1"/>
  <c r="F41" i="12" s="1"/>
  <c r="H41" i="12" s="1"/>
  <c r="F28" i="13" s="1"/>
  <c r="F41" i="13" s="1"/>
  <c r="H41" i="13" s="1"/>
  <c r="L21" i="1"/>
  <c r="K23" i="1"/>
  <c r="K24" i="1" s="1"/>
  <c r="H7" i="2"/>
  <c r="H22" i="2" s="1"/>
  <c r="F21" i="2"/>
  <c r="B41" i="1"/>
  <c r="D41" i="1" s="1"/>
  <c r="B28" i="2" s="1"/>
  <c r="F6" i="12" l="1"/>
  <c r="B41" i="2"/>
  <c r="D41" i="2" s="1"/>
  <c r="K41" i="2" s="1"/>
  <c r="J26" i="2"/>
  <c r="I26" i="2"/>
  <c r="D20" i="7"/>
  <c r="F20" i="7" s="1"/>
  <c r="J20" i="6"/>
  <c r="H12" i="4"/>
  <c r="D12" i="5" s="1"/>
  <c r="B28" i="3"/>
  <c r="B41" i="3" s="1"/>
  <c r="D41" i="3" s="1"/>
  <c r="B28" i="4" s="1"/>
  <c r="H21" i="2"/>
  <c r="D7" i="3"/>
  <c r="I45" i="2" l="1"/>
  <c r="H6" i="12"/>
  <c r="D6" i="13" s="1"/>
  <c r="M30" i="7"/>
  <c r="H20" i="7"/>
  <c r="D20" i="8" s="1"/>
  <c r="F20" i="8" s="1"/>
  <c r="H20" i="8" s="1"/>
  <c r="D20" i="9" s="1"/>
  <c r="F20" i="9" s="1"/>
  <c r="H20" i="9" s="1"/>
  <c r="B41" i="4"/>
  <c r="D41" i="4" s="1"/>
  <c r="B28" i="5" s="1"/>
  <c r="L25" i="4"/>
  <c r="L26" i="4" s="1"/>
  <c r="B41" i="5"/>
  <c r="D41" i="5" s="1"/>
  <c r="B28" i="6" s="1"/>
  <c r="B41" i="6" s="1"/>
  <c r="D41" i="6" s="1"/>
  <c r="B28" i="7" s="1"/>
  <c r="B41" i="7" s="1"/>
  <c r="D41" i="7" s="1"/>
  <c r="B28" i="8" s="1"/>
  <c r="B41" i="8" s="1"/>
  <c r="D41" i="8" s="1"/>
  <c r="B28" i="9" s="1"/>
  <c r="B41" i="9" s="1"/>
  <c r="D41" i="9" s="1"/>
  <c r="B28" i="10" s="1"/>
  <c r="B41" i="10" s="1"/>
  <c r="D41" i="10" s="1"/>
  <c r="B28" i="11" s="1"/>
  <c r="B41" i="11" s="1"/>
  <c r="D41" i="11" s="1"/>
  <c r="B28" i="12" s="1"/>
  <c r="B41" i="12" s="1"/>
  <c r="D41" i="12" s="1"/>
  <c r="B28" i="13" s="1"/>
  <c r="B41" i="13" s="1"/>
  <c r="D41" i="13" s="1"/>
  <c r="F12" i="5"/>
  <c r="H22" i="4"/>
  <c r="F7" i="3"/>
  <c r="D21" i="3"/>
  <c r="F6" i="13" l="1"/>
  <c r="D20" i="10"/>
  <c r="F20" i="10" s="1"/>
  <c r="H20" i="10" s="1"/>
  <c r="D20" i="11" s="1"/>
  <c r="F20" i="11" s="1"/>
  <c r="H20" i="11" s="1"/>
  <c r="H12" i="5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H7" i="3"/>
  <c r="F21" i="3"/>
  <c r="H6" i="13" l="1"/>
  <c r="D20" i="12"/>
  <c r="F20" i="12" s="1"/>
  <c r="H20" i="12" s="1"/>
  <c r="D20" i="13" s="1"/>
  <c r="F20" i="13" s="1"/>
  <c r="H20" i="13" s="1"/>
  <c r="H21" i="3"/>
  <c r="D7" i="4"/>
  <c r="F7" i="4" l="1"/>
  <c r="D21" i="4"/>
  <c r="H7" i="4" l="1"/>
  <c r="F21" i="4"/>
  <c r="D7" i="5" l="1"/>
  <c r="H21" i="4"/>
  <c r="F7" i="5" l="1"/>
  <c r="D21" i="5"/>
  <c r="H7" i="5" l="1"/>
  <c r="F21" i="5"/>
  <c r="D7" i="6" l="1"/>
  <c r="F7" i="6" s="1"/>
  <c r="H22" i="5"/>
  <c r="D22" i="6" s="1"/>
  <c r="H21" i="5"/>
  <c r="D21" i="6" s="1"/>
  <c r="H7" i="6" l="1"/>
  <c r="F21" i="6"/>
  <c r="D7" i="7" l="1"/>
  <c r="F7" i="7" s="1"/>
  <c r="H22" i="6"/>
  <c r="H21" i="6"/>
  <c r="D21" i="7" s="1"/>
  <c r="D22" i="7" l="1"/>
  <c r="D22" i="8"/>
  <c r="H7" i="7"/>
  <c r="F21" i="7"/>
  <c r="H21" i="7" l="1"/>
  <c r="H22" i="7" s="1"/>
  <c r="D7" i="8"/>
  <c r="F7" i="8" l="1"/>
  <c r="D21" i="8"/>
  <c r="H7" i="8" l="1"/>
  <c r="F21" i="8"/>
  <c r="D7" i="9" l="1"/>
  <c r="F7" i="9" s="1"/>
  <c r="H21" i="8"/>
  <c r="H7" i="9" l="1"/>
  <c r="F21" i="9"/>
  <c r="D21" i="9"/>
  <c r="H22" i="8"/>
  <c r="D22" i="9" l="1"/>
  <c r="D22" i="10"/>
  <c r="D7" i="10"/>
  <c r="H21" i="9"/>
  <c r="H22" i="9" s="1"/>
  <c r="F7" i="10" l="1"/>
  <c r="D21" i="10"/>
  <c r="H7" i="10" l="1"/>
  <c r="F21" i="10"/>
  <c r="D7" i="11" l="1"/>
  <c r="F7" i="11" s="1"/>
  <c r="H21" i="10"/>
  <c r="D21" i="11" l="1"/>
  <c r="H22" i="10"/>
  <c r="D22" i="13" s="1"/>
  <c r="H7" i="11"/>
  <c r="J15" i="11" s="1"/>
  <c r="F21" i="11"/>
  <c r="D22" i="11" l="1"/>
  <c r="D22" i="12"/>
  <c r="H21" i="11"/>
  <c r="H22" i="11" s="1"/>
  <c r="D7" i="12"/>
  <c r="F7" i="12" l="1"/>
  <c r="D21" i="12"/>
  <c r="H7" i="12" l="1"/>
  <c r="F21" i="12"/>
  <c r="H21" i="12" l="1"/>
  <c r="H22" i="12" s="1"/>
  <c r="D7" i="13"/>
  <c r="F7" i="13" l="1"/>
  <c r="D21" i="13"/>
  <c r="H7" i="13" l="1"/>
  <c r="H21" i="13" s="1"/>
  <c r="H22" i="13" s="1"/>
  <c r="F21" i="13"/>
</calcChain>
</file>

<file path=xl/sharedStrings.xml><?xml version="1.0" encoding="utf-8"?>
<sst xmlns="http://schemas.openxmlformats.org/spreadsheetml/2006/main" count="962" uniqueCount="145">
  <si>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</si>
  <si>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</si>
  <si>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</si>
  <si>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</si>
  <si>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</si>
  <si>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</si>
  <si>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</si>
  <si>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</si>
  <si>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</si>
  <si>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</si>
  <si>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SHOP 1</t>
  </si>
  <si>
    <t>SHOP 2</t>
  </si>
  <si>
    <t>SHOP 3</t>
  </si>
  <si>
    <t>SHOP 4</t>
  </si>
  <si>
    <t>SHOP 5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</si>
  <si>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</si>
  <si>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</si>
  <si>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</si>
  <si>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</si>
  <si>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</si>
  <si>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</si>
  <si>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</si>
  <si>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</si>
  <si>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</si>
  <si>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</si>
  <si>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</si>
  <si>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</si>
  <si>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</si>
  <si>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</si>
  <si>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</si>
  <si>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</si>
  <si>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</si>
  <si>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</si>
  <si>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FOR THE MONTH OF DECEMBER 2020</t>
  </si>
  <si>
    <t>DECEMBER</t>
  </si>
  <si>
    <t>JASON</t>
  </si>
  <si>
    <t>BONIFACE</t>
  </si>
  <si>
    <t>KENCHUMA</t>
  </si>
  <si>
    <t>CHAMA HOUSE</t>
  </si>
  <si>
    <t>GITHINJI</t>
  </si>
  <si>
    <t>DOMINIC</t>
  </si>
  <si>
    <t>NICHOLAS KIRUI</t>
  </si>
  <si>
    <t>MAMA LYDIA</t>
  </si>
  <si>
    <t>JOSPHINE</t>
  </si>
  <si>
    <t>WILLIAM</t>
  </si>
  <si>
    <t>LEONIDA NDUNGE</t>
  </si>
  <si>
    <t>BLESSING</t>
  </si>
  <si>
    <t>KALOI FRUITSHOP</t>
  </si>
  <si>
    <t>FESTUS SPAREPARTS</t>
  </si>
  <si>
    <t>KENSIMU</t>
  </si>
  <si>
    <t>JASON TIPATET(NASEREM)</t>
  </si>
  <si>
    <t>PAID ON 11/12</t>
  </si>
  <si>
    <t>NICHOLAS PAID LL</t>
  </si>
  <si>
    <t>FESTUS ARREARS</t>
  </si>
  <si>
    <t>LL</t>
  </si>
  <si>
    <t>KALOI PAID LL</t>
  </si>
  <si>
    <t>LOCKED</t>
  </si>
  <si>
    <t>PAID ON 14/12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</si>
  <si>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</si>
  <si>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 ON 23/12</t>
  </si>
  <si>
    <t xml:space="preserve">JANUARY </t>
  </si>
  <si>
    <t>JANUARY</t>
  </si>
  <si>
    <t>FOR THE MONTH OF JANUARY 2021</t>
  </si>
  <si>
    <t>VACCANT</t>
  </si>
  <si>
    <t>PAID ON 31/12</t>
  </si>
  <si>
    <t>BLESSING TERESISIA ENE</t>
  </si>
  <si>
    <t>PAID ON15/1</t>
  </si>
  <si>
    <t>PAID ON14/1</t>
  </si>
  <si>
    <t>NEW</t>
  </si>
  <si>
    <t>PAID ON 18/1</t>
  </si>
  <si>
    <t>MARGARET WAIRIMU</t>
  </si>
  <si>
    <t>FOR THE MONTH OF FEBRUARY 2021</t>
  </si>
  <si>
    <t>FEBRUARY</t>
  </si>
  <si>
    <t>FESTUS PAID LL</t>
  </si>
  <si>
    <t>PAID ON 6/2</t>
  </si>
  <si>
    <t>PAID ON 11/2</t>
  </si>
  <si>
    <t>PAID ON 13/2</t>
  </si>
  <si>
    <t>PAID ON 16/2</t>
  </si>
  <si>
    <t>MARCH</t>
  </si>
  <si>
    <t>FOR THE MONTH OF MARCH 2021</t>
  </si>
  <si>
    <t>NEW 8PAID LL</t>
  </si>
  <si>
    <t xml:space="preserve">EARNEST </t>
  </si>
  <si>
    <t>SELINE NKIROTE</t>
  </si>
  <si>
    <t>PAID ON 10/3</t>
  </si>
  <si>
    <t>PAID ON 17/3</t>
  </si>
  <si>
    <t>PAID ON 22/3</t>
  </si>
  <si>
    <t>APRIL</t>
  </si>
  <si>
    <t>FOR THE MONTH OF APRIL 2021</t>
  </si>
  <si>
    <t>MILLICENT OGOLLA</t>
  </si>
  <si>
    <t>MARGARET PAID LL</t>
  </si>
  <si>
    <t>OKELO WYCLIFFE</t>
  </si>
  <si>
    <t>FESTUS</t>
  </si>
  <si>
    <t>PAID ON10/4</t>
  </si>
  <si>
    <t>PAID ON 12/4</t>
  </si>
  <si>
    <t>ONESMUS MBILI</t>
  </si>
  <si>
    <t>PAID ON 15/4</t>
  </si>
  <si>
    <t>PAID ON 17/4</t>
  </si>
  <si>
    <t>PAID ON 30/4</t>
  </si>
  <si>
    <t>FOR THE MONTH OF MAY 2021</t>
  </si>
  <si>
    <t>MAY</t>
  </si>
  <si>
    <t>PAID ON 12/5</t>
  </si>
  <si>
    <t>DAVID GITONGA</t>
  </si>
  <si>
    <t>P</t>
  </si>
  <si>
    <t>PAID ON 17/5</t>
  </si>
  <si>
    <t>PAID ON 22/5</t>
  </si>
  <si>
    <t>JUNE</t>
  </si>
  <si>
    <t>PAID ON 7/6</t>
  </si>
  <si>
    <t>PAID ON 10/6</t>
  </si>
  <si>
    <t>PAID ON 16/6</t>
  </si>
  <si>
    <t>PAID ON 22/6</t>
  </si>
  <si>
    <t>JULY</t>
  </si>
  <si>
    <t>FOR THE MONTH OF JULY 2021</t>
  </si>
  <si>
    <t>FOR THE MONTH OF JUNE 2021</t>
  </si>
  <si>
    <t>PAID ON 9/7</t>
  </si>
  <si>
    <t>PAID ON 30/6</t>
  </si>
  <si>
    <t>PAID ON 19/7</t>
  </si>
  <si>
    <t>FOR THE MONTH OF AUGUST 2021</t>
  </si>
  <si>
    <t>AUGUST</t>
  </si>
  <si>
    <t>PAID ON 10/8</t>
  </si>
  <si>
    <t>EVICTED</t>
  </si>
  <si>
    <t>OKELLO HSE 2 EVICTED</t>
  </si>
  <si>
    <t>ARREARS SHP5</t>
  </si>
  <si>
    <t>PAID ON16/8</t>
  </si>
  <si>
    <t>NICHOLAS RONO</t>
  </si>
  <si>
    <t>SEPTEMBER</t>
  </si>
  <si>
    <t>SEPT</t>
  </si>
  <si>
    <t>FOR THE MONTH OF SEPTEMBER 2021</t>
  </si>
  <si>
    <t>PAID ON 9/9</t>
  </si>
  <si>
    <t>PAID ON 11/9</t>
  </si>
  <si>
    <t>PAID ON 15/9</t>
  </si>
  <si>
    <t>FOR THE MONTH OF OCTOBER 2021</t>
  </si>
  <si>
    <t>OCTOBER</t>
  </si>
  <si>
    <t>PAID ON  22/9</t>
  </si>
  <si>
    <t>CHRISTOPHER</t>
  </si>
  <si>
    <t>NOV</t>
  </si>
  <si>
    <t>FOR THE MONTH OF NOVEMBER 2021</t>
  </si>
  <si>
    <t>PAID ON 16/10</t>
  </si>
  <si>
    <t>PAID ON 11/0</t>
  </si>
  <si>
    <t>DEPOSIT NO.3</t>
  </si>
  <si>
    <t>PAID ON 10/11</t>
  </si>
  <si>
    <t>PAID ON 16/11</t>
  </si>
  <si>
    <t>PAID ON 23/11</t>
  </si>
  <si>
    <t>FOR THE MONTH OF DECEMBER 2021</t>
  </si>
  <si>
    <t>PAID ON `3/12</t>
  </si>
  <si>
    <t>PAID ON 16/12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</si>
</sst>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/>
    <xf numFmtId="164" fontId="12" fillId="0" borderId="2" xfId="0" applyNumberFormat="1" applyFont="1" applyBorder="1" applyAlignment="1">
      <alignment horizontal="right"/>
    </xf>
    <xf numFmtId="164" fontId="0" fillId="0" borderId="0" xfId="0" applyNumberFormat="1"/>
    <xf numFmtId="49" fontId="13" fillId="0" borderId="0" xfId="1" applyNumberFormat="1" applyFont="1" applyBorder="1" applyAlignment="1">
      <alignment horizontal="right"/>
    </xf>
    <xf numFmtId="49" fontId="13" fillId="0" borderId="0" xfId="0" applyNumberFormat="1" applyFont="1" applyBorder="1" applyAlignment="1">
      <alignment horizontal="right"/>
    </xf>
    <xf numFmtId="0" fontId="14" fillId="0" borderId="0" xfId="0" applyFont="1" applyBorder="1"/>
    <xf numFmtId="4" fontId="14" fillId="0" borderId="0" xfId="0" applyNumberFormat="1" applyFont="1" applyBorder="1"/>
    <xf numFmtId="165" fontId="13" fillId="0" borderId="0" xfId="0" applyNumberFormat="1" applyFont="1" applyBorder="1"/>
    <xf numFmtId="164" fontId="4" fillId="0" borderId="0" xfId="0" applyNumberFormat="1" applyFont="1"/>
    <xf numFmtId="0" fontId="14" fillId="0" borderId="0" xfId="0" applyFont="1"/>
    <xf numFmtId="0" fontId="14" fillId="0" borderId="3" xfId="0" applyFont="1" applyBorder="1"/>
    <xf numFmtId="0" fontId="1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0" fillId="0" borderId="0" xfId="0" applyNumberFormat="1"/>
    <xf numFmtId="3" fontId="4" fillId="0" borderId="0" xfId="0" applyNumberFormat="1" applyFont="1"/>
    <xf numFmtId="3" fontId="14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5" fillId="0" borderId="1" xfId="0" applyFont="1" applyBorder="1"/>
    <xf numFmtId="43" fontId="15" fillId="0" borderId="1" xfId="1" applyFont="1" applyBorder="1" applyAlignment="1">
      <alignment horizontal="left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2" xfId="0" applyFont="1" applyBorder="1"/>
    <xf numFmtId="0" fontId="17" fillId="0" borderId="1" xfId="0" applyFont="1" applyBorder="1" applyAlignment="1">
      <alignment horizontal="right"/>
    </xf>
    <xf numFmtId="164" fontId="17" fillId="0" borderId="1" xfId="1" applyNumberFormat="1" applyFont="1" applyBorder="1" applyAlignment="1">
      <alignment horizontal="right"/>
    </xf>
    <xf numFmtId="164" fontId="17" fillId="0" borderId="1" xfId="0" applyNumberFormat="1" applyFont="1" applyBorder="1" applyAlignment="1">
      <alignment horizontal="right"/>
    </xf>
    <xf numFmtId="0" fontId="1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workbookViewId="0">
      <selection activeCell="F28" sqref="F28"/>
    </sheetView>
  </sheetViews>
  <sheetFormatPr defaultRowHeight="15" x14ac:dyDescent="0.25"/>
  <cols>
    <col min="1" max="1" width="13.85546875" customWidth="1"/>
    <col min="2" max="2" width="7" customWidth="1"/>
    <col min="3" max="3" width="7.85546875" customWidth="1"/>
    <col min="4" max="4" width="8.28515625" customWidth="1"/>
    <col min="5" max="5" width="8" customWidth="1"/>
  </cols>
  <sheetData>
    <row r="2" spans="1:11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1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1" ht="18.75" x14ac:dyDescent="0.3">
      <c r="A4" s="5"/>
      <c r="B4" s="1" t="s">
        <v>33</v>
      </c>
      <c r="C4" s="1"/>
      <c r="D4" s="1"/>
      <c r="E4" s="1"/>
      <c r="F4" s="6"/>
      <c r="G4" s="7"/>
      <c r="H4" s="3"/>
      <c r="I4" s="3"/>
    </row>
    <row r="5" spans="1:11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1" x14ac:dyDescent="0.25">
      <c r="A6" s="12" t="s">
        <v>36</v>
      </c>
      <c r="B6" s="13">
        <v>1</v>
      </c>
      <c r="C6" s="14"/>
      <c r="D6" s="15">
        <v>4500</v>
      </c>
      <c r="E6" s="16"/>
      <c r="F6" s="16">
        <f>C6+D6+E6</f>
        <v>4500</v>
      </c>
      <c r="G6" s="16"/>
      <c r="H6" s="17">
        <f>F6-G6</f>
        <v>4500</v>
      </c>
      <c r="I6" s="15"/>
      <c r="J6" t="s">
        <v>56</v>
      </c>
    </row>
    <row r="7" spans="1:11" x14ac:dyDescent="0.25">
      <c r="A7" t="s">
        <v>37</v>
      </c>
      <c r="B7" s="13">
        <v>2</v>
      </c>
      <c r="C7" s="14"/>
      <c r="D7" s="15"/>
      <c r="E7" s="16">
        <v>2000</v>
      </c>
      <c r="F7" s="16">
        <f t="shared" ref="F7:F18" si="0">C7+D7+E7</f>
        <v>2000</v>
      </c>
      <c r="G7" s="16">
        <v>2000</v>
      </c>
      <c r="H7" s="17">
        <f t="shared" ref="H7:H18" si="1">F7-G7</f>
        <v>0</v>
      </c>
      <c r="I7" s="15"/>
    </row>
    <row r="8" spans="1:11" x14ac:dyDescent="0.25">
      <c r="A8" s="18" t="s">
        <v>38</v>
      </c>
      <c r="B8" s="13">
        <v>3</v>
      </c>
      <c r="C8" s="14"/>
      <c r="D8" s="15"/>
      <c r="E8" s="16">
        <v>2000</v>
      </c>
      <c r="F8" s="16">
        <f t="shared" si="0"/>
        <v>2000</v>
      </c>
      <c r="G8" s="16">
        <f>300+1500</f>
        <v>1800</v>
      </c>
      <c r="H8" s="17">
        <f t="shared" si="1"/>
        <v>200</v>
      </c>
      <c r="I8" s="15"/>
    </row>
    <row r="9" spans="1:11" x14ac:dyDescent="0.25">
      <c r="A9" s="19" t="s">
        <v>39</v>
      </c>
      <c r="B9" s="13">
        <v>4</v>
      </c>
      <c r="C9" s="14"/>
      <c r="D9" s="15"/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11" x14ac:dyDescent="0.25">
      <c r="A10" s="19" t="s">
        <v>40</v>
      </c>
      <c r="B10" s="13">
        <v>5</v>
      </c>
      <c r="C10" s="14"/>
      <c r="D10" s="15"/>
      <c r="E10" s="16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</row>
    <row r="11" spans="1:11" x14ac:dyDescent="0.25">
      <c r="A11" s="20" t="s">
        <v>41</v>
      </c>
      <c r="B11" s="13">
        <v>6</v>
      </c>
      <c r="C11" s="14"/>
      <c r="D11" s="15">
        <v>1300</v>
      </c>
      <c r="E11" s="16">
        <v>2000</v>
      </c>
      <c r="F11" s="16">
        <f>C11+D11+E11</f>
        <v>3300</v>
      </c>
      <c r="G11" s="16">
        <f>2000+1300</f>
        <v>3300</v>
      </c>
      <c r="H11" s="17">
        <f t="shared" si="1"/>
        <v>0</v>
      </c>
      <c r="I11" s="15">
        <v>1300</v>
      </c>
      <c r="J11" t="s">
        <v>54</v>
      </c>
    </row>
    <row r="12" spans="1:11" x14ac:dyDescent="0.25">
      <c r="A12" s="19" t="s">
        <v>42</v>
      </c>
      <c r="B12" s="13">
        <v>7</v>
      </c>
      <c r="C12" s="14"/>
      <c r="D12" s="15">
        <v>2000</v>
      </c>
      <c r="E12" s="16">
        <v>2000</v>
      </c>
      <c r="F12" s="16">
        <f t="shared" si="0"/>
        <v>4000</v>
      </c>
      <c r="G12" s="16">
        <f>4000</f>
        <v>4000</v>
      </c>
      <c r="H12" s="17">
        <f t="shared" si="1"/>
        <v>0</v>
      </c>
      <c r="I12" s="15">
        <v>2000</v>
      </c>
    </row>
    <row r="13" spans="1:11" x14ac:dyDescent="0.25">
      <c r="A13" s="21" t="s">
        <v>43</v>
      </c>
      <c r="B13" s="13">
        <v>8</v>
      </c>
      <c r="C13" s="14"/>
      <c r="D13" s="15">
        <v>2000</v>
      </c>
      <c r="E13" s="16">
        <v>2000</v>
      </c>
      <c r="F13" s="16">
        <f t="shared" si="0"/>
        <v>4000</v>
      </c>
      <c r="G13" s="16">
        <f>2600</f>
        <v>2600</v>
      </c>
      <c r="H13" s="17">
        <f t="shared" si="1"/>
        <v>1400</v>
      </c>
      <c r="I13" s="15">
        <v>600</v>
      </c>
    </row>
    <row r="14" spans="1:11" x14ac:dyDescent="0.25">
      <c r="A14" s="21" t="s">
        <v>44</v>
      </c>
      <c r="B14" s="13">
        <v>9</v>
      </c>
      <c r="C14" s="14"/>
      <c r="D14" s="15">
        <v>2000</v>
      </c>
      <c r="E14" s="16">
        <v>2000</v>
      </c>
      <c r="F14" s="16">
        <f t="shared" si="0"/>
        <v>4000</v>
      </c>
      <c r="G14" s="16">
        <f>2000</f>
        <v>2000</v>
      </c>
      <c r="H14" s="17">
        <f t="shared" si="1"/>
        <v>2000</v>
      </c>
      <c r="I14" s="15"/>
      <c r="K14" s="27"/>
    </row>
    <row r="15" spans="1:11" x14ac:dyDescent="0.25">
      <c r="A15" s="22" t="s">
        <v>45</v>
      </c>
      <c r="B15" s="23">
        <v>10</v>
      </c>
      <c r="C15" s="14"/>
      <c r="D15" s="15">
        <v>2000</v>
      </c>
      <c r="E15" s="16">
        <v>2000</v>
      </c>
      <c r="F15" s="16">
        <f t="shared" si="0"/>
        <v>4000</v>
      </c>
      <c r="G15" s="16">
        <f>2000</f>
        <v>2000</v>
      </c>
      <c r="H15" s="17">
        <f t="shared" si="1"/>
        <v>2000</v>
      </c>
      <c r="I15" s="15"/>
    </row>
    <row r="16" spans="1:11" x14ac:dyDescent="0.25">
      <c r="A16" s="22" t="s">
        <v>46</v>
      </c>
      <c r="B16" s="13" t="s">
        <v>10</v>
      </c>
      <c r="C16" s="14"/>
      <c r="D16" s="15"/>
      <c r="E16" s="16">
        <v>5000</v>
      </c>
      <c r="F16" s="16">
        <f t="shared" si="0"/>
        <v>5000</v>
      </c>
      <c r="G16" s="16">
        <f>5000</f>
        <v>5000</v>
      </c>
      <c r="H16" s="17">
        <f t="shared" si="1"/>
        <v>0</v>
      </c>
      <c r="I16" s="15"/>
    </row>
    <row r="17" spans="1:13" x14ac:dyDescent="0.25">
      <c r="A17" s="18" t="s">
        <v>47</v>
      </c>
      <c r="B17" s="13" t="s">
        <v>11</v>
      </c>
      <c r="C17" s="14"/>
      <c r="D17" s="15"/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  <c r="J17" t="s">
        <v>54</v>
      </c>
    </row>
    <row r="18" spans="1:13" x14ac:dyDescent="0.25">
      <c r="A18" s="12" t="s">
        <v>37</v>
      </c>
      <c r="B18" s="13" t="s">
        <v>12</v>
      </c>
      <c r="C18" s="14"/>
      <c r="D18" s="15">
        <v>2000</v>
      </c>
      <c r="E18" s="16">
        <v>5000</v>
      </c>
      <c r="F18" s="16">
        <f t="shared" si="0"/>
        <v>7000</v>
      </c>
      <c r="G18" s="16">
        <f>3000+2000</f>
        <v>5000</v>
      </c>
      <c r="H18" s="17">
        <f t="shared" si="1"/>
        <v>2000</v>
      </c>
      <c r="I18" s="15"/>
      <c r="K18" s="27"/>
    </row>
    <row r="19" spans="1:13" x14ac:dyDescent="0.25">
      <c r="A19" s="12" t="s">
        <v>48</v>
      </c>
      <c r="B19" s="13" t="s">
        <v>13</v>
      </c>
      <c r="C19" s="14"/>
      <c r="D19" s="15">
        <v>2500</v>
      </c>
      <c r="E19" s="16">
        <v>5000</v>
      </c>
      <c r="F19" s="16">
        <f>C19+D19+E19</f>
        <v>7500</v>
      </c>
      <c r="G19" s="16">
        <v>2500</v>
      </c>
      <c r="H19" s="17">
        <f>F19-G19</f>
        <v>5000</v>
      </c>
      <c r="I19" s="15">
        <v>2500</v>
      </c>
    </row>
    <row r="20" spans="1:13" x14ac:dyDescent="0.25">
      <c r="A20" s="12" t="s">
        <v>49</v>
      </c>
      <c r="B20" s="13" t="s">
        <v>14</v>
      </c>
      <c r="C20" s="14"/>
      <c r="D20" s="15">
        <v>3100</v>
      </c>
      <c r="E20" s="16">
        <v>5000</v>
      </c>
      <c r="F20" s="16">
        <f>C20+D20+E20</f>
        <v>8100</v>
      </c>
      <c r="G20" s="16">
        <f>5000</f>
        <v>5000</v>
      </c>
      <c r="H20" s="17">
        <f>F20-G20</f>
        <v>3100</v>
      </c>
      <c r="I20" s="15"/>
    </row>
    <row r="21" spans="1:13" x14ac:dyDescent="0.25">
      <c r="A21" s="24" t="s">
        <v>15</v>
      </c>
      <c r="B21" s="25"/>
      <c r="C21" s="14">
        <f t="shared" ref="C21:I21" si="2">SUM(C6:C20)</f>
        <v>0</v>
      </c>
      <c r="D21" s="15">
        <f t="shared" si="2"/>
        <v>21400</v>
      </c>
      <c r="E21" s="26">
        <f t="shared" si="2"/>
        <v>43000</v>
      </c>
      <c r="F21" s="16">
        <f t="shared" si="2"/>
        <v>64400</v>
      </c>
      <c r="G21" s="16">
        <f t="shared" si="2"/>
        <v>44200</v>
      </c>
      <c r="H21" s="16">
        <f t="shared" si="2"/>
        <v>20200</v>
      </c>
      <c r="I21" s="15">
        <f t="shared" si="2"/>
        <v>6400</v>
      </c>
      <c r="K21" s="27">
        <f>E21</f>
        <v>43000</v>
      </c>
      <c r="L21" s="42">
        <f>K22-C34-C37-C38-C39-2000</f>
        <v>3242</v>
      </c>
    </row>
    <row r="22" spans="1:13" x14ac:dyDescent="0.25">
      <c r="D22" s="15"/>
      <c r="H22" s="27">
        <f>H8+H19</f>
        <v>5200</v>
      </c>
      <c r="I22" s="3"/>
      <c r="K22" s="42">
        <f>K21-C31</f>
        <v>38700</v>
      </c>
    </row>
    <row r="23" spans="1:13" x14ac:dyDescent="0.25">
      <c r="I23" s="27"/>
      <c r="K23" s="42">
        <f>K22+B29</f>
        <v>45100</v>
      </c>
    </row>
    <row r="24" spans="1:13" x14ac:dyDescent="0.25">
      <c r="A24" s="3" t="s">
        <v>16</v>
      </c>
      <c r="B24" s="28"/>
      <c r="C24" s="29"/>
      <c r="D24" s="30"/>
      <c r="E24" s="31"/>
      <c r="F24" s="32"/>
      <c r="G24" s="31"/>
      <c r="H24" s="33"/>
      <c r="I24" s="3"/>
      <c r="K24" s="42">
        <f>K23-C34-C35-C36-C37-C38-C39</f>
        <v>5842</v>
      </c>
    </row>
    <row r="25" spans="1:13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  <c r="M25" t="s">
        <v>58</v>
      </c>
    </row>
    <row r="26" spans="1:13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  <c r="K26" s="42"/>
    </row>
    <row r="27" spans="1:13" x14ac:dyDescent="0.25">
      <c r="A27" s="25" t="s">
        <v>34</v>
      </c>
      <c r="B27" s="37">
        <f>E21</f>
        <v>43000</v>
      </c>
      <c r="C27" s="25"/>
      <c r="D27" s="25"/>
      <c r="E27" s="25" t="s">
        <v>34</v>
      </c>
      <c r="F27" s="37">
        <f>G21</f>
        <v>44200</v>
      </c>
      <c r="G27" s="25"/>
      <c r="H27" s="25"/>
      <c r="I27" s="33"/>
    </row>
    <row r="28" spans="1:13" x14ac:dyDescent="0.25">
      <c r="A28" s="25" t="s">
        <v>22</v>
      </c>
      <c r="B28" s="37"/>
      <c r="C28" s="25"/>
      <c r="D28" s="25"/>
      <c r="E28" s="25" t="s">
        <v>22</v>
      </c>
      <c r="F28" s="37"/>
      <c r="G28" s="25"/>
      <c r="H28" s="25"/>
      <c r="I28" s="33"/>
    </row>
    <row r="29" spans="1:13" x14ac:dyDescent="0.25">
      <c r="A29" s="25" t="s">
        <v>9</v>
      </c>
      <c r="B29" s="37">
        <f>I21</f>
        <v>6400</v>
      </c>
      <c r="C29" s="25"/>
      <c r="D29" s="25"/>
      <c r="E29" s="25"/>
      <c r="F29" s="37"/>
      <c r="G29" s="25"/>
      <c r="H29" s="25"/>
      <c r="I29" s="33" t="s">
        <v>23</v>
      </c>
    </row>
    <row r="30" spans="1:13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13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</row>
    <row r="32" spans="1:13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 t="s">
        <v>51</v>
      </c>
      <c r="C34">
        <v>10297</v>
      </c>
      <c r="D34" s="41"/>
      <c r="E34" s="39" t="s">
        <v>51</v>
      </c>
      <c r="G34">
        <v>10297</v>
      </c>
      <c r="H34" s="25"/>
      <c r="I34" s="3"/>
    </row>
    <row r="35" spans="1:11" x14ac:dyDescent="0.25">
      <c r="A35" s="39" t="s">
        <v>52</v>
      </c>
      <c r="B35" s="38"/>
      <c r="C35" s="25">
        <f>2000+1300</f>
        <v>3300</v>
      </c>
      <c r="D35" s="25"/>
      <c r="E35" s="39" t="s">
        <v>52</v>
      </c>
      <c r="F35" s="38"/>
      <c r="G35" s="25">
        <f>C35</f>
        <v>3300</v>
      </c>
      <c r="H35" s="25"/>
      <c r="I35" s="33"/>
    </row>
    <row r="36" spans="1:11" x14ac:dyDescent="0.25">
      <c r="A36" s="39" t="s">
        <v>53</v>
      </c>
      <c r="B36" s="38"/>
      <c r="C36" s="25">
        <v>2500</v>
      </c>
      <c r="D36" s="25"/>
      <c r="E36" s="39" t="s">
        <v>53</v>
      </c>
      <c r="F36" s="38"/>
      <c r="G36" s="25">
        <v>2500</v>
      </c>
      <c r="H36" s="25"/>
      <c r="I36" s="43"/>
      <c r="J36" s="27"/>
    </row>
    <row r="37" spans="1:11" x14ac:dyDescent="0.25">
      <c r="A37" s="39" t="s">
        <v>55</v>
      </c>
      <c r="B37" s="25"/>
      <c r="C37" s="41">
        <v>5000</v>
      </c>
      <c r="D37" s="25"/>
      <c r="E37" s="39" t="s">
        <v>55</v>
      </c>
      <c r="F37" s="25"/>
      <c r="G37" s="41">
        <v>5000</v>
      </c>
      <c r="H37" s="25"/>
      <c r="I37" s="3"/>
    </row>
    <row r="38" spans="1:11" x14ac:dyDescent="0.25">
      <c r="A38" s="39" t="s">
        <v>57</v>
      </c>
      <c r="B38" s="25"/>
      <c r="C38" s="41">
        <v>13100</v>
      </c>
      <c r="D38" s="25"/>
      <c r="E38" s="39" t="s">
        <v>57</v>
      </c>
      <c r="F38" s="25"/>
      <c r="G38" s="41">
        <v>13100</v>
      </c>
      <c r="H38" s="25"/>
      <c r="I38" s="3"/>
    </row>
    <row r="39" spans="1:11" x14ac:dyDescent="0.25">
      <c r="A39" s="39" t="s">
        <v>59</v>
      </c>
      <c r="B39" s="25"/>
      <c r="C39" s="41">
        <v>5061</v>
      </c>
      <c r="D39" s="25"/>
      <c r="E39" s="39" t="s">
        <v>59</v>
      </c>
      <c r="F39" s="25"/>
      <c r="G39" s="41">
        <v>5061</v>
      </c>
      <c r="H39" s="25"/>
      <c r="I39" s="3"/>
    </row>
    <row r="40" spans="1:11" x14ac:dyDescent="0.25">
      <c r="A40" s="39" t="s">
        <v>64</v>
      </c>
      <c r="B40" s="25"/>
      <c r="C40" s="41">
        <v>3056</v>
      </c>
      <c r="D40" s="25"/>
      <c r="E40" s="39" t="s">
        <v>64</v>
      </c>
      <c r="F40" s="25"/>
      <c r="G40" s="41">
        <v>3056</v>
      </c>
      <c r="H40" s="25"/>
      <c r="I40" s="3"/>
      <c r="J40" s="42"/>
    </row>
    <row r="41" spans="1:11" x14ac:dyDescent="0.25">
      <c r="A41" s="36" t="s">
        <v>15</v>
      </c>
      <c r="B41" s="44">
        <f>B30+B27+B28+B29-C31</f>
        <v>45100</v>
      </c>
      <c r="C41" s="44">
        <f>SUM(C33:C40)</f>
        <v>42314</v>
      </c>
      <c r="D41" s="44">
        <f>B41-C41</f>
        <v>2786</v>
      </c>
      <c r="E41" s="36" t="s">
        <v>15</v>
      </c>
      <c r="F41" s="44">
        <f>F27+F28+F30-G31</f>
        <v>39900</v>
      </c>
      <c r="G41" s="44">
        <f>SUM(G33:G40)</f>
        <v>42314</v>
      </c>
      <c r="H41" s="44">
        <f>F41-G41</f>
        <v>-2414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10" workbookViewId="0">
      <selection activeCell="H20" sqref="H20"/>
    </sheetView>
  </sheetViews>
  <sheetFormatPr defaultRowHeight="15" x14ac:dyDescent="0.25"/>
  <cols>
    <col min="1" max="1" width="20.5703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126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88</v>
      </c>
      <c r="B6" s="13">
        <v>1</v>
      </c>
      <c r="C6" s="14"/>
      <c r="D6" s="15">
        <f>'AUGUST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37</v>
      </c>
      <c r="B7" s="13">
        <v>2</v>
      </c>
      <c r="C7" s="14"/>
      <c r="D7" s="15">
        <f>'AUGUST 21'!H7:H21</f>
        <v>1500</v>
      </c>
      <c r="E7" s="16">
        <v>2000</v>
      </c>
      <c r="F7" s="16">
        <f t="shared" ref="F7:F18" si="0">C7+D7+E7</f>
        <v>3500</v>
      </c>
      <c r="G7" s="16"/>
      <c r="H7" s="17">
        <f t="shared" ref="H7:H18" si="1">F7-G7</f>
        <v>3500</v>
      </c>
      <c r="I7" s="15"/>
    </row>
    <row r="8" spans="1:10" x14ac:dyDescent="0.25">
      <c r="A8" s="50" t="s">
        <v>68</v>
      </c>
      <c r="B8" s="51">
        <v>3</v>
      </c>
      <c r="C8" s="52">
        <v>2000</v>
      </c>
      <c r="D8" s="15"/>
      <c r="E8" s="54">
        <v>1000</v>
      </c>
      <c r="F8" s="54">
        <f t="shared" si="0"/>
        <v>3000</v>
      </c>
      <c r="G8" s="54">
        <v>3000</v>
      </c>
      <c r="H8" s="55">
        <f t="shared" si="1"/>
        <v>0</v>
      </c>
      <c r="I8" s="15"/>
      <c r="J8" s="56"/>
    </row>
    <row r="9" spans="1:10" x14ac:dyDescent="0.25">
      <c r="A9" s="19" t="s">
        <v>39</v>
      </c>
      <c r="B9" s="13">
        <v>4</v>
      </c>
      <c r="C9" s="14"/>
      <c r="D9" s="15">
        <f>'AUGUST 21'!H9:H23</f>
        <v>1000</v>
      </c>
      <c r="E9" s="16">
        <v>2000</v>
      </c>
      <c r="F9" s="16">
        <f t="shared" si="0"/>
        <v>3000</v>
      </c>
      <c r="G9" s="16">
        <v>2000</v>
      </c>
      <c r="H9" s="17">
        <f>F9-G9</f>
        <v>1000</v>
      </c>
      <c r="I9" s="15"/>
    </row>
    <row r="10" spans="1:10" x14ac:dyDescent="0.25">
      <c r="A10" s="19" t="s">
        <v>41</v>
      </c>
      <c r="B10" s="13">
        <v>5</v>
      </c>
      <c r="C10" s="14"/>
      <c r="D10" s="15">
        <f>'AUGUST 21'!H10:H24</f>
        <v>500</v>
      </c>
      <c r="E10" s="16">
        <v>2000</v>
      </c>
      <c r="F10" s="16">
        <f t="shared" si="0"/>
        <v>2500</v>
      </c>
      <c r="G10" s="16">
        <v>2500</v>
      </c>
      <c r="H10" s="17">
        <f>F10-G10</f>
        <v>0</v>
      </c>
      <c r="I10" s="15"/>
    </row>
    <row r="11" spans="1:10" x14ac:dyDescent="0.25">
      <c r="A11" s="20" t="s">
        <v>101</v>
      </c>
      <c r="B11" s="13">
        <v>6</v>
      </c>
      <c r="C11" s="14"/>
      <c r="D11" s="15">
        <f>'AUGUST 21'!H11:H25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'AUGUST 21'!H12:H26</f>
        <v>500</v>
      </c>
      <c r="E12" s="16">
        <v>2000</v>
      </c>
      <c r="F12" s="16">
        <f t="shared" si="0"/>
        <v>2500</v>
      </c>
      <c r="G12" s="16">
        <f>2000</f>
        <v>2000</v>
      </c>
      <c r="H12" s="17">
        <f t="shared" si="1"/>
        <v>500</v>
      </c>
      <c r="I12" s="15"/>
    </row>
    <row r="13" spans="1:10" x14ac:dyDescent="0.25">
      <c r="A13" s="21" t="s">
        <v>123</v>
      </c>
      <c r="B13" s="13">
        <v>8</v>
      </c>
      <c r="C13" s="14">
        <v>1000</v>
      </c>
      <c r="D13" s="15">
        <f>'AUGUST 21'!H13:H27</f>
        <v>0</v>
      </c>
      <c r="E13" s="16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'AUGUST 21'!H14:H28</f>
        <v>2000</v>
      </c>
      <c r="E14" s="16">
        <v>2000</v>
      </c>
      <c r="F14" s="16">
        <f t="shared" si="0"/>
        <v>4000</v>
      </c>
      <c r="G14" s="16">
        <f>1000+1000</f>
        <v>2000</v>
      </c>
      <c r="H14" s="17">
        <f>F14-G14</f>
        <v>2000</v>
      </c>
      <c r="I14" s="15"/>
    </row>
    <row r="15" spans="1:10" x14ac:dyDescent="0.25">
      <c r="A15" s="22" t="s">
        <v>94</v>
      </c>
      <c r="B15" s="23">
        <v>10</v>
      </c>
      <c r="C15" s="14"/>
      <c r="D15" s="15">
        <f>'AUGUST 21'!H15:H29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10" x14ac:dyDescent="0.25">
      <c r="A16" s="22" t="s">
        <v>65</v>
      </c>
      <c r="B16" s="13" t="s">
        <v>10</v>
      </c>
      <c r="C16" s="14"/>
      <c r="D16" s="15">
        <f>'AUGUST 21'!H16:H30</f>
        <v>1000</v>
      </c>
      <c r="E16" s="16">
        <v>5000</v>
      </c>
      <c r="F16" s="16">
        <f t="shared" si="0"/>
        <v>6000</v>
      </c>
      <c r="G16" s="16">
        <v>5000</v>
      </c>
      <c r="H16" s="17">
        <f t="shared" si="1"/>
        <v>1000</v>
      </c>
      <c r="I16" s="15"/>
    </row>
    <row r="17" spans="1:14" x14ac:dyDescent="0.25">
      <c r="A17" s="18" t="s">
        <v>47</v>
      </c>
      <c r="B17" s="13" t="s">
        <v>11</v>
      </c>
      <c r="C17" s="14"/>
      <c r="D17" s="15">
        <f>'AUGUST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4" x14ac:dyDescent="0.25">
      <c r="A18" s="12" t="s">
        <v>37</v>
      </c>
      <c r="B18" s="13" t="s">
        <v>12</v>
      </c>
      <c r="C18" s="14"/>
      <c r="D18" s="15">
        <f>'AUGUST 21'!H18:H32</f>
        <v>2000</v>
      </c>
      <c r="E18" s="16">
        <v>5000</v>
      </c>
      <c r="F18" s="16">
        <f t="shared" si="0"/>
        <v>7000</v>
      </c>
      <c r="G18" s="16"/>
      <c r="H18" s="17">
        <f t="shared" si="1"/>
        <v>7000</v>
      </c>
      <c r="I18" s="15"/>
    </row>
    <row r="19" spans="1:14" x14ac:dyDescent="0.25">
      <c r="A19" s="12" t="s">
        <v>48</v>
      </c>
      <c r="B19" s="13" t="s">
        <v>13</v>
      </c>
      <c r="C19" s="14"/>
      <c r="D19" s="15">
        <f>'AUGUST 21'!H19:H33</f>
        <v>5000</v>
      </c>
      <c r="E19" s="16">
        <v>5000</v>
      </c>
      <c r="F19" s="16">
        <f>C19+D19+E19</f>
        <v>10000</v>
      </c>
      <c r="G19" s="16">
        <f>10000</f>
        <v>10000</v>
      </c>
      <c r="H19" s="17">
        <f>F19-G19</f>
        <v>0</v>
      </c>
      <c r="I19" s="15"/>
    </row>
    <row r="20" spans="1:14" x14ac:dyDescent="0.25">
      <c r="A20" s="12" t="s">
        <v>49</v>
      </c>
      <c r="B20" s="13" t="s">
        <v>14</v>
      </c>
      <c r="C20" s="14"/>
      <c r="D20" s="15">
        <f>'AUGUST 21'!H20:H34</f>
        <v>3300</v>
      </c>
      <c r="E20" s="16">
        <v>5000</v>
      </c>
      <c r="F20" s="16">
        <f>C20+D20+E20</f>
        <v>8300</v>
      </c>
      <c r="G20" s="16">
        <f>3000+1000+1000</f>
        <v>5000</v>
      </c>
      <c r="H20" s="17">
        <f>F20-G20</f>
        <v>3300</v>
      </c>
      <c r="I20" s="15"/>
      <c r="J20" s="27"/>
    </row>
    <row r="21" spans="1:14" x14ac:dyDescent="0.25">
      <c r="A21" s="24" t="s">
        <v>15</v>
      </c>
      <c r="B21" s="25"/>
      <c r="C21" s="14">
        <f t="shared" ref="C21:I21" si="2">SUM(C6:C20)</f>
        <v>3000</v>
      </c>
      <c r="D21" s="15">
        <f>SUM(D6:D20)</f>
        <v>16800</v>
      </c>
      <c r="E21" s="26">
        <f t="shared" si="2"/>
        <v>44000</v>
      </c>
      <c r="F21" s="16">
        <f t="shared" si="2"/>
        <v>63800</v>
      </c>
      <c r="G21" s="16">
        <f t="shared" si="2"/>
        <v>44500</v>
      </c>
      <c r="H21" s="16">
        <f t="shared" si="2"/>
        <v>19300</v>
      </c>
      <c r="I21" s="15">
        <f t="shared" si="2"/>
        <v>0</v>
      </c>
    </row>
    <row r="22" spans="1:14" x14ac:dyDescent="0.25">
      <c r="D22" s="15">
        <f>'JULY 21'!H22:H38</f>
        <v>4900</v>
      </c>
      <c r="H22" s="27">
        <f>H21-3100-D14-D18</f>
        <v>12200</v>
      </c>
      <c r="I22" s="3"/>
    </row>
    <row r="23" spans="1:14" x14ac:dyDescent="0.25">
      <c r="I23" s="27"/>
      <c r="N23" s="27">
        <f>E21</f>
        <v>44000</v>
      </c>
    </row>
    <row r="24" spans="1:14" x14ac:dyDescent="0.25">
      <c r="A24" s="3" t="s">
        <v>16</v>
      </c>
      <c r="B24" s="28"/>
      <c r="C24" s="29"/>
      <c r="D24" s="30"/>
      <c r="E24" s="31"/>
      <c r="F24" s="32"/>
      <c r="G24" s="31">
        <f>E21-C31</f>
        <v>39600</v>
      </c>
      <c r="H24" s="33"/>
      <c r="I24" s="3"/>
      <c r="N24" s="42">
        <f>C31</f>
        <v>4400</v>
      </c>
    </row>
    <row r="25" spans="1:14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  <c r="N25" s="27">
        <f>N23-N24</f>
        <v>39600</v>
      </c>
    </row>
    <row r="26" spans="1:14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>
        <f>3500+5000</f>
        <v>8500</v>
      </c>
      <c r="N26">
        <v>3000</v>
      </c>
    </row>
    <row r="27" spans="1:14" x14ac:dyDescent="0.25">
      <c r="A27" s="25" t="s">
        <v>124</v>
      </c>
      <c r="B27" s="37">
        <f>E21</f>
        <v>44000</v>
      </c>
      <c r="C27" s="25"/>
      <c r="D27" s="25"/>
      <c r="E27" s="25" t="s">
        <v>125</v>
      </c>
      <c r="F27" s="37">
        <f>G21</f>
        <v>44500</v>
      </c>
      <c r="G27" s="25"/>
      <c r="H27" s="25"/>
      <c r="I27" s="33"/>
      <c r="J27" s="27"/>
      <c r="N27" s="27">
        <f>N25-N26</f>
        <v>36600</v>
      </c>
    </row>
    <row r="28" spans="1:14" x14ac:dyDescent="0.25">
      <c r="A28" s="25" t="s">
        <v>22</v>
      </c>
      <c r="B28" s="37">
        <f>'AUGUST 21'!D41</f>
        <v>0</v>
      </c>
      <c r="C28" s="25"/>
      <c r="D28" s="25"/>
      <c r="E28" s="25" t="s">
        <v>22</v>
      </c>
      <c r="F28" s="37">
        <f>'AUGUST 21'!H41</f>
        <v>-12800</v>
      </c>
      <c r="G28" s="25"/>
      <c r="H28" s="25"/>
      <c r="I28" s="33"/>
    </row>
    <row r="29" spans="1:14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4" x14ac:dyDescent="0.25">
      <c r="A30" s="25" t="s">
        <v>138</v>
      </c>
      <c r="B30" s="37">
        <f>C8</f>
        <v>2000</v>
      </c>
      <c r="C30" s="25"/>
      <c r="D30" s="25"/>
      <c r="E30" s="25"/>
      <c r="F30" s="37"/>
      <c r="G30" s="25"/>
      <c r="H30" s="25"/>
      <c r="I30" s="3"/>
    </row>
    <row r="31" spans="1:14" x14ac:dyDescent="0.25">
      <c r="A31" s="25" t="s">
        <v>24</v>
      </c>
      <c r="B31" s="38">
        <v>0.1</v>
      </c>
      <c r="C31" s="37">
        <f>B31*B27</f>
        <v>4400</v>
      </c>
      <c r="D31" s="25"/>
      <c r="E31" s="25" t="s">
        <v>24</v>
      </c>
      <c r="F31" s="38">
        <v>0.1</v>
      </c>
      <c r="G31" s="37">
        <f>F31*B27</f>
        <v>4400</v>
      </c>
      <c r="H31" s="25"/>
      <c r="I31" s="3"/>
    </row>
    <row r="32" spans="1:14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</row>
    <row r="34" spans="1:10" x14ac:dyDescent="0.25">
      <c r="A34" s="39"/>
      <c r="D34" s="41"/>
      <c r="E34" s="39"/>
      <c r="H34" s="25"/>
      <c r="I34" s="3"/>
    </row>
    <row r="35" spans="1:10" x14ac:dyDescent="0.25">
      <c r="A35" s="39" t="s">
        <v>127</v>
      </c>
      <c r="B35" s="38"/>
      <c r="C35" s="25">
        <v>3000</v>
      </c>
      <c r="D35" s="25"/>
      <c r="E35" s="39" t="s">
        <v>127</v>
      </c>
      <c r="F35" s="38"/>
      <c r="G35" s="25">
        <v>3000</v>
      </c>
      <c r="H35" s="25"/>
      <c r="I35" s="33"/>
    </row>
    <row r="36" spans="1:10" x14ac:dyDescent="0.25">
      <c r="A36" s="39" t="s">
        <v>128</v>
      </c>
      <c r="B36" s="38"/>
      <c r="C36" s="25">
        <v>20000</v>
      </c>
      <c r="D36" s="25"/>
      <c r="E36" s="39" t="s">
        <v>128</v>
      </c>
      <c r="F36" s="38"/>
      <c r="G36" s="25">
        <v>20000</v>
      </c>
      <c r="H36" s="25"/>
      <c r="I36" s="43"/>
      <c r="J36" s="27"/>
    </row>
    <row r="37" spans="1:10" x14ac:dyDescent="0.25">
      <c r="A37" s="39" t="s">
        <v>129</v>
      </c>
      <c r="B37" s="25"/>
      <c r="C37" s="41">
        <v>10087</v>
      </c>
      <c r="D37" s="25"/>
      <c r="E37" s="39" t="s">
        <v>129</v>
      </c>
      <c r="F37" s="25"/>
      <c r="G37" s="41">
        <v>10087</v>
      </c>
      <c r="H37" s="25"/>
      <c r="I37" s="3"/>
    </row>
    <row r="38" spans="1:10" x14ac:dyDescent="0.25">
      <c r="A38" s="39" t="s">
        <v>132</v>
      </c>
      <c r="B38" s="25"/>
      <c r="C38" s="41">
        <v>5775</v>
      </c>
      <c r="D38" s="25"/>
      <c r="E38" s="39" t="s">
        <v>132</v>
      </c>
      <c r="F38" s="25"/>
      <c r="G38" s="41">
        <v>5775</v>
      </c>
      <c r="H38" s="25"/>
      <c r="I38" s="3"/>
    </row>
    <row r="39" spans="1:10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41600</v>
      </c>
      <c r="C41" s="44">
        <f>SUM(C33:C40)</f>
        <v>38862</v>
      </c>
      <c r="D41" s="44">
        <f>B41-C41</f>
        <v>2738</v>
      </c>
      <c r="E41" s="36" t="s">
        <v>15</v>
      </c>
      <c r="F41" s="44">
        <f>F27+F28+F30-G31</f>
        <v>27300</v>
      </c>
      <c r="G41" s="44">
        <f>SUM(G33:G40)</f>
        <v>38862</v>
      </c>
      <c r="H41" s="44">
        <f>F41-G41</f>
        <v>-11562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A10" sqref="A10:XFD10"/>
    </sheetView>
  </sheetViews>
  <sheetFormatPr defaultRowHeight="15" x14ac:dyDescent="0.25"/>
  <cols>
    <col min="1" max="1" width="19.42578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130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88</v>
      </c>
      <c r="B6" s="13">
        <v>1</v>
      </c>
      <c r="C6" s="14"/>
      <c r="D6" s="15">
        <f>'SEPT 21'!H6:H22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37</v>
      </c>
      <c r="B7" s="13">
        <v>2</v>
      </c>
      <c r="C7" s="14"/>
      <c r="D7" s="15">
        <f>'SEPT 21'!H7:H23</f>
        <v>3500</v>
      </c>
      <c r="E7" s="16">
        <v>2000</v>
      </c>
      <c r="F7" s="16">
        <f t="shared" ref="F7:F18" si="0">C7+D7+E7</f>
        <v>5500</v>
      </c>
      <c r="G7" s="16">
        <f>4000</f>
        <v>4000</v>
      </c>
      <c r="H7" s="17">
        <f t="shared" ref="H7:H18" si="1">F7-G7</f>
        <v>1500</v>
      </c>
      <c r="I7" s="15"/>
    </row>
    <row r="8" spans="1:10" x14ac:dyDescent="0.25">
      <c r="A8" s="50" t="s">
        <v>133</v>
      </c>
      <c r="B8" s="51">
        <v>3</v>
      </c>
      <c r="C8" s="52"/>
      <c r="D8" s="15">
        <f>'SEPT 21'!H8:H24</f>
        <v>0</v>
      </c>
      <c r="E8" s="54">
        <v>2000</v>
      </c>
      <c r="F8" s="54">
        <f t="shared" si="0"/>
        <v>2000</v>
      </c>
      <c r="G8" s="54">
        <f>2000</f>
        <v>2000</v>
      </c>
      <c r="H8" s="55">
        <f t="shared" si="1"/>
        <v>0</v>
      </c>
      <c r="I8" s="15"/>
    </row>
    <row r="9" spans="1:10" x14ac:dyDescent="0.25">
      <c r="A9" s="19" t="s">
        <v>39</v>
      </c>
      <c r="B9" s="13">
        <v>4</v>
      </c>
      <c r="C9" s="14"/>
      <c r="D9" s="15">
        <f>'SEPT 21'!H9:H25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10" x14ac:dyDescent="0.25">
      <c r="A10" s="19" t="s">
        <v>41</v>
      </c>
      <c r="B10" s="13">
        <v>5</v>
      </c>
      <c r="C10" s="14"/>
      <c r="D10" s="15">
        <f>'SEPT 21'!H10:H26</f>
        <v>0</v>
      </c>
      <c r="E10" s="16">
        <v>2000</v>
      </c>
      <c r="F10" s="16">
        <f t="shared" si="0"/>
        <v>2000</v>
      </c>
      <c r="G10" s="16">
        <v>2000</v>
      </c>
      <c r="H10" s="17">
        <f>F10-G10</f>
        <v>0</v>
      </c>
      <c r="I10" s="15"/>
    </row>
    <row r="11" spans="1:10" x14ac:dyDescent="0.25">
      <c r="A11" s="20" t="s">
        <v>101</v>
      </c>
      <c r="B11" s="13">
        <v>6</v>
      </c>
      <c r="C11" s="14"/>
      <c r="D11" s="15">
        <f>'SEPT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'SEPT 21'!H12:H28</f>
        <v>500</v>
      </c>
      <c r="E12" s="16">
        <v>2000</v>
      </c>
      <c r="F12" s="16">
        <f t="shared" si="0"/>
        <v>2500</v>
      </c>
      <c r="G12" s="16">
        <v>2500</v>
      </c>
      <c r="H12" s="17">
        <f t="shared" si="1"/>
        <v>0</v>
      </c>
      <c r="I12" s="15"/>
    </row>
    <row r="13" spans="1:10" x14ac:dyDescent="0.25">
      <c r="A13" s="21" t="s">
        <v>123</v>
      </c>
      <c r="B13" s="13">
        <v>8</v>
      </c>
      <c r="C13" s="14">
        <v>1000</v>
      </c>
      <c r="D13" s="15"/>
      <c r="E13" s="16">
        <v>2000</v>
      </c>
      <c r="F13" s="16">
        <f t="shared" si="0"/>
        <v>3000</v>
      </c>
      <c r="G13" s="16">
        <v>2000</v>
      </c>
      <c r="H13" s="17">
        <f t="shared" si="1"/>
        <v>1000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'SEPT 21'!H14:H30</f>
        <v>2000</v>
      </c>
      <c r="E14" s="16">
        <v>2000</v>
      </c>
      <c r="F14" s="16">
        <f t="shared" si="0"/>
        <v>4000</v>
      </c>
      <c r="G14" s="16">
        <f>1000+1000</f>
        <v>2000</v>
      </c>
      <c r="H14" s="17">
        <f>F14-G14</f>
        <v>2000</v>
      </c>
      <c r="I14" s="15"/>
    </row>
    <row r="15" spans="1:10" x14ac:dyDescent="0.25">
      <c r="A15" s="22" t="s">
        <v>94</v>
      </c>
      <c r="B15" s="23">
        <v>10</v>
      </c>
      <c r="C15" s="14"/>
      <c r="D15" s="15">
        <f>'SEPT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  <c r="J15" s="27">
        <f>H7+H9+H16+H20</f>
        <v>7300</v>
      </c>
    </row>
    <row r="16" spans="1:10" x14ac:dyDescent="0.25">
      <c r="A16" s="22" t="s">
        <v>65</v>
      </c>
      <c r="B16" s="13" t="s">
        <v>10</v>
      </c>
      <c r="C16" s="14"/>
      <c r="D16" s="15">
        <f>'SEPT 21'!H16:H32</f>
        <v>1000</v>
      </c>
      <c r="E16" s="16">
        <v>5000</v>
      </c>
      <c r="F16" s="16">
        <f t="shared" si="0"/>
        <v>6000</v>
      </c>
      <c r="G16" s="16">
        <v>5000</v>
      </c>
      <c r="H16" s="17">
        <f t="shared" si="1"/>
        <v>1000</v>
      </c>
      <c r="I16" s="15"/>
    </row>
    <row r="17" spans="1:11" x14ac:dyDescent="0.25">
      <c r="A17" s="18" t="s">
        <v>47</v>
      </c>
      <c r="B17" s="13" t="s">
        <v>11</v>
      </c>
      <c r="C17" s="14"/>
      <c r="D17" s="15">
        <f>'SEPT 21'!H17:H33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1" x14ac:dyDescent="0.25">
      <c r="A18" s="12" t="s">
        <v>37</v>
      </c>
      <c r="B18" s="13" t="s">
        <v>12</v>
      </c>
      <c r="C18" s="14"/>
      <c r="D18" s="15">
        <f>'SEPT 21'!H18:H34</f>
        <v>7000</v>
      </c>
      <c r="E18" s="16">
        <v>5000</v>
      </c>
      <c r="F18" s="16">
        <f t="shared" si="0"/>
        <v>12000</v>
      </c>
      <c r="G18" s="16">
        <f>5000+5000</f>
        <v>10000</v>
      </c>
      <c r="H18" s="17">
        <f t="shared" si="1"/>
        <v>2000</v>
      </c>
      <c r="I18" s="15"/>
    </row>
    <row r="19" spans="1:11" x14ac:dyDescent="0.25">
      <c r="A19" s="12" t="s">
        <v>48</v>
      </c>
      <c r="B19" s="13" t="s">
        <v>13</v>
      </c>
      <c r="C19" s="14"/>
      <c r="D19" s="15">
        <f>'SEPT 21'!H19:H35</f>
        <v>0</v>
      </c>
      <c r="E19" s="16">
        <v>5000</v>
      </c>
      <c r="F19" s="16">
        <f>C19+D19+E19</f>
        <v>5000</v>
      </c>
      <c r="G19" s="16">
        <v>5000</v>
      </c>
      <c r="H19" s="17">
        <f>F19-G19</f>
        <v>0</v>
      </c>
      <c r="I19" s="15"/>
      <c r="K19" s="27"/>
    </row>
    <row r="20" spans="1:11" x14ac:dyDescent="0.25">
      <c r="A20" s="12" t="s">
        <v>49</v>
      </c>
      <c r="B20" s="13" t="s">
        <v>14</v>
      </c>
      <c r="C20" s="14"/>
      <c r="D20" s="15">
        <f>'SEPT 21'!H20:H36</f>
        <v>3300</v>
      </c>
      <c r="E20" s="16">
        <v>5000</v>
      </c>
      <c r="F20" s="16">
        <f>C20+D20+E20</f>
        <v>8300</v>
      </c>
      <c r="G20" s="16">
        <f>2000+1000+1500</f>
        <v>4500</v>
      </c>
      <c r="H20" s="17">
        <f>F20-G20</f>
        <v>3800</v>
      </c>
      <c r="I20" s="15"/>
    </row>
    <row r="21" spans="1:11" x14ac:dyDescent="0.25">
      <c r="A21" s="24" t="s">
        <v>15</v>
      </c>
      <c r="B21" s="25"/>
      <c r="C21" s="14">
        <f t="shared" ref="C21:I21" si="2">SUM(C6:C20)</f>
        <v>1000</v>
      </c>
      <c r="D21" s="15">
        <f>'SEPT 21'!H21:H37</f>
        <v>19300</v>
      </c>
      <c r="E21" s="26">
        <f t="shared" si="2"/>
        <v>45000</v>
      </c>
      <c r="F21" s="16">
        <f t="shared" si="2"/>
        <v>64300</v>
      </c>
      <c r="G21" s="16">
        <f t="shared" si="2"/>
        <v>52000</v>
      </c>
      <c r="H21" s="16">
        <f t="shared" si="2"/>
        <v>12300</v>
      </c>
      <c r="I21" s="15">
        <f t="shared" si="2"/>
        <v>0</v>
      </c>
    </row>
    <row r="22" spans="1:11" x14ac:dyDescent="0.25">
      <c r="D22" s="15">
        <f>'SEPT 21'!H22:H38</f>
        <v>12200</v>
      </c>
      <c r="H22" s="27">
        <f>H21-H18-H13-H8-H14</f>
        <v>7300</v>
      </c>
      <c r="I22" s="3"/>
    </row>
    <row r="23" spans="1:11" x14ac:dyDescent="0.25">
      <c r="I23" s="27"/>
    </row>
    <row r="24" spans="1:11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11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</row>
    <row r="26" spans="1:11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</row>
    <row r="27" spans="1:11" x14ac:dyDescent="0.25">
      <c r="A27" s="25" t="s">
        <v>131</v>
      </c>
      <c r="B27" s="37">
        <f>E21</f>
        <v>45000</v>
      </c>
      <c r="C27" s="25"/>
      <c r="D27" s="25"/>
      <c r="E27" s="25" t="s">
        <v>131</v>
      </c>
      <c r="F27" s="37">
        <f>G21</f>
        <v>52000</v>
      </c>
      <c r="G27" s="25"/>
      <c r="H27" s="25"/>
      <c r="I27" s="33"/>
    </row>
    <row r="28" spans="1:11" x14ac:dyDescent="0.25">
      <c r="A28" s="25" t="s">
        <v>22</v>
      </c>
      <c r="B28" s="37">
        <f>'SEPT 21'!D41</f>
        <v>2738</v>
      </c>
      <c r="C28" s="25"/>
      <c r="D28" s="25"/>
      <c r="E28" s="25" t="s">
        <v>22</v>
      </c>
      <c r="F28" s="37">
        <f>'SEPT 21'!H41</f>
        <v>-11562</v>
      </c>
      <c r="G28" s="25"/>
      <c r="H28" s="25"/>
      <c r="I28" s="33"/>
    </row>
    <row r="29" spans="1:11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1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11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</row>
    <row r="32" spans="1:11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  <c r="K32" s="42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/>
      <c r="B35" s="38"/>
      <c r="C35" s="25"/>
      <c r="D35" s="25"/>
      <c r="E35" s="39"/>
      <c r="F35" s="38"/>
      <c r="G35" s="25"/>
      <c r="H35" s="25"/>
      <c r="I35" s="33"/>
    </row>
    <row r="36" spans="1:11" x14ac:dyDescent="0.25">
      <c r="A36" s="39" t="s">
        <v>137</v>
      </c>
      <c r="B36" s="38"/>
      <c r="C36" s="25">
        <v>20105</v>
      </c>
      <c r="D36" s="25"/>
      <c r="E36" s="39" t="s">
        <v>128</v>
      </c>
      <c r="F36" s="38"/>
      <c r="G36" s="25">
        <f>20105</f>
        <v>20105</v>
      </c>
      <c r="H36" s="25"/>
      <c r="I36" s="43"/>
    </row>
    <row r="37" spans="1:11" x14ac:dyDescent="0.25">
      <c r="A37" s="39" t="s">
        <v>136</v>
      </c>
      <c r="B37" s="25"/>
      <c r="C37" s="41">
        <v>20500</v>
      </c>
      <c r="D37" s="25"/>
      <c r="E37" s="39" t="s">
        <v>136</v>
      </c>
      <c r="F37" s="25"/>
      <c r="G37" s="41">
        <v>20500</v>
      </c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</row>
    <row r="41" spans="1:11" x14ac:dyDescent="0.25">
      <c r="A41" s="36" t="s">
        <v>15</v>
      </c>
      <c r="B41" s="44">
        <f>B30+B27+B28+B29-C31</f>
        <v>43238</v>
      </c>
      <c r="C41" s="44">
        <f>SUM(C33:C40)</f>
        <v>40605</v>
      </c>
      <c r="D41" s="44">
        <f>B41-C41</f>
        <v>2633</v>
      </c>
      <c r="E41" s="36" t="s">
        <v>15</v>
      </c>
      <c r="F41" s="44">
        <f>F27+F28+F30-G31</f>
        <v>35938</v>
      </c>
      <c r="G41" s="44">
        <f>SUM(G33:G40)</f>
        <v>40605</v>
      </c>
      <c r="H41" s="44">
        <f>F41-G41</f>
        <v>-4667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G21" sqref="G21"/>
    </sheetView>
  </sheetViews>
  <sheetFormatPr defaultRowHeight="15" x14ac:dyDescent="0.25"/>
  <cols>
    <col min="1" max="1" width="29.85546875" customWidth="1"/>
    <col min="5" max="5" width="12.8554687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135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'OCTOBER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'OCTOBER 21'!H7:H21</f>
        <v>1500</v>
      </c>
      <c r="E7" s="16">
        <v>2000</v>
      </c>
      <c r="F7" s="16">
        <f t="shared" ref="F7:F18" si="0">C7+D7+E7</f>
        <v>3500</v>
      </c>
      <c r="G7" s="16">
        <v>2000</v>
      </c>
      <c r="H7" s="17">
        <f t="shared" ref="H7:H18" si="1">F7-G7</f>
        <v>1500</v>
      </c>
      <c r="I7" s="15"/>
    </row>
    <row r="8" spans="1:9" x14ac:dyDescent="0.25">
      <c r="A8" s="50" t="s">
        <v>133</v>
      </c>
      <c r="B8" s="51">
        <v>3</v>
      </c>
      <c r="C8" s="52"/>
      <c r="D8" s="15"/>
      <c r="E8" s="54">
        <v>2000</v>
      </c>
      <c r="F8" s="54">
        <f t="shared" si="0"/>
        <v>2000</v>
      </c>
      <c r="G8" s="54">
        <v>2000</v>
      </c>
      <c r="H8" s="55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'OCTOBER 21'!H9:H23</f>
        <v>1000</v>
      </c>
      <c r="E9" s="16">
        <v>2000</v>
      </c>
      <c r="F9" s="16">
        <f t="shared" si="0"/>
        <v>3000</v>
      </c>
      <c r="G9" s="16">
        <v>2000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'OCTOBER 21'!H10:H24</f>
        <v>0</v>
      </c>
      <c r="E10" s="16">
        <v>2000</v>
      </c>
      <c r="F10" s="16">
        <f t="shared" si="0"/>
        <v>2000</v>
      </c>
      <c r="G10" s="16">
        <v>2000</v>
      </c>
      <c r="H10" s="17">
        <f>F10-G10</f>
        <v>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'OCTOBER 21'!H11:H25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'OCTOBER 21'!H12:H26</f>
        <v>0</v>
      </c>
      <c r="E12" s="16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9" x14ac:dyDescent="0.25">
      <c r="A13" s="21" t="s">
        <v>123</v>
      </c>
      <c r="B13" s="13">
        <v>8</v>
      </c>
      <c r="C13" s="14">
        <v>1000</v>
      </c>
      <c r="D13" s="15">
        <f>M15</f>
        <v>0</v>
      </c>
      <c r="E13" s="16">
        <v>2000</v>
      </c>
      <c r="F13" s="16">
        <f t="shared" si="0"/>
        <v>3000</v>
      </c>
      <c r="G13" s="16">
        <v>2000</v>
      </c>
      <c r="H13" s="17">
        <f t="shared" si="1"/>
        <v>1000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'OCTOBER 21'!H14:H28</f>
        <v>2000</v>
      </c>
      <c r="E14" s="16">
        <v>2000</v>
      </c>
      <c r="F14" s="16">
        <f t="shared" si="0"/>
        <v>4000</v>
      </c>
      <c r="G14" s="16">
        <f>1000+1000</f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'OCTOBER 21'!H15:H29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'OCTOBER 21'!H16:H30</f>
        <v>1000</v>
      </c>
      <c r="E16" s="16">
        <v>5000</v>
      </c>
      <c r="F16" s="16">
        <f t="shared" si="0"/>
        <v>6000</v>
      </c>
      <c r="G16" s="16">
        <v>5000</v>
      </c>
      <c r="H16" s="17">
        <f t="shared" si="1"/>
        <v>1000</v>
      </c>
      <c r="I16" s="15"/>
    </row>
    <row r="17" spans="1:11" x14ac:dyDescent="0.25">
      <c r="A17" s="18" t="s">
        <v>47</v>
      </c>
      <c r="B17" s="13" t="s">
        <v>11</v>
      </c>
      <c r="C17" s="14"/>
      <c r="D17" s="15">
        <f>'OCTOBER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1" x14ac:dyDescent="0.25">
      <c r="A18" s="12" t="s">
        <v>37</v>
      </c>
      <c r="B18" s="13" t="s">
        <v>12</v>
      </c>
      <c r="C18" s="14"/>
      <c r="D18" s="15">
        <f>'OCTOBER 21'!H18:H32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1" x14ac:dyDescent="0.25">
      <c r="A19" s="12" t="s">
        <v>48</v>
      </c>
      <c r="B19" s="13" t="s">
        <v>13</v>
      </c>
      <c r="C19" s="14"/>
      <c r="D19" s="15">
        <f>'OCTOBER 21'!H19:H33</f>
        <v>0</v>
      </c>
      <c r="E19" s="16">
        <v>5000</v>
      </c>
      <c r="F19" s="16">
        <f>C19+D19+E19</f>
        <v>5000</v>
      </c>
      <c r="G19" s="16"/>
      <c r="H19" s="17">
        <f>F19-G19</f>
        <v>5000</v>
      </c>
      <c r="I19" s="15"/>
    </row>
    <row r="20" spans="1:11" x14ac:dyDescent="0.25">
      <c r="A20" s="12" t="s">
        <v>49</v>
      </c>
      <c r="B20" s="13" t="s">
        <v>14</v>
      </c>
      <c r="C20" s="14"/>
      <c r="D20" s="15">
        <f>'OCTOBER 21'!H20:H34</f>
        <v>3800</v>
      </c>
      <c r="E20" s="16">
        <v>5000</v>
      </c>
      <c r="F20" s="16">
        <f>C20+D20+E20</f>
        <v>8800</v>
      </c>
      <c r="G20" s="16">
        <f>1000+2500+1000+1300+1000</f>
        <v>6800</v>
      </c>
      <c r="H20" s="17">
        <f>F20-G20</f>
        <v>2000</v>
      </c>
      <c r="I20" s="15"/>
    </row>
    <row r="21" spans="1:11" x14ac:dyDescent="0.25">
      <c r="A21" s="24" t="s">
        <v>15</v>
      </c>
      <c r="B21" s="25"/>
      <c r="C21" s="14">
        <f t="shared" ref="C21:I21" si="2">SUM(C6:C20)</f>
        <v>1000</v>
      </c>
      <c r="D21" s="15">
        <f>SUM(D6:D20)</f>
        <v>11300</v>
      </c>
      <c r="E21" s="26">
        <f t="shared" si="2"/>
        <v>45000</v>
      </c>
      <c r="F21" s="16">
        <f t="shared" si="2"/>
        <v>57300</v>
      </c>
      <c r="G21" s="16">
        <f t="shared" si="2"/>
        <v>41800</v>
      </c>
      <c r="H21" s="16">
        <f t="shared" si="2"/>
        <v>15500</v>
      </c>
      <c r="I21" s="15">
        <f t="shared" si="2"/>
        <v>0</v>
      </c>
    </row>
    <row r="22" spans="1:11" x14ac:dyDescent="0.25">
      <c r="D22" s="15">
        <f>'SEPT 21'!H22:H38</f>
        <v>12200</v>
      </c>
      <c r="H22" s="27">
        <f>H21-3100-D14-D18</f>
        <v>8400</v>
      </c>
      <c r="I22" s="3"/>
    </row>
    <row r="23" spans="1:11" x14ac:dyDescent="0.25">
      <c r="I23" s="27"/>
    </row>
    <row r="24" spans="1:11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11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</row>
    <row r="26" spans="1:11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</row>
    <row r="27" spans="1:11" x14ac:dyDescent="0.25">
      <c r="A27" s="25" t="s">
        <v>134</v>
      </c>
      <c r="B27" s="37">
        <f>E21</f>
        <v>45000</v>
      </c>
      <c r="C27" s="25"/>
      <c r="D27" s="25"/>
      <c r="E27" s="25" t="s">
        <v>134</v>
      </c>
      <c r="F27" s="37">
        <f>G21</f>
        <v>41800</v>
      </c>
      <c r="G27" s="25"/>
      <c r="H27" s="25"/>
      <c r="I27" s="33"/>
    </row>
    <row r="28" spans="1:11" x14ac:dyDescent="0.25">
      <c r="A28" s="25" t="s">
        <v>22</v>
      </c>
      <c r="B28" s="37">
        <f>'OCTOBER 21'!D41</f>
        <v>2633</v>
      </c>
      <c r="C28" s="25"/>
      <c r="D28" s="25"/>
      <c r="E28" s="25" t="s">
        <v>22</v>
      </c>
      <c r="F28" s="37">
        <f>'OCTOBER 21'!H41</f>
        <v>-4667</v>
      </c>
      <c r="G28" s="25"/>
      <c r="H28" s="25"/>
      <c r="I28" s="33"/>
    </row>
    <row r="29" spans="1:11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1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11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</row>
    <row r="32" spans="1:11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  <c r="K32" s="42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 t="s">
        <v>139</v>
      </c>
      <c r="B35" s="38"/>
      <c r="C35" s="25">
        <v>20000</v>
      </c>
      <c r="D35" s="25"/>
      <c r="E35" s="39" t="s">
        <v>139</v>
      </c>
      <c r="F35" s="38"/>
      <c r="G35" s="25">
        <v>20000</v>
      </c>
      <c r="H35" s="25"/>
      <c r="I35" s="33"/>
    </row>
    <row r="36" spans="1:11" x14ac:dyDescent="0.25">
      <c r="A36" s="39" t="s">
        <v>140</v>
      </c>
      <c r="B36" s="38"/>
      <c r="C36" s="25">
        <v>10087</v>
      </c>
      <c r="D36" s="25"/>
      <c r="E36" s="39" t="s">
        <v>140</v>
      </c>
      <c r="F36" s="38"/>
      <c r="G36" s="25">
        <v>10087</v>
      </c>
      <c r="H36" s="25"/>
      <c r="I36" s="43"/>
    </row>
    <row r="37" spans="1:11" x14ac:dyDescent="0.25">
      <c r="A37" s="39" t="s">
        <v>141</v>
      </c>
      <c r="B37" s="25"/>
      <c r="C37" s="41">
        <v>10000</v>
      </c>
      <c r="D37" s="25"/>
      <c r="E37" s="39" t="s">
        <v>141</v>
      </c>
      <c r="F37" s="25"/>
      <c r="G37" s="41">
        <v>10000</v>
      </c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</row>
    <row r="41" spans="1:11" x14ac:dyDescent="0.25">
      <c r="A41" s="36" t="s">
        <v>15</v>
      </c>
      <c r="B41" s="44">
        <f>B30+B27+B28+B29-C31</f>
        <v>43133</v>
      </c>
      <c r="C41" s="44">
        <f>SUM(C33:C40)</f>
        <v>40087</v>
      </c>
      <c r="D41" s="44">
        <f>B41-C41</f>
        <v>3046</v>
      </c>
      <c r="E41" s="36" t="s">
        <v>15</v>
      </c>
      <c r="F41" s="44">
        <f>F27+F28+F30-G31</f>
        <v>32633</v>
      </c>
      <c r="G41" s="44">
        <f>SUM(G33:G40)</f>
        <v>40087</v>
      </c>
      <c r="H41" s="44">
        <f>F41-G41</f>
        <v>-7454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abSelected="1" topLeftCell="A10" workbookViewId="0">
      <selection activeCell="A12" sqref="A12:XFD12"/>
    </sheetView>
  </sheetViews>
  <sheetFormatPr defaultRowHeight="15" x14ac:dyDescent="0.25"/>
  <cols>
    <col min="1" max="1" width="22.28515625" customWidth="1"/>
    <col min="2" max="2" width="17.85546875" customWidth="1"/>
    <col min="3" max="3" width="11" customWidth="1"/>
    <col min="4" max="4" width="10.42578125" customWidth="1"/>
    <col min="5" max="5" width="14" customWidth="1"/>
    <col min="6" max="6" width="12.140625" customWidth="1"/>
    <col min="7" max="7" width="13.140625" customWidth="1"/>
    <col min="8" max="8" width="14.42578125" customWidth="1"/>
    <col min="9" max="9" width="11.285156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142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'NOVEMBER 21'!H6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'NOVEMBER 21'!H7</f>
        <v>1500</v>
      </c>
      <c r="E7" s="16">
        <v>2000</v>
      </c>
      <c r="F7" s="16">
        <f t="shared" ref="F7:F18" si="0">C7+D7+E7</f>
        <v>3500</v>
      </c>
      <c r="G7" s="16">
        <f>2000</f>
        <v>2000</v>
      </c>
      <c r="H7" s="17">
        <f t="shared" ref="H7:H18" si="1">F7-G7</f>
        <v>1500</v>
      </c>
      <c r="I7" s="15"/>
    </row>
    <row r="8" spans="1:9" x14ac:dyDescent="0.25">
      <c r="A8" s="50" t="s">
        <v>133</v>
      </c>
      <c r="B8" s="51">
        <v>3</v>
      </c>
      <c r="C8" s="52"/>
      <c r="D8" s="15">
        <f>'NOVEMBER 21'!H8</f>
        <v>0</v>
      </c>
      <c r="E8" s="54">
        <v>2000</v>
      </c>
      <c r="F8" s="54">
        <f t="shared" si="0"/>
        <v>2000</v>
      </c>
      <c r="G8" s="54">
        <v>2000</v>
      </c>
      <c r="H8" s="55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'NOVEMBER 21'!H9</f>
        <v>1000</v>
      </c>
      <c r="E9" s="16">
        <v>2000</v>
      </c>
      <c r="F9" s="16">
        <f t="shared" si="0"/>
        <v>3000</v>
      </c>
      <c r="G9" s="16">
        <v>2000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'NOVEMBER 21'!H10</f>
        <v>0</v>
      </c>
      <c r="E10" s="16">
        <v>2000</v>
      </c>
      <c r="F10" s="16">
        <f t="shared" si="0"/>
        <v>2000</v>
      </c>
      <c r="G10" s="16"/>
      <c r="H10" s="17">
        <f>F10-G10</f>
        <v>2000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'NOVEMBER 21'!H11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'NOVEMBER 21'!H12</f>
        <v>0</v>
      </c>
      <c r="E12" s="16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9" x14ac:dyDescent="0.25">
      <c r="A13" s="21" t="s">
        <v>123</v>
      </c>
      <c r="B13" s="13">
        <v>8</v>
      </c>
      <c r="C13" s="14">
        <v>1000</v>
      </c>
      <c r="D13" s="15"/>
      <c r="E13" s="16">
        <v>2000</v>
      </c>
      <c r="F13" s="16">
        <f t="shared" si="0"/>
        <v>3000</v>
      </c>
      <c r="G13" s="16">
        <v>2000</v>
      </c>
      <c r="H13" s="17">
        <f t="shared" si="1"/>
        <v>1000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'NOVEMBER 21'!H14</f>
        <v>2000</v>
      </c>
      <c r="E14" s="16">
        <v>2000</v>
      </c>
      <c r="F14" s="16">
        <f t="shared" si="0"/>
        <v>4000</v>
      </c>
      <c r="G14" s="16"/>
      <c r="H14" s="17">
        <f>F14-G14</f>
        <v>4000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'NOVEMBER 21'!H15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'NOVEMBER 21'!H16</f>
        <v>1000</v>
      </c>
      <c r="E16" s="16">
        <v>5000</v>
      </c>
      <c r="F16" s="16">
        <f t="shared" si="0"/>
        <v>6000</v>
      </c>
      <c r="G16" s="16"/>
      <c r="H16" s="17">
        <f t="shared" si="1"/>
        <v>6000</v>
      </c>
      <c r="I16" s="15"/>
    </row>
    <row r="17" spans="1:9" x14ac:dyDescent="0.25">
      <c r="A17" s="18" t="s">
        <v>47</v>
      </c>
      <c r="B17" s="13" t="s">
        <v>11</v>
      </c>
      <c r="C17" s="14"/>
      <c r="D17" s="15">
        <f>'NOVEMBER 21'!H17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9" x14ac:dyDescent="0.25">
      <c r="A18" s="12" t="s">
        <v>37</v>
      </c>
      <c r="B18" s="13" t="s">
        <v>12</v>
      </c>
      <c r="C18" s="14"/>
      <c r="D18" s="15">
        <f>'NOVEMBER 21'!H18</f>
        <v>2000</v>
      </c>
      <c r="E18" s="16">
        <v>5000</v>
      </c>
      <c r="F18" s="16">
        <f t="shared" si="0"/>
        <v>7000</v>
      </c>
      <c r="G18" s="16">
        <v>5000</v>
      </c>
      <c r="H18" s="17">
        <f t="shared" si="1"/>
        <v>2000</v>
      </c>
      <c r="I18" s="15"/>
    </row>
    <row r="19" spans="1:9" x14ac:dyDescent="0.25">
      <c r="A19" s="12" t="s">
        <v>48</v>
      </c>
      <c r="B19" s="13" t="s">
        <v>13</v>
      </c>
      <c r="C19" s="14"/>
      <c r="D19" s="15">
        <f>'NOVEMBER 21'!H19</f>
        <v>5000</v>
      </c>
      <c r="E19" s="16">
        <v>5000</v>
      </c>
      <c r="F19" s="16">
        <f>C19+D19+E19</f>
        <v>10000</v>
      </c>
      <c r="G19" s="16">
        <f>5000</f>
        <v>5000</v>
      </c>
      <c r="H19" s="17">
        <f>F19-G19</f>
        <v>5000</v>
      </c>
      <c r="I19" s="15"/>
    </row>
    <row r="20" spans="1:9" x14ac:dyDescent="0.25">
      <c r="A20" s="12" t="s">
        <v>49</v>
      </c>
      <c r="B20" s="13" t="s">
        <v>14</v>
      </c>
      <c r="C20" s="14"/>
      <c r="D20" s="15">
        <f>'NOVEMBER 21'!H20</f>
        <v>2000</v>
      </c>
      <c r="E20" s="16">
        <v>5000</v>
      </c>
      <c r="F20" s="16">
        <f>C20+D20+E20</f>
        <v>7000</v>
      </c>
      <c r="G20" s="16"/>
      <c r="H20" s="17">
        <f>F20-G20</f>
        <v>7000</v>
      </c>
      <c r="I20" s="15"/>
    </row>
    <row r="21" spans="1:9" x14ac:dyDescent="0.25">
      <c r="A21" s="24" t="s">
        <v>15</v>
      </c>
      <c r="B21" s="25"/>
      <c r="C21" s="14">
        <f t="shared" ref="C21:I21" si="2">SUM(C6:C20)</f>
        <v>1000</v>
      </c>
      <c r="D21" s="15">
        <f>SUM(D6:D20)</f>
        <v>14500</v>
      </c>
      <c r="E21" s="26">
        <f t="shared" si="2"/>
        <v>45000</v>
      </c>
      <c r="F21" s="16">
        <f t="shared" si="2"/>
        <v>60500</v>
      </c>
      <c r="G21" s="16">
        <f t="shared" si="2"/>
        <v>31000</v>
      </c>
      <c r="H21" s="16">
        <f t="shared" si="2"/>
        <v>29500</v>
      </c>
      <c r="I21" s="15">
        <f t="shared" si="2"/>
        <v>0</v>
      </c>
    </row>
    <row r="22" spans="1:9" x14ac:dyDescent="0.25">
      <c r="D22" s="15">
        <f>'SEPT 21'!H22:H38</f>
        <v>12200</v>
      </c>
      <c r="H22" s="27">
        <f>H21-3100-D14-D18</f>
        <v>22400</v>
      </c>
      <c r="I22" s="3"/>
    </row>
    <row r="23" spans="1:9" x14ac:dyDescent="0.25">
      <c r="I23" s="27"/>
    </row>
    <row r="24" spans="1:9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9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</row>
    <row r="26" spans="1:9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</row>
    <row r="27" spans="1:9" x14ac:dyDescent="0.25">
      <c r="A27" s="25" t="s">
        <v>34</v>
      </c>
      <c r="B27" s="37">
        <f>E21</f>
        <v>45000</v>
      </c>
      <c r="C27" s="25"/>
      <c r="D27" s="25"/>
      <c r="E27" s="25" t="s">
        <v>34</v>
      </c>
      <c r="F27" s="37">
        <f>G21</f>
        <v>31000</v>
      </c>
      <c r="G27" s="25"/>
      <c r="H27" s="25"/>
      <c r="I27" s="33"/>
    </row>
    <row r="28" spans="1:9" x14ac:dyDescent="0.25">
      <c r="A28" s="25" t="s">
        <v>22</v>
      </c>
      <c r="B28" s="37">
        <f>'NOVEMBER 21'!D41</f>
        <v>3046</v>
      </c>
      <c r="C28" s="25"/>
      <c r="D28" s="25"/>
      <c r="E28" s="25" t="s">
        <v>22</v>
      </c>
      <c r="F28" s="37">
        <f>'NOVEMBER 21'!H41</f>
        <v>-7454</v>
      </c>
      <c r="G28" s="25"/>
      <c r="H28" s="25"/>
      <c r="I28" s="33"/>
    </row>
    <row r="29" spans="1:9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9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9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</row>
    <row r="32" spans="1:9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9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</row>
    <row r="34" spans="1:9" x14ac:dyDescent="0.25">
      <c r="A34" s="39"/>
      <c r="D34" s="41"/>
      <c r="E34" s="39"/>
      <c r="H34" s="25"/>
      <c r="I34" s="3"/>
    </row>
    <row r="35" spans="1:9" x14ac:dyDescent="0.25">
      <c r="A35" s="39" t="s">
        <v>143</v>
      </c>
      <c r="B35" s="38"/>
      <c r="C35" s="25">
        <v>20000</v>
      </c>
      <c r="D35" s="25"/>
      <c r="E35" s="39" t="s">
        <v>143</v>
      </c>
      <c r="F35" s="38"/>
      <c r="G35" s="25">
        <v>20000</v>
      </c>
      <c r="H35" s="25"/>
      <c r="I35" s="33"/>
    </row>
    <row r="36" spans="1:9" x14ac:dyDescent="0.25">
      <c r="A36" s="39" t="s">
        <v>144</v>
      </c>
      <c r="B36" s="38"/>
      <c r="C36" s="25">
        <v>6000</v>
      </c>
      <c r="D36" s="25"/>
      <c r="E36" s="39" t="s">
        <v>144</v>
      </c>
      <c r="F36" s="38"/>
      <c r="G36" s="25">
        <v>6000</v>
      </c>
      <c r="H36" s="25"/>
      <c r="I36" s="43"/>
    </row>
    <row r="37" spans="1:9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9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9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9" x14ac:dyDescent="0.25">
      <c r="A40" s="39"/>
      <c r="B40" s="25"/>
      <c r="C40" s="41"/>
      <c r="D40" s="25"/>
      <c r="E40" s="39"/>
      <c r="F40" s="25"/>
      <c r="G40" s="41"/>
      <c r="H40" s="25"/>
      <c r="I40" s="3"/>
    </row>
    <row r="41" spans="1:9" x14ac:dyDescent="0.25">
      <c r="A41" s="36" t="s">
        <v>15</v>
      </c>
      <c r="B41" s="44">
        <f>B30+B27+B28+B29-C31</f>
        <v>43546</v>
      </c>
      <c r="C41" s="44">
        <f>SUM(C33:C40)</f>
        <v>26000</v>
      </c>
      <c r="D41" s="44">
        <f>B41-C41</f>
        <v>17546</v>
      </c>
      <c r="E41" s="36" t="s">
        <v>15</v>
      </c>
      <c r="F41" s="44">
        <f>F27+F28+F30-G31</f>
        <v>19046</v>
      </c>
      <c r="G41" s="44">
        <f>SUM(G33:G40)</f>
        <v>26000</v>
      </c>
      <c r="H41" s="44">
        <f>F41-G41</f>
        <v>-6954</v>
      </c>
      <c r="I41" s="43"/>
    </row>
    <row r="42" spans="1:9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9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>
        <f>5*5</f>
        <v>25</v>
      </c>
    </row>
    <row r="44" spans="1:9" x14ac:dyDescent="0.25">
      <c r="I44">
        <f>5*3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8"/>
  <sheetViews>
    <sheetView workbookViewId="0">
      <selection activeCell="E7" sqref="E7"/>
    </sheetView>
  </sheetViews>
  <sheetFormatPr defaultRowHeight="15" x14ac:dyDescent="0.25"/>
  <cols>
    <col min="1" max="1" width="18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62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63</v>
      </c>
      <c r="B6" s="13">
        <v>1</v>
      </c>
      <c r="C6" s="14"/>
      <c r="D6" s="15"/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'DECEMBER 20'!H7:H21</f>
        <v>0</v>
      </c>
      <c r="E7" s="16"/>
      <c r="F7" s="16">
        <f t="shared" ref="F7:F18" si="0">C7+D7+E7</f>
        <v>0</v>
      </c>
      <c r="G7" s="16"/>
      <c r="H7" s="17">
        <f t="shared" ref="H7:H18" si="1">F7-G7</f>
        <v>0</v>
      </c>
      <c r="I7" s="15"/>
    </row>
    <row r="8" spans="1:9" x14ac:dyDescent="0.25">
      <c r="A8" s="18" t="s">
        <v>38</v>
      </c>
      <c r="B8" s="13">
        <v>3</v>
      </c>
      <c r="C8" s="14"/>
      <c r="D8" s="15">
        <f>'DECEMBER 20'!H8:H22</f>
        <v>200</v>
      </c>
      <c r="E8" s="16">
        <v>2000</v>
      </c>
      <c r="F8" s="16">
        <f t="shared" si="0"/>
        <v>2200</v>
      </c>
      <c r="G8" s="16">
        <f>200+900+300</f>
        <v>1400</v>
      </c>
      <c r="H8" s="17">
        <f t="shared" si="1"/>
        <v>800</v>
      </c>
      <c r="I8" s="15"/>
    </row>
    <row r="9" spans="1:9" x14ac:dyDescent="0.25">
      <c r="A9" s="19" t="s">
        <v>39</v>
      </c>
      <c r="B9" s="13">
        <v>4</v>
      </c>
      <c r="C9" s="14"/>
      <c r="D9" s="15">
        <f>'DECEMBER 20'!H9:H23</f>
        <v>0</v>
      </c>
      <c r="E9" s="16">
        <v>2000</v>
      </c>
      <c r="F9" s="16">
        <f t="shared" si="0"/>
        <v>2000</v>
      </c>
      <c r="G9" s="16">
        <f>1000+1000</f>
        <v>2000</v>
      </c>
      <c r="H9" s="17">
        <f>F9-G9</f>
        <v>0</v>
      </c>
      <c r="I9" s="15"/>
    </row>
    <row r="10" spans="1:9" x14ac:dyDescent="0.25">
      <c r="A10" s="19" t="s">
        <v>40</v>
      </c>
      <c r="B10" s="13">
        <v>5</v>
      </c>
      <c r="C10" s="14"/>
      <c r="D10" s="15">
        <f>'DECEMBER 20'!H10:H24</f>
        <v>0</v>
      </c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0" t="s">
        <v>41</v>
      </c>
      <c r="B11" s="13">
        <v>6</v>
      </c>
      <c r="C11" s="14"/>
      <c r="D11" s="15">
        <f>'DECEMBER 20'!H11:H25</f>
        <v>0</v>
      </c>
      <c r="E11" s="16">
        <v>2000</v>
      </c>
      <c r="F11" s="16">
        <f>C11+D11+E11</f>
        <v>2000</v>
      </c>
      <c r="G11" s="16">
        <f>1000</f>
        <v>1000</v>
      </c>
      <c r="H11" s="17">
        <f t="shared" si="1"/>
        <v>1000</v>
      </c>
      <c r="I11" s="15"/>
    </row>
    <row r="12" spans="1:9" x14ac:dyDescent="0.25">
      <c r="A12" s="48" t="s">
        <v>70</v>
      </c>
      <c r="B12" s="13">
        <v>7</v>
      </c>
      <c r="C12" s="14"/>
      <c r="D12" s="15">
        <f>'DECEMBER 20'!H12:H26</f>
        <v>0</v>
      </c>
      <c r="E12" s="16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9" x14ac:dyDescent="0.25">
      <c r="A13" s="49" t="s">
        <v>68</v>
      </c>
      <c r="B13" s="13">
        <v>8</v>
      </c>
      <c r="C13" s="14"/>
      <c r="D13" s="15"/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'DECEMBER 20'!H14:H28</f>
        <v>2000</v>
      </c>
      <c r="E14" s="16">
        <v>2000</v>
      </c>
      <c r="F14" s="16">
        <f t="shared" si="0"/>
        <v>4000</v>
      </c>
      <c r="G14" s="16">
        <v>2000</v>
      </c>
      <c r="H14" s="17">
        <f t="shared" si="1"/>
        <v>2000</v>
      </c>
      <c r="I14" s="15"/>
    </row>
    <row r="15" spans="1:9" x14ac:dyDescent="0.25">
      <c r="A15" s="48" t="s">
        <v>63</v>
      </c>
      <c r="B15" s="23">
        <v>10</v>
      </c>
      <c r="C15" s="14"/>
      <c r="D15" s="15"/>
      <c r="E15" s="16"/>
      <c r="F15" s="16">
        <f t="shared" si="0"/>
        <v>0</v>
      </c>
      <c r="G15" s="16"/>
      <c r="H15" s="17">
        <f t="shared" si="1"/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'DECEMBER 20'!H16:H30</f>
        <v>0</v>
      </c>
      <c r="E16" s="16">
        <v>5000</v>
      </c>
      <c r="F16" s="16">
        <f t="shared" si="0"/>
        <v>5000</v>
      </c>
      <c r="G16" s="16">
        <f>5000</f>
        <v>5000</v>
      </c>
      <c r="H16" s="17">
        <f t="shared" si="1"/>
        <v>0</v>
      </c>
      <c r="I16" s="15"/>
    </row>
    <row r="17" spans="1:15" x14ac:dyDescent="0.25">
      <c r="A17" s="18" t="s">
        <v>47</v>
      </c>
      <c r="B17" s="13" t="s">
        <v>11</v>
      </c>
      <c r="C17" s="14"/>
      <c r="D17" s="15">
        <f>'DECEMBER 20'!H17:H31</f>
        <v>0</v>
      </c>
      <c r="E17" s="16">
        <v>5000</v>
      </c>
      <c r="F17" s="16">
        <f t="shared" si="0"/>
        <v>5000</v>
      </c>
      <c r="G17" s="16">
        <f>5000</f>
        <v>5000</v>
      </c>
      <c r="H17" s="17">
        <f t="shared" si="1"/>
        <v>0</v>
      </c>
      <c r="I17" s="15"/>
    </row>
    <row r="18" spans="1:15" x14ac:dyDescent="0.25">
      <c r="A18" s="12" t="s">
        <v>37</v>
      </c>
      <c r="B18" s="13" t="s">
        <v>12</v>
      </c>
      <c r="C18" s="14"/>
      <c r="D18" s="15">
        <f>'DECEMBER 20'!H18:H32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  <c r="K18" s="27"/>
    </row>
    <row r="19" spans="1:15" x14ac:dyDescent="0.25">
      <c r="A19" s="12" t="s">
        <v>48</v>
      </c>
      <c r="B19" s="13" t="s">
        <v>13</v>
      </c>
      <c r="C19" s="14"/>
      <c r="D19" s="15">
        <f>'DECEMBER 20'!H19:H33</f>
        <v>5000</v>
      </c>
      <c r="E19" s="16">
        <v>5000</v>
      </c>
      <c r="F19" s="16">
        <f>C19+D19+E19</f>
        <v>10000</v>
      </c>
      <c r="G19" s="16"/>
      <c r="H19" s="17">
        <f>F19-G19</f>
        <v>10000</v>
      </c>
      <c r="I19" s="15"/>
    </row>
    <row r="20" spans="1:15" x14ac:dyDescent="0.25">
      <c r="A20" s="12" t="s">
        <v>49</v>
      </c>
      <c r="B20" s="13" t="s">
        <v>14</v>
      </c>
      <c r="C20" s="14"/>
      <c r="D20" s="15">
        <f>'DECEMBER 20'!H20:H34</f>
        <v>3100</v>
      </c>
      <c r="E20" s="16">
        <v>5000</v>
      </c>
      <c r="F20" s="16">
        <f>C20+D20+E20</f>
        <v>8100</v>
      </c>
      <c r="G20" s="16"/>
      <c r="H20" s="17">
        <f>F20-G20</f>
        <v>8100</v>
      </c>
      <c r="I20" s="15"/>
    </row>
    <row r="21" spans="1:15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12300</v>
      </c>
      <c r="E21" s="26">
        <f t="shared" si="2"/>
        <v>37000</v>
      </c>
      <c r="F21" s="16">
        <f t="shared" si="2"/>
        <v>49300</v>
      </c>
      <c r="G21" s="16">
        <f t="shared" si="2"/>
        <v>25400</v>
      </c>
      <c r="H21" s="16">
        <f t="shared" si="2"/>
        <v>23900</v>
      </c>
      <c r="I21" s="15">
        <f t="shared" si="2"/>
        <v>0</v>
      </c>
    </row>
    <row r="22" spans="1:15" x14ac:dyDescent="0.25">
      <c r="D22" s="15"/>
      <c r="H22" s="27">
        <f>E20+E19+H11+H8+H7+D19</f>
        <v>16800</v>
      </c>
      <c r="I22" s="3"/>
    </row>
    <row r="23" spans="1:15" x14ac:dyDescent="0.25">
      <c r="I23" s="27"/>
    </row>
    <row r="24" spans="1:15" x14ac:dyDescent="0.25">
      <c r="A24" s="3" t="s">
        <v>16</v>
      </c>
      <c r="B24" s="28"/>
      <c r="C24" s="29"/>
      <c r="D24" s="30"/>
      <c r="E24" s="31"/>
      <c r="F24" s="32"/>
      <c r="G24" s="31"/>
      <c r="H24" s="33"/>
      <c r="I24" s="43">
        <f>B27-C31</f>
        <v>33300</v>
      </c>
      <c r="J24" s="42">
        <f>B27-C31</f>
        <v>33300</v>
      </c>
      <c r="O24">
        <f>3000/30</f>
        <v>100</v>
      </c>
    </row>
    <row r="25" spans="1:15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>
        <f>I24-C35-C36-C37</f>
        <v>9796</v>
      </c>
      <c r="J25" s="27">
        <f>J24-C35-C36-C37</f>
        <v>9796</v>
      </c>
      <c r="O25">
        <f>O24*5</f>
        <v>500</v>
      </c>
    </row>
    <row r="26" spans="1:15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43">
        <f>I25+B28</f>
        <v>12582</v>
      </c>
      <c r="J26" s="27">
        <f>J25+B28</f>
        <v>12582</v>
      </c>
      <c r="K26" s="42"/>
    </row>
    <row r="27" spans="1:15" x14ac:dyDescent="0.25">
      <c r="A27" s="25" t="s">
        <v>60</v>
      </c>
      <c r="B27" s="37">
        <f>E21</f>
        <v>37000</v>
      </c>
      <c r="C27" s="25"/>
      <c r="D27" s="25"/>
      <c r="E27" s="25" t="s">
        <v>61</v>
      </c>
      <c r="F27" s="37">
        <f>G21</f>
        <v>25400</v>
      </c>
      <c r="G27" s="25"/>
      <c r="H27" s="25"/>
      <c r="I27" s="33"/>
      <c r="J27" s="27"/>
    </row>
    <row r="28" spans="1:15" x14ac:dyDescent="0.25">
      <c r="A28" s="25" t="s">
        <v>22</v>
      </c>
      <c r="B28" s="37">
        <f>'DECEMBER 20'!D41</f>
        <v>2786</v>
      </c>
      <c r="C28" s="25"/>
      <c r="D28" s="25"/>
      <c r="E28" s="25" t="s">
        <v>22</v>
      </c>
      <c r="F28" s="37">
        <f>'DECEMBER 20'!H41</f>
        <v>-2414</v>
      </c>
      <c r="G28" s="25"/>
      <c r="H28" s="25"/>
      <c r="I28" s="33"/>
      <c r="J28" s="27"/>
    </row>
    <row r="29" spans="1:15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  <c r="J29">
        <f>C35+C36</f>
        <v>21172</v>
      </c>
      <c r="K29" s="42">
        <f>I24</f>
        <v>33300</v>
      </c>
    </row>
    <row r="30" spans="1:15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  <c r="J30" s="27"/>
    </row>
    <row r="31" spans="1:15" x14ac:dyDescent="0.25">
      <c r="A31" s="25" t="s">
        <v>24</v>
      </c>
      <c r="B31" s="38">
        <v>0.1</v>
      </c>
      <c r="C31" s="37">
        <f>B31*B27</f>
        <v>3700</v>
      </c>
      <c r="D31" s="25"/>
      <c r="E31" s="25" t="s">
        <v>24</v>
      </c>
      <c r="F31" s="38">
        <v>0.1</v>
      </c>
      <c r="G31" s="37">
        <f>F31*B27</f>
        <v>3700</v>
      </c>
      <c r="H31" s="25"/>
      <c r="I31" s="3"/>
      <c r="J31" s="27"/>
    </row>
    <row r="32" spans="1:15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 t="s">
        <v>67</v>
      </c>
      <c r="B35" s="38"/>
      <c r="C35" s="25">
        <v>15097</v>
      </c>
      <c r="D35" s="25"/>
      <c r="E35" s="39" t="s">
        <v>66</v>
      </c>
      <c r="F35" s="38"/>
      <c r="G35" s="25">
        <v>15097</v>
      </c>
      <c r="H35" s="25"/>
      <c r="I35" s="33"/>
    </row>
    <row r="36" spans="1:11" x14ac:dyDescent="0.25">
      <c r="A36" s="39" t="s">
        <v>66</v>
      </c>
      <c r="B36" s="38"/>
      <c r="C36" s="25">
        <v>6075</v>
      </c>
      <c r="D36" s="25"/>
      <c r="E36" s="39" t="s">
        <v>66</v>
      </c>
      <c r="F36" s="38"/>
      <c r="G36" s="25">
        <v>6075</v>
      </c>
      <c r="H36" s="25"/>
      <c r="I36" s="43"/>
      <c r="J36" s="27"/>
      <c r="K36">
        <f>3500-350</f>
        <v>3150</v>
      </c>
    </row>
    <row r="37" spans="1:11" x14ac:dyDescent="0.25">
      <c r="A37" s="39" t="s">
        <v>69</v>
      </c>
      <c r="B37" s="25"/>
      <c r="C37" s="41">
        <v>2332</v>
      </c>
      <c r="D37" s="25"/>
      <c r="E37" s="39" t="s">
        <v>69</v>
      </c>
      <c r="F37" s="25"/>
      <c r="G37" s="41">
        <v>2332</v>
      </c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1" x14ac:dyDescent="0.25">
      <c r="A41" s="36" t="s">
        <v>15</v>
      </c>
      <c r="B41" s="44">
        <f>B30+B27+B28+B29-C31</f>
        <v>36086</v>
      </c>
      <c r="C41" s="44">
        <f>SUM(C33:C40)</f>
        <v>23504</v>
      </c>
      <c r="D41" s="44">
        <f>B41-C41</f>
        <v>12582</v>
      </c>
      <c r="E41" s="36" t="s">
        <v>15</v>
      </c>
      <c r="F41" s="44">
        <f>F27+F28+F30-G31</f>
        <v>19286</v>
      </c>
      <c r="G41" s="44">
        <f>SUM(G33:G40)</f>
        <v>23504</v>
      </c>
      <c r="H41" s="44">
        <f>F41-G41</f>
        <v>-4218</v>
      </c>
      <c r="I41" s="43"/>
      <c r="K41" s="42">
        <f>D41-5000</f>
        <v>7582</v>
      </c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  <row r="45" spans="1:11" x14ac:dyDescent="0.25">
      <c r="I45" s="42">
        <f>D41-H41</f>
        <v>16800</v>
      </c>
    </row>
    <row r="46" spans="1:11" x14ac:dyDescent="0.25">
      <c r="F46" s="42"/>
    </row>
    <row r="47" spans="1:11" x14ac:dyDescent="0.25">
      <c r="F47" s="42"/>
    </row>
    <row r="48" spans="1:11" x14ac:dyDescent="0.25">
      <c r="F48" s="2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I30" sqref="I30"/>
    </sheetView>
  </sheetViews>
  <sheetFormatPr defaultRowHeight="15" x14ac:dyDescent="0.25"/>
  <cols>
    <col min="1" max="1" width="16.5703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71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68</v>
      </c>
      <c r="B6" s="13">
        <v>1</v>
      </c>
      <c r="C6" s="14"/>
      <c r="D6" s="15">
        <f>'JANUARY 21'!H6:H20</f>
        <v>0</v>
      </c>
      <c r="E6" s="16"/>
      <c r="F6" s="16">
        <f>C6+D6+E6</f>
        <v>0</v>
      </c>
      <c r="G6" s="16"/>
      <c r="H6" s="17">
        <f>F6-G6</f>
        <v>0</v>
      </c>
      <c r="I6" s="15"/>
      <c r="J6" t="s">
        <v>54</v>
      </c>
    </row>
    <row r="7" spans="1:10" x14ac:dyDescent="0.25">
      <c r="A7" t="s">
        <v>37</v>
      </c>
      <c r="B7" s="13">
        <v>2</v>
      </c>
      <c r="C7" s="14"/>
      <c r="D7" s="15">
        <f>'JANUARY 21'!H7:H21</f>
        <v>0</v>
      </c>
      <c r="E7" s="16"/>
      <c r="F7" s="16">
        <f t="shared" ref="F7:F18" si="0">C7+D7+E7</f>
        <v>0</v>
      </c>
      <c r="G7" s="16"/>
      <c r="H7" s="17">
        <f t="shared" ref="H7:H18" si="1">F7-G7</f>
        <v>0</v>
      </c>
      <c r="I7" s="15"/>
    </row>
    <row r="8" spans="1:10" x14ac:dyDescent="0.25">
      <c r="A8" s="18" t="s">
        <v>38</v>
      </c>
      <c r="B8" s="13">
        <v>3</v>
      </c>
      <c r="C8" s="14"/>
      <c r="D8" s="15">
        <f>'JANUARY 21'!H8:H22</f>
        <v>800</v>
      </c>
      <c r="E8" s="16">
        <v>2000</v>
      </c>
      <c r="F8" s="16">
        <f t="shared" si="0"/>
        <v>2800</v>
      </c>
      <c r="G8" s="16">
        <f>900+1300+600</f>
        <v>2800</v>
      </c>
      <c r="H8" s="17">
        <f t="shared" si="1"/>
        <v>0</v>
      </c>
      <c r="I8" s="15"/>
    </row>
    <row r="9" spans="1:10" x14ac:dyDescent="0.25">
      <c r="A9" s="19" t="s">
        <v>39</v>
      </c>
      <c r="B9" s="13">
        <v>4</v>
      </c>
      <c r="C9" s="14"/>
      <c r="D9" s="15">
        <f>'JANUARY 21'!H9:H23</f>
        <v>0</v>
      </c>
      <c r="E9" s="16">
        <v>2000</v>
      </c>
      <c r="F9" s="16">
        <f t="shared" si="0"/>
        <v>2000</v>
      </c>
      <c r="G9" s="16">
        <f>2000</f>
        <v>2000</v>
      </c>
      <c r="H9" s="17">
        <f>F9-G9</f>
        <v>0</v>
      </c>
      <c r="I9" s="15"/>
    </row>
    <row r="10" spans="1:10" x14ac:dyDescent="0.25">
      <c r="A10" s="19" t="s">
        <v>40</v>
      </c>
      <c r="B10" s="13">
        <v>5</v>
      </c>
      <c r="C10" s="14"/>
      <c r="D10" s="15">
        <f>'JANUARY 21'!H10:H24</f>
        <v>0</v>
      </c>
      <c r="E10" s="16">
        <v>2000</v>
      </c>
      <c r="F10" s="16">
        <f t="shared" si="0"/>
        <v>2000</v>
      </c>
      <c r="G10" s="16"/>
      <c r="H10" s="17">
        <f t="shared" si="1"/>
        <v>2000</v>
      </c>
      <c r="I10" s="15"/>
    </row>
    <row r="11" spans="1:10" x14ac:dyDescent="0.25">
      <c r="A11" s="20" t="s">
        <v>41</v>
      </c>
      <c r="B11" s="13">
        <v>6</v>
      </c>
      <c r="C11" s="14"/>
      <c r="D11" s="15">
        <f>'JANUARY 21'!H11:H25</f>
        <v>1000</v>
      </c>
      <c r="E11" s="16">
        <v>2000</v>
      </c>
      <c r="F11" s="16">
        <f>C11+D11+E11</f>
        <v>3000</v>
      </c>
      <c r="G11" s="16">
        <v>2000</v>
      </c>
      <c r="H11" s="17">
        <f t="shared" si="1"/>
        <v>1000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'JANUARY 21'!H12:H26</f>
        <v>0</v>
      </c>
      <c r="E12" s="16">
        <v>2000</v>
      </c>
      <c r="F12" s="16">
        <f t="shared" si="0"/>
        <v>2000</v>
      </c>
      <c r="G12" s="16">
        <f>500+500+300</f>
        <v>1300</v>
      </c>
      <c r="H12" s="17">
        <f t="shared" si="1"/>
        <v>700</v>
      </c>
      <c r="I12" s="15"/>
    </row>
    <row r="13" spans="1:10" x14ac:dyDescent="0.25">
      <c r="A13" s="49" t="s">
        <v>68</v>
      </c>
      <c r="B13" s="13">
        <v>8</v>
      </c>
      <c r="C13" s="14"/>
      <c r="D13" s="15">
        <f>'JANUARY 21'!H13:H27</f>
        <v>0</v>
      </c>
      <c r="E13" s="16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'JANUARY 21'!H14:H28</f>
        <v>2000</v>
      </c>
      <c r="E14" s="16">
        <v>2000</v>
      </c>
      <c r="F14" s="16">
        <f t="shared" si="0"/>
        <v>4000</v>
      </c>
      <c r="G14" s="16">
        <f>2000</f>
        <v>2000</v>
      </c>
      <c r="H14" s="17">
        <f t="shared" si="1"/>
        <v>2000</v>
      </c>
      <c r="I14" s="15"/>
    </row>
    <row r="15" spans="1:10" x14ac:dyDescent="0.25">
      <c r="A15" s="48" t="s">
        <v>63</v>
      </c>
      <c r="B15" s="23">
        <v>10</v>
      </c>
      <c r="C15" s="14"/>
      <c r="D15" s="15">
        <f>'JANUARY 21'!H15:H29</f>
        <v>0</v>
      </c>
      <c r="E15" s="16"/>
      <c r="F15" s="16">
        <f t="shared" si="0"/>
        <v>0</v>
      </c>
      <c r="G15" s="16"/>
      <c r="H15" s="17">
        <f>F15-G15</f>
        <v>0</v>
      </c>
      <c r="I15" s="15"/>
    </row>
    <row r="16" spans="1:10" x14ac:dyDescent="0.25">
      <c r="A16" s="22" t="s">
        <v>65</v>
      </c>
      <c r="B16" s="13" t="s">
        <v>10</v>
      </c>
      <c r="C16" s="14"/>
      <c r="D16" s="15">
        <f>'JANUARY 21'!H16:H30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0" x14ac:dyDescent="0.25">
      <c r="A17" s="18" t="s">
        <v>47</v>
      </c>
      <c r="B17" s="13" t="s">
        <v>11</v>
      </c>
      <c r="C17" s="14"/>
      <c r="D17" s="15">
        <f>'JANUARY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0" x14ac:dyDescent="0.25">
      <c r="A18" s="12" t="s">
        <v>37</v>
      </c>
      <c r="B18" s="13" t="s">
        <v>12</v>
      </c>
      <c r="C18" s="14"/>
      <c r="D18" s="15">
        <f>'JANUARY 21'!H18:H32</f>
        <v>2000</v>
      </c>
      <c r="E18" s="16">
        <v>5000</v>
      </c>
      <c r="F18" s="16">
        <f t="shared" si="0"/>
        <v>7000</v>
      </c>
      <c r="G18" s="16">
        <f>4000</f>
        <v>4000</v>
      </c>
      <c r="H18" s="17">
        <f t="shared" si="1"/>
        <v>3000</v>
      </c>
      <c r="I18" s="15"/>
    </row>
    <row r="19" spans="1:10" x14ac:dyDescent="0.25">
      <c r="A19" s="12" t="s">
        <v>48</v>
      </c>
      <c r="B19" s="13" t="s">
        <v>13</v>
      </c>
      <c r="C19" s="14"/>
      <c r="D19" s="15">
        <f>'JANUARY 21'!H19:H33</f>
        <v>10000</v>
      </c>
      <c r="E19" s="16">
        <v>5000</v>
      </c>
      <c r="F19" s="16">
        <f>C19+D19+E19</f>
        <v>15000</v>
      </c>
      <c r="G19" s="16">
        <f>5000+5000+5000</f>
        <v>15000</v>
      </c>
      <c r="H19" s="17">
        <f>F19-G19</f>
        <v>0</v>
      </c>
      <c r="I19" s="15"/>
    </row>
    <row r="20" spans="1:10" x14ac:dyDescent="0.25">
      <c r="A20" s="12" t="s">
        <v>49</v>
      </c>
      <c r="B20" s="13" t="s">
        <v>14</v>
      </c>
      <c r="C20" s="14"/>
      <c r="D20" s="15">
        <f>'JANUARY 21'!H20:H34</f>
        <v>8100</v>
      </c>
      <c r="E20" s="16">
        <v>5000</v>
      </c>
      <c r="F20" s="16">
        <f>C20+D20+E20</f>
        <v>13100</v>
      </c>
      <c r="G20" s="16">
        <f>3000+7000</f>
        <v>10000</v>
      </c>
      <c r="H20" s="17">
        <f>F20-G20</f>
        <v>3100</v>
      </c>
      <c r="I20" s="15"/>
    </row>
    <row r="21" spans="1:10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23900</v>
      </c>
      <c r="E21" s="26">
        <f t="shared" si="2"/>
        <v>39000</v>
      </c>
      <c r="F21" s="16">
        <f t="shared" si="2"/>
        <v>62900</v>
      </c>
      <c r="G21" s="16">
        <f t="shared" si="2"/>
        <v>51100</v>
      </c>
      <c r="H21" s="16">
        <f t="shared" si="2"/>
        <v>11800</v>
      </c>
      <c r="I21" s="15">
        <f t="shared" si="2"/>
        <v>0</v>
      </c>
    </row>
    <row r="22" spans="1:10" x14ac:dyDescent="0.25">
      <c r="D22" s="15"/>
      <c r="H22" s="27">
        <f>1000+H10+H11+H12+H13</f>
        <v>4700</v>
      </c>
      <c r="I22" s="3"/>
    </row>
    <row r="23" spans="1:10" x14ac:dyDescent="0.25">
      <c r="I23" s="27"/>
    </row>
    <row r="24" spans="1:10" x14ac:dyDescent="0.25">
      <c r="A24" s="3" t="s">
        <v>16</v>
      </c>
      <c r="B24" s="28"/>
      <c r="C24" s="29"/>
      <c r="D24" s="30"/>
      <c r="E24" s="31"/>
      <c r="F24" s="32"/>
      <c r="G24" s="31">
        <f>E21-C31</f>
        <v>35100</v>
      </c>
      <c r="H24" s="33"/>
      <c r="I24" s="3"/>
    </row>
    <row r="25" spans="1:10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0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0" x14ac:dyDescent="0.25">
      <c r="A27" s="25" t="s">
        <v>72</v>
      </c>
      <c r="B27" s="37">
        <f>E21</f>
        <v>39000</v>
      </c>
      <c r="C27" s="25"/>
      <c r="D27" s="25"/>
      <c r="E27" s="25" t="s">
        <v>72</v>
      </c>
      <c r="F27" s="37">
        <f>G21</f>
        <v>51100</v>
      </c>
      <c r="G27" s="25"/>
      <c r="H27" s="25"/>
      <c r="I27" s="33"/>
      <c r="J27" s="27"/>
    </row>
    <row r="28" spans="1:10" x14ac:dyDescent="0.25">
      <c r="A28" s="25" t="s">
        <v>22</v>
      </c>
      <c r="B28" s="37">
        <f>'JANUARY 21'!D41</f>
        <v>12582</v>
      </c>
      <c r="C28" s="25"/>
      <c r="D28" s="25"/>
      <c r="E28" s="25" t="s">
        <v>22</v>
      </c>
      <c r="F28" s="37">
        <f>'JANUARY 21'!H41</f>
        <v>-4218</v>
      </c>
      <c r="G28" s="25"/>
      <c r="H28" s="25"/>
      <c r="I28" s="33"/>
      <c r="J28" s="27"/>
    </row>
    <row r="29" spans="1:10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0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  <c r="J30" s="27"/>
    </row>
    <row r="31" spans="1:10" x14ac:dyDescent="0.25">
      <c r="A31" s="25" t="s">
        <v>24</v>
      </c>
      <c r="B31" s="38">
        <v>0.1</v>
      </c>
      <c r="C31" s="37">
        <f>B31*B27</f>
        <v>3900</v>
      </c>
      <c r="D31" s="25"/>
      <c r="E31" s="25" t="s">
        <v>24</v>
      </c>
      <c r="F31" s="38">
        <v>0.1</v>
      </c>
      <c r="G31" s="37">
        <f>F31*B27</f>
        <v>3900</v>
      </c>
      <c r="H31" s="25"/>
      <c r="I31" s="3"/>
      <c r="J31" s="27"/>
    </row>
    <row r="32" spans="1:10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>
        <f>C36+C37+4000</f>
        <v>22674</v>
      </c>
    </row>
    <row r="34" spans="1:10" x14ac:dyDescent="0.25">
      <c r="A34" s="39" t="s">
        <v>73</v>
      </c>
      <c r="C34">
        <v>5000</v>
      </c>
      <c r="D34" s="41"/>
      <c r="E34" s="39" t="s">
        <v>73</v>
      </c>
      <c r="G34">
        <v>5000</v>
      </c>
      <c r="H34" s="25"/>
      <c r="I34" s="3"/>
    </row>
    <row r="35" spans="1:10" x14ac:dyDescent="0.25">
      <c r="A35" s="39" t="s">
        <v>74</v>
      </c>
      <c r="B35" s="38"/>
      <c r="C35" s="25">
        <v>5055</v>
      </c>
      <c r="D35" s="25"/>
      <c r="E35" s="39" t="s">
        <v>74</v>
      </c>
      <c r="F35" s="38"/>
      <c r="G35" s="25">
        <v>5055</v>
      </c>
      <c r="H35" s="25"/>
      <c r="I35" s="33"/>
    </row>
    <row r="36" spans="1:10" x14ac:dyDescent="0.25">
      <c r="A36" s="39" t="s">
        <v>75</v>
      </c>
      <c r="B36" s="38"/>
      <c r="C36" s="25">
        <v>10087</v>
      </c>
      <c r="D36" s="25"/>
      <c r="E36" s="39" t="s">
        <v>75</v>
      </c>
      <c r="F36" s="38"/>
      <c r="G36" s="25">
        <v>10087</v>
      </c>
      <c r="H36" s="25"/>
      <c r="I36" s="43"/>
      <c r="J36" s="27"/>
    </row>
    <row r="37" spans="1:10" x14ac:dyDescent="0.25">
      <c r="A37" s="39" t="s">
        <v>76</v>
      </c>
      <c r="B37" s="25"/>
      <c r="C37" s="41">
        <v>8587</v>
      </c>
      <c r="D37" s="25"/>
      <c r="E37" s="39" t="s">
        <v>76</v>
      </c>
      <c r="F37" s="25"/>
      <c r="G37" s="41">
        <v>8587</v>
      </c>
      <c r="H37" s="25"/>
      <c r="I37" s="3"/>
    </row>
    <row r="38" spans="1:10" x14ac:dyDescent="0.25">
      <c r="A38" s="39" t="s">
        <v>77</v>
      </c>
      <c r="B38" s="25"/>
      <c r="C38" s="41">
        <v>16097</v>
      </c>
      <c r="D38" s="25"/>
      <c r="E38" s="39" t="s">
        <v>77</v>
      </c>
      <c r="F38" s="25"/>
      <c r="G38" s="41">
        <v>16097</v>
      </c>
      <c r="H38" s="25"/>
      <c r="I38" s="3"/>
    </row>
    <row r="39" spans="1:10" x14ac:dyDescent="0.25">
      <c r="A39" s="39" t="s">
        <v>80</v>
      </c>
      <c r="B39" s="25"/>
      <c r="C39" s="41">
        <v>2000</v>
      </c>
      <c r="D39" s="25"/>
      <c r="E39" s="39" t="s">
        <v>80</v>
      </c>
      <c r="F39" s="25"/>
      <c r="G39" s="41">
        <v>2000</v>
      </c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47682</v>
      </c>
      <c r="C41" s="44">
        <f>SUM(C33:C40)</f>
        <v>46826</v>
      </c>
      <c r="D41" s="44">
        <f>B41-C41</f>
        <v>856</v>
      </c>
      <c r="E41" s="36" t="s">
        <v>15</v>
      </c>
      <c r="F41" s="44">
        <f>F27+F28+F30-G31</f>
        <v>42982</v>
      </c>
      <c r="G41" s="44">
        <f>SUM(G33:G40)</f>
        <v>46826</v>
      </c>
      <c r="H41" s="44">
        <f>F41-G41</f>
        <v>-3844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workbookViewId="0">
      <selection activeCell="L34" sqref="L34"/>
    </sheetView>
  </sheetViews>
  <sheetFormatPr defaultRowHeight="15" x14ac:dyDescent="0.25"/>
  <cols>
    <col min="1" max="1" width="20.285156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81</v>
      </c>
      <c r="B6" s="13">
        <v>1</v>
      </c>
      <c r="C6" s="14"/>
      <c r="D6" s="15">
        <f>'FEBRUARY 21'!H6:H21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'FEBRUARY 21'!H7:H22</f>
        <v>0</v>
      </c>
      <c r="E7" s="16">
        <v>2000</v>
      </c>
      <c r="F7" s="16">
        <f t="shared" ref="F7:F18" si="0">C7+D7+E7</f>
        <v>2000</v>
      </c>
      <c r="G7" s="16">
        <v>1000</v>
      </c>
      <c r="H7" s="17">
        <f t="shared" ref="H7:H18" si="1">F7-G7</f>
        <v>1000</v>
      </c>
      <c r="I7" s="15"/>
    </row>
    <row r="8" spans="1:9" x14ac:dyDescent="0.25">
      <c r="A8" s="18"/>
      <c r="B8" s="13">
        <v>3</v>
      </c>
      <c r="C8" s="14"/>
      <c r="D8" s="15">
        <f>'FEBRUARY 21'!H8:H23</f>
        <v>0</v>
      </c>
      <c r="E8" s="16"/>
      <c r="F8" s="16">
        <f t="shared" si="0"/>
        <v>0</v>
      </c>
      <c r="G8" s="16"/>
      <c r="H8" s="17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'FEBRUARY 21'!H9:H24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40</v>
      </c>
      <c r="B10" s="13">
        <v>5</v>
      </c>
      <c r="C10" s="14"/>
      <c r="D10" s="15">
        <f>'FEBRUARY 21'!H10:H25</f>
        <v>2000</v>
      </c>
      <c r="E10" s="16">
        <v>2000</v>
      </c>
      <c r="F10" s="16">
        <f t="shared" si="0"/>
        <v>4000</v>
      </c>
      <c r="G10" s="16">
        <v>4000</v>
      </c>
      <c r="H10" s="17">
        <f t="shared" si="1"/>
        <v>0</v>
      </c>
      <c r="I10" s="15"/>
    </row>
    <row r="11" spans="1:9" x14ac:dyDescent="0.25">
      <c r="A11" s="20" t="s">
        <v>41</v>
      </c>
      <c r="B11" s="13">
        <v>6</v>
      </c>
      <c r="C11" s="14"/>
      <c r="D11" s="15">
        <f>'FEBRUARY 21'!H11:H26</f>
        <v>1000</v>
      </c>
      <c r="E11" s="16">
        <v>2000</v>
      </c>
      <c r="F11" s="16">
        <f>C11+D11+E11</f>
        <v>3000</v>
      </c>
      <c r="G11" s="16">
        <f>2500</f>
        <v>2500</v>
      </c>
      <c r="H11" s="17">
        <f t="shared" si="1"/>
        <v>500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'FEBRUARY 21'!H12:H27</f>
        <v>700</v>
      </c>
      <c r="E12" s="16">
        <v>2000</v>
      </c>
      <c r="F12" s="16">
        <f t="shared" si="0"/>
        <v>2700</v>
      </c>
      <c r="G12" s="16">
        <f>2000+700</f>
        <v>2700</v>
      </c>
      <c r="H12" s="17">
        <f t="shared" si="1"/>
        <v>0</v>
      </c>
      <c r="I12" s="15"/>
    </row>
    <row r="13" spans="1:9" x14ac:dyDescent="0.25">
      <c r="A13" s="21" t="s">
        <v>82</v>
      </c>
      <c r="B13" s="13">
        <v>8</v>
      </c>
      <c r="C13" s="14"/>
      <c r="D13" s="15">
        <f>'FEBRUARY 21'!H13:H28</f>
        <v>0</v>
      </c>
      <c r="E13" s="16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'FEBRUARY 21'!H14:H29</f>
        <v>2000</v>
      </c>
      <c r="E14" s="16">
        <v>2000</v>
      </c>
      <c r="F14" s="16">
        <f t="shared" si="0"/>
        <v>4000</v>
      </c>
      <c r="G14" s="16">
        <v>2000</v>
      </c>
      <c r="H14" s="17">
        <f t="shared" si="1"/>
        <v>2000</v>
      </c>
      <c r="I14" s="15"/>
    </row>
    <row r="15" spans="1:9" x14ac:dyDescent="0.25">
      <c r="A15" s="22" t="s">
        <v>68</v>
      </c>
      <c r="B15" s="23">
        <v>10</v>
      </c>
      <c r="C15" s="14"/>
      <c r="D15" s="15">
        <f>'FEBRUARY 21'!H15:H30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'FEBRUARY 21'!H16:H31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'FEBRUARY 21'!H17:H32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'FEBRUARY 21'!H18:H33</f>
        <v>3000</v>
      </c>
      <c r="E18" s="16">
        <v>5000</v>
      </c>
      <c r="F18" s="16">
        <f t="shared" si="0"/>
        <v>8000</v>
      </c>
      <c r="G18" s="16">
        <v>6000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'FEBRUARY 21'!H19:H34</f>
        <v>0</v>
      </c>
      <c r="E19" s="16">
        <v>5000</v>
      </c>
      <c r="F19" s="16">
        <f>C19+D19+E19</f>
        <v>5000</v>
      </c>
      <c r="G19" s="16"/>
      <c r="H19" s="17">
        <f>F19-G19</f>
        <v>5000</v>
      </c>
      <c r="I19" s="15"/>
    </row>
    <row r="20" spans="1:12" x14ac:dyDescent="0.25">
      <c r="A20" s="12" t="s">
        <v>49</v>
      </c>
      <c r="B20" s="13" t="s">
        <v>14</v>
      </c>
      <c r="C20" s="14"/>
      <c r="D20" s="15">
        <f>'FEBRUARY 21'!H20:H35</f>
        <v>3100</v>
      </c>
      <c r="E20" s="16">
        <v>5000</v>
      </c>
      <c r="F20" s="16">
        <f>C20+D20+E20</f>
        <v>8100</v>
      </c>
      <c r="G20" s="16">
        <f>2000+1000</f>
        <v>3000</v>
      </c>
      <c r="H20" s="17">
        <f>F20-G20</f>
        <v>5100</v>
      </c>
      <c r="I20" s="15"/>
    </row>
    <row r="21" spans="1:12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11800</v>
      </c>
      <c r="E21" s="26">
        <f t="shared" si="2"/>
        <v>43000</v>
      </c>
      <c r="F21" s="16">
        <f t="shared" si="2"/>
        <v>54800</v>
      </c>
      <c r="G21" s="16">
        <f t="shared" si="2"/>
        <v>39200</v>
      </c>
      <c r="H21" s="16">
        <f t="shared" si="2"/>
        <v>15600</v>
      </c>
      <c r="I21" s="15">
        <f t="shared" si="2"/>
        <v>0</v>
      </c>
    </row>
    <row r="22" spans="1:12" x14ac:dyDescent="0.25">
      <c r="D22" s="15"/>
      <c r="H22" s="27">
        <f>1000+H10+H11+H12+H13</f>
        <v>1500</v>
      </c>
      <c r="I22" s="3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  <c r="L24" s="42">
        <f>B27-C31</f>
        <v>38700</v>
      </c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  <c r="L25" s="42">
        <f>L24+B28</f>
        <v>39556</v>
      </c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  <c r="L26" s="42">
        <f>L25-C34</f>
        <v>16451</v>
      </c>
    </row>
    <row r="27" spans="1:12" x14ac:dyDescent="0.25">
      <c r="A27" s="25" t="s">
        <v>78</v>
      </c>
      <c r="B27" s="37">
        <f>E21</f>
        <v>43000</v>
      </c>
      <c r="C27" s="25"/>
      <c r="D27" s="25"/>
      <c r="E27" s="25" t="s">
        <v>78</v>
      </c>
      <c r="F27" s="37">
        <f>G21</f>
        <v>39200</v>
      </c>
      <c r="G27" s="25"/>
      <c r="H27" s="25"/>
      <c r="I27" s="33"/>
      <c r="J27" s="27"/>
    </row>
    <row r="28" spans="1:12" x14ac:dyDescent="0.25">
      <c r="A28" s="25" t="s">
        <v>22</v>
      </c>
      <c r="B28" s="37">
        <f>'FEBRUARY 21'!D41</f>
        <v>856</v>
      </c>
      <c r="C28" s="25"/>
      <c r="D28" s="25"/>
      <c r="E28" s="25" t="s">
        <v>22</v>
      </c>
      <c r="F28" s="37">
        <f>'FEBRUARY 21'!H41</f>
        <v>-3844</v>
      </c>
      <c r="G28" s="25"/>
      <c r="H28" s="25"/>
      <c r="I28" s="33"/>
      <c r="J28" s="27"/>
    </row>
    <row r="29" spans="1:12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2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  <c r="J30" s="27"/>
    </row>
    <row r="31" spans="1:12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  <c r="J31" s="27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</row>
    <row r="34" spans="1:10" x14ac:dyDescent="0.25">
      <c r="A34" s="39" t="s">
        <v>83</v>
      </c>
      <c r="C34">
        <v>23105</v>
      </c>
      <c r="D34" s="41"/>
      <c r="E34" s="39" t="s">
        <v>83</v>
      </c>
      <c r="G34">
        <v>23105</v>
      </c>
      <c r="H34" s="25"/>
      <c r="I34" s="3"/>
    </row>
    <row r="35" spans="1:10" x14ac:dyDescent="0.25">
      <c r="A35" s="39" t="s">
        <v>84</v>
      </c>
      <c r="B35" s="38"/>
      <c r="C35" s="25">
        <v>5055</v>
      </c>
      <c r="D35" s="25"/>
      <c r="E35" s="39" t="s">
        <v>84</v>
      </c>
      <c r="F35" s="38"/>
      <c r="G35" s="25">
        <v>5055</v>
      </c>
      <c r="H35" s="25"/>
      <c r="I35" s="33"/>
      <c r="J35">
        <f>8500+3000</f>
        <v>11500</v>
      </c>
    </row>
    <row r="36" spans="1:10" x14ac:dyDescent="0.25">
      <c r="A36" s="39"/>
      <c r="B36" s="38"/>
      <c r="C36" s="25"/>
      <c r="D36" s="25"/>
      <c r="E36" s="39"/>
      <c r="F36" s="38"/>
      <c r="G36" s="25"/>
      <c r="H36" s="25"/>
      <c r="I36" s="43"/>
      <c r="J36" s="27"/>
    </row>
    <row r="37" spans="1:10" x14ac:dyDescent="0.25">
      <c r="A37" s="39" t="s">
        <v>85</v>
      </c>
      <c r="B37" s="25"/>
      <c r="C37" s="41">
        <v>6575</v>
      </c>
      <c r="D37" s="25"/>
      <c r="E37" s="39" t="s">
        <v>85</v>
      </c>
      <c r="F37" s="25"/>
      <c r="G37" s="41">
        <v>6575</v>
      </c>
      <c r="H37" s="25"/>
      <c r="I37" s="3"/>
    </row>
    <row r="38" spans="1:10" x14ac:dyDescent="0.25">
      <c r="A38" s="39" t="s">
        <v>89</v>
      </c>
      <c r="B38" s="25"/>
      <c r="C38" s="41">
        <v>700</v>
      </c>
      <c r="D38" s="25"/>
      <c r="E38" s="39" t="s">
        <v>89</v>
      </c>
      <c r="F38" s="25"/>
      <c r="G38" s="41">
        <v>700</v>
      </c>
      <c r="H38" s="25"/>
      <c r="I38" s="3"/>
    </row>
    <row r="39" spans="1:10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39556</v>
      </c>
      <c r="C41" s="44">
        <f>SUM(C33:C40)</f>
        <v>35435</v>
      </c>
      <c r="D41" s="44">
        <f>B41-C41</f>
        <v>4121</v>
      </c>
      <c r="E41" s="36" t="s">
        <v>15</v>
      </c>
      <c r="F41" s="44">
        <f>F27+F28+F30-G31</f>
        <v>31056</v>
      </c>
      <c r="G41" s="44">
        <f>SUM(G33:G40)</f>
        <v>35435</v>
      </c>
      <c r="H41" s="44">
        <f>F41-G41</f>
        <v>-4379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  <row r="51" spans="9:9" x14ac:dyDescent="0.25">
      <c r="I51">
        <f>17920/2</f>
        <v>8960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workbookViewId="0">
      <selection activeCell="G18" sqref="G18"/>
    </sheetView>
  </sheetViews>
  <sheetFormatPr defaultRowHeight="15" x14ac:dyDescent="0.25"/>
  <cols>
    <col min="1" max="1" width="19.85546875" customWidth="1"/>
    <col min="2" max="2" width="8.425781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87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'MARCH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'MARCH 21'!H7:H21</f>
        <v>1000</v>
      </c>
      <c r="E7" s="16">
        <v>2000</v>
      </c>
      <c r="F7" s="16">
        <f t="shared" ref="F7:F18" si="0">C7+D7+E7</f>
        <v>3000</v>
      </c>
      <c r="G7" s="16">
        <v>2000</v>
      </c>
      <c r="H7" s="17">
        <f t="shared" ref="H7:H18" si="1">F7-G7</f>
        <v>1000</v>
      </c>
      <c r="I7" s="15"/>
    </row>
    <row r="8" spans="1:9" x14ac:dyDescent="0.25">
      <c r="A8" s="18" t="s">
        <v>90</v>
      </c>
      <c r="B8" s="13">
        <v>3</v>
      </c>
      <c r="C8" s="14"/>
      <c r="D8" s="15">
        <f>'MARCH 21'!H8:H22</f>
        <v>0</v>
      </c>
      <c r="E8" s="16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'MARCH 21'!H9:H23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81</v>
      </c>
      <c r="B10" s="13">
        <v>5</v>
      </c>
      <c r="C10" s="14"/>
      <c r="D10" s="15">
        <f>'MARCH 21'!H10:H24</f>
        <v>0</v>
      </c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0" t="s">
        <v>41</v>
      </c>
      <c r="B11" s="13">
        <v>6</v>
      </c>
      <c r="C11" s="14"/>
      <c r="D11" s="15">
        <f>'MARCH 21'!H11:H25</f>
        <v>500</v>
      </c>
      <c r="E11" s="16">
        <v>2000</v>
      </c>
      <c r="F11" s="16">
        <f>C11+D11+E11</f>
        <v>2500</v>
      </c>
      <c r="G11" s="16">
        <f>2500</f>
        <v>2500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'MARCH 21'!H12:H26</f>
        <v>0</v>
      </c>
      <c r="E12" s="16">
        <v>2000</v>
      </c>
      <c r="F12" s="16">
        <f t="shared" si="0"/>
        <v>2000</v>
      </c>
      <c r="G12" s="16">
        <f>1100+500+300</f>
        <v>1900</v>
      </c>
      <c r="H12" s="17">
        <f t="shared" si="1"/>
        <v>100</v>
      </c>
      <c r="I12" s="15"/>
    </row>
    <row r="13" spans="1:9" x14ac:dyDescent="0.25">
      <c r="A13" s="21" t="s">
        <v>82</v>
      </c>
      <c r="B13" s="13">
        <v>8</v>
      </c>
      <c r="C13" s="14"/>
      <c r="D13" s="15">
        <f>'MARCH 21'!H13:H27</f>
        <v>0</v>
      </c>
      <c r="E13" s="16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'MARCH 21'!H14:H28</f>
        <v>2000</v>
      </c>
      <c r="E14" s="16">
        <v>2000</v>
      </c>
      <c r="F14" s="16">
        <f t="shared" si="0"/>
        <v>4000</v>
      </c>
      <c r="G14" s="16">
        <f>2000</f>
        <v>2000</v>
      </c>
      <c r="H14" s="17">
        <f t="shared" si="1"/>
        <v>2000</v>
      </c>
      <c r="I14" s="15"/>
    </row>
    <row r="15" spans="1:9" x14ac:dyDescent="0.25">
      <c r="A15" s="22" t="s">
        <v>94</v>
      </c>
      <c r="B15" s="23">
        <v>10</v>
      </c>
      <c r="C15" s="14">
        <v>2000</v>
      </c>
      <c r="D15" s="15">
        <f>'MARCH 21'!H15:H29</f>
        <v>0</v>
      </c>
      <c r="E15" s="16">
        <v>2000</v>
      </c>
      <c r="F15" s="16">
        <f t="shared" si="0"/>
        <v>4000</v>
      </c>
      <c r="G15" s="16">
        <f>2000+2000</f>
        <v>4000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'MARCH 21'!H16:H30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'MARCH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'MARCH 21'!H18:H32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'MARCH 21'!H19:H33</f>
        <v>5000</v>
      </c>
      <c r="E19" s="16">
        <v>5000</v>
      </c>
      <c r="F19" s="16">
        <f>C19+D19+E19</f>
        <v>10000</v>
      </c>
      <c r="G19" s="16">
        <f>5000+5000</f>
        <v>10000</v>
      </c>
      <c r="H19" s="17">
        <f>F19-G19</f>
        <v>0</v>
      </c>
      <c r="I19" s="15"/>
    </row>
    <row r="20" spans="1:12" x14ac:dyDescent="0.25">
      <c r="A20" s="12" t="s">
        <v>49</v>
      </c>
      <c r="B20" s="13" t="s">
        <v>14</v>
      </c>
      <c r="C20" s="14"/>
      <c r="D20" s="15">
        <f>'MARCH 21'!H20:H34</f>
        <v>5100</v>
      </c>
      <c r="E20" s="16">
        <v>5000</v>
      </c>
      <c r="F20" s="16">
        <f>C20+D20+E20</f>
        <v>10100</v>
      </c>
      <c r="G20" s="16">
        <f>1000+2000+1000</f>
        <v>4000</v>
      </c>
      <c r="H20" s="17">
        <f>F20-G20</f>
        <v>6100</v>
      </c>
      <c r="I20" s="15"/>
    </row>
    <row r="21" spans="1:12" x14ac:dyDescent="0.25">
      <c r="A21" s="24" t="s">
        <v>15</v>
      </c>
      <c r="B21" s="25"/>
      <c r="C21" s="14">
        <f t="shared" ref="C21:I21" si="2">SUM(C6:C20)</f>
        <v>2000</v>
      </c>
      <c r="D21" s="15">
        <f>SUM(D6:D20)</f>
        <v>15600</v>
      </c>
      <c r="E21" s="26">
        <f t="shared" si="2"/>
        <v>45000</v>
      </c>
      <c r="F21" s="16">
        <f t="shared" si="2"/>
        <v>62600</v>
      </c>
      <c r="G21" s="16">
        <f t="shared" si="2"/>
        <v>51400</v>
      </c>
      <c r="H21" s="16">
        <f t="shared" si="2"/>
        <v>11200</v>
      </c>
      <c r="I21" s="15">
        <f t="shared" si="2"/>
        <v>0</v>
      </c>
    </row>
    <row r="22" spans="1:12" x14ac:dyDescent="0.25">
      <c r="D22" s="15"/>
      <c r="H22" s="27">
        <f>3000+H7</f>
        <v>4000</v>
      </c>
      <c r="I22" s="3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2" x14ac:dyDescent="0.25">
      <c r="A27" s="25" t="s">
        <v>86</v>
      </c>
      <c r="B27" s="37">
        <f>E21</f>
        <v>45000</v>
      </c>
      <c r="C27" s="25"/>
      <c r="D27" s="25"/>
      <c r="E27" s="25" t="s">
        <v>86</v>
      </c>
      <c r="F27" s="37">
        <f>G21</f>
        <v>51400</v>
      </c>
      <c r="G27" s="25"/>
      <c r="H27" s="25"/>
      <c r="I27" s="33"/>
      <c r="J27" s="27"/>
      <c r="L27" s="27"/>
    </row>
    <row r="28" spans="1:12" x14ac:dyDescent="0.25">
      <c r="A28" s="25" t="s">
        <v>22</v>
      </c>
      <c r="B28" s="37">
        <f>'MARCH 21'!D41</f>
        <v>4121</v>
      </c>
      <c r="C28" s="25"/>
      <c r="D28" s="25"/>
      <c r="E28" s="25" t="s">
        <v>22</v>
      </c>
      <c r="F28" s="37">
        <f>'MARCH 21'!H41</f>
        <v>-4379</v>
      </c>
      <c r="G28" s="25"/>
      <c r="H28" s="25"/>
      <c r="I28" s="33"/>
      <c r="L28" s="42"/>
    </row>
    <row r="29" spans="1:12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  <c r="L29" s="27"/>
    </row>
    <row r="30" spans="1:12" x14ac:dyDescent="0.25">
      <c r="A30" s="25" t="s">
        <v>3</v>
      </c>
      <c r="B30" s="37">
        <f>C21</f>
        <v>2000</v>
      </c>
      <c r="C30" s="25"/>
      <c r="D30" s="25"/>
      <c r="E30" s="25"/>
      <c r="F30" s="37"/>
      <c r="G30" s="25"/>
      <c r="H30" s="25"/>
      <c r="I30" s="3"/>
      <c r="L30" s="27"/>
    </row>
    <row r="31" spans="1:12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  <c r="L31" s="27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K33" s="27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 t="s">
        <v>91</v>
      </c>
      <c r="B35" s="38"/>
      <c r="C35" s="25"/>
      <c r="D35" s="25"/>
      <c r="E35" s="39"/>
      <c r="F35" s="38"/>
      <c r="G35" s="25"/>
      <c r="H35" s="25"/>
      <c r="I35" s="33"/>
    </row>
    <row r="36" spans="1:11" x14ac:dyDescent="0.25">
      <c r="A36" s="39" t="s">
        <v>92</v>
      </c>
      <c r="B36" s="38"/>
      <c r="C36" s="25">
        <v>2032</v>
      </c>
      <c r="D36" s="25"/>
      <c r="E36" s="39" t="s">
        <v>92</v>
      </c>
      <c r="F36" s="38"/>
      <c r="G36" s="25">
        <v>2032</v>
      </c>
      <c r="H36" s="25"/>
      <c r="I36" s="43"/>
      <c r="J36" s="27"/>
    </row>
    <row r="37" spans="1:11" x14ac:dyDescent="0.25">
      <c r="A37" s="39" t="s">
        <v>93</v>
      </c>
      <c r="B37" s="25"/>
      <c r="C37" s="41">
        <v>15097</v>
      </c>
      <c r="D37" s="25"/>
      <c r="E37" s="39" t="s">
        <v>93</v>
      </c>
      <c r="F37" s="25"/>
      <c r="G37" s="41">
        <v>15097</v>
      </c>
      <c r="H37" s="25"/>
      <c r="I37" s="3"/>
    </row>
    <row r="38" spans="1:11" x14ac:dyDescent="0.25">
      <c r="A38" s="39" t="s">
        <v>95</v>
      </c>
      <c r="B38" s="25"/>
      <c r="C38" s="41">
        <v>10087</v>
      </c>
      <c r="D38" s="25"/>
      <c r="E38" s="39" t="s">
        <v>95</v>
      </c>
      <c r="F38" s="25"/>
      <c r="G38" s="41">
        <v>10087</v>
      </c>
      <c r="H38" s="25"/>
      <c r="I38" s="3"/>
    </row>
    <row r="39" spans="1:11" x14ac:dyDescent="0.25">
      <c r="A39" s="39" t="s">
        <v>96</v>
      </c>
      <c r="B39" s="25"/>
      <c r="C39" s="41">
        <v>9087</v>
      </c>
      <c r="D39" s="25"/>
      <c r="E39" s="39" t="s">
        <v>96</v>
      </c>
      <c r="F39" s="25"/>
      <c r="G39" s="41">
        <v>9087</v>
      </c>
      <c r="H39" s="25"/>
      <c r="I39" s="3"/>
    </row>
    <row r="40" spans="1:11" x14ac:dyDescent="0.25">
      <c r="A40" s="39" t="s">
        <v>97</v>
      </c>
      <c r="B40" s="25"/>
      <c r="C40" s="41">
        <v>7075</v>
      </c>
      <c r="D40" s="25"/>
      <c r="E40" s="39" t="s">
        <v>97</v>
      </c>
      <c r="F40" s="25"/>
      <c r="G40" s="41">
        <v>7075</v>
      </c>
      <c r="H40" s="25"/>
      <c r="I40" s="3"/>
      <c r="J40" s="42"/>
    </row>
    <row r="41" spans="1:11" x14ac:dyDescent="0.25">
      <c r="A41" s="36" t="s">
        <v>15</v>
      </c>
      <c r="B41" s="44">
        <f>B30+B27+B28+B29-C31</f>
        <v>46621</v>
      </c>
      <c r="C41" s="44">
        <f>SUM(C33:C40)</f>
        <v>43378</v>
      </c>
      <c r="D41" s="44">
        <f>B41-C41</f>
        <v>3243</v>
      </c>
      <c r="E41" s="36" t="s">
        <v>15</v>
      </c>
      <c r="F41" s="44">
        <f>F27+F28+F30-G31</f>
        <v>42521</v>
      </c>
      <c r="G41" s="44">
        <f>SUM(G33:G40)</f>
        <v>43378</v>
      </c>
      <c r="H41" s="44">
        <f>F41-G41</f>
        <v>-857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  <row r="51" spans="9:9" x14ac:dyDescent="0.25">
      <c r="I51">
        <f>17920/2</f>
        <v>8960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4" workbookViewId="0">
      <selection activeCell="G21" sqref="G21"/>
    </sheetView>
  </sheetViews>
  <sheetFormatPr defaultRowHeight="15" x14ac:dyDescent="0.25"/>
  <cols>
    <col min="1" max="1" width="20.57031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98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'APRIL 21'!H6:H22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'APRIL 21'!H7:H23</f>
        <v>1000</v>
      </c>
      <c r="E7" s="16">
        <v>2000</v>
      </c>
      <c r="F7" s="16">
        <f t="shared" ref="F7:F18" si="0">C7+D7+E7</f>
        <v>3000</v>
      </c>
      <c r="G7" s="16"/>
      <c r="H7" s="17">
        <f t="shared" ref="H7:H18" si="1">F7-G7</f>
        <v>3000</v>
      </c>
      <c r="I7" s="15"/>
    </row>
    <row r="8" spans="1:9" x14ac:dyDescent="0.25">
      <c r="A8" s="18" t="s">
        <v>90</v>
      </c>
      <c r="B8" s="13">
        <v>3</v>
      </c>
      <c r="C8" s="14"/>
      <c r="D8" s="15">
        <f>'APRIL 21'!H8:H24</f>
        <v>0</v>
      </c>
      <c r="E8" s="16">
        <v>2000</v>
      </c>
      <c r="F8" s="16">
        <f t="shared" si="0"/>
        <v>2000</v>
      </c>
      <c r="G8" s="16"/>
      <c r="H8" s="17">
        <f t="shared" si="1"/>
        <v>2000</v>
      </c>
      <c r="I8" s="15"/>
    </row>
    <row r="9" spans="1:9" x14ac:dyDescent="0.25">
      <c r="A9" s="19" t="s">
        <v>39</v>
      </c>
      <c r="B9" s="13">
        <v>4</v>
      </c>
      <c r="C9" s="14"/>
      <c r="D9" s="15">
        <f>'APRIL 21'!H9:H25</f>
        <v>0</v>
      </c>
      <c r="E9" s="16">
        <v>2000</v>
      </c>
      <c r="F9" s="16">
        <f t="shared" si="0"/>
        <v>2000</v>
      </c>
      <c r="G9" s="16">
        <f>1000</f>
        <v>1000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'APRIL 21'!H10:H26</f>
        <v>0</v>
      </c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'APRIL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'APRIL 21'!H12:H28</f>
        <v>100</v>
      </c>
      <c r="E12" s="16">
        <v>2000</v>
      </c>
      <c r="F12" s="16">
        <f t="shared" si="0"/>
        <v>2100</v>
      </c>
      <c r="G12" s="16">
        <f>1100</f>
        <v>1100</v>
      </c>
      <c r="H12" s="17">
        <f t="shared" si="1"/>
        <v>1000</v>
      </c>
      <c r="I12" s="15"/>
    </row>
    <row r="13" spans="1:9" x14ac:dyDescent="0.25">
      <c r="A13" s="49" t="s">
        <v>63</v>
      </c>
      <c r="B13" s="13">
        <v>8</v>
      </c>
      <c r="C13" s="14"/>
      <c r="D13" s="15">
        <f>'APRIL 21'!H13:H29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'APRIL 21'!H14:H30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'APRIL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'APRIL 21'!H16:H32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'APRIL 21'!H17:H33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'APRIL 21'!H18:H34</f>
        <v>2000</v>
      </c>
      <c r="E18" s="16">
        <v>5000</v>
      </c>
      <c r="F18" s="16">
        <f t="shared" si="0"/>
        <v>7000</v>
      </c>
      <c r="G18" s="16">
        <f>2500+2500</f>
        <v>5000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'APRIL 21'!H19:H35</f>
        <v>0</v>
      </c>
      <c r="E19" s="16">
        <v>5000</v>
      </c>
      <c r="F19" s="16">
        <f>C19+D19+E19</f>
        <v>5000</v>
      </c>
      <c r="G19" s="16">
        <v>5000</v>
      </c>
      <c r="H19" s="17">
        <f>F19-G19</f>
        <v>0</v>
      </c>
      <c r="I19" s="15"/>
      <c r="L19" t="s">
        <v>102</v>
      </c>
    </row>
    <row r="20" spans="1:12" x14ac:dyDescent="0.25">
      <c r="A20" s="12" t="s">
        <v>49</v>
      </c>
      <c r="B20" s="13" t="s">
        <v>14</v>
      </c>
      <c r="C20" s="14"/>
      <c r="D20" s="15">
        <f>'APRIL 21'!H20:H36</f>
        <v>6100</v>
      </c>
      <c r="E20" s="16">
        <v>5000</v>
      </c>
      <c r="F20" s="16">
        <f>C20+D20+E20</f>
        <v>11100</v>
      </c>
      <c r="G20" s="16">
        <f>1000+2200</f>
        <v>3200</v>
      </c>
      <c r="H20" s="17">
        <f>F20-G20</f>
        <v>7900</v>
      </c>
      <c r="I20" s="15"/>
      <c r="J20" s="27">
        <f>H20-3100</f>
        <v>4800</v>
      </c>
    </row>
    <row r="21" spans="1:12" x14ac:dyDescent="0.25">
      <c r="A21" s="24" t="s">
        <v>15</v>
      </c>
      <c r="B21" s="25"/>
      <c r="C21" s="14">
        <f t="shared" ref="C21:I21" si="2">SUM(C6:C20)</f>
        <v>0</v>
      </c>
      <c r="D21" s="15">
        <f>'APRIL 21'!H21:H37</f>
        <v>11200</v>
      </c>
      <c r="E21" s="26">
        <f t="shared" si="2"/>
        <v>43000</v>
      </c>
      <c r="F21" s="16">
        <f t="shared" si="2"/>
        <v>54200</v>
      </c>
      <c r="G21" s="16">
        <f t="shared" si="2"/>
        <v>35300</v>
      </c>
      <c r="H21" s="16">
        <f t="shared" si="2"/>
        <v>18900</v>
      </c>
      <c r="I21" s="15">
        <f t="shared" si="2"/>
        <v>0</v>
      </c>
    </row>
    <row r="22" spans="1:12" x14ac:dyDescent="0.25">
      <c r="D22" s="15">
        <f>'APRIL 21'!H22:H38</f>
        <v>4000</v>
      </c>
      <c r="H22" s="27">
        <f>3000+H7</f>
        <v>6000</v>
      </c>
      <c r="I22" s="3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2" x14ac:dyDescent="0.25">
      <c r="A27" s="25" t="s">
        <v>99</v>
      </c>
      <c r="B27" s="37">
        <f>E21</f>
        <v>43000</v>
      </c>
      <c r="C27" s="25"/>
      <c r="D27" s="25"/>
      <c r="E27" s="25" t="s">
        <v>99</v>
      </c>
      <c r="F27" s="37">
        <f>G21</f>
        <v>35300</v>
      </c>
      <c r="G27" s="25"/>
      <c r="H27" s="25"/>
      <c r="I27" s="33"/>
      <c r="J27" s="27"/>
    </row>
    <row r="28" spans="1:12" x14ac:dyDescent="0.25">
      <c r="A28" s="25" t="s">
        <v>22</v>
      </c>
      <c r="B28" s="37">
        <f>'APRIL 21'!D41</f>
        <v>3243</v>
      </c>
      <c r="C28" s="25"/>
      <c r="D28" s="25"/>
      <c r="E28" s="25" t="s">
        <v>22</v>
      </c>
      <c r="F28" s="37">
        <f>'APRIL 21'!H41</f>
        <v>-857</v>
      </c>
      <c r="G28" s="25"/>
      <c r="H28" s="25"/>
      <c r="I28" s="33"/>
    </row>
    <row r="29" spans="1:12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2" x14ac:dyDescent="0.25">
      <c r="A30" s="25" t="s">
        <v>3</v>
      </c>
      <c r="B30" s="37">
        <f>C21</f>
        <v>0</v>
      </c>
      <c r="C30" s="25"/>
      <c r="D30" s="25"/>
      <c r="E30" s="25"/>
      <c r="F30" s="37"/>
      <c r="G30" s="25"/>
      <c r="H30" s="25"/>
      <c r="I30" s="3"/>
    </row>
    <row r="31" spans="1:12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K33" s="27"/>
    </row>
    <row r="34" spans="1:11" x14ac:dyDescent="0.25">
      <c r="A34" s="39" t="s">
        <v>100</v>
      </c>
      <c r="C34">
        <v>20102</v>
      </c>
      <c r="D34" s="41"/>
      <c r="E34" s="39" t="s">
        <v>100</v>
      </c>
      <c r="G34">
        <v>20102</v>
      </c>
      <c r="H34" s="25"/>
      <c r="I34" s="3"/>
    </row>
    <row r="35" spans="1:11" x14ac:dyDescent="0.25">
      <c r="A35" s="39" t="s">
        <v>103</v>
      </c>
      <c r="B35" s="38"/>
      <c r="C35" s="25">
        <v>10087</v>
      </c>
      <c r="D35" s="25"/>
      <c r="E35" s="39" t="s">
        <v>103</v>
      </c>
      <c r="F35" s="38"/>
      <c r="G35" s="25">
        <v>10087</v>
      </c>
      <c r="H35" s="25"/>
      <c r="I35" s="33"/>
    </row>
    <row r="36" spans="1:11" x14ac:dyDescent="0.25">
      <c r="A36" s="39" t="s">
        <v>104</v>
      </c>
      <c r="B36" s="38"/>
      <c r="C36" s="25">
        <v>10087</v>
      </c>
      <c r="D36" s="25"/>
      <c r="E36" s="39" t="s">
        <v>104</v>
      </c>
      <c r="F36" s="38"/>
      <c r="G36" s="25">
        <v>10087</v>
      </c>
      <c r="H36" s="25"/>
      <c r="I36" s="43"/>
      <c r="J36" s="27"/>
    </row>
    <row r="37" spans="1:11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1" x14ac:dyDescent="0.25">
      <c r="A41" s="36" t="s">
        <v>15</v>
      </c>
      <c r="B41" s="44">
        <f>B30+B27+B28+B29-C31</f>
        <v>41943</v>
      </c>
      <c r="C41" s="44">
        <f>SUM(C33:C40)</f>
        <v>40276</v>
      </c>
      <c r="D41" s="44">
        <f>B41-C41</f>
        <v>1667</v>
      </c>
      <c r="E41" s="36" t="s">
        <v>15</v>
      </c>
      <c r="F41" s="44">
        <f>F27+F28+F30-G31</f>
        <v>30143</v>
      </c>
      <c r="G41" s="44">
        <f>SUM(G33:G40)</f>
        <v>40276</v>
      </c>
      <c r="H41" s="44">
        <f>F41-G41</f>
        <v>-10133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7" workbookViewId="0">
      <selection activeCell="D21" sqref="D21"/>
    </sheetView>
  </sheetViews>
  <sheetFormatPr defaultRowHeight="15" x14ac:dyDescent="0.25"/>
  <cols>
    <col min="1" max="1" width="21.8554687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112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'MAY 21'!H6:H22</f>
        <v>0</v>
      </c>
      <c r="E6" s="16">
        <v>2000</v>
      </c>
      <c r="F6" s="16">
        <f>C6+D6+E6</f>
        <v>2000</v>
      </c>
      <c r="G6" s="16">
        <f>2000</f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'MAY 21'!H7:H23</f>
        <v>3000</v>
      </c>
      <c r="E7" s="16">
        <v>2000</v>
      </c>
      <c r="F7" s="16">
        <f t="shared" ref="F7:F18" si="0">C7+D7+E7</f>
        <v>5000</v>
      </c>
      <c r="G7" s="16">
        <f>2500</f>
        <v>2500</v>
      </c>
      <c r="H7" s="17">
        <f t="shared" ref="H7:H18" si="1">F7-G7</f>
        <v>2500</v>
      </c>
      <c r="I7" s="15"/>
    </row>
    <row r="8" spans="1:9" x14ac:dyDescent="0.25">
      <c r="A8" s="18" t="s">
        <v>90</v>
      </c>
      <c r="B8" s="13">
        <v>3</v>
      </c>
      <c r="C8" s="14"/>
      <c r="D8" s="15">
        <f>'MAY 21'!H8:H24</f>
        <v>2000</v>
      </c>
      <c r="E8" s="16">
        <v>2000</v>
      </c>
      <c r="F8" s="16">
        <f t="shared" si="0"/>
        <v>4000</v>
      </c>
      <c r="G8" s="16">
        <f>2000+2000</f>
        <v>4000</v>
      </c>
      <c r="H8" s="17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'MAY 21'!H9:H25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'MAY 21'!H10:H26</f>
        <v>0</v>
      </c>
      <c r="E10" s="16">
        <v>2000</v>
      </c>
      <c r="F10" s="16">
        <f t="shared" si="0"/>
        <v>2000</v>
      </c>
      <c r="G10" s="16">
        <v>1500</v>
      </c>
      <c r="H10" s="17">
        <f>F10-G10</f>
        <v>500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'MAY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'MAY 21'!H12:H28</f>
        <v>1000</v>
      </c>
      <c r="E12" s="16">
        <v>2000</v>
      </c>
      <c r="F12" s="16">
        <f t="shared" si="0"/>
        <v>3000</v>
      </c>
      <c r="G12" s="16">
        <v>3000</v>
      </c>
      <c r="H12" s="17">
        <f t="shared" si="1"/>
        <v>0</v>
      </c>
      <c r="I12" s="15"/>
    </row>
    <row r="13" spans="1:9" x14ac:dyDescent="0.25">
      <c r="A13" s="49" t="s">
        <v>63</v>
      </c>
      <c r="B13" s="13">
        <v>8</v>
      </c>
      <c r="C13" s="14"/>
      <c r="D13" s="15">
        <f>'MAY 21'!H13:H29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'MAY 21'!H14:H30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'MAY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'MAY 21'!H16:H32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3" x14ac:dyDescent="0.25">
      <c r="A17" s="18" t="s">
        <v>47</v>
      </c>
      <c r="B17" s="13" t="s">
        <v>11</v>
      </c>
      <c r="C17" s="14"/>
      <c r="D17" s="15">
        <f>'MAY 21'!H17:H33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3" x14ac:dyDescent="0.25">
      <c r="A18" s="12" t="s">
        <v>37</v>
      </c>
      <c r="B18" s="13" t="s">
        <v>12</v>
      </c>
      <c r="C18" s="14"/>
      <c r="D18" s="15">
        <f>'MAY 21'!H18:H34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3" x14ac:dyDescent="0.25">
      <c r="A19" s="12" t="s">
        <v>48</v>
      </c>
      <c r="B19" s="13" t="s">
        <v>13</v>
      </c>
      <c r="C19" s="14"/>
      <c r="D19" s="15">
        <f>'MAY 21'!H19:H35</f>
        <v>0</v>
      </c>
      <c r="E19" s="16">
        <v>5000</v>
      </c>
      <c r="F19" s="16">
        <f>C19+D19+E19</f>
        <v>5000</v>
      </c>
      <c r="G19" s="16">
        <f>5000</f>
        <v>5000</v>
      </c>
      <c r="H19" s="17">
        <f>F19-G19</f>
        <v>0</v>
      </c>
      <c r="I19" s="15"/>
    </row>
    <row r="20" spans="1:13" x14ac:dyDescent="0.25">
      <c r="A20" s="12" t="s">
        <v>49</v>
      </c>
      <c r="B20" s="13" t="s">
        <v>14</v>
      </c>
      <c r="C20" s="14"/>
      <c r="D20" s="15">
        <f>'MAY 21'!H20:H36</f>
        <v>7900</v>
      </c>
      <c r="E20" s="16">
        <v>5000</v>
      </c>
      <c r="F20" s="16">
        <f>C20+D20+E20</f>
        <v>12900</v>
      </c>
      <c r="G20" s="16">
        <f>2000+1800+1000+2650+1000</f>
        <v>8450</v>
      </c>
      <c r="H20" s="17">
        <f>F20-G20</f>
        <v>4450</v>
      </c>
      <c r="I20" s="15"/>
      <c r="J20" s="27"/>
    </row>
    <row r="21" spans="1:13" x14ac:dyDescent="0.25">
      <c r="A21" s="24" t="s">
        <v>15</v>
      </c>
      <c r="B21" s="25"/>
      <c r="C21" s="14">
        <f t="shared" ref="C21:I21" si="2">SUM(C6:C20)</f>
        <v>0</v>
      </c>
      <c r="D21" s="15">
        <f>'MAY 21'!H21:H37</f>
        <v>18900</v>
      </c>
      <c r="E21" s="26">
        <f t="shared" si="2"/>
        <v>43000</v>
      </c>
      <c r="F21" s="16">
        <f t="shared" si="2"/>
        <v>61900</v>
      </c>
      <c r="G21" s="16">
        <f t="shared" si="2"/>
        <v>49450</v>
      </c>
      <c r="H21" s="16">
        <f t="shared" si="2"/>
        <v>12450</v>
      </c>
      <c r="I21" s="15">
        <f t="shared" si="2"/>
        <v>0</v>
      </c>
    </row>
    <row r="22" spans="1:13" x14ac:dyDescent="0.25">
      <c r="D22" s="15">
        <f>'MAY 21'!H22:H38</f>
        <v>6000</v>
      </c>
      <c r="H22" s="27">
        <f>H21-3100-D14-D18</f>
        <v>5350</v>
      </c>
      <c r="I22" s="3"/>
    </row>
    <row r="23" spans="1:13" x14ac:dyDescent="0.25">
      <c r="I23" s="27"/>
    </row>
    <row r="24" spans="1:13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</row>
    <row r="25" spans="1:13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3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3" x14ac:dyDescent="0.25">
      <c r="A27" s="25" t="s">
        <v>105</v>
      </c>
      <c r="B27" s="37">
        <f>E21</f>
        <v>43000</v>
      </c>
      <c r="C27" s="25"/>
      <c r="D27" s="25"/>
      <c r="E27" s="25" t="s">
        <v>105</v>
      </c>
      <c r="F27" s="37">
        <f>G21</f>
        <v>49450</v>
      </c>
      <c r="G27" s="25"/>
      <c r="H27" s="25"/>
      <c r="I27" s="33"/>
      <c r="J27" s="27"/>
    </row>
    <row r="28" spans="1:13" x14ac:dyDescent="0.25">
      <c r="A28" s="25" t="s">
        <v>22</v>
      </c>
      <c r="B28" s="37">
        <f>'MAY 21'!D41</f>
        <v>1667</v>
      </c>
      <c r="C28" s="25"/>
      <c r="D28" s="25"/>
      <c r="E28" s="25" t="s">
        <v>22</v>
      </c>
      <c r="F28" s="37">
        <f>'MAY 21'!H41</f>
        <v>-10133</v>
      </c>
      <c r="G28" s="25"/>
      <c r="H28" s="25"/>
      <c r="I28" s="33"/>
    </row>
    <row r="29" spans="1:13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  <c r="J29">
        <f>7800+3100</f>
        <v>10900</v>
      </c>
    </row>
    <row r="30" spans="1:13" x14ac:dyDescent="0.25">
      <c r="A30" s="25" t="s">
        <v>3</v>
      </c>
      <c r="B30" s="37">
        <f>C21</f>
        <v>0</v>
      </c>
      <c r="C30" s="25"/>
      <c r="D30" s="25"/>
      <c r="E30" s="25"/>
      <c r="F30" s="37"/>
      <c r="G30" s="25"/>
      <c r="H30" s="25"/>
      <c r="I30" s="3"/>
      <c r="M30" s="27">
        <f>F20-600</f>
        <v>12300</v>
      </c>
    </row>
    <row r="31" spans="1:13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</row>
    <row r="32" spans="1:13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K33" s="27"/>
    </row>
    <row r="34" spans="1:11" x14ac:dyDescent="0.25">
      <c r="A34" s="39" t="s">
        <v>106</v>
      </c>
      <c r="C34">
        <v>2062</v>
      </c>
      <c r="D34" s="41"/>
      <c r="E34" s="39" t="s">
        <v>106</v>
      </c>
      <c r="G34">
        <v>2062</v>
      </c>
      <c r="H34" s="25"/>
      <c r="I34" s="3"/>
    </row>
    <row r="35" spans="1:11" x14ac:dyDescent="0.25">
      <c r="A35" s="39" t="s">
        <v>107</v>
      </c>
      <c r="B35" s="38"/>
      <c r="C35" s="25">
        <v>20102</v>
      </c>
      <c r="D35" s="25"/>
      <c r="E35" s="39" t="s">
        <v>107</v>
      </c>
      <c r="F35" s="38"/>
      <c r="G35" s="25">
        <v>20102</v>
      </c>
      <c r="H35" s="25"/>
      <c r="I35" s="33"/>
    </row>
    <row r="36" spans="1:11" x14ac:dyDescent="0.25">
      <c r="A36" s="39" t="s">
        <v>108</v>
      </c>
      <c r="B36" s="38"/>
      <c r="C36" s="25">
        <v>8087</v>
      </c>
      <c r="D36" s="25"/>
      <c r="E36" s="39" t="s">
        <v>108</v>
      </c>
      <c r="F36" s="38"/>
      <c r="G36" s="25">
        <v>8087</v>
      </c>
      <c r="H36" s="25"/>
      <c r="I36" s="43"/>
      <c r="J36" s="27"/>
    </row>
    <row r="37" spans="1:11" x14ac:dyDescent="0.25">
      <c r="A37" s="39" t="s">
        <v>109</v>
      </c>
      <c r="B37" s="25"/>
      <c r="C37" s="41">
        <v>10087</v>
      </c>
      <c r="D37" s="25"/>
      <c r="E37" s="39" t="s">
        <v>109</v>
      </c>
      <c r="F37" s="25"/>
      <c r="G37" s="41">
        <v>10087</v>
      </c>
      <c r="H37" s="25"/>
      <c r="I37" s="3"/>
    </row>
    <row r="38" spans="1:11" x14ac:dyDescent="0.25">
      <c r="A38" s="39" t="s">
        <v>114</v>
      </c>
      <c r="B38" s="25"/>
      <c r="C38" s="41">
        <v>5055</v>
      </c>
      <c r="D38" s="25"/>
      <c r="E38" s="39" t="s">
        <v>114</v>
      </c>
      <c r="F38" s="25"/>
      <c r="G38" s="41">
        <v>5055</v>
      </c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1" x14ac:dyDescent="0.25">
      <c r="A41" s="36" t="s">
        <v>15</v>
      </c>
      <c r="B41" s="44">
        <f>B30+B27+B28+B29-C31</f>
        <v>40367</v>
      </c>
      <c r="C41" s="44">
        <f>SUM(C33:C40)</f>
        <v>45393</v>
      </c>
      <c r="D41" s="44">
        <f>B41-C41</f>
        <v>-5026</v>
      </c>
      <c r="E41" s="36" t="s">
        <v>15</v>
      </c>
      <c r="F41" s="44">
        <f>F27+F28+F30-G31</f>
        <v>35017</v>
      </c>
      <c r="G41" s="44">
        <f>SUM(G33:G40)</f>
        <v>45393</v>
      </c>
      <c r="H41" s="44">
        <f>F41-G41</f>
        <v>-10376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7" workbookViewId="0">
      <selection activeCell="K12" sqref="K12"/>
    </sheetView>
  </sheetViews>
  <sheetFormatPr defaultRowHeight="15" x14ac:dyDescent="0.25"/>
  <cols>
    <col min="1" max="1" width="19.5703125" bestFit="1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'JUNE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'JUNE 21'!H7:H21</f>
        <v>2500</v>
      </c>
      <c r="E7" s="16">
        <v>2000</v>
      </c>
      <c r="F7" s="16">
        <f t="shared" ref="F7:F18" si="0">C7+D7+E7</f>
        <v>4500</v>
      </c>
      <c r="G7" s="16">
        <v>2000</v>
      </c>
      <c r="H7" s="17">
        <f t="shared" ref="H7:H18" si="1">F7-G7</f>
        <v>2500</v>
      </c>
      <c r="I7" s="15"/>
    </row>
    <row r="8" spans="1:9" x14ac:dyDescent="0.25">
      <c r="A8" s="18" t="s">
        <v>90</v>
      </c>
      <c r="B8" s="13">
        <v>3</v>
      </c>
      <c r="C8" s="14"/>
      <c r="D8" s="15">
        <f>'JUNE 21'!H8:H22</f>
        <v>0</v>
      </c>
      <c r="E8" s="16">
        <v>2000</v>
      </c>
      <c r="F8" s="16">
        <f t="shared" si="0"/>
        <v>2000</v>
      </c>
      <c r="G8" s="16"/>
      <c r="H8" s="17">
        <f t="shared" si="1"/>
        <v>2000</v>
      </c>
      <c r="I8" s="15"/>
    </row>
    <row r="9" spans="1:9" x14ac:dyDescent="0.25">
      <c r="A9" s="19" t="s">
        <v>39</v>
      </c>
      <c r="B9" s="13">
        <v>4</v>
      </c>
      <c r="C9" s="14"/>
      <c r="D9" s="15">
        <f>'JUNE 21'!H9:H23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'JUNE 21'!H10:H24</f>
        <v>500</v>
      </c>
      <c r="E10" s="16">
        <v>2000</v>
      </c>
      <c r="F10" s="16">
        <f t="shared" si="0"/>
        <v>2500</v>
      </c>
      <c r="G10" s="16">
        <f>2000</f>
        <v>2000</v>
      </c>
      <c r="H10" s="17">
        <f>F10-G10</f>
        <v>500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'JUNE 21'!H11:H25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'JUNE 21'!H12:H26</f>
        <v>0</v>
      </c>
      <c r="E12" s="16">
        <v>2000</v>
      </c>
      <c r="F12" s="16">
        <f t="shared" si="0"/>
        <v>2000</v>
      </c>
      <c r="G12" s="16">
        <f>1000</f>
        <v>1000</v>
      </c>
      <c r="H12" s="17">
        <f t="shared" si="1"/>
        <v>1000</v>
      </c>
      <c r="I12" s="15"/>
    </row>
    <row r="13" spans="1:9" x14ac:dyDescent="0.25">
      <c r="A13" s="49" t="s">
        <v>63</v>
      </c>
      <c r="B13" s="13">
        <v>8</v>
      </c>
      <c r="C13" s="14"/>
      <c r="D13" s="15">
        <f>'JUNE 21'!H13:H27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'JUNE 21'!H14:H28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'JUNE 21'!H15:H29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'JUNE 21'!H16:H30</f>
        <v>0</v>
      </c>
      <c r="E16" s="16">
        <v>5000</v>
      </c>
      <c r="F16" s="16">
        <f t="shared" si="0"/>
        <v>5000</v>
      </c>
      <c r="G16" s="16">
        <f>4000</f>
        <v>4000</v>
      </c>
      <c r="H16" s="17">
        <f t="shared" si="1"/>
        <v>1000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'JUNE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'JUNE 21'!H18:H32</f>
        <v>2000</v>
      </c>
      <c r="E18" s="16">
        <v>5000</v>
      </c>
      <c r="F18" s="16">
        <f t="shared" si="0"/>
        <v>7000</v>
      </c>
      <c r="G18" s="16">
        <v>5000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'JUNE 21'!H19:H33</f>
        <v>0</v>
      </c>
      <c r="E19" s="16">
        <v>5000</v>
      </c>
      <c r="F19" s="16">
        <f>C19+D19+E19</f>
        <v>5000</v>
      </c>
      <c r="G19" s="16">
        <v>5000</v>
      </c>
      <c r="H19" s="17">
        <f>F19-G19</f>
        <v>0</v>
      </c>
      <c r="I19" s="15"/>
    </row>
    <row r="20" spans="1:12" x14ac:dyDescent="0.25">
      <c r="A20" s="12" t="s">
        <v>49</v>
      </c>
      <c r="B20" s="13" t="s">
        <v>14</v>
      </c>
      <c r="C20" s="14"/>
      <c r="D20" s="15">
        <f>'JUNE 21'!H20:H34-600</f>
        <v>3850</v>
      </c>
      <c r="E20" s="16">
        <v>5000</v>
      </c>
      <c r="F20" s="16">
        <f>C20+D20+E20</f>
        <v>8850</v>
      </c>
      <c r="G20" s="16">
        <f>600+800+1500+1000+3000+950+1000</f>
        <v>8850</v>
      </c>
      <c r="H20" s="17">
        <f>F20-G20</f>
        <v>0</v>
      </c>
      <c r="I20" s="15">
        <v>2500</v>
      </c>
      <c r="J20" s="27"/>
    </row>
    <row r="21" spans="1:12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11850</v>
      </c>
      <c r="E21" s="26">
        <f t="shared" si="2"/>
        <v>43000</v>
      </c>
      <c r="F21" s="16">
        <f t="shared" si="2"/>
        <v>54850</v>
      </c>
      <c r="G21" s="16">
        <f t="shared" si="2"/>
        <v>42850</v>
      </c>
      <c r="H21" s="16">
        <f t="shared" si="2"/>
        <v>12000</v>
      </c>
      <c r="I21" s="15">
        <f t="shared" si="2"/>
        <v>2500</v>
      </c>
    </row>
    <row r="22" spans="1:12" x14ac:dyDescent="0.25">
      <c r="D22" s="15">
        <f>'MAY 21'!H22:H38</f>
        <v>6000</v>
      </c>
      <c r="H22" s="27">
        <f>H21-3100-D14-D18</f>
        <v>4900</v>
      </c>
      <c r="I22" s="3"/>
      <c r="L22" s="27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  <c r="L24" s="27"/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2" x14ac:dyDescent="0.25">
      <c r="A27" s="25" t="s">
        <v>110</v>
      </c>
      <c r="B27" s="37">
        <f>E21</f>
        <v>43000</v>
      </c>
      <c r="C27" s="25"/>
      <c r="D27" s="25"/>
      <c r="E27" s="25" t="s">
        <v>110</v>
      </c>
      <c r="F27" s="37">
        <f>G21</f>
        <v>42850</v>
      </c>
      <c r="G27" s="25"/>
      <c r="H27" s="25"/>
      <c r="I27" s="33"/>
      <c r="J27" s="27"/>
      <c r="L27" s="27"/>
    </row>
    <row r="28" spans="1:12" x14ac:dyDescent="0.25">
      <c r="A28" s="25" t="s">
        <v>22</v>
      </c>
      <c r="B28" s="37">
        <f>'JUNE 21'!D41</f>
        <v>-5026</v>
      </c>
      <c r="C28" s="25"/>
      <c r="D28" s="25"/>
      <c r="E28" s="25" t="s">
        <v>22</v>
      </c>
      <c r="F28" s="37">
        <f>'JUNE 21'!H41</f>
        <v>-10376</v>
      </c>
      <c r="G28" s="25"/>
      <c r="H28" s="25"/>
      <c r="I28" s="33"/>
      <c r="L28" s="42"/>
    </row>
    <row r="29" spans="1:12" x14ac:dyDescent="0.25">
      <c r="A29" s="25" t="s">
        <v>121</v>
      </c>
      <c r="B29" s="37">
        <f>I21</f>
        <v>2500</v>
      </c>
      <c r="C29" s="25"/>
      <c r="D29" s="25"/>
      <c r="E29" s="25"/>
      <c r="F29" s="37"/>
      <c r="G29" s="25"/>
      <c r="H29" s="25"/>
      <c r="I29" s="33" t="s">
        <v>23</v>
      </c>
      <c r="L29" s="42"/>
    </row>
    <row r="30" spans="1:12" x14ac:dyDescent="0.25">
      <c r="A30" s="25" t="s">
        <v>3</v>
      </c>
      <c r="B30" s="37">
        <f>C21</f>
        <v>0</v>
      </c>
      <c r="C30" s="25"/>
      <c r="D30" s="25"/>
      <c r="E30" s="25"/>
      <c r="F30" s="37"/>
      <c r="G30" s="25"/>
      <c r="H30" s="25"/>
      <c r="I30" s="3"/>
    </row>
    <row r="31" spans="1:12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  <c r="L31" s="42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2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L33" s="42"/>
    </row>
    <row r="34" spans="1:12" x14ac:dyDescent="0.25">
      <c r="A34" s="39"/>
      <c r="D34" s="41"/>
      <c r="E34" s="39"/>
      <c r="H34" s="25"/>
      <c r="I34" s="3"/>
      <c r="L34" s="42"/>
    </row>
    <row r="35" spans="1:12" x14ac:dyDescent="0.25">
      <c r="A35" s="39" t="s">
        <v>113</v>
      </c>
      <c r="B35" s="38"/>
      <c r="C35" s="25">
        <v>20000</v>
      </c>
      <c r="D35" s="25"/>
      <c r="E35" s="39" t="s">
        <v>113</v>
      </c>
      <c r="F35" s="38"/>
      <c r="G35" s="25">
        <v>20000</v>
      </c>
      <c r="H35" s="25"/>
      <c r="I35" s="33"/>
    </row>
    <row r="36" spans="1:12" x14ac:dyDescent="0.25">
      <c r="A36" s="39" t="s">
        <v>115</v>
      </c>
      <c r="B36" s="38"/>
      <c r="C36" s="25">
        <v>13674</v>
      </c>
      <c r="D36" s="25"/>
      <c r="E36" s="39" t="s">
        <v>115</v>
      </c>
      <c r="F36" s="38"/>
      <c r="G36" s="25">
        <v>13674</v>
      </c>
      <c r="H36" s="25"/>
      <c r="I36" s="43"/>
      <c r="J36" s="27"/>
    </row>
    <row r="37" spans="1:12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12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2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2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2" x14ac:dyDescent="0.25">
      <c r="A41" s="36" t="s">
        <v>15</v>
      </c>
      <c r="B41" s="44">
        <f>B30+B27+B28+B29-C31</f>
        <v>36174</v>
      </c>
      <c r="C41" s="44">
        <f>SUM(C33:C40)</f>
        <v>33674</v>
      </c>
      <c r="D41" s="44">
        <f>B41-C41</f>
        <v>2500</v>
      </c>
      <c r="E41" s="36" t="s">
        <v>15</v>
      </c>
      <c r="F41" s="44">
        <f>F27+F28+F30-G31</f>
        <v>28174</v>
      </c>
      <c r="G41" s="44">
        <f>SUM(G33:G40)</f>
        <v>33674</v>
      </c>
      <c r="H41" s="44">
        <f>F41-G41</f>
        <v>-5500</v>
      </c>
      <c r="I41" s="43"/>
    </row>
    <row r="42" spans="1:12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2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7" workbookViewId="0">
      <selection activeCell="G16" sqref="G16"/>
    </sheetView>
  </sheetViews>
  <sheetFormatPr defaultRowHeight="15" x14ac:dyDescent="0.25"/>
  <cols>
    <col min="1" max="1" width="22.5703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116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88</v>
      </c>
      <c r="B6" s="13">
        <v>1</v>
      </c>
      <c r="C6" s="14"/>
      <c r="D6" s="15">
        <f>'JULY 21'!H6:H22</f>
        <v>0</v>
      </c>
      <c r="E6" s="16">
        <v>2000</v>
      </c>
      <c r="F6" s="16">
        <f>C6+D6+E6</f>
        <v>2000</v>
      </c>
      <c r="G6" s="16">
        <f>2000</f>
        <v>2000</v>
      </c>
      <c r="H6" s="17">
        <f>F6-G6</f>
        <v>0</v>
      </c>
      <c r="I6" s="15"/>
    </row>
    <row r="7" spans="1:10" x14ac:dyDescent="0.25">
      <c r="A7" t="s">
        <v>37</v>
      </c>
      <c r="B7" s="13">
        <v>2</v>
      </c>
      <c r="C7" s="14"/>
      <c r="D7" s="15">
        <f>'JULY 21'!H7:H23</f>
        <v>2500</v>
      </c>
      <c r="E7" s="16">
        <v>2000</v>
      </c>
      <c r="F7" s="16">
        <f t="shared" ref="F7:F18" si="0">C7+D7+E7</f>
        <v>4500</v>
      </c>
      <c r="G7" s="16">
        <f>3000</f>
        <v>3000</v>
      </c>
      <c r="H7" s="17">
        <f t="shared" ref="H7:H18" si="1">F7-G7</f>
        <v>1500</v>
      </c>
      <c r="I7" s="15"/>
    </row>
    <row r="8" spans="1:10" x14ac:dyDescent="0.25">
      <c r="A8" s="50" t="s">
        <v>90</v>
      </c>
      <c r="B8" s="51">
        <v>3</v>
      </c>
      <c r="C8" s="52"/>
      <c r="D8" s="53">
        <f>'JULY 21'!H8:H24</f>
        <v>2000</v>
      </c>
      <c r="E8" s="54"/>
      <c r="F8" s="54">
        <f t="shared" si="0"/>
        <v>2000</v>
      </c>
      <c r="G8" s="54"/>
      <c r="H8" s="55">
        <f t="shared" si="1"/>
        <v>2000</v>
      </c>
      <c r="I8" s="15"/>
      <c r="J8" s="56" t="s">
        <v>119</v>
      </c>
    </row>
    <row r="9" spans="1:10" x14ac:dyDescent="0.25">
      <c r="A9" s="19" t="s">
        <v>39</v>
      </c>
      <c r="B9" s="13">
        <v>4</v>
      </c>
      <c r="C9" s="14"/>
      <c r="D9" s="15">
        <f>'JULY 21'!H9:H25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10" x14ac:dyDescent="0.25">
      <c r="A10" s="19" t="s">
        <v>41</v>
      </c>
      <c r="B10" s="13">
        <v>5</v>
      </c>
      <c r="C10" s="14"/>
      <c r="D10" s="15">
        <f>'JULY 21'!H10:H26</f>
        <v>500</v>
      </c>
      <c r="E10" s="16">
        <v>2000</v>
      </c>
      <c r="F10" s="16">
        <f t="shared" si="0"/>
        <v>2500</v>
      </c>
      <c r="G10" s="16">
        <f>2000</f>
        <v>2000</v>
      </c>
      <c r="H10" s="17">
        <f>F10-G10</f>
        <v>500</v>
      </c>
      <c r="I10" s="15"/>
    </row>
    <row r="11" spans="1:10" x14ac:dyDescent="0.25">
      <c r="A11" s="20" t="s">
        <v>101</v>
      </c>
      <c r="B11" s="13">
        <v>6</v>
      </c>
      <c r="C11" s="14"/>
      <c r="D11" s="15">
        <f>'JULY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'JULY 21'!H12:H28</f>
        <v>1000</v>
      </c>
      <c r="E12" s="16">
        <v>2000</v>
      </c>
      <c r="F12" s="16">
        <f t="shared" si="0"/>
        <v>3000</v>
      </c>
      <c r="G12" s="16">
        <f>2500</f>
        <v>2500</v>
      </c>
      <c r="H12" s="17">
        <f t="shared" si="1"/>
        <v>500</v>
      </c>
      <c r="I12" s="15"/>
    </row>
    <row r="13" spans="1:10" x14ac:dyDescent="0.25">
      <c r="A13" s="21" t="s">
        <v>123</v>
      </c>
      <c r="B13" s="13">
        <v>8</v>
      </c>
      <c r="C13" s="14">
        <v>1000</v>
      </c>
      <c r="D13" s="15">
        <f>'JULY 21'!H13:H29</f>
        <v>0</v>
      </c>
      <c r="E13" s="16">
        <v>1000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'JULY 21'!H14:H30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10" x14ac:dyDescent="0.25">
      <c r="A15" s="22" t="s">
        <v>94</v>
      </c>
      <c r="B15" s="23">
        <v>10</v>
      </c>
      <c r="C15" s="14"/>
      <c r="D15" s="15">
        <f>'JULY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10" x14ac:dyDescent="0.25">
      <c r="A16" s="22" t="s">
        <v>65</v>
      </c>
      <c r="B16" s="13" t="s">
        <v>10</v>
      </c>
      <c r="C16" s="14"/>
      <c r="D16" s="15">
        <f>'JULY 21'!H16:H32</f>
        <v>1000</v>
      </c>
      <c r="E16" s="16">
        <v>5000</v>
      </c>
      <c r="F16" s="16">
        <f t="shared" si="0"/>
        <v>6000</v>
      </c>
      <c r="G16" s="16">
        <f>5000</f>
        <v>5000</v>
      </c>
      <c r="H16" s="17">
        <f t="shared" si="1"/>
        <v>1000</v>
      </c>
      <c r="I16" s="15"/>
    </row>
    <row r="17" spans="1:10" x14ac:dyDescent="0.25">
      <c r="A17" s="18" t="s">
        <v>47</v>
      </c>
      <c r="B17" s="13" t="s">
        <v>11</v>
      </c>
      <c r="C17" s="14"/>
      <c r="D17" s="15">
        <f>'JULY 21'!H17:H33</f>
        <v>0</v>
      </c>
      <c r="E17" s="16">
        <v>5000</v>
      </c>
      <c r="F17" s="16">
        <f t="shared" si="0"/>
        <v>5000</v>
      </c>
      <c r="G17" s="16">
        <f>5000</f>
        <v>5000</v>
      </c>
      <c r="H17" s="17">
        <f t="shared" si="1"/>
        <v>0</v>
      </c>
      <c r="I17" s="15"/>
    </row>
    <row r="18" spans="1:10" x14ac:dyDescent="0.25">
      <c r="A18" s="12" t="s">
        <v>37</v>
      </c>
      <c r="B18" s="13" t="s">
        <v>12</v>
      </c>
      <c r="C18" s="14"/>
      <c r="D18" s="15">
        <f>'JULY 21'!H18:H34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0" x14ac:dyDescent="0.25">
      <c r="A19" s="12" t="s">
        <v>48</v>
      </c>
      <c r="B19" s="13" t="s">
        <v>13</v>
      </c>
      <c r="C19" s="14"/>
      <c r="D19" s="15">
        <f>'JULY 21'!H19:H35</f>
        <v>0</v>
      </c>
      <c r="E19" s="16">
        <v>5000</v>
      </c>
      <c r="F19" s="16">
        <f>C19+D19+E19</f>
        <v>5000</v>
      </c>
      <c r="G19" s="16"/>
      <c r="H19" s="17">
        <f>F19-G19</f>
        <v>5000</v>
      </c>
      <c r="I19" s="15"/>
    </row>
    <row r="20" spans="1:10" x14ac:dyDescent="0.25">
      <c r="A20" s="12" t="s">
        <v>49</v>
      </c>
      <c r="B20" s="13" t="s">
        <v>14</v>
      </c>
      <c r="C20" s="14"/>
      <c r="D20" s="15">
        <f>'JULY 21'!H20:H36</f>
        <v>0</v>
      </c>
      <c r="E20" s="16">
        <v>5000</v>
      </c>
      <c r="F20" s="16">
        <f>C20+D20+E20</f>
        <v>5000</v>
      </c>
      <c r="G20" s="16">
        <f>700+1000</f>
        <v>1700</v>
      </c>
      <c r="H20" s="17">
        <f>F20-G20</f>
        <v>3300</v>
      </c>
      <c r="I20" s="15"/>
      <c r="J20" s="27"/>
    </row>
    <row r="21" spans="1:10" x14ac:dyDescent="0.25">
      <c r="A21" s="24" t="s">
        <v>15</v>
      </c>
      <c r="B21" s="25"/>
      <c r="C21" s="14">
        <f t="shared" ref="C21:I21" si="2">SUM(C6:C20)</f>
        <v>1000</v>
      </c>
      <c r="D21" s="15">
        <f>'JULY 21'!H21:H37</f>
        <v>12000</v>
      </c>
      <c r="E21" s="26">
        <f t="shared" si="2"/>
        <v>42000</v>
      </c>
      <c r="F21" s="16">
        <f t="shared" si="2"/>
        <v>55000</v>
      </c>
      <c r="G21" s="16">
        <f t="shared" si="2"/>
        <v>36200</v>
      </c>
      <c r="H21" s="16">
        <f t="shared" si="2"/>
        <v>18800</v>
      </c>
      <c r="I21" s="15">
        <f t="shared" si="2"/>
        <v>0</v>
      </c>
    </row>
    <row r="22" spans="1:10" x14ac:dyDescent="0.25">
      <c r="D22" s="15">
        <f>'JULY 21'!H22:H38</f>
        <v>4900</v>
      </c>
      <c r="H22" s="27">
        <f>H21-3100-D14-D18</f>
        <v>11700</v>
      </c>
      <c r="I22" s="3"/>
    </row>
    <row r="23" spans="1:10" x14ac:dyDescent="0.25">
      <c r="I23" s="27"/>
    </row>
    <row r="24" spans="1:10" x14ac:dyDescent="0.25">
      <c r="A24" s="3" t="s">
        <v>16</v>
      </c>
      <c r="B24" s="28"/>
      <c r="C24" s="29"/>
      <c r="D24" s="30"/>
      <c r="E24" s="31"/>
      <c r="F24" s="32"/>
      <c r="G24" s="31">
        <f>E21-C31</f>
        <v>37800</v>
      </c>
      <c r="H24" s="33"/>
      <c r="I24" s="3"/>
    </row>
    <row r="25" spans="1:10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0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0" x14ac:dyDescent="0.25">
      <c r="A27" s="25" t="s">
        <v>117</v>
      </c>
      <c r="B27" s="37">
        <f>E21</f>
        <v>42000</v>
      </c>
      <c r="C27" s="25"/>
      <c r="D27" s="25"/>
      <c r="E27" s="25" t="s">
        <v>117</v>
      </c>
      <c r="F27" s="37">
        <f>G21</f>
        <v>36200</v>
      </c>
      <c r="G27" s="25"/>
      <c r="H27" s="25"/>
      <c r="I27" s="33"/>
      <c r="J27" s="27"/>
    </row>
    <row r="28" spans="1:10" x14ac:dyDescent="0.25">
      <c r="A28" s="25" t="s">
        <v>22</v>
      </c>
      <c r="B28" s="37">
        <f>'JULY 21'!D41</f>
        <v>2500</v>
      </c>
      <c r="C28" s="25"/>
      <c r="D28" s="25"/>
      <c r="E28" s="25" t="s">
        <v>22</v>
      </c>
      <c r="F28" s="37">
        <f>'JULY 21'!H41</f>
        <v>-5500</v>
      </c>
      <c r="G28" s="25"/>
      <c r="H28" s="25"/>
      <c r="I28" s="33"/>
    </row>
    <row r="29" spans="1:10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0" x14ac:dyDescent="0.25">
      <c r="A30" s="25" t="s">
        <v>3</v>
      </c>
      <c r="B30" s="37">
        <f>C21</f>
        <v>1000</v>
      </c>
      <c r="C30" s="25"/>
      <c r="D30" s="25"/>
      <c r="E30" s="25"/>
      <c r="F30" s="37"/>
      <c r="G30" s="25"/>
      <c r="H30" s="25"/>
      <c r="I30" s="3"/>
    </row>
    <row r="31" spans="1:10" x14ac:dyDescent="0.25">
      <c r="A31" s="25" t="s">
        <v>24</v>
      </c>
      <c r="B31" s="38">
        <v>0.1</v>
      </c>
      <c r="C31" s="37">
        <f>B31*B27</f>
        <v>4200</v>
      </c>
      <c r="D31" s="25"/>
      <c r="E31" s="25" t="s">
        <v>24</v>
      </c>
      <c r="F31" s="38">
        <v>0.1</v>
      </c>
      <c r="G31" s="37">
        <f>F31*B27</f>
        <v>4200</v>
      </c>
      <c r="H31" s="25"/>
      <c r="I31" s="3"/>
    </row>
    <row r="32" spans="1:10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</row>
    <row r="34" spans="1:10" x14ac:dyDescent="0.25">
      <c r="A34" s="39" t="s">
        <v>118</v>
      </c>
      <c r="C34">
        <v>20000</v>
      </c>
      <c r="D34" s="41"/>
      <c r="E34" s="39" t="s">
        <v>118</v>
      </c>
      <c r="G34">
        <v>20000</v>
      </c>
      <c r="H34" s="25"/>
      <c r="I34" s="3"/>
    </row>
    <row r="35" spans="1:10" x14ac:dyDescent="0.25">
      <c r="A35" s="39" t="s">
        <v>120</v>
      </c>
      <c r="B35" s="38"/>
      <c r="C35" s="25">
        <v>2000</v>
      </c>
      <c r="D35" s="25"/>
      <c r="E35" s="39"/>
      <c r="F35" s="38"/>
      <c r="G35" s="25"/>
      <c r="H35" s="25"/>
      <c r="I35" s="33"/>
    </row>
    <row r="36" spans="1:10" x14ac:dyDescent="0.25">
      <c r="A36" s="39" t="s">
        <v>122</v>
      </c>
      <c r="B36" s="38"/>
      <c r="C36" s="25">
        <v>19300</v>
      </c>
      <c r="D36" s="25"/>
      <c r="E36" s="39" t="s">
        <v>122</v>
      </c>
      <c r="F36" s="38"/>
      <c r="G36" s="25">
        <v>19300</v>
      </c>
      <c r="H36" s="25"/>
      <c r="I36" s="43"/>
      <c r="J36" s="27"/>
    </row>
    <row r="37" spans="1:10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10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0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41300</v>
      </c>
      <c r="C41" s="44">
        <f>SUM(C33:C40)</f>
        <v>41300</v>
      </c>
      <c r="D41" s="44">
        <f>B41-C41</f>
        <v>0</v>
      </c>
      <c r="E41" s="36" t="s">
        <v>15</v>
      </c>
      <c r="F41" s="44">
        <f>F27+F28+F30-G31</f>
        <v>26500</v>
      </c>
      <c r="G41" s="44">
        <f>SUM(G33:G40)</f>
        <v>39300</v>
      </c>
      <c r="H41" s="44">
        <f>F41-G41</f>
        <v>-12800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2020-12-14T11:04:59Z</cp:lastPrinted>
  <dcterms:created xsi:type="dcterms:W3CDTF">2020-12-02T13:25:34Z</dcterms:created>
  <dcterms:modified xsi:type="dcterms:W3CDTF">2021-12-17T08:20:32Z</dcterms:modified>
</cp:coreProperties>
</file>