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90" yWindow="390" windowWidth="15480" windowHeight="11235" firstSheet="96" activeTab="99"/>
  </bookViews>
  <sheets>
    <sheet name="JANUARY" sheetId="1" r:id="rId1"/>
    <sheet name="FEBRUARY" sheetId="3" r:id="rId2"/>
    <sheet name="MAR" sheetId="2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JAN" sheetId="13" r:id="rId13"/>
    <sheet name="FEB" sheetId="14" r:id="rId14"/>
    <sheet name="MARCH" sheetId="15" r:id="rId15"/>
    <sheet name="APRIL 2015" sheetId="16" r:id="rId16"/>
    <sheet name="MAY 2014" sheetId="17" r:id="rId17"/>
    <sheet name="Sheet1" sheetId="18" r:id="rId18"/>
    <sheet name="JULY 2015" sheetId="19" r:id="rId19"/>
    <sheet name="AUGUST 2015" sheetId="20" r:id="rId20"/>
    <sheet name="SEP 2015" sheetId="21" r:id="rId21"/>
    <sheet name="OCT" sheetId="22" r:id="rId22"/>
    <sheet name="NOVE" sheetId="23" r:id="rId23"/>
    <sheet name="Sheet2" sheetId="24" r:id="rId24"/>
    <sheet name="Sheet3" sheetId="25" r:id="rId25"/>
    <sheet name="Sheet4" sheetId="26" r:id="rId26"/>
    <sheet name="JAN 2016" sheetId="27" r:id="rId27"/>
    <sheet name="FEBRUARY 2016" sheetId="28" r:id="rId28"/>
    <sheet name="MARCH 2016" sheetId="29" r:id="rId29"/>
    <sheet name="APRIL 2016" sheetId="30" r:id="rId30"/>
    <sheet name="MAY 2016" sheetId="31" r:id="rId31"/>
    <sheet name="JUNE  2016" sheetId="32" r:id="rId32"/>
    <sheet name="JULY 2016" sheetId="33" r:id="rId33"/>
    <sheet name="AUGUST 2016" sheetId="34" r:id="rId34"/>
    <sheet name="SEPT 2016" sheetId="35" r:id="rId35"/>
    <sheet name="OCT 2016" sheetId="36" r:id="rId36"/>
    <sheet name="NOVEMBER 2016" sheetId="37" r:id="rId37"/>
    <sheet name="Sheet7" sheetId="38" r:id="rId38"/>
    <sheet name="Sheet6" sheetId="39" r:id="rId39"/>
    <sheet name="Sheet5" sheetId="40" r:id="rId40"/>
    <sheet name="JAN 2017" sheetId="41" r:id="rId41"/>
    <sheet name="feb 2017" sheetId="42" r:id="rId42"/>
    <sheet name="MARCH 2017" sheetId="43" r:id="rId43"/>
    <sheet name="APRIL 2017" sheetId="44" r:id="rId44"/>
    <sheet name="MAI" sheetId="45" r:id="rId45"/>
    <sheet name="JUNE 2017" sheetId="46" r:id="rId46"/>
    <sheet name="JULY 2017" sheetId="47" r:id="rId47"/>
    <sheet name="AUGUST 2017" sheetId="48" r:id="rId48"/>
    <sheet name="SEPTEMBER 2017" sheetId="49" r:id="rId49"/>
    <sheet name="OCTO" sheetId="50" r:id="rId50"/>
    <sheet name="NOV" sheetId="51" r:id="rId51"/>
    <sheet name="DEC" sheetId="52" r:id="rId52"/>
    <sheet name="JAN 18" sheetId="53" r:id="rId53"/>
    <sheet name="FEB18" sheetId="54" r:id="rId54"/>
    <sheet name="MAR 18" sheetId="55" r:id="rId55"/>
    <sheet name="APRILL" sheetId="56" r:id="rId56"/>
    <sheet name="MAY18" sheetId="57" r:id="rId57"/>
    <sheet name="JUNE " sheetId="58" r:id="rId58"/>
    <sheet name="JULY7" sheetId="59" r:id="rId59"/>
    <sheet name="AUG " sheetId="60" r:id="rId60"/>
    <sheet name="SEP" sheetId="61" r:id="rId61"/>
    <sheet name="OCTO " sheetId="62" r:id="rId62"/>
    <sheet name="NOVEM" sheetId="63" r:id="rId63"/>
    <sheet name="DECE" sheetId="64" r:id="rId64"/>
    <sheet name="JANUARY " sheetId="65" r:id="rId65"/>
    <sheet name="FEB " sheetId="66" r:id="rId66"/>
    <sheet name="MARCH " sheetId="67" r:id="rId67"/>
    <sheet name="APRIL " sheetId="68" r:id="rId68"/>
    <sheet name="MAY " sheetId="69" r:id="rId69"/>
    <sheet name="JUNEE" sheetId="70" r:id="rId70"/>
    <sheet name="JULY " sheetId="71" r:id="rId71"/>
    <sheet name="AUG 19" sheetId="72" r:id="rId72"/>
    <sheet name="SEPTEMBER 19" sheetId="73" r:id="rId73"/>
    <sheet name="OCTOBER 19" sheetId="74" r:id="rId74"/>
    <sheet name="NOVEMBER 19" sheetId="75" r:id="rId75"/>
    <sheet name="DECEMBER 19" sheetId="76" r:id="rId76"/>
    <sheet name="JANUARY 20" sheetId="77" r:id="rId77"/>
    <sheet name="FEBRUARY 20" sheetId="78" r:id="rId78"/>
    <sheet name="MARCH 20" sheetId="79" r:id="rId79"/>
    <sheet name="APRIL 20" sheetId="80" r:id="rId80"/>
    <sheet name="MAY 20" sheetId="81" r:id="rId81"/>
    <sheet name="JUNE 20" sheetId="82" r:id="rId82"/>
    <sheet name="JULY 20" sheetId="83" r:id="rId83"/>
    <sheet name="AUGUST20" sheetId="84" r:id="rId84"/>
    <sheet name="SEPTEMBER 20" sheetId="85" r:id="rId85"/>
    <sheet name="OCTOBER 20" sheetId="86" r:id="rId86"/>
    <sheet name="NOVEMBER20" sheetId="87" r:id="rId87"/>
    <sheet name="DECEMBER 20" sheetId="88" r:id="rId88"/>
    <sheet name="JANUARY 21" sheetId="89" r:id="rId89"/>
    <sheet name="FEBRUARY21" sheetId="90" r:id="rId90"/>
    <sheet name="MARCH 21" sheetId="91" r:id="rId91"/>
    <sheet name="APRIL 21" sheetId="92" r:id="rId92"/>
    <sheet name="MAY  21" sheetId="93" r:id="rId93"/>
    <sheet name="JUNE 21" sheetId="94" r:id="rId94"/>
    <sheet name="JULY 21" sheetId="95" r:id="rId95"/>
    <sheet name="AUGUST 21" sheetId="96" r:id="rId96"/>
    <sheet name="SEPT 21" sheetId="97" r:id="rId97"/>
    <sheet name="OCTOBER  21" sheetId="98" r:id="rId98"/>
    <sheet name="NOVEMBER 21" sheetId="99" r:id="rId99"/>
    <sheet name="DECEMBER 21" sheetId="100" r:id="rId100"/>
  </sheets>
  <calcPr calcId="162913"/>
</workbook>
</file>

<file path=xl/calcChain.xml><?xml version="1.0" encoding="utf-8"?>
<calcChain xmlns="http://schemas.openxmlformats.org/spreadsheetml/2006/main">
  <c r="I4" i="100" l="1"/>
  <c r="I31" i="100" l="1"/>
  <c r="I23" i="100" l="1"/>
  <c r="I29" i="99" l="1"/>
  <c r="N50" i="100"/>
  <c r="B41" i="100"/>
  <c r="H29" i="99" l="1"/>
  <c r="N14" i="100"/>
  <c r="B41" i="99"/>
  <c r="L8" i="99"/>
  <c r="H51" i="100" l="1"/>
  <c r="C51" i="100"/>
  <c r="G37" i="100"/>
  <c r="B40" i="100" s="1"/>
  <c r="F37" i="100"/>
  <c r="D37" i="100"/>
  <c r="L18" i="100"/>
  <c r="L20" i="100" s="1"/>
  <c r="L22" i="100" s="1"/>
  <c r="I37" i="100"/>
  <c r="G40" i="100" s="1"/>
  <c r="N43" i="100" l="1"/>
  <c r="C43" i="100"/>
  <c r="N44" i="100" s="1"/>
  <c r="H43" i="100"/>
  <c r="J29" i="99"/>
  <c r="E29" i="100" s="1"/>
  <c r="H29" i="100" s="1"/>
  <c r="J29" i="100" s="1"/>
  <c r="N45" i="100" l="1"/>
  <c r="N47" i="100" s="1"/>
  <c r="N49" i="100" s="1"/>
  <c r="N51" i="100" s="1"/>
  <c r="L18" i="99"/>
  <c r="L20" i="99" s="1"/>
  <c r="L22" i="99" s="1"/>
  <c r="I20" i="99" l="1"/>
  <c r="I32" i="99" l="1"/>
  <c r="I8" i="99"/>
  <c r="C51" i="99" l="1"/>
  <c r="H51" i="99" l="1"/>
  <c r="G37" i="99"/>
  <c r="F37" i="99"/>
  <c r="D37" i="99"/>
  <c r="I37" i="99"/>
  <c r="G40" i="99" s="1"/>
  <c r="B40" i="99" l="1"/>
  <c r="C43" i="99" s="1"/>
  <c r="N44" i="99" s="1"/>
  <c r="N43" i="99"/>
  <c r="H43" i="99"/>
  <c r="I5" i="98"/>
  <c r="N45" i="99" l="1"/>
  <c r="N47" i="99" s="1"/>
  <c r="N49" i="99" s="1"/>
  <c r="N51" i="99" s="1"/>
  <c r="I19" i="98"/>
  <c r="I14" i="98"/>
  <c r="I33" i="98"/>
  <c r="B41" i="98" l="1"/>
  <c r="B41" i="94"/>
  <c r="O31" i="95"/>
  <c r="I31" i="97" l="1"/>
  <c r="H51" i="98" l="1"/>
  <c r="C51" i="98"/>
  <c r="G37" i="98"/>
  <c r="B40" i="98" s="1"/>
  <c r="F63" i="98" s="1"/>
  <c r="F37" i="98"/>
  <c r="D37" i="98"/>
  <c r="H35" i="98"/>
  <c r="J35" i="98" s="1"/>
  <c r="E35" i="99" s="1"/>
  <c r="H35" i="99" s="1"/>
  <c r="J35" i="99" s="1"/>
  <c r="E35" i="100" s="1"/>
  <c r="H35" i="100" s="1"/>
  <c r="J35" i="100" s="1"/>
  <c r="H15" i="98"/>
  <c r="J15" i="98" s="1"/>
  <c r="H15" i="99" s="1"/>
  <c r="J15" i="99" s="1"/>
  <c r="H15" i="100" s="1"/>
  <c r="J15" i="100" s="1"/>
  <c r="H9" i="98"/>
  <c r="J9" i="98" s="1"/>
  <c r="H5" i="98"/>
  <c r="J5" i="98" s="1"/>
  <c r="E5" i="99" s="1"/>
  <c r="H5" i="99" s="1"/>
  <c r="J5" i="99" s="1"/>
  <c r="H5" i="100" s="1"/>
  <c r="J5" i="100" s="1"/>
  <c r="I37" i="98"/>
  <c r="G40" i="98" l="1"/>
  <c r="H43" i="98"/>
  <c r="C43" i="98"/>
  <c r="F64" i="98" s="1"/>
  <c r="I30" i="97" l="1"/>
  <c r="I9" i="97"/>
  <c r="I9" i="96"/>
  <c r="I7" i="97"/>
  <c r="I5" i="97"/>
  <c r="O59" i="97"/>
  <c r="N49" i="97"/>
  <c r="I22" i="97" l="1"/>
  <c r="I34" i="97" l="1"/>
  <c r="I15" i="97" l="1"/>
  <c r="I26" i="97" l="1"/>
  <c r="I19" i="97" l="1"/>
  <c r="I17" i="97" l="1"/>
  <c r="I36" i="97" l="1"/>
  <c r="I4" i="97" l="1"/>
  <c r="I8" i="97" l="1"/>
  <c r="I6" i="97" l="1"/>
  <c r="I12" i="97" l="1"/>
  <c r="I21" i="97" l="1"/>
  <c r="I13" i="97" l="1"/>
  <c r="I33" i="97" l="1"/>
  <c r="I28" i="97" l="1"/>
  <c r="L11" i="94" l="1"/>
  <c r="N53" i="97"/>
  <c r="J56" i="97" l="1"/>
  <c r="H51" i="97"/>
  <c r="C51" i="97"/>
  <c r="I37" i="97"/>
  <c r="G40" i="97" s="1"/>
  <c r="G37" i="97"/>
  <c r="B40" i="97" s="1"/>
  <c r="N46" i="97" s="1"/>
  <c r="F37" i="97"/>
  <c r="D37" i="97"/>
  <c r="H35" i="97"/>
  <c r="J35" i="97" s="1"/>
  <c r="H15" i="97"/>
  <c r="J15" i="97" s="1"/>
  <c r="H9" i="97"/>
  <c r="J9" i="97" s="1"/>
  <c r="H5" i="97"/>
  <c r="J5" i="97" s="1"/>
  <c r="I4" i="96"/>
  <c r="I5" i="96"/>
  <c r="I6" i="96"/>
  <c r="I7" i="96"/>
  <c r="I8" i="96"/>
  <c r="I12" i="96"/>
  <c r="I13" i="96"/>
  <c r="I14" i="96"/>
  <c r="I15" i="96"/>
  <c r="I17" i="96"/>
  <c r="I19" i="96"/>
  <c r="I20" i="96"/>
  <c r="I22" i="96"/>
  <c r="I24" i="96"/>
  <c r="I25" i="96"/>
  <c r="I29" i="96"/>
  <c r="I30" i="96"/>
  <c r="I34" i="96"/>
  <c r="I35" i="96"/>
  <c r="I36" i="96"/>
  <c r="H9" i="96"/>
  <c r="B41" i="96"/>
  <c r="H43" i="97" l="1"/>
  <c r="C43" i="97"/>
  <c r="Q48" i="89"/>
  <c r="P45" i="89"/>
  <c r="N49" i="85"/>
  <c r="P41" i="82"/>
  <c r="P40" i="82"/>
  <c r="P42" i="82" s="1"/>
  <c r="L50" i="92"/>
  <c r="H47" i="92"/>
  <c r="M43" i="92"/>
  <c r="N31" i="91"/>
  <c r="N47" i="97" l="1"/>
  <c r="N48" i="97" s="1"/>
  <c r="N50" i="97" s="1"/>
  <c r="N52" i="97" s="1"/>
  <c r="N54" i="97" s="1"/>
  <c r="N17" i="96"/>
  <c r="N18" i="96" s="1"/>
  <c r="N19" i="96" s="1"/>
  <c r="O18" i="96" l="1"/>
  <c r="P19" i="96" s="1"/>
  <c r="P21" i="96"/>
  <c r="J56" i="96"/>
  <c r="O19" i="96" l="1"/>
  <c r="O20" i="96" s="1"/>
  <c r="L47" i="96"/>
  <c r="P50" i="96" l="1"/>
  <c r="P52" i="96" s="1"/>
  <c r="P54" i="96" s="1"/>
  <c r="P56" i="96" s="1"/>
  <c r="I24" i="95"/>
  <c r="H51" i="96"/>
  <c r="C51" i="96"/>
  <c r="G37" i="96"/>
  <c r="F37" i="96"/>
  <c r="D37" i="96"/>
  <c r="H35" i="96"/>
  <c r="J35" i="96" s="1"/>
  <c r="H31" i="96"/>
  <c r="J31" i="96" s="1"/>
  <c r="E31" i="97" s="1"/>
  <c r="H31" i="97" s="1"/>
  <c r="J31" i="97" s="1"/>
  <c r="E31" i="98" s="1"/>
  <c r="H31" i="98" s="1"/>
  <c r="J31" i="98" s="1"/>
  <c r="E31" i="99" s="1"/>
  <c r="H31" i="99" s="1"/>
  <c r="J31" i="99" s="1"/>
  <c r="E31" i="100" s="1"/>
  <c r="H31" i="100" s="1"/>
  <c r="J31" i="100" s="1"/>
  <c r="H15" i="96"/>
  <c r="J15" i="96" s="1"/>
  <c r="J9" i="96"/>
  <c r="H5" i="96"/>
  <c r="J5" i="96" s="1"/>
  <c r="I37" i="96"/>
  <c r="G40" i="96" s="1"/>
  <c r="B40" i="96" l="1"/>
  <c r="H43" i="96" s="1"/>
  <c r="L44" i="96"/>
  <c r="C43" i="96"/>
  <c r="L45" i="96" s="1"/>
  <c r="I22" i="95"/>
  <c r="L46" i="96" l="1"/>
  <c r="L49" i="96" s="1"/>
  <c r="L51" i="96" s="1"/>
  <c r="I29" i="95"/>
  <c r="B41" i="95" l="1"/>
  <c r="I33" i="95"/>
  <c r="I31" i="95"/>
  <c r="I27" i="95" l="1"/>
  <c r="I7" i="95" l="1"/>
  <c r="I21" i="95" l="1"/>
  <c r="I4" i="95" l="1"/>
  <c r="I30" i="95" l="1"/>
  <c r="I36" i="95" l="1"/>
  <c r="I19" i="95" l="1"/>
  <c r="I20" i="95" l="1"/>
  <c r="I9" i="95" l="1"/>
  <c r="I6" i="95" l="1"/>
  <c r="I12" i="95" l="1"/>
  <c r="I5" i="95" l="1"/>
  <c r="I14" i="95" l="1"/>
  <c r="I15" i="95" l="1"/>
  <c r="P49" i="95" l="1"/>
  <c r="P51" i="95" s="1"/>
  <c r="P53" i="95" s="1"/>
  <c r="P55" i="95" s="1"/>
  <c r="I34" i="95" l="1"/>
  <c r="I13" i="95" l="1"/>
  <c r="I35" i="95" l="1"/>
  <c r="I17" i="95" l="1"/>
  <c r="I28" i="95" l="1"/>
  <c r="I26" i="95" l="1"/>
  <c r="I32" i="95" l="1"/>
  <c r="O51" i="94" l="1"/>
  <c r="H51" i="95"/>
  <c r="C51" i="95"/>
  <c r="G37" i="95"/>
  <c r="B40" i="95" s="1"/>
  <c r="L47" i="95" s="1"/>
  <c r="F37" i="95"/>
  <c r="D37" i="95"/>
  <c r="H35" i="95"/>
  <c r="J35" i="95" s="1"/>
  <c r="H21" i="95"/>
  <c r="J21" i="95" s="1"/>
  <c r="E21" i="96" s="1"/>
  <c r="H21" i="96" s="1"/>
  <c r="J21" i="96" s="1"/>
  <c r="E21" i="97" s="1"/>
  <c r="H21" i="97" s="1"/>
  <c r="J21" i="97" s="1"/>
  <c r="E21" i="98" s="1"/>
  <c r="H21" i="98" s="1"/>
  <c r="J21" i="98" s="1"/>
  <c r="E21" i="99" s="1"/>
  <c r="H21" i="99" s="1"/>
  <c r="J21" i="99" s="1"/>
  <c r="E21" i="100" s="1"/>
  <c r="H21" i="100" s="1"/>
  <c r="J21" i="100" s="1"/>
  <c r="H15" i="95"/>
  <c r="J15" i="95" s="1"/>
  <c r="H9" i="95"/>
  <c r="J9" i="95" s="1"/>
  <c r="H5" i="95"/>
  <c r="J5" i="95" s="1"/>
  <c r="I37" i="95"/>
  <c r="G40" i="95" s="1"/>
  <c r="H43" i="95" l="1"/>
  <c r="C43" i="95"/>
  <c r="L48" i="95" s="1"/>
  <c r="L49" i="95" s="1"/>
  <c r="L51" i="95" s="1"/>
  <c r="L53" i="95" s="1"/>
  <c r="I34" i="94"/>
  <c r="I11" i="94"/>
  <c r="I33" i="94" l="1"/>
  <c r="I21" i="94" l="1"/>
  <c r="I16" i="94"/>
  <c r="I25" i="94" l="1"/>
  <c r="I12" i="94" l="1"/>
  <c r="I7" i="94" l="1"/>
  <c r="I4" i="94" l="1"/>
  <c r="I20" i="94" l="1"/>
  <c r="I22" i="94" l="1"/>
  <c r="I14" i="94" l="1"/>
  <c r="I30" i="94" l="1"/>
  <c r="I29" i="94" l="1"/>
  <c r="I27" i="94" l="1"/>
  <c r="I26" i="94" l="1"/>
  <c r="I8" i="94" l="1"/>
  <c r="I6" i="94" l="1"/>
  <c r="I19" i="94" l="1"/>
  <c r="I28" i="94" l="1"/>
  <c r="I31" i="94" l="1"/>
  <c r="I17" i="94" l="1"/>
  <c r="I32" i="94" l="1"/>
  <c r="I36" i="94" l="1"/>
  <c r="I15" i="94" l="1"/>
  <c r="O53" i="94" l="1"/>
  <c r="N51" i="94"/>
  <c r="M44" i="93"/>
  <c r="B41" i="93"/>
  <c r="I36" i="93"/>
  <c r="I12" i="93" l="1"/>
  <c r="I29" i="93"/>
  <c r="I5" i="93"/>
  <c r="H51" i="94" l="1"/>
  <c r="C51" i="94"/>
  <c r="G37" i="94"/>
  <c r="F37" i="94"/>
  <c r="D37" i="94"/>
  <c r="H35" i="94"/>
  <c r="J35" i="94" s="1"/>
  <c r="H15" i="94"/>
  <c r="J15" i="94" s="1"/>
  <c r="I37" i="94"/>
  <c r="G40" i="94" s="1"/>
  <c r="B40" i="94" l="1"/>
  <c r="C43" i="94" s="1"/>
  <c r="N46" i="94" s="1"/>
  <c r="N45" i="94"/>
  <c r="H43" i="94"/>
  <c r="N47" i="94" l="1"/>
  <c r="N50" i="94" s="1"/>
  <c r="N52" i="94" s="1"/>
  <c r="H47" i="93"/>
  <c r="C47" i="93"/>
  <c r="I30" i="93"/>
  <c r="I32" i="93"/>
  <c r="I20" i="93"/>
  <c r="I31" i="93" l="1"/>
  <c r="I24" i="93"/>
  <c r="I22" i="93"/>
  <c r="I13" i="93"/>
  <c r="I11" i="93" l="1"/>
  <c r="I25" i="93" l="1"/>
  <c r="I27" i="93" l="1"/>
  <c r="I23" i="93" l="1"/>
  <c r="I6" i="93" l="1"/>
  <c r="I7" i="93" l="1"/>
  <c r="I4" i="93" l="1"/>
  <c r="I8" i="93"/>
  <c r="I19" i="93" l="1"/>
  <c r="I14" i="93" l="1"/>
  <c r="I28" i="93" l="1"/>
  <c r="C50" i="92" l="1"/>
  <c r="H35" i="92"/>
  <c r="I33" i="93" l="1"/>
  <c r="I15" i="93" l="1"/>
  <c r="I17" i="93" l="1"/>
  <c r="E5" i="93" l="1"/>
  <c r="H51" i="93"/>
  <c r="C51" i="93"/>
  <c r="G37" i="93"/>
  <c r="B40" i="93" s="1"/>
  <c r="F37" i="93"/>
  <c r="D37" i="93"/>
  <c r="H36" i="93"/>
  <c r="J36" i="93" s="1"/>
  <c r="E36" i="94" s="1"/>
  <c r="H36" i="94" s="1"/>
  <c r="J36" i="94" s="1"/>
  <c r="E36" i="95" s="1"/>
  <c r="H36" i="95" s="1"/>
  <c r="J36" i="95" s="1"/>
  <c r="E36" i="96" s="1"/>
  <c r="H36" i="96" s="1"/>
  <c r="J36" i="96" s="1"/>
  <c r="E36" i="97" s="1"/>
  <c r="H36" i="97" s="1"/>
  <c r="J36" i="97" s="1"/>
  <c r="E36" i="98" s="1"/>
  <c r="H36" i="98" s="1"/>
  <c r="J36" i="98" s="1"/>
  <c r="E36" i="99" s="1"/>
  <c r="H36" i="99" s="1"/>
  <c r="J36" i="99" s="1"/>
  <c r="E36" i="100" s="1"/>
  <c r="H36" i="100" s="1"/>
  <c r="J36" i="100" s="1"/>
  <c r="H35" i="93"/>
  <c r="J35" i="93" s="1"/>
  <c r="H33" i="93"/>
  <c r="J33" i="93" s="1"/>
  <c r="H33" i="94" s="1"/>
  <c r="J33" i="94" s="1"/>
  <c r="E33" i="95" s="1"/>
  <c r="H15" i="93"/>
  <c r="J15" i="93" s="1"/>
  <c r="H5" i="93"/>
  <c r="J5" i="93" s="1"/>
  <c r="H5" i="94" s="1"/>
  <c r="I37" i="93"/>
  <c r="G40" i="93" s="1"/>
  <c r="H33" i="95" l="1"/>
  <c r="J5" i="94"/>
  <c r="H43" i="93"/>
  <c r="C43" i="93"/>
  <c r="J33" i="95" l="1"/>
  <c r="E33" i="96" s="1"/>
  <c r="H33" i="96" s="1"/>
  <c r="J33" i="96" s="1"/>
  <c r="E33" i="97" s="1"/>
  <c r="H33" i="97" s="1"/>
  <c r="J33" i="97" s="1"/>
  <c r="E33" i="98" s="1"/>
  <c r="H33" i="98" s="1"/>
  <c r="J33" i="98" s="1"/>
  <c r="E33" i="99" s="1"/>
  <c r="H33" i="99" s="1"/>
  <c r="J33" i="99" s="1"/>
  <c r="E33" i="100" s="1"/>
  <c r="H33" i="100" s="1"/>
  <c r="J33" i="100" s="1"/>
  <c r="I34" i="92"/>
  <c r="I8" i="92"/>
  <c r="I7" i="92"/>
  <c r="I12" i="92"/>
  <c r="I14" i="92" l="1"/>
  <c r="I6" i="92" l="1"/>
  <c r="I20" i="92" l="1"/>
  <c r="I36" i="92" l="1"/>
  <c r="I4" i="92" l="1"/>
  <c r="I29" i="92" l="1"/>
  <c r="I21" i="92" l="1"/>
  <c r="I19" i="92" l="1"/>
  <c r="I11" i="92" l="1"/>
  <c r="I26" i="92" l="1"/>
  <c r="I9" i="92" l="1"/>
  <c r="I31" i="92" l="1"/>
  <c r="H44" i="92" l="1"/>
  <c r="C44" i="92"/>
  <c r="C51" i="92" s="1"/>
  <c r="I30" i="92" l="1"/>
  <c r="I27" i="92" l="1"/>
  <c r="I23" i="92" l="1"/>
  <c r="N49" i="89" l="1"/>
  <c r="N50" i="89" s="1"/>
  <c r="O50" i="89" s="1"/>
  <c r="I32" i="92" l="1"/>
  <c r="B41" i="91"/>
  <c r="I5" i="92" l="1"/>
  <c r="I24" i="92" l="1"/>
  <c r="E5" i="92" l="1"/>
  <c r="H5" i="92" s="1"/>
  <c r="H45" i="92"/>
  <c r="H51" i="92" s="1"/>
  <c r="G37" i="92"/>
  <c r="B40" i="92" s="1"/>
  <c r="H43" i="92" s="1"/>
  <c r="F37" i="92"/>
  <c r="D37" i="92"/>
  <c r="J35" i="92"/>
  <c r="H33" i="92"/>
  <c r="J33" i="92" s="1"/>
  <c r="H30" i="92"/>
  <c r="J30" i="92" s="1"/>
  <c r="E30" i="93" s="1"/>
  <c r="H30" i="93" s="1"/>
  <c r="J30" i="93" s="1"/>
  <c r="E30" i="94" s="1"/>
  <c r="H30" i="94" s="1"/>
  <c r="J30" i="94" s="1"/>
  <c r="E30" i="95" s="1"/>
  <c r="H30" i="95" s="1"/>
  <c r="J30" i="95" s="1"/>
  <c r="E30" i="96" s="1"/>
  <c r="H30" i="96" s="1"/>
  <c r="J30" i="96" s="1"/>
  <c r="E30" i="97" s="1"/>
  <c r="H30" i="97" s="1"/>
  <c r="J30" i="97" s="1"/>
  <c r="E30" i="98" s="1"/>
  <c r="H30" i="98" s="1"/>
  <c r="J30" i="98" s="1"/>
  <c r="E30" i="99" s="1"/>
  <c r="H30" i="99" s="1"/>
  <c r="J30" i="99" s="1"/>
  <c r="E30" i="100" s="1"/>
  <c r="H30" i="100" s="1"/>
  <c r="J30" i="100" s="1"/>
  <c r="I37" i="92"/>
  <c r="G40" i="92" s="1"/>
  <c r="C43" i="92" l="1"/>
  <c r="I25" i="91"/>
  <c r="I24" i="91"/>
  <c r="I20" i="91" l="1"/>
  <c r="I7" i="91" l="1"/>
  <c r="I12" i="91" l="1"/>
  <c r="I29" i="91" l="1"/>
  <c r="I11" i="91"/>
  <c r="I6" i="91" l="1"/>
  <c r="I16" i="91" l="1"/>
  <c r="I4" i="91" l="1"/>
  <c r="I21" i="91" l="1"/>
  <c r="I15" i="91" l="1"/>
  <c r="I19" i="91" l="1"/>
  <c r="I27" i="91" l="1"/>
  <c r="I23" i="91" l="1"/>
  <c r="I14" i="91" l="1"/>
  <c r="I9" i="91" l="1"/>
  <c r="B41" i="90" l="1"/>
  <c r="B41" i="89" l="1"/>
  <c r="I36" i="89"/>
  <c r="L40" i="89" s="1"/>
  <c r="O44" i="91"/>
  <c r="I35" i="91" l="1"/>
  <c r="I4" i="90"/>
  <c r="I33" i="91"/>
  <c r="G41" i="90" l="1"/>
  <c r="I20" i="90"/>
  <c r="E30" i="91"/>
  <c r="E5" i="91"/>
  <c r="H49" i="90"/>
  <c r="C49" i="90"/>
  <c r="C51" i="91"/>
  <c r="H45" i="91"/>
  <c r="G37" i="91"/>
  <c r="B40" i="91" s="1"/>
  <c r="O41" i="91" s="1"/>
  <c r="F37" i="91"/>
  <c r="D37" i="91"/>
  <c r="H36" i="91"/>
  <c r="J36" i="91" s="1"/>
  <c r="E36" i="92" s="1"/>
  <c r="H36" i="92" s="1"/>
  <c r="J36" i="92" s="1"/>
  <c r="H33" i="91"/>
  <c r="J33" i="91" s="1"/>
  <c r="H32" i="91"/>
  <c r="J32" i="91" s="1"/>
  <c r="E32" i="92" s="1"/>
  <c r="H32" i="92" s="1"/>
  <c r="J32" i="92" s="1"/>
  <c r="E32" i="93" s="1"/>
  <c r="H32" i="93" s="1"/>
  <c r="J32" i="93" s="1"/>
  <c r="E32" i="94" s="1"/>
  <c r="H32" i="94" s="1"/>
  <c r="J32" i="94" s="1"/>
  <c r="E32" i="95" s="1"/>
  <c r="H32" i="95" s="1"/>
  <c r="J32" i="95" s="1"/>
  <c r="E32" i="96" s="1"/>
  <c r="H32" i="96" s="1"/>
  <c r="J32" i="96" s="1"/>
  <c r="E32" i="97" s="1"/>
  <c r="H32" i="97" s="1"/>
  <c r="J32" i="97" s="1"/>
  <c r="E32" i="98" s="1"/>
  <c r="H32" i="98" s="1"/>
  <c r="J32" i="98" s="1"/>
  <c r="H9" i="99" s="1"/>
  <c r="J9" i="99" s="1"/>
  <c r="H9" i="100" s="1"/>
  <c r="J9" i="100" s="1"/>
  <c r="H30" i="91"/>
  <c r="J30" i="91" s="1"/>
  <c r="J8" i="91"/>
  <c r="E8" i="92" s="1"/>
  <c r="H8" i="92" s="1"/>
  <c r="J8" i="92" s="1"/>
  <c r="E8" i="93" s="1"/>
  <c r="H8" i="93" s="1"/>
  <c r="J8" i="93" s="1"/>
  <c r="E8" i="94" s="1"/>
  <c r="H8" i="94" s="1"/>
  <c r="J8" i="94" s="1"/>
  <c r="E8" i="95" s="1"/>
  <c r="H8" i="95" s="1"/>
  <c r="J8" i="95" s="1"/>
  <c r="E8" i="96" s="1"/>
  <c r="H8" i="96" s="1"/>
  <c r="J8" i="96" s="1"/>
  <c r="E8" i="97" s="1"/>
  <c r="H8" i="97" s="1"/>
  <c r="J8" i="97" s="1"/>
  <c r="E8" i="98" s="1"/>
  <c r="H8" i="98" s="1"/>
  <c r="J8" i="98" s="1"/>
  <c r="E8" i="99" s="1"/>
  <c r="I37" i="91"/>
  <c r="G40" i="91" s="1"/>
  <c r="H8" i="99" l="1"/>
  <c r="J8" i="99" s="1"/>
  <c r="E8" i="100" s="1"/>
  <c r="H8" i="100" s="1"/>
  <c r="J8" i="100" s="1"/>
  <c r="H51" i="91"/>
  <c r="H43" i="91"/>
  <c r="C43" i="91"/>
  <c r="O42" i="91" s="1"/>
  <c r="O43" i="91" s="1"/>
  <c r="O45" i="91" s="1"/>
  <c r="O47" i="91" s="1"/>
  <c r="O49" i="91" s="1"/>
  <c r="M55" i="90" l="1"/>
  <c r="M57" i="90" s="1"/>
  <c r="M58" i="90" s="1"/>
  <c r="I19" i="90" l="1"/>
  <c r="I12" i="90" l="1"/>
  <c r="I24" i="90"/>
  <c r="I7" i="90" l="1"/>
  <c r="I21" i="90" l="1"/>
  <c r="I11" i="90" l="1"/>
  <c r="I8" i="90" l="1"/>
  <c r="I14" i="90" l="1"/>
  <c r="I16" i="90" l="1"/>
  <c r="I29" i="90"/>
  <c r="I36" i="90" l="1"/>
  <c r="I6" i="90" l="1"/>
  <c r="I27" i="90" l="1"/>
  <c r="I22" i="90" l="1"/>
  <c r="I31" i="90" l="1"/>
  <c r="I34" i="90" l="1"/>
  <c r="I28" i="90" l="1"/>
  <c r="I32" i="90" l="1"/>
  <c r="I17" i="90" l="1"/>
  <c r="I33" i="88" l="1"/>
  <c r="F37" i="88"/>
  <c r="L25" i="89"/>
  <c r="I31" i="88"/>
  <c r="E5" i="90" l="1"/>
  <c r="C52" i="90"/>
  <c r="H45" i="90"/>
  <c r="G37" i="90"/>
  <c r="B40" i="90" s="1"/>
  <c r="F37" i="90"/>
  <c r="H48" i="90" s="1"/>
  <c r="D37" i="90"/>
  <c r="I37" i="90"/>
  <c r="G40" i="90" s="1"/>
  <c r="C43" i="90" l="1"/>
  <c r="H43" i="90"/>
  <c r="H52" i="90"/>
  <c r="I31" i="87"/>
  <c r="H48" i="88"/>
  <c r="H51" i="88" s="1"/>
  <c r="N56" i="89"/>
  <c r="O56" i="89" s="1"/>
  <c r="O58" i="89" s="1"/>
  <c r="I12" i="89"/>
  <c r="I34" i="89"/>
  <c r="N57" i="89" l="1"/>
  <c r="N58" i="89" s="1"/>
  <c r="I7" i="89" l="1"/>
  <c r="I26" i="89"/>
  <c r="I29" i="89"/>
  <c r="L49" i="89"/>
  <c r="H45" i="89"/>
  <c r="I10" i="89" l="1"/>
  <c r="Q26" i="89" l="1"/>
  <c r="Q27" i="89" s="1"/>
  <c r="O23" i="89" s="1"/>
  <c r="P20" i="89"/>
  <c r="I21" i="89" l="1"/>
  <c r="B41" i="84" l="1"/>
  <c r="I35" i="89"/>
  <c r="H47" i="89"/>
  <c r="C47" i="89"/>
  <c r="C53" i="89" s="1"/>
  <c r="I28" i="89" l="1"/>
  <c r="I17" i="89" l="1"/>
  <c r="I13" i="89" l="1"/>
  <c r="E5" i="89" l="1"/>
  <c r="G37" i="89"/>
  <c r="B40" i="89" s="1"/>
  <c r="F37" i="89"/>
  <c r="H51" i="89" s="1"/>
  <c r="H53" i="89" s="1"/>
  <c r="D37" i="89"/>
  <c r="H31" i="89"/>
  <c r="J31" i="89" s="1"/>
  <c r="E31" i="90" s="1"/>
  <c r="H31" i="90" s="1"/>
  <c r="J31" i="90" s="1"/>
  <c r="E31" i="91" s="1"/>
  <c r="H31" i="91" s="1"/>
  <c r="J31" i="91" s="1"/>
  <c r="E31" i="92" s="1"/>
  <c r="H31" i="92" s="1"/>
  <c r="J31" i="92" s="1"/>
  <c r="E31" i="93" s="1"/>
  <c r="H31" i="93" s="1"/>
  <c r="J31" i="93" s="1"/>
  <c r="E31" i="94" s="1"/>
  <c r="H31" i="94" s="1"/>
  <c r="J31" i="94" s="1"/>
  <c r="E31" i="95" s="1"/>
  <c r="H31" i="95" s="1"/>
  <c r="J31" i="95" s="1"/>
  <c r="H11" i="89"/>
  <c r="J11" i="89" s="1"/>
  <c r="E11" i="90" s="1"/>
  <c r="H11" i="90" s="1"/>
  <c r="J11" i="90" s="1"/>
  <c r="E11" i="91" s="1"/>
  <c r="H11" i="91" s="1"/>
  <c r="J11" i="91" s="1"/>
  <c r="E11" i="92" s="1"/>
  <c r="H11" i="92" s="1"/>
  <c r="J11" i="92" s="1"/>
  <c r="E11" i="93" s="1"/>
  <c r="H11" i="93" s="1"/>
  <c r="J11" i="93" s="1"/>
  <c r="E11" i="94" s="1"/>
  <c r="H11" i="94" s="1"/>
  <c r="J11" i="94" s="1"/>
  <c r="E11" i="95" s="1"/>
  <c r="H11" i="95" s="1"/>
  <c r="J11" i="95" s="1"/>
  <c r="E11" i="96" s="1"/>
  <c r="H11" i="96" s="1"/>
  <c r="J11" i="96" s="1"/>
  <c r="E11" i="97" s="1"/>
  <c r="H11" i="97" s="1"/>
  <c r="J11" i="97" s="1"/>
  <c r="E11" i="98" s="1"/>
  <c r="H11" i="98" s="1"/>
  <c r="J11" i="98" s="1"/>
  <c r="E11" i="99" s="1"/>
  <c r="H11" i="99" s="1"/>
  <c r="J11" i="99" s="1"/>
  <c r="E11" i="100" s="1"/>
  <c r="H11" i="100" s="1"/>
  <c r="J11" i="100" s="1"/>
  <c r="I37" i="89"/>
  <c r="G40" i="89" s="1"/>
  <c r="H43" i="89" l="1"/>
  <c r="C43" i="89"/>
  <c r="P25" i="80"/>
  <c r="I7" i="88" l="1"/>
  <c r="I32" i="88"/>
  <c r="I10" i="88"/>
  <c r="I8" i="88"/>
  <c r="I21" i="88"/>
  <c r="I34" i="88"/>
  <c r="B42" i="86"/>
  <c r="I12" i="88" l="1"/>
  <c r="I25" i="88" l="1"/>
  <c r="I23" i="88" l="1"/>
  <c r="I27" i="88" l="1"/>
  <c r="I30" i="88" l="1"/>
  <c r="I11" i="88" l="1"/>
  <c r="I17" i="88" l="1"/>
  <c r="I14" i="88" l="1"/>
  <c r="I29" i="88" l="1"/>
  <c r="I28" i="88" l="1"/>
  <c r="I37" i="88" s="1"/>
  <c r="G40" i="88" s="1"/>
  <c r="I12" i="87" l="1"/>
  <c r="H31" i="88" l="1"/>
  <c r="I29" i="87"/>
  <c r="E5" i="88" l="1"/>
  <c r="E33" i="88"/>
  <c r="H33" i="88" s="1"/>
  <c r="J33" i="88" s="1"/>
  <c r="E33" i="89" s="1"/>
  <c r="H33" i="89" s="1"/>
  <c r="E33" i="90" s="1"/>
  <c r="H33" i="90" s="1"/>
  <c r="J33" i="90" s="1"/>
  <c r="C51" i="88"/>
  <c r="G37" i="88"/>
  <c r="B40" i="88" s="1"/>
  <c r="D37" i="88"/>
  <c r="C51" i="87"/>
  <c r="I21" i="87"/>
  <c r="R25" i="86"/>
  <c r="I21" i="86"/>
  <c r="H43" i="88" l="1"/>
  <c r="C43" i="88"/>
  <c r="I10" i="87"/>
  <c r="M53" i="82" l="1"/>
  <c r="M50" i="82"/>
  <c r="M52" i="82" s="1"/>
  <c r="M55" i="82" l="1"/>
  <c r="N54" i="82" s="1"/>
  <c r="I34" i="87"/>
  <c r="I32" i="87"/>
  <c r="I18" i="87"/>
  <c r="I11" i="87"/>
  <c r="I16" i="87" l="1"/>
  <c r="C54" i="86" l="1"/>
  <c r="S25" i="86"/>
  <c r="M32" i="86" s="1"/>
  <c r="M46" i="86"/>
  <c r="I28" i="87" l="1"/>
  <c r="I17" i="87" l="1"/>
  <c r="I13" i="87" l="1"/>
  <c r="I11" i="86" l="1"/>
  <c r="I31" i="86"/>
  <c r="C49" i="82"/>
  <c r="I23" i="85"/>
  <c r="H54" i="86"/>
  <c r="S28" i="86"/>
  <c r="R22" i="86"/>
  <c r="R21" i="86"/>
  <c r="O30" i="86"/>
  <c r="O56" i="86"/>
  <c r="I32" i="86"/>
  <c r="N37" i="83" l="1"/>
  <c r="N39" i="83" s="1"/>
  <c r="E33" i="87" l="1"/>
  <c r="H33" i="87" s="1"/>
  <c r="G37" i="87"/>
  <c r="B40" i="87" s="1"/>
  <c r="F37" i="87"/>
  <c r="D37" i="87"/>
  <c r="I37" i="87"/>
  <c r="G40" i="87" s="1"/>
  <c r="H46" i="87" l="1"/>
  <c r="H51" i="87" s="1"/>
  <c r="M44" i="87"/>
  <c r="H43" i="87"/>
  <c r="C43" i="87"/>
  <c r="I18" i="86" l="1"/>
  <c r="I10" i="86" l="1"/>
  <c r="I19" i="86" l="1"/>
  <c r="I29" i="86" l="1"/>
  <c r="I12" i="86" l="1"/>
  <c r="I20" i="86" l="1"/>
  <c r="I27" i="86" l="1"/>
  <c r="I25" i="86" l="1"/>
  <c r="I16" i="86" l="1"/>
  <c r="I34" i="86" l="1"/>
  <c r="P38" i="86" l="1"/>
  <c r="P40" i="86" s="1"/>
  <c r="P43" i="86" s="1"/>
  <c r="P45" i="86" s="1"/>
  <c r="I13" i="86" l="1"/>
  <c r="I28" i="86" l="1"/>
  <c r="I17" i="86" l="1"/>
  <c r="I37" i="86" l="1"/>
  <c r="G40" i="86" s="1"/>
  <c r="I7" i="85" l="1"/>
  <c r="I20" i="85"/>
  <c r="G37" i="86" l="1"/>
  <c r="B40" i="86" s="1"/>
  <c r="F37" i="86"/>
  <c r="D37" i="86"/>
  <c r="H33" i="86"/>
  <c r="H8" i="86"/>
  <c r="J8" i="86" s="1"/>
  <c r="E8" i="87" s="1"/>
  <c r="H8" i="87" s="1"/>
  <c r="J8" i="87" s="1"/>
  <c r="E8" i="88" s="1"/>
  <c r="H8" i="88" s="1"/>
  <c r="J8" i="88" s="1"/>
  <c r="E8" i="89" s="1"/>
  <c r="H8" i="89" s="1"/>
  <c r="J8" i="89" s="1"/>
  <c r="E8" i="90" s="1"/>
  <c r="H8" i="90" l="1"/>
  <c r="J8" i="90" s="1"/>
  <c r="E8" i="91" s="1"/>
  <c r="C44" i="86"/>
  <c r="H44" i="86"/>
  <c r="I29" i="85"/>
  <c r="I4" i="85" l="1"/>
  <c r="I14" i="85"/>
  <c r="I18" i="85"/>
  <c r="I32" i="85"/>
  <c r="I31" i="85" l="1"/>
  <c r="I5" i="85" l="1"/>
  <c r="I19" i="85" l="1"/>
  <c r="I26" i="85" l="1"/>
  <c r="I6" i="85" l="1"/>
  <c r="I13" i="85"/>
  <c r="I27" i="85" l="1"/>
  <c r="I30" i="85" l="1"/>
  <c r="I28" i="85" l="1"/>
  <c r="I16" i="85" l="1"/>
  <c r="I25" i="85" l="1"/>
  <c r="I10" i="85" l="1"/>
  <c r="I12" i="85" l="1"/>
  <c r="I11" i="82" l="1"/>
  <c r="I20" i="84"/>
  <c r="I29" i="84"/>
  <c r="K34" i="84"/>
  <c r="C51" i="85" l="1"/>
  <c r="G37" i="85"/>
  <c r="B40" i="85" s="1"/>
  <c r="F37" i="85"/>
  <c r="D37" i="85"/>
  <c r="I37" i="85"/>
  <c r="G40" i="85" s="1"/>
  <c r="H46" i="85" l="1"/>
  <c r="H51" i="85" s="1"/>
  <c r="C43" i="85"/>
  <c r="H43" i="85"/>
  <c r="O46" i="84"/>
  <c r="N46" i="84"/>
  <c r="N47" i="84" s="1"/>
  <c r="I32" i="84" l="1"/>
  <c r="I31" i="84"/>
  <c r="I25" i="84"/>
  <c r="I23" i="84"/>
  <c r="I16" i="84"/>
  <c r="I12" i="84"/>
  <c r="I8" i="84"/>
  <c r="I5" i="84"/>
  <c r="I18" i="84" l="1"/>
  <c r="I10" i="84" l="1"/>
  <c r="I17" i="84" l="1"/>
  <c r="I21" i="84"/>
  <c r="I34" i="84" l="1"/>
  <c r="I29" i="83" l="1"/>
  <c r="I31" i="83"/>
  <c r="C51" i="84"/>
  <c r="G37" i="84"/>
  <c r="B40" i="84" s="1"/>
  <c r="F37" i="84"/>
  <c r="D37" i="84"/>
  <c r="C37" i="84"/>
  <c r="H31" i="84"/>
  <c r="J31" i="84" s="1"/>
  <c r="E31" i="85" s="1"/>
  <c r="H31" i="85" s="1"/>
  <c r="J31" i="85" s="1"/>
  <c r="E31" i="86" s="1"/>
  <c r="H31" i="86" s="1"/>
  <c r="J31" i="86" s="1"/>
  <c r="E31" i="87" s="1"/>
  <c r="H31" i="87" s="1"/>
  <c r="J31" i="87" s="1"/>
  <c r="H29" i="84"/>
  <c r="J29" i="84" s="1"/>
  <c r="E29" i="85" s="1"/>
  <c r="H29" i="85" s="1"/>
  <c r="J29" i="85" s="1"/>
  <c r="E29" i="86" s="1"/>
  <c r="H29" i="86" s="1"/>
  <c r="J29" i="86" s="1"/>
  <c r="E29" i="87" s="1"/>
  <c r="H29" i="87" s="1"/>
  <c r="J29" i="87" s="1"/>
  <c r="E29" i="88" s="1"/>
  <c r="H29" i="88" s="1"/>
  <c r="J29" i="88" s="1"/>
  <c r="E29" i="89" s="1"/>
  <c r="H29" i="89" s="1"/>
  <c r="J29" i="89" s="1"/>
  <c r="E29" i="90" s="1"/>
  <c r="H29" i="90" s="1"/>
  <c r="J29" i="90" s="1"/>
  <c r="E29" i="91" s="1"/>
  <c r="H29" i="91" s="1"/>
  <c r="J29" i="91" s="1"/>
  <c r="E29" i="92" s="1"/>
  <c r="H29" i="92" s="1"/>
  <c r="J29" i="92" s="1"/>
  <c r="E29" i="93" s="1"/>
  <c r="H29" i="93" s="1"/>
  <c r="J29" i="93" s="1"/>
  <c r="E29" i="94" s="1"/>
  <c r="H29" i="94" s="1"/>
  <c r="J29" i="94" s="1"/>
  <c r="E29" i="95" s="1"/>
  <c r="H29" i="95" s="1"/>
  <c r="J29" i="95" s="1"/>
  <c r="E29" i="96" s="1"/>
  <c r="H29" i="96" s="1"/>
  <c r="J29" i="96" s="1"/>
  <c r="E29" i="97" s="1"/>
  <c r="H29" i="97" s="1"/>
  <c r="J29" i="97" s="1"/>
  <c r="E29" i="98" s="1"/>
  <c r="H29" i="98" s="1"/>
  <c r="J29" i="98" s="1"/>
  <c r="E32" i="99" s="1"/>
  <c r="H32" i="99" s="1"/>
  <c r="J32" i="99" s="1"/>
  <c r="E32" i="100" s="1"/>
  <c r="H32" i="100" s="1"/>
  <c r="J32" i="100" s="1"/>
  <c r="I37" i="84"/>
  <c r="G40" i="84" s="1"/>
  <c r="H46" i="84" l="1"/>
  <c r="H51" i="84" s="1"/>
  <c r="C43" i="84"/>
  <c r="H43" i="84"/>
  <c r="I7" i="83"/>
  <c r="P29" i="83" l="1"/>
  <c r="P30" i="83" s="1"/>
  <c r="C53" i="82" l="1"/>
  <c r="H53" i="82" s="1"/>
  <c r="I15" i="83"/>
  <c r="I20" i="83"/>
  <c r="I12" i="83" l="1"/>
  <c r="G37" i="82" l="1"/>
  <c r="I5" i="83" l="1"/>
  <c r="I32" i="83" l="1"/>
  <c r="I14" i="83" l="1"/>
  <c r="I18" i="83"/>
  <c r="H9" i="83" l="1"/>
  <c r="H22" i="83"/>
  <c r="H34" i="83"/>
  <c r="I21" i="83" l="1"/>
  <c r="I8" i="83"/>
  <c r="C52" i="82"/>
  <c r="H52" i="82" s="1"/>
  <c r="I37" i="83" l="1"/>
  <c r="G40" i="83" s="1"/>
  <c r="I12" i="82"/>
  <c r="I25" i="82" l="1"/>
  <c r="G37" i="83" l="1"/>
  <c r="B40" i="83" s="1"/>
  <c r="H43" i="83" s="1"/>
  <c r="F37" i="83"/>
  <c r="H46" i="83" s="1"/>
  <c r="H51" i="83" s="1"/>
  <c r="D37" i="83"/>
  <c r="C37" i="83"/>
  <c r="C43" i="83" l="1"/>
  <c r="I18" i="82" l="1"/>
  <c r="I5" i="82"/>
  <c r="I35" i="82" l="1"/>
  <c r="I7" i="81" l="1"/>
  <c r="B40" i="82" l="1"/>
  <c r="F37" i="82"/>
  <c r="H46" i="82" s="1"/>
  <c r="D37" i="82"/>
  <c r="B41" i="82" s="1"/>
  <c r="C37" i="82"/>
  <c r="H29" i="82"/>
  <c r="J29" i="82" s="1"/>
  <c r="H29" i="83" s="1"/>
  <c r="J29" i="83" s="1"/>
  <c r="I37" i="82"/>
  <c r="G40" i="82" s="1"/>
  <c r="C51" i="83" l="1"/>
  <c r="J22" i="83"/>
  <c r="E22" i="84" s="1"/>
  <c r="H22" i="84" s="1"/>
  <c r="J22" i="84" s="1"/>
  <c r="E22" i="85" s="1"/>
  <c r="H22" i="85" s="1"/>
  <c r="J22" i="85" s="1"/>
  <c r="E22" i="86" s="1"/>
  <c r="H22" i="86" s="1"/>
  <c r="J22" i="86" s="1"/>
  <c r="E22" i="87" s="1"/>
  <c r="H22" i="87" s="1"/>
  <c r="J22" i="87" s="1"/>
  <c r="E22" i="88" s="1"/>
  <c r="H22" i="88" s="1"/>
  <c r="J22" i="88" s="1"/>
  <c r="E22" i="89" s="1"/>
  <c r="H22" i="89" s="1"/>
  <c r="J22" i="89" s="1"/>
  <c r="E22" i="90" s="1"/>
  <c r="H22" i="90" s="1"/>
  <c r="J22" i="90" s="1"/>
  <c r="E22" i="91" s="1"/>
  <c r="H22" i="91" s="1"/>
  <c r="J22" i="91" s="1"/>
  <c r="E22" i="92" s="1"/>
  <c r="H22" i="92" s="1"/>
  <c r="J22" i="92" s="1"/>
  <c r="E22" i="93" s="1"/>
  <c r="H22" i="93" s="1"/>
  <c r="J22" i="93" s="1"/>
  <c r="E22" i="94" s="1"/>
  <c r="H22" i="94" s="1"/>
  <c r="J22" i="94" s="1"/>
  <c r="E22" i="95" s="1"/>
  <c r="H22" i="95" s="1"/>
  <c r="J22" i="95" s="1"/>
  <c r="E22" i="96" s="1"/>
  <c r="H22" i="96" s="1"/>
  <c r="J22" i="96" s="1"/>
  <c r="E22" i="97" s="1"/>
  <c r="H22" i="97" s="1"/>
  <c r="J22" i="97" s="1"/>
  <c r="E22" i="98" s="1"/>
  <c r="H22" i="98" s="1"/>
  <c r="J22" i="98" s="1"/>
  <c r="E22" i="99" s="1"/>
  <c r="H22" i="99" s="1"/>
  <c r="J22" i="99" s="1"/>
  <c r="E22" i="100" s="1"/>
  <c r="H22" i="100" s="1"/>
  <c r="J22" i="100" s="1"/>
  <c r="H55" i="82"/>
  <c r="J34" i="83"/>
  <c r="E34" i="84" s="1"/>
  <c r="H34" i="84" s="1"/>
  <c r="J34" i="84" s="1"/>
  <c r="E34" i="85" s="1"/>
  <c r="H34" i="85" s="1"/>
  <c r="J34" i="85" s="1"/>
  <c r="E34" i="86" s="1"/>
  <c r="H34" i="86" s="1"/>
  <c r="J34" i="86" s="1"/>
  <c r="E34" i="87" s="1"/>
  <c r="H34" i="87" s="1"/>
  <c r="J34" i="87" s="1"/>
  <c r="E34" i="88" s="1"/>
  <c r="H34" i="88" s="1"/>
  <c r="J34" i="88" s="1"/>
  <c r="E34" i="89" s="1"/>
  <c r="H34" i="89" s="1"/>
  <c r="J34" i="89" s="1"/>
  <c r="E34" i="90" s="1"/>
  <c r="H34" i="90" s="1"/>
  <c r="J34" i="90" s="1"/>
  <c r="E34" i="91" s="1"/>
  <c r="H34" i="91" s="1"/>
  <c r="J34" i="91" s="1"/>
  <c r="E34" i="92" s="1"/>
  <c r="H34" i="92" s="1"/>
  <c r="J34" i="92" s="1"/>
  <c r="E34" i="93" s="1"/>
  <c r="H34" i="93" s="1"/>
  <c r="J34" i="93" s="1"/>
  <c r="E34" i="94" s="1"/>
  <c r="H34" i="94" s="1"/>
  <c r="J34" i="94" s="1"/>
  <c r="E34" i="95" s="1"/>
  <c r="H34" i="95" s="1"/>
  <c r="J34" i="95" s="1"/>
  <c r="E34" i="96" s="1"/>
  <c r="H34" i="96" s="1"/>
  <c r="J34" i="96" s="1"/>
  <c r="E34" i="97" s="1"/>
  <c r="H34" i="97" s="1"/>
  <c r="J34" i="97" s="1"/>
  <c r="E34" i="98" s="1"/>
  <c r="H34" i="98" s="1"/>
  <c r="J34" i="98" s="1"/>
  <c r="E34" i="99" s="1"/>
  <c r="H34" i="99" s="1"/>
  <c r="J34" i="99" s="1"/>
  <c r="E34" i="100" s="1"/>
  <c r="H34" i="100" s="1"/>
  <c r="J34" i="100" s="1"/>
  <c r="C43" i="82"/>
  <c r="H43" i="82"/>
  <c r="H47" i="79"/>
  <c r="C55" i="82" l="1"/>
  <c r="C61" i="82" l="1"/>
  <c r="C62" i="82" s="1"/>
  <c r="I25" i="81"/>
  <c r="I32" i="81" l="1"/>
  <c r="I28" i="80" l="1"/>
  <c r="L42" i="80"/>
  <c r="I25" i="80"/>
  <c r="I8" i="80"/>
  <c r="I25" i="79" l="1"/>
  <c r="I37" i="81" l="1"/>
  <c r="G40" i="81" s="1"/>
  <c r="G37" i="81"/>
  <c r="B40" i="81" s="1"/>
  <c r="F37" i="81"/>
  <c r="H46" i="81" s="1"/>
  <c r="D37" i="81"/>
  <c r="B41" i="81" s="1"/>
  <c r="C37" i="81"/>
  <c r="K40" i="81" l="1"/>
  <c r="C43" i="81"/>
  <c r="H43" i="81"/>
  <c r="K41" i="81" l="1"/>
  <c r="I12" i="76" l="1"/>
  <c r="I32" i="71"/>
  <c r="I8" i="79" l="1"/>
  <c r="C57" i="80" l="1"/>
  <c r="G37" i="80"/>
  <c r="B40" i="80" s="1"/>
  <c r="H43" i="80" s="1"/>
  <c r="F37" i="80"/>
  <c r="H46" i="80" s="1"/>
  <c r="H57" i="80" s="1"/>
  <c r="D37" i="80"/>
  <c r="B41" i="80" s="1"/>
  <c r="C37" i="80"/>
  <c r="I37" i="80"/>
  <c r="G40" i="80" s="1"/>
  <c r="C43" i="80" l="1"/>
  <c r="L41" i="80" l="1"/>
  <c r="H53" i="81"/>
  <c r="K40" i="80"/>
  <c r="K41" i="80"/>
  <c r="I26" i="79"/>
  <c r="C51" i="79" l="1"/>
  <c r="H46" i="79"/>
  <c r="H51" i="79" s="1"/>
  <c r="I37" i="79"/>
  <c r="G37" i="79"/>
  <c r="B40" i="79" s="1"/>
  <c r="C43" i="79" s="1"/>
  <c r="F37" i="79"/>
  <c r="D37" i="79"/>
  <c r="B41" i="79" s="1"/>
  <c r="C37" i="79"/>
  <c r="I38" i="79" l="1"/>
  <c r="G40" i="79" s="1"/>
  <c r="H43" i="79"/>
  <c r="I22" i="78" l="1"/>
  <c r="B41" i="77" l="1"/>
  <c r="C46" i="78"/>
  <c r="C51" i="78" s="1"/>
  <c r="H46" i="78" l="1"/>
  <c r="H51" i="78" s="1"/>
  <c r="G37" i="78" l="1"/>
  <c r="F37" i="78"/>
  <c r="D37" i="78"/>
  <c r="B41" i="78" s="1"/>
  <c r="C37" i="78"/>
  <c r="I37" i="78"/>
  <c r="B40" i="78" l="1"/>
  <c r="I38" i="78"/>
  <c r="G40" i="78" s="1"/>
  <c r="C43" i="78"/>
  <c r="C44" i="76"/>
  <c r="H43" i="78" l="1"/>
  <c r="I25" i="77"/>
  <c r="B41" i="76" l="1"/>
  <c r="N47" i="76" l="1"/>
  <c r="H54" i="77" l="1"/>
  <c r="H44" i="77"/>
  <c r="G37" i="77"/>
  <c r="B40" i="77" s="1"/>
  <c r="F37" i="77"/>
  <c r="D37" i="77"/>
  <c r="C37" i="77"/>
  <c r="H36" i="77"/>
  <c r="J36" i="77" s="1"/>
  <c r="E36" i="78" s="1"/>
  <c r="H36" i="78" s="1"/>
  <c r="J36" i="78" s="1"/>
  <c r="E36" i="79" s="1"/>
  <c r="H36" i="79" s="1"/>
  <c r="J36" i="79" s="1"/>
  <c r="E36" i="80" s="1"/>
  <c r="H36" i="80" s="1"/>
  <c r="J36" i="80" s="1"/>
  <c r="H12" i="77"/>
  <c r="J12" i="77" s="1"/>
  <c r="E12" i="78" s="1"/>
  <c r="H12" i="78" s="1"/>
  <c r="J12" i="78" s="1"/>
  <c r="E12" i="79" s="1"/>
  <c r="H12" i="79" s="1"/>
  <c r="J12" i="79" s="1"/>
  <c r="E12" i="80" s="1"/>
  <c r="H12" i="80" s="1"/>
  <c r="J12" i="80" s="1"/>
  <c r="E12" i="81" s="1"/>
  <c r="H12" i="81" s="1"/>
  <c r="J12" i="81" s="1"/>
  <c r="E12" i="82" s="1"/>
  <c r="H12" i="82" s="1"/>
  <c r="J12" i="82" s="1"/>
  <c r="E12" i="83" s="1"/>
  <c r="H12" i="83" s="1"/>
  <c r="J12" i="83" s="1"/>
  <c r="E12" i="84" s="1"/>
  <c r="H12" i="84" s="1"/>
  <c r="J12" i="84" s="1"/>
  <c r="E12" i="85" s="1"/>
  <c r="H12" i="85" s="1"/>
  <c r="J12" i="85" s="1"/>
  <c r="E12" i="86" s="1"/>
  <c r="H12" i="86" s="1"/>
  <c r="J12" i="86" s="1"/>
  <c r="E12" i="87" s="1"/>
  <c r="H12" i="87" s="1"/>
  <c r="J12" i="87" s="1"/>
  <c r="E12" i="88" s="1"/>
  <c r="H12" i="88" s="1"/>
  <c r="J12" i="88" s="1"/>
  <c r="I37" i="77"/>
  <c r="E12" i="89" l="1"/>
  <c r="H12" i="89" s="1"/>
  <c r="J12" i="89" s="1"/>
  <c r="E12" i="90" s="1"/>
  <c r="H12" i="90" s="1"/>
  <c r="J12" i="90" s="1"/>
  <c r="E12" i="91" s="1"/>
  <c r="H12" i="91" s="1"/>
  <c r="J12" i="91" s="1"/>
  <c r="E12" i="92" s="1"/>
  <c r="H12" i="92" s="1"/>
  <c r="J12" i="92" s="1"/>
  <c r="E12" i="93" s="1"/>
  <c r="H12" i="93" s="1"/>
  <c r="J12" i="93" s="1"/>
  <c r="E12" i="94" s="1"/>
  <c r="H12" i="94" s="1"/>
  <c r="J12" i="94" s="1"/>
  <c r="E12" i="95" s="1"/>
  <c r="H12" i="95" s="1"/>
  <c r="J12" i="95" s="1"/>
  <c r="E12" i="96" s="1"/>
  <c r="H12" i="96" s="1"/>
  <c r="J12" i="96" s="1"/>
  <c r="E12" i="97" s="1"/>
  <c r="H12" i="97" s="1"/>
  <c r="J12" i="97" s="1"/>
  <c r="E12" i="98" s="1"/>
  <c r="H12" i="98" s="1"/>
  <c r="J12" i="98" s="1"/>
  <c r="E12" i="99" s="1"/>
  <c r="H12" i="99" s="1"/>
  <c r="J12" i="99" s="1"/>
  <c r="E12" i="100" s="1"/>
  <c r="H12" i="100" s="1"/>
  <c r="J12" i="100" s="1"/>
  <c r="O36" i="80"/>
  <c r="E36" i="81"/>
  <c r="H36" i="81" s="1"/>
  <c r="J36" i="81" s="1"/>
  <c r="E36" i="82" s="1"/>
  <c r="H36" i="82" s="1"/>
  <c r="J36" i="82" s="1"/>
  <c r="E36" i="83" s="1"/>
  <c r="H36" i="83" s="1"/>
  <c r="J36" i="83" s="1"/>
  <c r="E36" i="84" s="1"/>
  <c r="H36" i="84" s="1"/>
  <c r="J36" i="84" s="1"/>
  <c r="E36" i="85" s="1"/>
  <c r="H36" i="85" s="1"/>
  <c r="J36" i="85" s="1"/>
  <c r="E36" i="86" s="1"/>
  <c r="H36" i="86" s="1"/>
  <c r="J36" i="86" s="1"/>
  <c r="E36" i="87" s="1"/>
  <c r="H36" i="87" s="1"/>
  <c r="J36" i="87" s="1"/>
  <c r="E36" i="88" s="1"/>
  <c r="H36" i="88" s="1"/>
  <c r="J36" i="88" s="1"/>
  <c r="E36" i="89" s="1"/>
  <c r="H36" i="89" s="1"/>
  <c r="J36" i="89" s="1"/>
  <c r="H36" i="90" s="1"/>
  <c r="J36" i="90" s="1"/>
  <c r="I38" i="77"/>
  <c r="G40" i="77" s="1"/>
  <c r="C43" i="77"/>
  <c r="H43" i="77" s="1"/>
  <c r="H44" i="76" l="1"/>
  <c r="I10" i="76" l="1"/>
  <c r="I22" i="76" l="1"/>
  <c r="C52" i="72" l="1"/>
  <c r="I22" i="72"/>
  <c r="H52" i="76" l="1"/>
  <c r="C52" i="76"/>
  <c r="I37" i="76"/>
  <c r="G37" i="76"/>
  <c r="B40" i="76" s="1"/>
  <c r="F37" i="76"/>
  <c r="D37" i="76"/>
  <c r="C37" i="76"/>
  <c r="I38" i="76" l="1"/>
  <c r="G40" i="76" s="1"/>
  <c r="C43" i="76"/>
  <c r="H43" i="76" s="1"/>
  <c r="I29" i="75"/>
  <c r="I20" i="75"/>
  <c r="H54" i="75" l="1"/>
  <c r="C54" i="75"/>
  <c r="I37" i="75"/>
  <c r="G37" i="75"/>
  <c r="B40" i="75" s="1"/>
  <c r="F37" i="75"/>
  <c r="D37" i="75"/>
  <c r="C37" i="75"/>
  <c r="I38" i="75" l="1"/>
  <c r="G40" i="75" s="1"/>
  <c r="C43" i="75"/>
  <c r="H43" i="75" s="1"/>
  <c r="I29" i="74"/>
  <c r="I31" i="73" l="1"/>
  <c r="C37" i="74" l="1"/>
  <c r="C54" i="74"/>
  <c r="G37" i="74"/>
  <c r="B40" i="74" s="1"/>
  <c r="F37" i="74"/>
  <c r="D37" i="74"/>
  <c r="I37" i="74"/>
  <c r="I38" i="74" s="1"/>
  <c r="G40" i="74" s="1"/>
  <c r="H11" i="74"/>
  <c r="J11" i="74" s="1"/>
  <c r="E11" i="75" s="1"/>
  <c r="H11" i="75" s="1"/>
  <c r="J11" i="75" s="1"/>
  <c r="E11" i="76" s="1"/>
  <c r="H11" i="76" s="1"/>
  <c r="J11" i="76" s="1"/>
  <c r="E11" i="77" s="1"/>
  <c r="H11" i="77" s="1"/>
  <c r="J11" i="77" s="1"/>
  <c r="E11" i="78" s="1"/>
  <c r="H11" i="78" s="1"/>
  <c r="J11" i="78" s="1"/>
  <c r="E11" i="79" s="1"/>
  <c r="H11" i="79" s="1"/>
  <c r="J11" i="79" s="1"/>
  <c r="E11" i="80" s="1"/>
  <c r="H11" i="80" s="1"/>
  <c r="J11" i="80" s="1"/>
  <c r="E11" i="81" s="1"/>
  <c r="H11" i="81" s="1"/>
  <c r="J11" i="81" s="1"/>
  <c r="E11" i="82" s="1"/>
  <c r="H11" i="82" s="1"/>
  <c r="J11" i="82" s="1"/>
  <c r="E11" i="83" s="1"/>
  <c r="H11" i="83" s="1"/>
  <c r="J11" i="83" s="1"/>
  <c r="E11" i="84" s="1"/>
  <c r="H11" i="84" s="1"/>
  <c r="J11" i="84" s="1"/>
  <c r="E11" i="85" s="1"/>
  <c r="H11" i="85" s="1"/>
  <c r="J11" i="85" s="1"/>
  <c r="E11" i="86" s="1"/>
  <c r="H11" i="86" s="1"/>
  <c r="J11" i="86" s="1"/>
  <c r="H11" i="87" s="1"/>
  <c r="J11" i="87" s="1"/>
  <c r="H11" i="88" s="1"/>
  <c r="J11" i="88" s="1"/>
  <c r="C43" i="74" l="1"/>
  <c r="H43" i="74" s="1"/>
  <c r="H54" i="74"/>
  <c r="D37" i="73" l="1"/>
  <c r="I29" i="73" l="1"/>
  <c r="I37" i="73" s="1"/>
  <c r="C47" i="73" l="1"/>
  <c r="C49" i="72" l="1"/>
  <c r="H49" i="72" s="1"/>
  <c r="C49" i="73" l="1"/>
  <c r="C55" i="73" s="1"/>
  <c r="H49" i="73" l="1"/>
  <c r="H47" i="73"/>
  <c r="H55" i="73" s="1"/>
  <c r="B41" i="73"/>
  <c r="E35" i="73" l="1"/>
  <c r="H35" i="73" s="1"/>
  <c r="J35" i="73" s="1"/>
  <c r="E35" i="74" s="1"/>
  <c r="H35" i="74" s="1"/>
  <c r="J35" i="74" s="1"/>
  <c r="E35" i="75" s="1"/>
  <c r="H35" i="75" s="1"/>
  <c r="J35" i="75" s="1"/>
  <c r="E35" i="76" s="1"/>
  <c r="H35" i="76" s="1"/>
  <c r="J35" i="76" s="1"/>
  <c r="E35" i="77" s="1"/>
  <c r="H35" i="77" s="1"/>
  <c r="G37" i="73"/>
  <c r="F37" i="73"/>
  <c r="I38" i="73" s="1"/>
  <c r="G40" i="73" s="1"/>
  <c r="H31" i="73"/>
  <c r="J31" i="73" s="1"/>
  <c r="E31" i="74" s="1"/>
  <c r="H31" i="74" s="1"/>
  <c r="J31" i="74" s="1"/>
  <c r="E31" i="75" s="1"/>
  <c r="H31" i="75" s="1"/>
  <c r="J31" i="75" s="1"/>
  <c r="E31" i="76" s="1"/>
  <c r="H31" i="76" s="1"/>
  <c r="J31" i="76" s="1"/>
  <c r="E31" i="77" s="1"/>
  <c r="H31" i="77" s="1"/>
  <c r="J31" i="77" s="1"/>
  <c r="E31" i="78" s="1"/>
  <c r="H31" i="78" s="1"/>
  <c r="J31" i="78" s="1"/>
  <c r="E31" i="79" s="1"/>
  <c r="H31" i="79" s="1"/>
  <c r="J31" i="79" s="1"/>
  <c r="E31" i="80" s="1"/>
  <c r="H31" i="80" s="1"/>
  <c r="J31" i="80" s="1"/>
  <c r="E31" i="81" s="1"/>
  <c r="H31" i="81" s="1"/>
  <c r="J31" i="81" s="1"/>
  <c r="E31" i="82" s="1"/>
  <c r="H31" i="82" s="1"/>
  <c r="J31" i="82" s="1"/>
  <c r="E31" i="83" s="1"/>
  <c r="H31" i="83" s="1"/>
  <c r="J31" i="83" s="1"/>
  <c r="J35" i="77" l="1"/>
  <c r="E35" i="78" s="1"/>
  <c r="H35" i="78" s="1"/>
  <c r="J35" i="78" s="1"/>
  <c r="E35" i="79" s="1"/>
  <c r="H35" i="79" s="1"/>
  <c r="J35" i="79" s="1"/>
  <c r="E35" i="80" s="1"/>
  <c r="H35" i="80" s="1"/>
  <c r="J35" i="80" s="1"/>
  <c r="E35" i="81" s="1"/>
  <c r="H35" i="81" s="1"/>
  <c r="J35" i="81" s="1"/>
  <c r="E35" i="82" s="1"/>
  <c r="H35" i="82" s="1"/>
  <c r="J35" i="82" s="1"/>
  <c r="E35" i="83" s="1"/>
  <c r="H35" i="83" s="1"/>
  <c r="J35" i="83" s="1"/>
  <c r="E35" i="84" s="1"/>
  <c r="H35" i="84" s="1"/>
  <c r="J35" i="84" s="1"/>
  <c r="E35" i="85" s="1"/>
  <c r="H35" i="85" s="1"/>
  <c r="J35" i="85" s="1"/>
  <c r="E35" i="86" s="1"/>
  <c r="H35" i="86" s="1"/>
  <c r="J35" i="86" s="1"/>
  <c r="E35" i="87" s="1"/>
  <c r="H35" i="87" s="1"/>
  <c r="J35" i="87" s="1"/>
  <c r="E35" i="88" s="1"/>
  <c r="H35" i="88" s="1"/>
  <c r="J35" i="88" s="1"/>
  <c r="E35" i="89" s="1"/>
  <c r="H35" i="89" s="1"/>
  <c r="J35" i="89" s="1"/>
  <c r="E35" i="90" s="1"/>
  <c r="H35" i="90" s="1"/>
  <c r="J35" i="90" s="1"/>
  <c r="E35" i="91" s="1"/>
  <c r="H35" i="91" s="1"/>
  <c r="J35" i="91" s="1"/>
  <c r="C54" i="77"/>
  <c r="B40" i="73"/>
  <c r="L35" i="73" s="1"/>
  <c r="C43" i="73" l="1"/>
  <c r="H43" i="73" l="1"/>
  <c r="H50" i="72"/>
  <c r="C49" i="70"/>
  <c r="G37" i="72" l="1"/>
  <c r="H35" i="72" l="1"/>
  <c r="I37" i="72" l="1"/>
  <c r="B40" i="72"/>
  <c r="C43" i="72" s="1"/>
  <c r="F37" i="72"/>
  <c r="C51" i="71"/>
  <c r="I38" i="72" l="1"/>
  <c r="G40" i="72" s="1"/>
  <c r="H14" i="76"/>
  <c r="H22" i="73"/>
  <c r="J22" i="73" s="1"/>
  <c r="E22" i="74" s="1"/>
  <c r="H22" i="74" s="1"/>
  <c r="J22" i="74" s="1"/>
  <c r="E22" i="75" s="1"/>
  <c r="H22" i="75" s="1"/>
  <c r="J22" i="75" s="1"/>
  <c r="E22" i="76" s="1"/>
  <c r="H22" i="76" s="1"/>
  <c r="J22" i="76" s="1"/>
  <c r="E22" i="77" s="1"/>
  <c r="H22" i="77" s="1"/>
  <c r="J22" i="77" s="1"/>
  <c r="E22" i="78" s="1"/>
  <c r="H22" i="78" s="1"/>
  <c r="J22" i="78" s="1"/>
  <c r="E22" i="79" s="1"/>
  <c r="H22" i="79" s="1"/>
  <c r="J22" i="79" s="1"/>
  <c r="E22" i="80" s="1"/>
  <c r="H22" i="80" s="1"/>
  <c r="J22" i="80" s="1"/>
  <c r="E22" i="81" s="1"/>
  <c r="H22" i="81" s="1"/>
  <c r="J22" i="81" s="1"/>
  <c r="E22" i="82" s="1"/>
  <c r="E59" i="82" l="1"/>
  <c r="H22" i="82"/>
  <c r="J22" i="82" s="1"/>
  <c r="J14" i="76"/>
  <c r="E14" i="77" s="1"/>
  <c r="H14" i="77" s="1"/>
  <c r="J14" i="77" s="1"/>
  <c r="E14" i="78" s="1"/>
  <c r="H14" i="78" s="1"/>
  <c r="J14" i="78" s="1"/>
  <c r="E14" i="79" s="1"/>
  <c r="H14" i="79" s="1"/>
  <c r="J14" i="79" s="1"/>
  <c r="E14" i="80" s="1"/>
  <c r="H14" i="80" s="1"/>
  <c r="J14" i="80" s="1"/>
  <c r="E14" i="81" s="1"/>
  <c r="H14" i="81" s="1"/>
  <c r="J14" i="81" s="1"/>
  <c r="E14" i="82" s="1"/>
  <c r="H14" i="82" s="1"/>
  <c r="J14" i="82" s="1"/>
  <c r="E14" i="83" s="1"/>
  <c r="H14" i="83" s="1"/>
  <c r="J14" i="83" s="1"/>
  <c r="E14" i="84" s="1"/>
  <c r="H14" i="84" s="1"/>
  <c r="J14" i="84" s="1"/>
  <c r="E14" i="85" s="1"/>
  <c r="H14" i="85" s="1"/>
  <c r="J14" i="85" s="1"/>
  <c r="E14" i="86" s="1"/>
  <c r="H14" i="86" s="1"/>
  <c r="J14" i="86" s="1"/>
  <c r="E14" i="87" s="1"/>
  <c r="H14" i="87" s="1"/>
  <c r="J14" i="87" s="1"/>
  <c r="E14" i="88" s="1"/>
  <c r="H14" i="88" s="1"/>
  <c r="J14" i="88" s="1"/>
  <c r="H52" i="72"/>
  <c r="H53" i="72" s="1"/>
  <c r="C53" i="72"/>
  <c r="H43" i="72"/>
  <c r="H51" i="71"/>
  <c r="E14" i="89" l="1"/>
  <c r="H14" i="89" s="1"/>
  <c r="J14" i="89" s="1"/>
  <c r="E14" i="90" s="1"/>
  <c r="H14" i="90" s="1"/>
  <c r="J14" i="90" s="1"/>
  <c r="E14" i="91" s="1"/>
  <c r="H14" i="91" s="1"/>
  <c r="J14" i="91" s="1"/>
  <c r="E14" i="92" s="1"/>
  <c r="H14" i="92" s="1"/>
  <c r="J14" i="92" s="1"/>
  <c r="E14" i="93" s="1"/>
  <c r="H14" i="93" s="1"/>
  <c r="J14" i="93" s="1"/>
  <c r="E14" i="94" s="1"/>
  <c r="H14" i="94" s="1"/>
  <c r="J14" i="94" s="1"/>
  <c r="E14" i="95" s="1"/>
  <c r="H14" i="95" s="1"/>
  <c r="J14" i="95" s="1"/>
  <c r="E14" i="96" s="1"/>
  <c r="H14" i="96" s="1"/>
  <c r="J14" i="96" s="1"/>
  <c r="E14" i="97" s="1"/>
  <c r="H14" i="97" s="1"/>
  <c r="J14" i="97" s="1"/>
  <c r="E14" i="98" s="1"/>
  <c r="H14" i="98" s="1"/>
  <c r="J14" i="98" s="1"/>
  <c r="E14" i="99" s="1"/>
  <c r="H14" i="99" s="1"/>
  <c r="J14" i="99" s="1"/>
  <c r="E14" i="100" s="1"/>
  <c r="H14" i="100" s="1"/>
  <c r="J14" i="100" s="1"/>
  <c r="E60" i="82"/>
  <c r="A58" i="82"/>
  <c r="A59" i="82" s="1"/>
  <c r="A60" i="82" s="1"/>
  <c r="A62" i="82" s="1"/>
  <c r="G37" i="71"/>
  <c r="F37" i="71"/>
  <c r="B40" i="71"/>
  <c r="I37" i="71"/>
  <c r="E37" i="71"/>
  <c r="H36" i="71"/>
  <c r="J36" i="71" s="1"/>
  <c r="E36" i="72" s="1"/>
  <c r="H36" i="72" s="1"/>
  <c r="J36" i="72" s="1"/>
  <c r="E36" i="73" s="1"/>
  <c r="H36" i="73" s="1"/>
  <c r="J36" i="73" s="1"/>
  <c r="E36" i="74" s="1"/>
  <c r="H36" i="74" s="1"/>
  <c r="J36" i="74" s="1"/>
  <c r="E36" i="75" s="1"/>
  <c r="H36" i="75" s="1"/>
  <c r="J36" i="75" s="1"/>
  <c r="E36" i="76" s="1"/>
  <c r="H36" i="76" s="1"/>
  <c r="J36" i="76" s="1"/>
  <c r="H35" i="71"/>
  <c r="J35" i="71" s="1"/>
  <c r="H34" i="71"/>
  <c r="J34" i="71" s="1"/>
  <c r="E34" i="72" s="1"/>
  <c r="H34" i="72" s="1"/>
  <c r="J34" i="72" s="1"/>
  <c r="E34" i="73" s="1"/>
  <c r="H34" i="73" s="1"/>
  <c r="J34" i="73" s="1"/>
  <c r="E34" i="74" s="1"/>
  <c r="H34" i="74" s="1"/>
  <c r="J34" i="74" s="1"/>
  <c r="E34" i="75" s="1"/>
  <c r="H34" i="75" s="1"/>
  <c r="J34" i="75" s="1"/>
  <c r="E34" i="76" s="1"/>
  <c r="H34" i="76" s="1"/>
  <c r="J34" i="76" s="1"/>
  <c r="E34" i="77" s="1"/>
  <c r="H34" i="77" s="1"/>
  <c r="J34" i="77" s="1"/>
  <c r="E34" i="78" s="1"/>
  <c r="H34" i="78" s="1"/>
  <c r="J34" i="78" s="1"/>
  <c r="E34" i="79" s="1"/>
  <c r="H34" i="79" s="1"/>
  <c r="J34" i="79" s="1"/>
  <c r="E34" i="80" s="1"/>
  <c r="H34" i="80" s="1"/>
  <c r="J34" i="80" s="1"/>
  <c r="E34" i="81" s="1"/>
  <c r="H34" i="81" s="1"/>
  <c r="H33" i="71"/>
  <c r="J33" i="71" s="1"/>
  <c r="E33" i="72" s="1"/>
  <c r="H33" i="72" s="1"/>
  <c r="J33" i="72" s="1"/>
  <c r="E33" i="73" s="1"/>
  <c r="H33" i="73" s="1"/>
  <c r="J33" i="73" s="1"/>
  <c r="E33" i="74" s="1"/>
  <c r="H33" i="74" s="1"/>
  <c r="J33" i="74" s="1"/>
  <c r="E33" i="75" s="1"/>
  <c r="H33" i="75" s="1"/>
  <c r="J33" i="75" s="1"/>
  <c r="E33" i="76" s="1"/>
  <c r="H33" i="76" s="1"/>
  <c r="J33" i="76" s="1"/>
  <c r="E33" i="77" s="1"/>
  <c r="H33" i="77" s="1"/>
  <c r="J33" i="77" s="1"/>
  <c r="E33" i="78" s="1"/>
  <c r="H33" i="78" s="1"/>
  <c r="J33" i="78" s="1"/>
  <c r="E33" i="79" s="1"/>
  <c r="H33" i="79" s="1"/>
  <c r="J33" i="79" s="1"/>
  <c r="E33" i="80" s="1"/>
  <c r="H33" i="80" s="1"/>
  <c r="J33" i="80" s="1"/>
  <c r="E33" i="81" s="1"/>
  <c r="H33" i="81" s="1"/>
  <c r="J33" i="81" s="1"/>
  <c r="E33" i="82" s="1"/>
  <c r="H33" i="82" s="1"/>
  <c r="J33" i="82" s="1"/>
  <c r="E33" i="83" s="1"/>
  <c r="H33" i="83" s="1"/>
  <c r="J33" i="83" s="1"/>
  <c r="E33" i="84" s="1"/>
  <c r="H33" i="84" s="1"/>
  <c r="J33" i="84" s="1"/>
  <c r="E33" i="85" s="1"/>
  <c r="H33" i="85" s="1"/>
  <c r="J33" i="85" s="1"/>
  <c r="H32" i="71"/>
  <c r="J32" i="71" s="1"/>
  <c r="H32" i="72" s="1"/>
  <c r="J32" i="72" s="1"/>
  <c r="H31" i="71"/>
  <c r="J31" i="71" s="1"/>
  <c r="E31" i="72" s="1"/>
  <c r="H31" i="72" s="1"/>
  <c r="J31" i="72" s="1"/>
  <c r="H30" i="71"/>
  <c r="J30" i="71" s="1"/>
  <c r="E30" i="72" s="1"/>
  <c r="H30" i="72" s="1"/>
  <c r="J30" i="72" s="1"/>
  <c r="E30" i="73" s="1"/>
  <c r="H30" i="73" s="1"/>
  <c r="J30" i="73" s="1"/>
  <c r="E30" i="74" s="1"/>
  <c r="H30" i="74" s="1"/>
  <c r="J30" i="74" s="1"/>
  <c r="E30" i="75" s="1"/>
  <c r="H30" i="75" s="1"/>
  <c r="J30" i="75" s="1"/>
  <c r="E30" i="76" s="1"/>
  <c r="H30" i="76" s="1"/>
  <c r="J30" i="76" s="1"/>
  <c r="E30" i="77" s="1"/>
  <c r="H30" i="77" s="1"/>
  <c r="J30" i="77" s="1"/>
  <c r="E30" i="78" s="1"/>
  <c r="H30" i="78" s="1"/>
  <c r="J30" i="78" s="1"/>
  <c r="E30" i="79" s="1"/>
  <c r="H30" i="79" s="1"/>
  <c r="J30" i="79" s="1"/>
  <c r="E30" i="80" s="1"/>
  <c r="H30" i="80" s="1"/>
  <c r="J30" i="80" s="1"/>
  <c r="E30" i="81" s="1"/>
  <c r="H30" i="81" s="1"/>
  <c r="J30" i="81" s="1"/>
  <c r="E30" i="82" s="1"/>
  <c r="H30" i="82" s="1"/>
  <c r="J30" i="82" s="1"/>
  <c r="E30" i="83" s="1"/>
  <c r="H30" i="83" s="1"/>
  <c r="J30" i="83" s="1"/>
  <c r="E30" i="84" s="1"/>
  <c r="H30" i="84" s="1"/>
  <c r="J30" i="84" s="1"/>
  <c r="E30" i="85" s="1"/>
  <c r="H30" i="85" s="1"/>
  <c r="J30" i="85" s="1"/>
  <c r="E30" i="86" s="1"/>
  <c r="H30" i="86" s="1"/>
  <c r="J30" i="86" s="1"/>
  <c r="E30" i="87" s="1"/>
  <c r="H30" i="87" s="1"/>
  <c r="J30" i="87" s="1"/>
  <c r="E30" i="88" s="1"/>
  <c r="H30" i="88" s="1"/>
  <c r="J30" i="88" s="1"/>
  <c r="E30" i="89" s="1"/>
  <c r="H30" i="89" s="1"/>
  <c r="J30" i="89" s="1"/>
  <c r="E30" i="90" s="1"/>
  <c r="H30" i="90" s="1"/>
  <c r="H29" i="71"/>
  <c r="J29" i="71" s="1"/>
  <c r="E29" i="72" s="1"/>
  <c r="H29" i="72" s="1"/>
  <c r="J29" i="72" s="1"/>
  <c r="E29" i="73" s="1"/>
  <c r="H29" i="73" s="1"/>
  <c r="J29" i="73" s="1"/>
  <c r="E29" i="74" s="1"/>
  <c r="H29" i="74" s="1"/>
  <c r="J29" i="74" s="1"/>
  <c r="E29" i="75" s="1"/>
  <c r="H29" i="75" s="1"/>
  <c r="J29" i="75" s="1"/>
  <c r="E29" i="76" s="1"/>
  <c r="H29" i="76" s="1"/>
  <c r="J29" i="76" s="1"/>
  <c r="E29" i="77" s="1"/>
  <c r="H29" i="77" s="1"/>
  <c r="J29" i="77" s="1"/>
  <c r="E29" i="78" s="1"/>
  <c r="H29" i="78" s="1"/>
  <c r="J29" i="78" s="1"/>
  <c r="E29" i="79" s="1"/>
  <c r="H29" i="79" s="1"/>
  <c r="J29" i="79" s="1"/>
  <c r="E29" i="80" s="1"/>
  <c r="H29" i="80" s="1"/>
  <c r="J29" i="80" s="1"/>
  <c r="E29" i="81" s="1"/>
  <c r="H29" i="81" s="1"/>
  <c r="J29" i="81" s="1"/>
  <c r="H28" i="71"/>
  <c r="J28" i="71" s="1"/>
  <c r="E28" i="72" s="1"/>
  <c r="H28" i="72" s="1"/>
  <c r="J28" i="72" s="1"/>
  <c r="E28" i="73" s="1"/>
  <c r="H28" i="73" s="1"/>
  <c r="J28" i="73" s="1"/>
  <c r="E28" i="74" s="1"/>
  <c r="H28" i="74" s="1"/>
  <c r="J28" i="74" s="1"/>
  <c r="E28" i="75" s="1"/>
  <c r="H28" i="75" s="1"/>
  <c r="J28" i="75" s="1"/>
  <c r="E28" i="76" s="1"/>
  <c r="H28" i="76" s="1"/>
  <c r="J28" i="76" s="1"/>
  <c r="E28" i="77" s="1"/>
  <c r="H28" i="77" s="1"/>
  <c r="J28" i="77" s="1"/>
  <c r="E28" i="78" s="1"/>
  <c r="H28" i="78" s="1"/>
  <c r="J28" i="78" s="1"/>
  <c r="E28" i="79" s="1"/>
  <c r="H28" i="79" s="1"/>
  <c r="J28" i="79" s="1"/>
  <c r="E28" i="80" s="1"/>
  <c r="H28" i="80" s="1"/>
  <c r="J28" i="80" s="1"/>
  <c r="E28" i="81" s="1"/>
  <c r="H28" i="81" s="1"/>
  <c r="J28" i="81" s="1"/>
  <c r="E28" i="82" s="1"/>
  <c r="H28" i="82" s="1"/>
  <c r="J28" i="82" s="1"/>
  <c r="E28" i="83" s="1"/>
  <c r="H28" i="83" s="1"/>
  <c r="J28" i="83" s="1"/>
  <c r="E28" i="84" s="1"/>
  <c r="H28" i="84" s="1"/>
  <c r="J28" i="84" s="1"/>
  <c r="E28" i="85" s="1"/>
  <c r="H28" i="85" s="1"/>
  <c r="J28" i="85" s="1"/>
  <c r="E28" i="86" s="1"/>
  <c r="H28" i="86" s="1"/>
  <c r="J28" i="86" s="1"/>
  <c r="E28" i="87" s="1"/>
  <c r="H28" i="87" s="1"/>
  <c r="J28" i="87" s="1"/>
  <c r="E28" i="88" s="1"/>
  <c r="H28" i="88" s="1"/>
  <c r="J28" i="88" s="1"/>
  <c r="E28" i="89" s="1"/>
  <c r="H28" i="89" s="1"/>
  <c r="J28" i="89" s="1"/>
  <c r="E28" i="90" s="1"/>
  <c r="H28" i="90" s="1"/>
  <c r="J28" i="90" s="1"/>
  <c r="E28" i="91" s="1"/>
  <c r="H28" i="91" s="1"/>
  <c r="J28" i="91" s="1"/>
  <c r="E28" i="92" s="1"/>
  <c r="H27" i="71"/>
  <c r="J27" i="71" s="1"/>
  <c r="E27" i="72" s="1"/>
  <c r="H27" i="72" s="1"/>
  <c r="J27" i="72" s="1"/>
  <c r="E27" i="73" s="1"/>
  <c r="H27" i="73" s="1"/>
  <c r="J27" i="73" s="1"/>
  <c r="E27" i="74" s="1"/>
  <c r="H27" i="74" s="1"/>
  <c r="J27" i="74" s="1"/>
  <c r="E27" i="75" s="1"/>
  <c r="H27" i="75" s="1"/>
  <c r="J27" i="75" s="1"/>
  <c r="E27" i="76" s="1"/>
  <c r="H27" i="76" s="1"/>
  <c r="J27" i="76" s="1"/>
  <c r="E27" i="77" s="1"/>
  <c r="H27" i="77" s="1"/>
  <c r="J27" i="77" s="1"/>
  <c r="E27" i="78" s="1"/>
  <c r="H27" i="78" s="1"/>
  <c r="J27" i="78" s="1"/>
  <c r="E27" i="79" s="1"/>
  <c r="H27" i="79" s="1"/>
  <c r="J27" i="79" s="1"/>
  <c r="E27" i="80" s="1"/>
  <c r="H27" i="80" s="1"/>
  <c r="J27" i="80" s="1"/>
  <c r="E27" i="81" s="1"/>
  <c r="H27" i="81" s="1"/>
  <c r="J27" i="81" s="1"/>
  <c r="E27" i="82" s="1"/>
  <c r="H27" i="82" s="1"/>
  <c r="J27" i="82" s="1"/>
  <c r="E27" i="83" s="1"/>
  <c r="H27" i="83" s="1"/>
  <c r="J27" i="83" s="1"/>
  <c r="E27" i="84" s="1"/>
  <c r="H27" i="84" s="1"/>
  <c r="J27" i="84" s="1"/>
  <c r="E27" i="85" s="1"/>
  <c r="H27" i="85" s="1"/>
  <c r="J27" i="85" s="1"/>
  <c r="E27" i="86" s="1"/>
  <c r="H27" i="86" s="1"/>
  <c r="J27" i="86" s="1"/>
  <c r="E27" i="87" s="1"/>
  <c r="H27" i="87" s="1"/>
  <c r="J27" i="87" s="1"/>
  <c r="E27" i="88" s="1"/>
  <c r="H27" i="88" s="1"/>
  <c r="J27" i="88" s="1"/>
  <c r="E27" i="89" s="1"/>
  <c r="H27" i="89" s="1"/>
  <c r="J27" i="89" s="1"/>
  <c r="E27" i="90" s="1"/>
  <c r="H27" i="90" s="1"/>
  <c r="J27" i="90" s="1"/>
  <c r="E27" i="91" s="1"/>
  <c r="H27" i="91" s="1"/>
  <c r="J27" i="91" s="1"/>
  <c r="E27" i="92" s="1"/>
  <c r="H27" i="92" s="1"/>
  <c r="J27" i="92" s="1"/>
  <c r="E27" i="93" s="1"/>
  <c r="H27" i="93" s="1"/>
  <c r="J27" i="93" s="1"/>
  <c r="E27" i="94" s="1"/>
  <c r="H27" i="94" s="1"/>
  <c r="J27" i="94" s="1"/>
  <c r="E27" i="95" s="1"/>
  <c r="H27" i="95" s="1"/>
  <c r="J27" i="95" s="1"/>
  <c r="E27" i="96" s="1"/>
  <c r="H27" i="96" s="1"/>
  <c r="J27" i="96" s="1"/>
  <c r="E27" i="97" s="1"/>
  <c r="H27" i="97" s="1"/>
  <c r="J27" i="97" s="1"/>
  <c r="E27" i="98" s="1"/>
  <c r="H27" i="98" s="1"/>
  <c r="J27" i="98" s="1"/>
  <c r="E27" i="99" s="1"/>
  <c r="H27" i="99" s="1"/>
  <c r="J27" i="99" s="1"/>
  <c r="E27" i="100" s="1"/>
  <c r="H27" i="100" s="1"/>
  <c r="J27" i="100" s="1"/>
  <c r="H26" i="71"/>
  <c r="J26" i="71" s="1"/>
  <c r="E26" i="72" s="1"/>
  <c r="H26" i="72" s="1"/>
  <c r="J26" i="72" s="1"/>
  <c r="E26" i="73" s="1"/>
  <c r="H26" i="73" s="1"/>
  <c r="J26" i="73" s="1"/>
  <c r="E26" i="74" s="1"/>
  <c r="H26" i="74" s="1"/>
  <c r="J26" i="74" s="1"/>
  <c r="E26" i="75" s="1"/>
  <c r="H26" i="75" s="1"/>
  <c r="J26" i="75" s="1"/>
  <c r="E26" i="76" s="1"/>
  <c r="H26" i="76" s="1"/>
  <c r="J26" i="76" s="1"/>
  <c r="E26" i="77" s="1"/>
  <c r="H26" i="77" s="1"/>
  <c r="J26" i="77" s="1"/>
  <c r="E26" i="78" s="1"/>
  <c r="H26" i="78" s="1"/>
  <c r="J26" i="78" s="1"/>
  <c r="E26" i="79" s="1"/>
  <c r="H26" i="79" s="1"/>
  <c r="J26" i="79" s="1"/>
  <c r="E26" i="80" s="1"/>
  <c r="H26" i="80" s="1"/>
  <c r="J26" i="80" s="1"/>
  <c r="E26" i="81" s="1"/>
  <c r="H26" i="81" s="1"/>
  <c r="J26" i="81" s="1"/>
  <c r="E26" i="82" s="1"/>
  <c r="H26" i="82" s="1"/>
  <c r="J26" i="82" s="1"/>
  <c r="E26" i="83" s="1"/>
  <c r="H26" i="83" s="1"/>
  <c r="J26" i="83" s="1"/>
  <c r="E26" i="84" s="1"/>
  <c r="H26" i="84" s="1"/>
  <c r="J26" i="84" s="1"/>
  <c r="E26" i="85" s="1"/>
  <c r="H26" i="85" s="1"/>
  <c r="J26" i="85" s="1"/>
  <c r="E26" i="86" s="1"/>
  <c r="H26" i="86" s="1"/>
  <c r="J26" i="86" s="1"/>
  <c r="E26" i="87" s="1"/>
  <c r="H26" i="87" s="1"/>
  <c r="J26" i="87" s="1"/>
  <c r="E26" i="88" s="1"/>
  <c r="H26" i="88" s="1"/>
  <c r="J26" i="88" s="1"/>
  <c r="E26" i="89" s="1"/>
  <c r="H26" i="89" s="1"/>
  <c r="J26" i="89" s="1"/>
  <c r="E26" i="90" s="1"/>
  <c r="H26" i="90" s="1"/>
  <c r="J26" i="90" s="1"/>
  <c r="E26" i="91" s="1"/>
  <c r="H26" i="91" s="1"/>
  <c r="J26" i="91" s="1"/>
  <c r="E26" i="92" s="1"/>
  <c r="H26" i="92" s="1"/>
  <c r="J26" i="92" s="1"/>
  <c r="E26" i="93" s="1"/>
  <c r="H26" i="93" s="1"/>
  <c r="J26" i="93" s="1"/>
  <c r="E26" i="94" s="1"/>
  <c r="H26" i="94" s="1"/>
  <c r="J26" i="94" s="1"/>
  <c r="E26" i="95" s="1"/>
  <c r="H26" i="95" s="1"/>
  <c r="J26" i="95" s="1"/>
  <c r="E26" i="96" s="1"/>
  <c r="H26" i="96" s="1"/>
  <c r="J26" i="96" s="1"/>
  <c r="E26" i="97" s="1"/>
  <c r="H26" i="97" s="1"/>
  <c r="J26" i="97" s="1"/>
  <c r="E26" i="98" s="1"/>
  <c r="H26" i="98" s="1"/>
  <c r="J26" i="98" s="1"/>
  <c r="E26" i="99" s="1"/>
  <c r="H26" i="99" s="1"/>
  <c r="J26" i="99" s="1"/>
  <c r="E26" i="100" s="1"/>
  <c r="H26" i="100" s="1"/>
  <c r="J26" i="100" s="1"/>
  <c r="H25" i="71"/>
  <c r="J25" i="71" s="1"/>
  <c r="E25" i="72" s="1"/>
  <c r="H25" i="72" s="1"/>
  <c r="J25" i="72" s="1"/>
  <c r="E25" i="73" s="1"/>
  <c r="H25" i="73" s="1"/>
  <c r="J25" i="73" s="1"/>
  <c r="E25" i="74" s="1"/>
  <c r="H25" i="74" s="1"/>
  <c r="J25" i="74" s="1"/>
  <c r="E25" i="75" s="1"/>
  <c r="H25" i="75" s="1"/>
  <c r="J25" i="75" s="1"/>
  <c r="E25" i="76" s="1"/>
  <c r="H25" i="76" s="1"/>
  <c r="J25" i="76" s="1"/>
  <c r="E25" i="77" s="1"/>
  <c r="H25" i="77" s="1"/>
  <c r="J25" i="77" s="1"/>
  <c r="E25" i="78" s="1"/>
  <c r="H25" i="78" s="1"/>
  <c r="J25" i="78" s="1"/>
  <c r="E25" i="79" s="1"/>
  <c r="H25" i="79" s="1"/>
  <c r="J25" i="79" s="1"/>
  <c r="E25" i="80" s="1"/>
  <c r="H25" i="80" s="1"/>
  <c r="J25" i="80" s="1"/>
  <c r="E25" i="81" s="1"/>
  <c r="H25" i="81" s="1"/>
  <c r="J25" i="81" s="1"/>
  <c r="E25" i="82" s="1"/>
  <c r="H25" i="82" s="1"/>
  <c r="J25" i="82" s="1"/>
  <c r="E25" i="83" s="1"/>
  <c r="H25" i="83" s="1"/>
  <c r="J25" i="83" s="1"/>
  <c r="E25" i="84" s="1"/>
  <c r="H25" i="84" s="1"/>
  <c r="J25" i="84" s="1"/>
  <c r="E25" i="85" s="1"/>
  <c r="H25" i="85" s="1"/>
  <c r="J25" i="85" s="1"/>
  <c r="E25" i="86" s="1"/>
  <c r="H25" i="86" s="1"/>
  <c r="J25" i="86" s="1"/>
  <c r="E25" i="87" s="1"/>
  <c r="H25" i="87" s="1"/>
  <c r="J25" i="87" s="1"/>
  <c r="E25" i="88" s="1"/>
  <c r="H25" i="88" s="1"/>
  <c r="J25" i="88" s="1"/>
  <c r="E25" i="89" s="1"/>
  <c r="H25" i="89" s="1"/>
  <c r="J25" i="89" s="1"/>
  <c r="E25" i="90" s="1"/>
  <c r="H25" i="90" s="1"/>
  <c r="J25" i="90" s="1"/>
  <c r="E25" i="91" s="1"/>
  <c r="H25" i="91" s="1"/>
  <c r="J25" i="91" s="1"/>
  <c r="E25" i="92" s="1"/>
  <c r="H25" i="92" s="1"/>
  <c r="J25" i="92" s="1"/>
  <c r="E25" i="93" s="1"/>
  <c r="H25" i="93" s="1"/>
  <c r="J25" i="93" s="1"/>
  <c r="E25" i="94" s="1"/>
  <c r="H25" i="94" s="1"/>
  <c r="J25" i="94" s="1"/>
  <c r="E25" i="95" s="1"/>
  <c r="H25" i="95" s="1"/>
  <c r="J25" i="95" s="1"/>
  <c r="E25" i="96" s="1"/>
  <c r="H25" i="96" s="1"/>
  <c r="J25" i="96" s="1"/>
  <c r="E25" i="97" s="1"/>
  <c r="H25" i="97" s="1"/>
  <c r="J25" i="97" s="1"/>
  <c r="E25" i="98" s="1"/>
  <c r="H25" i="98" s="1"/>
  <c r="J25" i="98" s="1"/>
  <c r="E25" i="99" s="1"/>
  <c r="H25" i="99" s="1"/>
  <c r="J25" i="99" s="1"/>
  <c r="E25" i="100" s="1"/>
  <c r="H25" i="100" s="1"/>
  <c r="J25" i="100" s="1"/>
  <c r="H24" i="71"/>
  <c r="J24" i="71" s="1"/>
  <c r="E24" i="72" s="1"/>
  <c r="H24" i="72" s="1"/>
  <c r="J24" i="72" s="1"/>
  <c r="E24" i="73" s="1"/>
  <c r="H24" i="73" s="1"/>
  <c r="J24" i="73" s="1"/>
  <c r="E24" i="74" s="1"/>
  <c r="H24" i="74" s="1"/>
  <c r="J24" i="74" s="1"/>
  <c r="E24" i="75" s="1"/>
  <c r="H24" i="75" s="1"/>
  <c r="J24" i="75" s="1"/>
  <c r="E24" i="76" s="1"/>
  <c r="H24" i="76" s="1"/>
  <c r="J24" i="76" s="1"/>
  <c r="E24" i="77" s="1"/>
  <c r="H24" i="77" s="1"/>
  <c r="J24" i="77" s="1"/>
  <c r="E24" i="78" s="1"/>
  <c r="H24" i="78" s="1"/>
  <c r="J24" i="78" s="1"/>
  <c r="E24" i="79" s="1"/>
  <c r="H24" i="79" s="1"/>
  <c r="J24" i="79" s="1"/>
  <c r="E24" i="80" s="1"/>
  <c r="H24" i="80" s="1"/>
  <c r="J24" i="80" s="1"/>
  <c r="E24" i="81" s="1"/>
  <c r="H24" i="81" s="1"/>
  <c r="J24" i="81" s="1"/>
  <c r="E24" i="82" s="1"/>
  <c r="H24" i="82" s="1"/>
  <c r="J24" i="82" s="1"/>
  <c r="E24" i="83" s="1"/>
  <c r="H24" i="83" s="1"/>
  <c r="J24" i="83" s="1"/>
  <c r="E24" i="84" s="1"/>
  <c r="H24" i="84" s="1"/>
  <c r="J24" i="84" s="1"/>
  <c r="E24" i="85" s="1"/>
  <c r="H24" i="85" s="1"/>
  <c r="J24" i="85" s="1"/>
  <c r="E24" i="86" s="1"/>
  <c r="H24" i="86" s="1"/>
  <c r="J24" i="86" s="1"/>
  <c r="E24" i="87" s="1"/>
  <c r="H24" i="87" s="1"/>
  <c r="J24" i="87" s="1"/>
  <c r="E24" i="88" s="1"/>
  <c r="H24" i="88" s="1"/>
  <c r="J24" i="88" s="1"/>
  <c r="E24" i="89" s="1"/>
  <c r="H24" i="89" s="1"/>
  <c r="J24" i="89" s="1"/>
  <c r="E24" i="90" s="1"/>
  <c r="H24" i="90" s="1"/>
  <c r="J24" i="90" s="1"/>
  <c r="E24" i="91" s="1"/>
  <c r="H24" i="91" s="1"/>
  <c r="J24" i="91" s="1"/>
  <c r="E24" i="92" s="1"/>
  <c r="H24" i="92" s="1"/>
  <c r="J24" i="92" s="1"/>
  <c r="E24" i="93" s="1"/>
  <c r="H24" i="93" s="1"/>
  <c r="J24" i="93" s="1"/>
  <c r="E24" i="94" s="1"/>
  <c r="H24" i="94" s="1"/>
  <c r="J24" i="94" s="1"/>
  <c r="E24" i="95" s="1"/>
  <c r="H24" i="95" s="1"/>
  <c r="J24" i="95" s="1"/>
  <c r="E24" i="96" s="1"/>
  <c r="H24" i="96" s="1"/>
  <c r="J24" i="96" s="1"/>
  <c r="E24" i="97" s="1"/>
  <c r="H24" i="97" s="1"/>
  <c r="J24" i="97" s="1"/>
  <c r="E24" i="98" s="1"/>
  <c r="H24" i="98" s="1"/>
  <c r="J24" i="98" s="1"/>
  <c r="E24" i="99" s="1"/>
  <c r="H24" i="99" s="1"/>
  <c r="J24" i="99" s="1"/>
  <c r="E24" i="100" s="1"/>
  <c r="H24" i="100" s="1"/>
  <c r="J24" i="100" s="1"/>
  <c r="H23" i="71"/>
  <c r="J23" i="71" s="1"/>
  <c r="E23" i="72" s="1"/>
  <c r="H23" i="72" s="1"/>
  <c r="J23" i="72" s="1"/>
  <c r="E23" i="73" s="1"/>
  <c r="H23" i="73" s="1"/>
  <c r="J23" i="73" s="1"/>
  <c r="E23" i="74" s="1"/>
  <c r="H23" i="74" s="1"/>
  <c r="J23" i="74" s="1"/>
  <c r="E23" i="75" s="1"/>
  <c r="H23" i="75" s="1"/>
  <c r="J23" i="75" s="1"/>
  <c r="E23" i="76" s="1"/>
  <c r="H23" i="76" s="1"/>
  <c r="J23" i="76" s="1"/>
  <c r="E23" i="77" s="1"/>
  <c r="H23" i="77" s="1"/>
  <c r="J23" i="77" s="1"/>
  <c r="E23" i="78" s="1"/>
  <c r="H23" i="78" s="1"/>
  <c r="J23" i="78" s="1"/>
  <c r="E23" i="79" s="1"/>
  <c r="H23" i="79" s="1"/>
  <c r="J23" i="79" s="1"/>
  <c r="E23" i="80" s="1"/>
  <c r="H23" i="80" s="1"/>
  <c r="J23" i="80" s="1"/>
  <c r="E23" i="81" s="1"/>
  <c r="H23" i="81" s="1"/>
  <c r="J23" i="81" s="1"/>
  <c r="E23" i="82" s="1"/>
  <c r="H23" i="82" s="1"/>
  <c r="J23" i="82" s="1"/>
  <c r="E23" i="83" s="1"/>
  <c r="H23" i="83" s="1"/>
  <c r="J23" i="83" s="1"/>
  <c r="E23" i="84" s="1"/>
  <c r="H23" i="84" s="1"/>
  <c r="J23" i="84" s="1"/>
  <c r="E23" i="85" s="1"/>
  <c r="H23" i="85" s="1"/>
  <c r="J23" i="85" s="1"/>
  <c r="E23" i="86" s="1"/>
  <c r="H23" i="86" s="1"/>
  <c r="J23" i="86" s="1"/>
  <c r="E23" i="87" s="1"/>
  <c r="H23" i="87" s="1"/>
  <c r="J23" i="87" s="1"/>
  <c r="E23" i="88" s="1"/>
  <c r="H23" i="88" s="1"/>
  <c r="J23" i="88" s="1"/>
  <c r="E23" i="89" s="1"/>
  <c r="H23" i="89" s="1"/>
  <c r="J23" i="89" s="1"/>
  <c r="E23" i="90" s="1"/>
  <c r="H23" i="90" s="1"/>
  <c r="J23" i="90" s="1"/>
  <c r="E23" i="91" s="1"/>
  <c r="H23" i="91" s="1"/>
  <c r="J23" i="91" s="1"/>
  <c r="E23" i="92" s="1"/>
  <c r="H23" i="92" s="1"/>
  <c r="J23" i="92" s="1"/>
  <c r="E23" i="93" s="1"/>
  <c r="H23" i="93" s="1"/>
  <c r="J23" i="93" s="1"/>
  <c r="E23" i="94" s="1"/>
  <c r="H23" i="94" s="1"/>
  <c r="J23" i="94" s="1"/>
  <c r="E23" i="95" s="1"/>
  <c r="H23" i="95" s="1"/>
  <c r="J23" i="95" s="1"/>
  <c r="E23" i="96" s="1"/>
  <c r="H23" i="96" s="1"/>
  <c r="J23" i="96" s="1"/>
  <c r="E23" i="97" s="1"/>
  <c r="H23" i="97" s="1"/>
  <c r="J23" i="97" s="1"/>
  <c r="E23" i="98" s="1"/>
  <c r="H23" i="98" s="1"/>
  <c r="J23" i="98" s="1"/>
  <c r="H23" i="99" s="1"/>
  <c r="J23" i="99" s="1"/>
  <c r="H23" i="100" s="1"/>
  <c r="J23" i="100" s="1"/>
  <c r="H22" i="71"/>
  <c r="J22" i="71" s="1"/>
  <c r="E22" i="72" s="1"/>
  <c r="H22" i="72" s="1"/>
  <c r="J22" i="72" s="1"/>
  <c r="H21" i="71"/>
  <c r="J21" i="71" s="1"/>
  <c r="E21" i="72" s="1"/>
  <c r="H21" i="72" s="1"/>
  <c r="J21" i="72" s="1"/>
  <c r="E21" i="73" s="1"/>
  <c r="H21" i="73" s="1"/>
  <c r="J21" i="73" s="1"/>
  <c r="E21" i="74" s="1"/>
  <c r="H21" i="74" s="1"/>
  <c r="J21" i="74" s="1"/>
  <c r="E21" i="75" s="1"/>
  <c r="H21" i="75" s="1"/>
  <c r="J21" i="75" s="1"/>
  <c r="E21" i="76" s="1"/>
  <c r="H21" i="76" s="1"/>
  <c r="J21" i="76" s="1"/>
  <c r="E21" i="77" s="1"/>
  <c r="H21" i="77" s="1"/>
  <c r="J21" i="77" s="1"/>
  <c r="E21" i="78" s="1"/>
  <c r="H21" i="78" s="1"/>
  <c r="J21" i="78" s="1"/>
  <c r="E21" i="79" s="1"/>
  <c r="H21" i="79" s="1"/>
  <c r="J21" i="79" s="1"/>
  <c r="E21" i="80" s="1"/>
  <c r="H21" i="80" s="1"/>
  <c r="J21" i="80" s="1"/>
  <c r="E21" i="81" s="1"/>
  <c r="H21" i="81" s="1"/>
  <c r="H20" i="71"/>
  <c r="J20" i="71" s="1"/>
  <c r="E20" i="72" s="1"/>
  <c r="H20" i="72" s="1"/>
  <c r="J20" i="72" s="1"/>
  <c r="E20" i="73" s="1"/>
  <c r="H20" i="73" s="1"/>
  <c r="J20" i="73" s="1"/>
  <c r="E20" i="74" s="1"/>
  <c r="H20" i="74" s="1"/>
  <c r="J20" i="74" s="1"/>
  <c r="E20" i="75" s="1"/>
  <c r="H20" i="75" s="1"/>
  <c r="J20" i="75" s="1"/>
  <c r="E20" i="76" s="1"/>
  <c r="H20" i="76" s="1"/>
  <c r="J20" i="76" s="1"/>
  <c r="E20" i="77" s="1"/>
  <c r="H20" i="77" s="1"/>
  <c r="J20" i="77" s="1"/>
  <c r="E20" i="78" s="1"/>
  <c r="H20" i="78" s="1"/>
  <c r="J20" i="78" s="1"/>
  <c r="E20" i="79" s="1"/>
  <c r="H20" i="79" s="1"/>
  <c r="J20" i="79" s="1"/>
  <c r="E20" i="80" s="1"/>
  <c r="H20" i="80" s="1"/>
  <c r="J20" i="80" s="1"/>
  <c r="E20" i="81" s="1"/>
  <c r="H20" i="81" s="1"/>
  <c r="J20" i="81" s="1"/>
  <c r="E20" i="82" s="1"/>
  <c r="H20" i="82" s="1"/>
  <c r="J20" i="82" s="1"/>
  <c r="E20" i="83" s="1"/>
  <c r="H20" i="83" s="1"/>
  <c r="J20" i="83" s="1"/>
  <c r="E20" i="84" s="1"/>
  <c r="H20" i="84" s="1"/>
  <c r="J20" i="84" s="1"/>
  <c r="E20" i="85" s="1"/>
  <c r="H20" i="85" s="1"/>
  <c r="J20" i="85" s="1"/>
  <c r="E20" i="86" s="1"/>
  <c r="H20" i="86" s="1"/>
  <c r="J20" i="86" s="1"/>
  <c r="E20" i="87" s="1"/>
  <c r="H20" i="87" s="1"/>
  <c r="J20" i="87" s="1"/>
  <c r="E20" i="88" s="1"/>
  <c r="H20" i="88" s="1"/>
  <c r="J20" i="88" s="1"/>
  <c r="E20" i="89" s="1"/>
  <c r="H20" i="89" s="1"/>
  <c r="J20" i="89" s="1"/>
  <c r="E20" i="90" s="1"/>
  <c r="H20" i="90" s="1"/>
  <c r="J20" i="90" s="1"/>
  <c r="E20" i="91" s="1"/>
  <c r="H19" i="71"/>
  <c r="J19" i="71" s="1"/>
  <c r="E19" i="72" s="1"/>
  <c r="H19" i="72" s="1"/>
  <c r="J19" i="72" s="1"/>
  <c r="E19" i="73" s="1"/>
  <c r="H19" i="73" s="1"/>
  <c r="J19" i="73" s="1"/>
  <c r="E19" i="74" s="1"/>
  <c r="H19" i="74" s="1"/>
  <c r="J19" i="74" s="1"/>
  <c r="E19" i="75" s="1"/>
  <c r="H19" i="75" s="1"/>
  <c r="J19" i="75" s="1"/>
  <c r="E19" i="76" s="1"/>
  <c r="H19" i="76" s="1"/>
  <c r="J19" i="76" s="1"/>
  <c r="E19" i="77" s="1"/>
  <c r="H19" i="77" s="1"/>
  <c r="J19" i="77" s="1"/>
  <c r="E19" i="78" s="1"/>
  <c r="H19" i="78" s="1"/>
  <c r="J19" i="78" s="1"/>
  <c r="E19" i="79" s="1"/>
  <c r="H19" i="79" s="1"/>
  <c r="J19" i="79" s="1"/>
  <c r="E19" i="80" s="1"/>
  <c r="H19" i="80" s="1"/>
  <c r="J19" i="80" s="1"/>
  <c r="E19" i="81" s="1"/>
  <c r="H19" i="81" s="1"/>
  <c r="J19" i="81" s="1"/>
  <c r="E19" i="82" s="1"/>
  <c r="H19" i="82" s="1"/>
  <c r="J19" i="82" s="1"/>
  <c r="E19" i="83" s="1"/>
  <c r="H19" i="83" s="1"/>
  <c r="J19" i="83" s="1"/>
  <c r="E19" i="84" s="1"/>
  <c r="H19" i="84" s="1"/>
  <c r="J19" i="84" s="1"/>
  <c r="E19" i="85" s="1"/>
  <c r="H19" i="85" s="1"/>
  <c r="J19" i="85" s="1"/>
  <c r="E19" i="86" s="1"/>
  <c r="H19" i="86" s="1"/>
  <c r="J19" i="86" s="1"/>
  <c r="E19" i="87" s="1"/>
  <c r="H19" i="87" s="1"/>
  <c r="J19" i="87" s="1"/>
  <c r="E19" i="88" s="1"/>
  <c r="H19" i="88" s="1"/>
  <c r="J19" i="88" s="1"/>
  <c r="E19" i="89" s="1"/>
  <c r="H19" i="89" s="1"/>
  <c r="J19" i="89" s="1"/>
  <c r="E19" i="90" s="1"/>
  <c r="H19" i="90" s="1"/>
  <c r="J19" i="90" s="1"/>
  <c r="E19" i="91" s="1"/>
  <c r="H19" i="91" s="1"/>
  <c r="J19" i="91" s="1"/>
  <c r="E19" i="92" s="1"/>
  <c r="H19" i="92" s="1"/>
  <c r="J19" i="92" s="1"/>
  <c r="E19" i="93" s="1"/>
  <c r="H19" i="93" s="1"/>
  <c r="J19" i="93" s="1"/>
  <c r="E19" i="94" s="1"/>
  <c r="H19" i="94" s="1"/>
  <c r="J19" i="94" s="1"/>
  <c r="E19" i="95" s="1"/>
  <c r="H19" i="95" s="1"/>
  <c r="J19" i="95" s="1"/>
  <c r="E19" i="96" s="1"/>
  <c r="H19" i="96" s="1"/>
  <c r="J19" i="96" s="1"/>
  <c r="E19" i="97" s="1"/>
  <c r="H19" i="97" s="1"/>
  <c r="J19" i="97" s="1"/>
  <c r="E19" i="98" s="1"/>
  <c r="H19" i="98" s="1"/>
  <c r="J19" i="98" s="1"/>
  <c r="E19" i="99" s="1"/>
  <c r="H19" i="99" s="1"/>
  <c r="J19" i="99" s="1"/>
  <c r="E19" i="100" s="1"/>
  <c r="H19" i="100" s="1"/>
  <c r="J19" i="100" s="1"/>
  <c r="H18" i="71"/>
  <c r="J18" i="71" s="1"/>
  <c r="E18" i="72" s="1"/>
  <c r="H18" i="72" s="1"/>
  <c r="J18" i="72" s="1"/>
  <c r="E18" i="73" s="1"/>
  <c r="H18" i="73" s="1"/>
  <c r="J18" i="73" s="1"/>
  <c r="E18" i="74" s="1"/>
  <c r="H18" i="74" s="1"/>
  <c r="J18" i="74" s="1"/>
  <c r="E18" i="75" s="1"/>
  <c r="H18" i="75" s="1"/>
  <c r="J18" i="75" s="1"/>
  <c r="E18" i="76" s="1"/>
  <c r="H18" i="76" s="1"/>
  <c r="J18" i="76" s="1"/>
  <c r="E18" i="77" s="1"/>
  <c r="H18" i="77" s="1"/>
  <c r="J18" i="77" s="1"/>
  <c r="E18" i="78" s="1"/>
  <c r="H18" i="78" s="1"/>
  <c r="J18" i="78" s="1"/>
  <c r="E18" i="79" s="1"/>
  <c r="H18" i="79" s="1"/>
  <c r="J18" i="79" s="1"/>
  <c r="E18" i="80" s="1"/>
  <c r="H18" i="80" s="1"/>
  <c r="J18" i="80" s="1"/>
  <c r="E18" i="81" s="1"/>
  <c r="H18" i="81" s="1"/>
  <c r="J18" i="81" s="1"/>
  <c r="E18" i="82" s="1"/>
  <c r="H18" i="82" s="1"/>
  <c r="J18" i="82" s="1"/>
  <c r="E18" i="83" s="1"/>
  <c r="H18" i="83" s="1"/>
  <c r="J18" i="83" s="1"/>
  <c r="E18" i="84" s="1"/>
  <c r="H18" i="84" s="1"/>
  <c r="J18" i="84" s="1"/>
  <c r="E18" i="85" s="1"/>
  <c r="H18" i="85" s="1"/>
  <c r="J18" i="85" s="1"/>
  <c r="E18" i="86" s="1"/>
  <c r="H18" i="86" s="1"/>
  <c r="J18" i="86" s="1"/>
  <c r="E18" i="87" s="1"/>
  <c r="H18" i="87" s="1"/>
  <c r="J18" i="87" s="1"/>
  <c r="E18" i="88" s="1"/>
  <c r="H18" i="88" s="1"/>
  <c r="J18" i="88" s="1"/>
  <c r="E18" i="89" s="1"/>
  <c r="H18" i="89" s="1"/>
  <c r="J18" i="89" s="1"/>
  <c r="E18" i="90" s="1"/>
  <c r="H18" i="90" s="1"/>
  <c r="J18" i="90" s="1"/>
  <c r="E18" i="91" s="1"/>
  <c r="H18" i="91" s="1"/>
  <c r="J18" i="91" s="1"/>
  <c r="E18" i="92" s="1"/>
  <c r="H18" i="92" s="1"/>
  <c r="J18" i="92" s="1"/>
  <c r="E18" i="93" s="1"/>
  <c r="H18" i="93" s="1"/>
  <c r="J18" i="93" s="1"/>
  <c r="E18" i="94" s="1"/>
  <c r="H18" i="94" s="1"/>
  <c r="J18" i="94" s="1"/>
  <c r="E18" i="95" s="1"/>
  <c r="H18" i="95" s="1"/>
  <c r="J18" i="95" s="1"/>
  <c r="E18" i="96" s="1"/>
  <c r="H18" i="96" s="1"/>
  <c r="J18" i="96" s="1"/>
  <c r="E18" i="97" s="1"/>
  <c r="H18" i="97" s="1"/>
  <c r="J18" i="97" s="1"/>
  <c r="E18" i="98" s="1"/>
  <c r="H18" i="98" s="1"/>
  <c r="J18" i="98" s="1"/>
  <c r="E18" i="99" s="1"/>
  <c r="H18" i="99" s="1"/>
  <c r="J18" i="99" s="1"/>
  <c r="E18" i="100" s="1"/>
  <c r="H18" i="100" s="1"/>
  <c r="J18" i="100" s="1"/>
  <c r="H17" i="71"/>
  <c r="J17" i="71" s="1"/>
  <c r="E17" i="72" s="1"/>
  <c r="H17" i="72" s="1"/>
  <c r="J17" i="72" s="1"/>
  <c r="E17" i="73" s="1"/>
  <c r="H17" i="73" s="1"/>
  <c r="J17" i="73" s="1"/>
  <c r="E17" i="74" s="1"/>
  <c r="H17" i="74" s="1"/>
  <c r="J17" i="74" s="1"/>
  <c r="E17" i="75" s="1"/>
  <c r="H17" i="75" s="1"/>
  <c r="J17" i="75" s="1"/>
  <c r="E17" i="76" s="1"/>
  <c r="H17" i="76" s="1"/>
  <c r="J17" i="76" s="1"/>
  <c r="E17" i="77" s="1"/>
  <c r="H17" i="77" s="1"/>
  <c r="J17" i="77" s="1"/>
  <c r="E17" i="78" s="1"/>
  <c r="H17" i="78" s="1"/>
  <c r="J17" i="78" s="1"/>
  <c r="E17" i="79" s="1"/>
  <c r="H17" i="79" s="1"/>
  <c r="J17" i="79" s="1"/>
  <c r="E17" i="80" s="1"/>
  <c r="H17" i="80" s="1"/>
  <c r="J17" i="80" s="1"/>
  <c r="E17" i="81" s="1"/>
  <c r="H17" i="81" s="1"/>
  <c r="J17" i="81" s="1"/>
  <c r="E17" i="82" s="1"/>
  <c r="H17" i="82" s="1"/>
  <c r="J17" i="82" s="1"/>
  <c r="E17" i="83" s="1"/>
  <c r="H17" i="83" s="1"/>
  <c r="J17" i="83" s="1"/>
  <c r="E17" i="84" s="1"/>
  <c r="H17" i="84" s="1"/>
  <c r="J17" i="84" s="1"/>
  <c r="E17" i="85" s="1"/>
  <c r="H17" i="85" s="1"/>
  <c r="J17" i="85" s="1"/>
  <c r="E17" i="86" s="1"/>
  <c r="H17" i="86" s="1"/>
  <c r="J17" i="86" s="1"/>
  <c r="E17" i="87" s="1"/>
  <c r="H17" i="87" s="1"/>
  <c r="J17" i="87" s="1"/>
  <c r="E17" i="88" s="1"/>
  <c r="H17" i="88" s="1"/>
  <c r="J17" i="88" s="1"/>
  <c r="E17" i="89" s="1"/>
  <c r="H17" i="89" s="1"/>
  <c r="J17" i="89" s="1"/>
  <c r="E17" i="90" s="1"/>
  <c r="H17" i="90" s="1"/>
  <c r="J17" i="90" s="1"/>
  <c r="E17" i="91" s="1"/>
  <c r="H17" i="91" s="1"/>
  <c r="J17" i="91" s="1"/>
  <c r="E17" i="92" s="1"/>
  <c r="H17" i="92" s="1"/>
  <c r="J17" i="92" s="1"/>
  <c r="E17" i="93" s="1"/>
  <c r="H17" i="93" s="1"/>
  <c r="J17" i="93" s="1"/>
  <c r="E17" i="94" s="1"/>
  <c r="H17" i="94" s="1"/>
  <c r="J17" i="94" s="1"/>
  <c r="E17" i="95" s="1"/>
  <c r="H17" i="95" s="1"/>
  <c r="J17" i="95" s="1"/>
  <c r="E17" i="96" s="1"/>
  <c r="H17" i="96" s="1"/>
  <c r="J17" i="96" s="1"/>
  <c r="E17" i="97" s="1"/>
  <c r="H17" i="97" s="1"/>
  <c r="J17" i="97" s="1"/>
  <c r="E17" i="98" s="1"/>
  <c r="H17" i="98" s="1"/>
  <c r="J17" i="98" s="1"/>
  <c r="E17" i="99" s="1"/>
  <c r="H17" i="99" s="1"/>
  <c r="J17" i="99" s="1"/>
  <c r="E17" i="100" s="1"/>
  <c r="H17" i="100" s="1"/>
  <c r="J17" i="100" s="1"/>
  <c r="H16" i="71"/>
  <c r="J16" i="71" s="1"/>
  <c r="E16" i="72" s="1"/>
  <c r="H16" i="72" s="1"/>
  <c r="J16" i="72" s="1"/>
  <c r="E16" i="73" s="1"/>
  <c r="H16" i="73" s="1"/>
  <c r="J16" i="73" s="1"/>
  <c r="E16" i="74" s="1"/>
  <c r="H16" i="74" s="1"/>
  <c r="J16" i="74" s="1"/>
  <c r="E16" i="75" s="1"/>
  <c r="H16" i="75" s="1"/>
  <c r="J16" i="75" s="1"/>
  <c r="E16" i="76" s="1"/>
  <c r="H16" i="76" s="1"/>
  <c r="J16" i="76" s="1"/>
  <c r="E16" i="77" s="1"/>
  <c r="H16" i="77" s="1"/>
  <c r="J16" i="77" s="1"/>
  <c r="E16" i="78" s="1"/>
  <c r="H16" i="78" s="1"/>
  <c r="J16" i="78" s="1"/>
  <c r="E16" i="79" s="1"/>
  <c r="H16" i="79" s="1"/>
  <c r="J16" i="79" s="1"/>
  <c r="E16" i="80" s="1"/>
  <c r="H16" i="80" s="1"/>
  <c r="J16" i="80" s="1"/>
  <c r="E16" i="81" s="1"/>
  <c r="H16" i="81" s="1"/>
  <c r="J16" i="81" s="1"/>
  <c r="E16" i="82" s="1"/>
  <c r="H16" i="82" s="1"/>
  <c r="J16" i="82" s="1"/>
  <c r="E16" i="83" s="1"/>
  <c r="H16" i="83" s="1"/>
  <c r="J16" i="83" s="1"/>
  <c r="E16" i="84" s="1"/>
  <c r="H16" i="84" s="1"/>
  <c r="J16" i="84" s="1"/>
  <c r="E16" i="85" s="1"/>
  <c r="H16" i="85" s="1"/>
  <c r="J16" i="85" s="1"/>
  <c r="E16" i="86" s="1"/>
  <c r="H16" i="86" s="1"/>
  <c r="J16" i="86" s="1"/>
  <c r="E16" i="87" s="1"/>
  <c r="H16" i="87" s="1"/>
  <c r="J16" i="87" s="1"/>
  <c r="E16" i="88" s="1"/>
  <c r="H16" i="88" s="1"/>
  <c r="J16" i="88" s="1"/>
  <c r="E16" i="89" s="1"/>
  <c r="H16" i="89" s="1"/>
  <c r="J16" i="89" s="1"/>
  <c r="E16" i="90" s="1"/>
  <c r="H16" i="90" s="1"/>
  <c r="J16" i="90" s="1"/>
  <c r="E16" i="91" s="1"/>
  <c r="H16" i="91" s="1"/>
  <c r="J16" i="91" s="1"/>
  <c r="E16" i="92" s="1"/>
  <c r="H16" i="92" s="1"/>
  <c r="J16" i="92" s="1"/>
  <c r="E16" i="93" s="1"/>
  <c r="H16" i="93" s="1"/>
  <c r="J16" i="93" s="1"/>
  <c r="E16" i="94" s="1"/>
  <c r="H16" i="94" s="1"/>
  <c r="J16" i="94" s="1"/>
  <c r="E16" i="95" s="1"/>
  <c r="H16" i="95" s="1"/>
  <c r="J16" i="95" s="1"/>
  <c r="E16" i="96" s="1"/>
  <c r="H16" i="96" s="1"/>
  <c r="J16" i="96" s="1"/>
  <c r="E16" i="97" s="1"/>
  <c r="H16" i="97" s="1"/>
  <c r="J16" i="97" s="1"/>
  <c r="H16" i="98" s="1"/>
  <c r="J16" i="98" s="1"/>
  <c r="E16" i="99" s="1"/>
  <c r="H16" i="99" s="1"/>
  <c r="J16" i="99" s="1"/>
  <c r="E16" i="100" s="1"/>
  <c r="H16" i="100" s="1"/>
  <c r="J16" i="100" s="1"/>
  <c r="H15" i="71"/>
  <c r="J15" i="71" s="1"/>
  <c r="E15" i="72" s="1"/>
  <c r="H15" i="72" s="1"/>
  <c r="J15" i="72" s="1"/>
  <c r="E15" i="73" s="1"/>
  <c r="H15" i="73" s="1"/>
  <c r="J15" i="73" s="1"/>
  <c r="E15" i="74" s="1"/>
  <c r="H15" i="74" s="1"/>
  <c r="J15" i="74" s="1"/>
  <c r="E15" i="75" s="1"/>
  <c r="H15" i="75" s="1"/>
  <c r="J15" i="75" s="1"/>
  <c r="E15" i="76" s="1"/>
  <c r="H15" i="76" s="1"/>
  <c r="J15" i="76" s="1"/>
  <c r="E15" i="77" s="1"/>
  <c r="H15" i="77" s="1"/>
  <c r="J15" i="77" s="1"/>
  <c r="E15" i="78" s="1"/>
  <c r="H15" i="78" s="1"/>
  <c r="J15" i="78" s="1"/>
  <c r="E15" i="79" s="1"/>
  <c r="H15" i="79" s="1"/>
  <c r="J15" i="79" s="1"/>
  <c r="E15" i="80" s="1"/>
  <c r="H15" i="80" s="1"/>
  <c r="J15" i="80" s="1"/>
  <c r="E15" i="81" s="1"/>
  <c r="H15" i="81" s="1"/>
  <c r="J15" i="81" s="1"/>
  <c r="E15" i="82" s="1"/>
  <c r="H15" i="82" s="1"/>
  <c r="J15" i="82" s="1"/>
  <c r="E15" i="83" s="1"/>
  <c r="H15" i="83" s="1"/>
  <c r="J15" i="83" s="1"/>
  <c r="E15" i="84" s="1"/>
  <c r="H15" i="84" s="1"/>
  <c r="J15" i="84" s="1"/>
  <c r="E15" i="85" s="1"/>
  <c r="H15" i="85" s="1"/>
  <c r="J15" i="85" s="1"/>
  <c r="E15" i="86" s="1"/>
  <c r="H15" i="86" s="1"/>
  <c r="J15" i="86" s="1"/>
  <c r="E15" i="87" s="1"/>
  <c r="H15" i="87" s="1"/>
  <c r="J15" i="87" s="1"/>
  <c r="E15" i="88" s="1"/>
  <c r="H15" i="88" s="1"/>
  <c r="J15" i="88" s="1"/>
  <c r="E15" i="89" s="1"/>
  <c r="H15" i="89" s="1"/>
  <c r="J15" i="89" s="1"/>
  <c r="E15" i="90" s="1"/>
  <c r="H15" i="90" s="1"/>
  <c r="J15" i="90" s="1"/>
  <c r="E15" i="91" s="1"/>
  <c r="H15" i="91" s="1"/>
  <c r="J15" i="91" s="1"/>
  <c r="E15" i="92" s="1"/>
  <c r="H15" i="92" s="1"/>
  <c r="J15" i="92" s="1"/>
  <c r="H14" i="71"/>
  <c r="J14" i="71" s="1"/>
  <c r="E14" i="72" s="1"/>
  <c r="H14" i="72" s="1"/>
  <c r="J14" i="72" s="1"/>
  <c r="E14" i="73" s="1"/>
  <c r="H14" i="73" s="1"/>
  <c r="J14" i="73" s="1"/>
  <c r="E14" i="74" s="1"/>
  <c r="H14" i="74" s="1"/>
  <c r="J14" i="74" s="1"/>
  <c r="E14" i="75" s="1"/>
  <c r="H14" i="75" s="1"/>
  <c r="J14" i="75" s="1"/>
  <c r="H13" i="71"/>
  <c r="J13" i="71" s="1"/>
  <c r="E13" i="72" s="1"/>
  <c r="H13" i="72" s="1"/>
  <c r="J13" i="72" s="1"/>
  <c r="E13" i="73" s="1"/>
  <c r="H13" i="73" s="1"/>
  <c r="J13" i="73" s="1"/>
  <c r="E13" i="74" s="1"/>
  <c r="H12" i="71"/>
  <c r="J12" i="71" s="1"/>
  <c r="E12" i="72" s="1"/>
  <c r="H12" i="72" s="1"/>
  <c r="J12" i="72" s="1"/>
  <c r="E12" i="73" s="1"/>
  <c r="H12" i="73" s="1"/>
  <c r="J12" i="73" s="1"/>
  <c r="E12" i="74" s="1"/>
  <c r="H12" i="74" s="1"/>
  <c r="J12" i="74" s="1"/>
  <c r="E12" i="75" s="1"/>
  <c r="H12" i="75" s="1"/>
  <c r="J12" i="75" s="1"/>
  <c r="E12" i="76" s="1"/>
  <c r="H12" i="76" s="1"/>
  <c r="J12" i="76" s="1"/>
  <c r="H11" i="71"/>
  <c r="J11" i="71" s="1"/>
  <c r="E11" i="72" s="1"/>
  <c r="H11" i="72" s="1"/>
  <c r="J11" i="72" s="1"/>
  <c r="E11" i="73" s="1"/>
  <c r="H11" i="73" s="1"/>
  <c r="J11" i="73" s="1"/>
  <c r="H10" i="71"/>
  <c r="J10" i="71" s="1"/>
  <c r="E10" i="72" s="1"/>
  <c r="H10" i="72" s="1"/>
  <c r="J10" i="72" s="1"/>
  <c r="E10" i="73" s="1"/>
  <c r="H10" i="73" s="1"/>
  <c r="J10" i="73" s="1"/>
  <c r="E10" i="74" s="1"/>
  <c r="H10" i="74" s="1"/>
  <c r="J10" i="74" s="1"/>
  <c r="E10" i="75" s="1"/>
  <c r="H10" i="75" s="1"/>
  <c r="J10" i="75" s="1"/>
  <c r="E10" i="76" s="1"/>
  <c r="H10" i="76" s="1"/>
  <c r="J10" i="76" s="1"/>
  <c r="E10" i="77" s="1"/>
  <c r="H10" i="77" s="1"/>
  <c r="J10" i="77" s="1"/>
  <c r="E10" i="78" s="1"/>
  <c r="H10" i="78" s="1"/>
  <c r="J10" i="78" s="1"/>
  <c r="E10" i="79" s="1"/>
  <c r="H10" i="79" s="1"/>
  <c r="J10" i="79" s="1"/>
  <c r="E10" i="80" s="1"/>
  <c r="H10" i="80" s="1"/>
  <c r="J10" i="80" s="1"/>
  <c r="E10" i="81" s="1"/>
  <c r="H10" i="81" s="1"/>
  <c r="J10" i="81" s="1"/>
  <c r="E10" i="82" s="1"/>
  <c r="H10" i="82" s="1"/>
  <c r="J10" i="82" s="1"/>
  <c r="E10" i="83" s="1"/>
  <c r="H10" i="83" s="1"/>
  <c r="J10" i="83" s="1"/>
  <c r="E10" i="84" s="1"/>
  <c r="H10" i="84" s="1"/>
  <c r="J10" i="84" s="1"/>
  <c r="E10" i="85" s="1"/>
  <c r="H10" i="85" s="1"/>
  <c r="J10" i="85" s="1"/>
  <c r="E10" i="86" s="1"/>
  <c r="H10" i="86" s="1"/>
  <c r="J10" i="86" s="1"/>
  <c r="E10" i="87" s="1"/>
  <c r="H10" i="87" s="1"/>
  <c r="J10" i="87" s="1"/>
  <c r="E10" i="88" s="1"/>
  <c r="H10" i="88" s="1"/>
  <c r="J10" i="88" s="1"/>
  <c r="E10" i="89" s="1"/>
  <c r="H10" i="89" s="1"/>
  <c r="J10" i="89" s="1"/>
  <c r="E10" i="90" s="1"/>
  <c r="H10" i="90" s="1"/>
  <c r="J10" i="90" s="1"/>
  <c r="E10" i="91" s="1"/>
  <c r="H10" i="91" s="1"/>
  <c r="J10" i="91" s="1"/>
  <c r="E10" i="92" s="1"/>
  <c r="H10" i="92" s="1"/>
  <c r="J10" i="92" s="1"/>
  <c r="E10" i="93" s="1"/>
  <c r="H10" i="93" s="1"/>
  <c r="J10" i="93" s="1"/>
  <c r="E10" i="94" s="1"/>
  <c r="H10" i="94" s="1"/>
  <c r="J10" i="94" s="1"/>
  <c r="E10" i="95" s="1"/>
  <c r="H10" i="95" s="1"/>
  <c r="J10" i="95" s="1"/>
  <c r="E10" i="96" s="1"/>
  <c r="H10" i="96" s="1"/>
  <c r="J10" i="96" s="1"/>
  <c r="E10" i="97" s="1"/>
  <c r="H10" i="97" s="1"/>
  <c r="J10" i="97" s="1"/>
  <c r="E10" i="98" s="1"/>
  <c r="H10" i="98" s="1"/>
  <c r="J10" i="98" s="1"/>
  <c r="E10" i="99" s="1"/>
  <c r="H10" i="99" s="1"/>
  <c r="J10" i="99" s="1"/>
  <c r="E10" i="100" s="1"/>
  <c r="H10" i="100" s="1"/>
  <c r="J10" i="100" s="1"/>
  <c r="H9" i="71"/>
  <c r="J9" i="71" s="1"/>
  <c r="E9" i="72" s="1"/>
  <c r="H9" i="72" s="1"/>
  <c r="J9" i="72" s="1"/>
  <c r="E9" i="73" s="1"/>
  <c r="H9" i="73" s="1"/>
  <c r="J9" i="73" s="1"/>
  <c r="E9" i="74" s="1"/>
  <c r="H9" i="74" s="1"/>
  <c r="J9" i="74" s="1"/>
  <c r="E9" i="75" s="1"/>
  <c r="H9" i="75" s="1"/>
  <c r="J9" i="75" s="1"/>
  <c r="E9" i="76" s="1"/>
  <c r="H9" i="76" s="1"/>
  <c r="J9" i="76" s="1"/>
  <c r="E9" i="77" s="1"/>
  <c r="H9" i="77" s="1"/>
  <c r="J9" i="77" s="1"/>
  <c r="E9" i="78" s="1"/>
  <c r="H9" i="78" s="1"/>
  <c r="J9" i="78" s="1"/>
  <c r="E9" i="79" s="1"/>
  <c r="H9" i="79" s="1"/>
  <c r="J9" i="79" s="1"/>
  <c r="E9" i="80" s="1"/>
  <c r="H9" i="80" s="1"/>
  <c r="J9" i="80" s="1"/>
  <c r="E9" i="81" s="1"/>
  <c r="H9" i="81" s="1"/>
  <c r="J9" i="81" s="1"/>
  <c r="E9" i="82" s="1"/>
  <c r="H9" i="82" s="1"/>
  <c r="J9" i="82" s="1"/>
  <c r="J9" i="83" s="1"/>
  <c r="E9" i="84" s="1"/>
  <c r="H9" i="84" s="1"/>
  <c r="J9" i="84" s="1"/>
  <c r="E9" i="85" s="1"/>
  <c r="H9" i="85" s="1"/>
  <c r="J9" i="85" s="1"/>
  <c r="E9" i="86" s="1"/>
  <c r="H9" i="86" s="1"/>
  <c r="J9" i="86" s="1"/>
  <c r="E9" i="87" s="1"/>
  <c r="H9" i="87" s="1"/>
  <c r="J9" i="87" s="1"/>
  <c r="E9" i="88" s="1"/>
  <c r="H9" i="88" s="1"/>
  <c r="J9" i="88" s="1"/>
  <c r="E9" i="89" s="1"/>
  <c r="H9" i="89" s="1"/>
  <c r="J9" i="89" s="1"/>
  <c r="E9" i="90" s="1"/>
  <c r="H9" i="90" s="1"/>
  <c r="J9" i="90" s="1"/>
  <c r="E9" i="91" s="1"/>
  <c r="H9" i="91" s="1"/>
  <c r="J9" i="91" s="1"/>
  <c r="E9" i="92" s="1"/>
  <c r="H9" i="92" s="1"/>
  <c r="J9" i="92" s="1"/>
  <c r="E9" i="93" s="1"/>
  <c r="H9" i="93" s="1"/>
  <c r="J9" i="93" s="1"/>
  <c r="E9" i="94" s="1"/>
  <c r="H9" i="94" s="1"/>
  <c r="J9" i="94" s="1"/>
  <c r="H8" i="71"/>
  <c r="J8" i="71" s="1"/>
  <c r="E8" i="72" s="1"/>
  <c r="H8" i="72" s="1"/>
  <c r="J8" i="72" s="1"/>
  <c r="E8" i="73" s="1"/>
  <c r="H8" i="73" s="1"/>
  <c r="J8" i="73" s="1"/>
  <c r="E8" i="74" s="1"/>
  <c r="H8" i="74" s="1"/>
  <c r="J8" i="74" s="1"/>
  <c r="E8" i="75" s="1"/>
  <c r="H8" i="75" s="1"/>
  <c r="J8" i="75" s="1"/>
  <c r="E8" i="76" s="1"/>
  <c r="H8" i="76" s="1"/>
  <c r="J8" i="76" s="1"/>
  <c r="E8" i="77" s="1"/>
  <c r="H8" i="77" s="1"/>
  <c r="J8" i="77" s="1"/>
  <c r="E8" i="78" s="1"/>
  <c r="H8" i="78" s="1"/>
  <c r="J8" i="78" s="1"/>
  <c r="E8" i="79" s="1"/>
  <c r="H8" i="79" s="1"/>
  <c r="J8" i="79" s="1"/>
  <c r="E8" i="80" s="1"/>
  <c r="H8" i="80" s="1"/>
  <c r="J8" i="80" s="1"/>
  <c r="E8" i="81" s="1"/>
  <c r="H8" i="81" s="1"/>
  <c r="J8" i="81" s="1"/>
  <c r="E8" i="82" s="1"/>
  <c r="H8" i="82" s="1"/>
  <c r="J8" i="82" s="1"/>
  <c r="E8" i="83" s="1"/>
  <c r="H8" i="83" s="1"/>
  <c r="J8" i="83" s="1"/>
  <c r="E8" i="84" s="1"/>
  <c r="H8" i="84" s="1"/>
  <c r="J8" i="84" s="1"/>
  <c r="E8" i="85" s="1"/>
  <c r="H8" i="85" s="1"/>
  <c r="J8" i="85" s="1"/>
  <c r="H7" i="71"/>
  <c r="J7" i="71" s="1"/>
  <c r="E7" i="72" s="1"/>
  <c r="H7" i="72" s="1"/>
  <c r="J7" i="72" s="1"/>
  <c r="E7" i="73" s="1"/>
  <c r="H7" i="73" s="1"/>
  <c r="J7" i="73" s="1"/>
  <c r="E7" i="74" s="1"/>
  <c r="H7" i="74" s="1"/>
  <c r="J7" i="74" s="1"/>
  <c r="E7" i="75" s="1"/>
  <c r="H7" i="75" s="1"/>
  <c r="J7" i="75" s="1"/>
  <c r="E7" i="76" s="1"/>
  <c r="H7" i="76" s="1"/>
  <c r="J7" i="76" s="1"/>
  <c r="E7" i="77" s="1"/>
  <c r="H7" i="77" s="1"/>
  <c r="J7" i="77" s="1"/>
  <c r="E7" i="78" s="1"/>
  <c r="H7" i="78" s="1"/>
  <c r="J7" i="78" s="1"/>
  <c r="E7" i="79" s="1"/>
  <c r="H7" i="79" s="1"/>
  <c r="J7" i="79" s="1"/>
  <c r="E7" i="80" s="1"/>
  <c r="H7" i="80" s="1"/>
  <c r="J7" i="80" s="1"/>
  <c r="E7" i="81" s="1"/>
  <c r="H7" i="81" s="1"/>
  <c r="J7" i="81" s="1"/>
  <c r="E7" i="82" s="1"/>
  <c r="H7" i="82" s="1"/>
  <c r="J7" i="82" s="1"/>
  <c r="E7" i="83" s="1"/>
  <c r="H7" i="83" s="1"/>
  <c r="J7" i="83" s="1"/>
  <c r="E7" i="84" s="1"/>
  <c r="H7" i="84" s="1"/>
  <c r="J7" i="84" s="1"/>
  <c r="E7" i="85" s="1"/>
  <c r="H7" i="85" s="1"/>
  <c r="J7" i="85" s="1"/>
  <c r="E7" i="86" s="1"/>
  <c r="H7" i="86" s="1"/>
  <c r="J7" i="86" s="1"/>
  <c r="E7" i="87" s="1"/>
  <c r="H7" i="87" s="1"/>
  <c r="J7" i="87" s="1"/>
  <c r="E7" i="88" s="1"/>
  <c r="H7" i="88" s="1"/>
  <c r="J7" i="88" s="1"/>
  <c r="E7" i="89" s="1"/>
  <c r="H7" i="89" s="1"/>
  <c r="J7" i="89" s="1"/>
  <c r="E7" i="90" s="1"/>
  <c r="H6" i="71"/>
  <c r="J6" i="71" s="1"/>
  <c r="E6" i="72" s="1"/>
  <c r="H6" i="72" s="1"/>
  <c r="J6" i="72" s="1"/>
  <c r="E6" i="73" s="1"/>
  <c r="H6" i="73" s="1"/>
  <c r="J6" i="73" s="1"/>
  <c r="E6" i="74" s="1"/>
  <c r="H6" i="74" s="1"/>
  <c r="J6" i="74" s="1"/>
  <c r="E6" i="75" s="1"/>
  <c r="H6" i="75" s="1"/>
  <c r="J6" i="75" s="1"/>
  <c r="E6" i="76" s="1"/>
  <c r="H6" i="76" s="1"/>
  <c r="J6" i="76" s="1"/>
  <c r="E6" i="77" s="1"/>
  <c r="H6" i="77" s="1"/>
  <c r="J6" i="77" s="1"/>
  <c r="E6" i="78" s="1"/>
  <c r="H6" i="78" s="1"/>
  <c r="J6" i="78" s="1"/>
  <c r="E6" i="79" s="1"/>
  <c r="H6" i="79" s="1"/>
  <c r="J6" i="79" s="1"/>
  <c r="E6" i="80" s="1"/>
  <c r="H6" i="80" s="1"/>
  <c r="J6" i="80" s="1"/>
  <c r="E6" i="81" s="1"/>
  <c r="H6" i="81" s="1"/>
  <c r="J6" i="81" s="1"/>
  <c r="E6" i="82" s="1"/>
  <c r="H6" i="82" s="1"/>
  <c r="J6" i="82" s="1"/>
  <c r="E6" i="83" s="1"/>
  <c r="H6" i="83" s="1"/>
  <c r="J6" i="83" s="1"/>
  <c r="E6" i="84" s="1"/>
  <c r="H6" i="84" s="1"/>
  <c r="J6" i="84" s="1"/>
  <c r="E6" i="85" s="1"/>
  <c r="H6" i="85" s="1"/>
  <c r="J6" i="85" s="1"/>
  <c r="E6" i="86" s="1"/>
  <c r="H6" i="86" s="1"/>
  <c r="J6" i="86" s="1"/>
  <c r="E6" i="87" s="1"/>
  <c r="H6" i="87" s="1"/>
  <c r="J6" i="87" s="1"/>
  <c r="E6" i="88" s="1"/>
  <c r="H6" i="88" s="1"/>
  <c r="J6" i="88" s="1"/>
  <c r="E6" i="89" s="1"/>
  <c r="H6" i="89" s="1"/>
  <c r="J6" i="89" s="1"/>
  <c r="E6" i="90" s="1"/>
  <c r="H6" i="90" s="1"/>
  <c r="J6" i="90" s="1"/>
  <c r="E6" i="91" s="1"/>
  <c r="H6" i="91" s="1"/>
  <c r="J6" i="91" s="1"/>
  <c r="E6" i="92" s="1"/>
  <c r="H6" i="92" s="1"/>
  <c r="J6" i="92" s="1"/>
  <c r="E6" i="93" s="1"/>
  <c r="H6" i="93" s="1"/>
  <c r="J6" i="93" s="1"/>
  <c r="E6" i="94" s="1"/>
  <c r="H6" i="94" s="1"/>
  <c r="J6" i="94" s="1"/>
  <c r="E6" i="95" s="1"/>
  <c r="H6" i="95" s="1"/>
  <c r="J6" i="95" s="1"/>
  <c r="E6" i="96" s="1"/>
  <c r="H6" i="96" s="1"/>
  <c r="J6" i="96" s="1"/>
  <c r="E6" i="97" s="1"/>
  <c r="H6" i="97" s="1"/>
  <c r="J6" i="97" s="1"/>
  <c r="H5" i="71"/>
  <c r="J5" i="71" s="1"/>
  <c r="E5" i="72" s="1"/>
  <c r="H5" i="72" s="1"/>
  <c r="J5" i="72" s="1"/>
  <c r="E5" i="73" s="1"/>
  <c r="H5" i="73" s="1"/>
  <c r="J5" i="73" s="1"/>
  <c r="E5" i="74" s="1"/>
  <c r="H5" i="74" s="1"/>
  <c r="J5" i="74" s="1"/>
  <c r="E5" i="75" s="1"/>
  <c r="H5" i="75" s="1"/>
  <c r="J5" i="75" s="1"/>
  <c r="E5" i="76" s="1"/>
  <c r="H5" i="76" s="1"/>
  <c r="J5" i="76" s="1"/>
  <c r="E5" i="77" s="1"/>
  <c r="H5" i="77" s="1"/>
  <c r="J5" i="77" s="1"/>
  <c r="E5" i="78" s="1"/>
  <c r="H5" i="78" s="1"/>
  <c r="J5" i="78" s="1"/>
  <c r="E5" i="79" s="1"/>
  <c r="H5" i="79" s="1"/>
  <c r="J5" i="79" s="1"/>
  <c r="E5" i="80" s="1"/>
  <c r="H5" i="80" s="1"/>
  <c r="J5" i="80" s="1"/>
  <c r="E5" i="81" s="1"/>
  <c r="H5" i="81" s="1"/>
  <c r="J5" i="81" s="1"/>
  <c r="E5" i="82" s="1"/>
  <c r="H5" i="82" s="1"/>
  <c r="J5" i="82" s="1"/>
  <c r="E5" i="83" s="1"/>
  <c r="H5" i="83" s="1"/>
  <c r="J5" i="83" s="1"/>
  <c r="H4" i="71"/>
  <c r="E6" i="98" l="1"/>
  <c r="H6" i="98" s="1"/>
  <c r="J6" i="98" s="1"/>
  <c r="E6" i="99"/>
  <c r="H6" i="99" s="1"/>
  <c r="J6" i="99" s="1"/>
  <c r="E6" i="100" s="1"/>
  <c r="H6" i="100" s="1"/>
  <c r="J6" i="100" s="1"/>
  <c r="H28" i="92"/>
  <c r="H20" i="91"/>
  <c r="H7" i="90"/>
  <c r="J7" i="90" s="1"/>
  <c r="E7" i="91" s="1"/>
  <c r="H7" i="91" s="1"/>
  <c r="J7" i="91" s="1"/>
  <c r="E7" i="92" s="1"/>
  <c r="H7" i="92" s="1"/>
  <c r="J7" i="92" s="1"/>
  <c r="E7" i="93" s="1"/>
  <c r="H7" i="93" s="1"/>
  <c r="J7" i="93" s="1"/>
  <c r="E7" i="94" s="1"/>
  <c r="H7" i="94" s="1"/>
  <c r="J7" i="94" s="1"/>
  <c r="E7" i="95" s="1"/>
  <c r="H7" i="95" s="1"/>
  <c r="J7" i="95" s="1"/>
  <c r="E7" i="96" s="1"/>
  <c r="H7" i="96" s="1"/>
  <c r="J7" i="96" s="1"/>
  <c r="E7" i="97" s="1"/>
  <c r="H7" i="97" s="1"/>
  <c r="J7" i="97" s="1"/>
  <c r="E7" i="98" s="1"/>
  <c r="H7" i="98" s="1"/>
  <c r="J7" i="98" s="1"/>
  <c r="E7" i="99" s="1"/>
  <c r="H7" i="99" s="1"/>
  <c r="J7" i="99" s="1"/>
  <c r="E7" i="100" s="1"/>
  <c r="H7" i="100" s="1"/>
  <c r="J7" i="100" s="1"/>
  <c r="C49" i="81"/>
  <c r="J34" i="81"/>
  <c r="E34" i="82" s="1"/>
  <c r="H34" i="82" s="1"/>
  <c r="J34" i="82" s="1"/>
  <c r="A64" i="82"/>
  <c r="B63" i="82"/>
  <c r="B64" i="82" s="1"/>
  <c r="E5" i="84"/>
  <c r="H5" i="84" s="1"/>
  <c r="J5" i="84" s="1"/>
  <c r="E5" i="85" s="1"/>
  <c r="H5" i="85" s="1"/>
  <c r="J5" i="85" s="1"/>
  <c r="E5" i="86" s="1"/>
  <c r="H5" i="86" s="1"/>
  <c r="H13" i="74"/>
  <c r="J13" i="74" s="1"/>
  <c r="E13" i="75" s="1"/>
  <c r="H13" i="75" s="1"/>
  <c r="J13" i="75" s="1"/>
  <c r="E13" i="76" s="1"/>
  <c r="H13" i="76" s="1"/>
  <c r="J13" i="76" s="1"/>
  <c r="E13" i="77" s="1"/>
  <c r="H13" i="77" s="1"/>
  <c r="J13" i="77" s="1"/>
  <c r="E13" i="78" s="1"/>
  <c r="H13" i="78" s="1"/>
  <c r="C48" i="81"/>
  <c r="C53" i="81" s="1"/>
  <c r="J21" i="81"/>
  <c r="E21" i="82" s="1"/>
  <c r="H21" i="82" s="1"/>
  <c r="J21" i="82" s="1"/>
  <c r="E21" i="83" s="1"/>
  <c r="H21" i="83" s="1"/>
  <c r="J21" i="83" s="1"/>
  <c r="E21" i="84" s="1"/>
  <c r="H21" i="84" s="1"/>
  <c r="J21" i="84" s="1"/>
  <c r="E21" i="85" s="1"/>
  <c r="H21" i="85" s="1"/>
  <c r="J21" i="85" s="1"/>
  <c r="E21" i="86" s="1"/>
  <c r="H21" i="86" s="1"/>
  <c r="J21" i="86" s="1"/>
  <c r="E21" i="87" s="1"/>
  <c r="H21" i="87" s="1"/>
  <c r="J21" i="87" s="1"/>
  <c r="I38" i="71"/>
  <c r="G40" i="71" s="1"/>
  <c r="E32" i="73"/>
  <c r="H32" i="73" s="1"/>
  <c r="H37" i="71"/>
  <c r="C42" i="71"/>
  <c r="H42" i="71" s="1"/>
  <c r="J4" i="71"/>
  <c r="H49" i="70"/>
  <c r="J28" i="92" l="1"/>
  <c r="E28" i="93" s="1"/>
  <c r="H28" i="93" s="1"/>
  <c r="J20" i="91"/>
  <c r="E20" i="92" s="1"/>
  <c r="H20" i="92" s="1"/>
  <c r="J20" i="92" s="1"/>
  <c r="E20" i="93" s="1"/>
  <c r="H20" i="93" s="1"/>
  <c r="J20" i="93" s="1"/>
  <c r="E20" i="94" s="1"/>
  <c r="H20" i="94" s="1"/>
  <c r="J20" i="94" s="1"/>
  <c r="E20" i="95" s="1"/>
  <c r="H20" i="95" s="1"/>
  <c r="J20" i="95" s="1"/>
  <c r="E20" i="96" s="1"/>
  <c r="H20" i="96" s="1"/>
  <c r="J20" i="96" s="1"/>
  <c r="E20" i="97" s="1"/>
  <c r="H20" i="97" s="1"/>
  <c r="J20" i="97" s="1"/>
  <c r="E20" i="98" s="1"/>
  <c r="H20" i="98" s="1"/>
  <c r="J20" i="98" s="1"/>
  <c r="E20" i="99" s="1"/>
  <c r="H20" i="99" s="1"/>
  <c r="J20" i="99" s="1"/>
  <c r="E20" i="100" s="1"/>
  <c r="H20" i="100" s="1"/>
  <c r="J20" i="100" s="1"/>
  <c r="E21" i="88"/>
  <c r="H21" i="88" s="1"/>
  <c r="J21" i="88" s="1"/>
  <c r="J37" i="71"/>
  <c r="E37" i="72" s="1"/>
  <c r="E4" i="72"/>
  <c r="J13" i="78"/>
  <c r="E13" i="79" s="1"/>
  <c r="H13" i="79" s="1"/>
  <c r="J13" i="79" s="1"/>
  <c r="E13" i="80" s="1"/>
  <c r="H13" i="80" s="1"/>
  <c r="J13" i="80" s="1"/>
  <c r="E13" i="81" s="1"/>
  <c r="H13" i="81" s="1"/>
  <c r="J13" i="81" s="1"/>
  <c r="E13" i="82" s="1"/>
  <c r="H13" i="82" s="1"/>
  <c r="J13" i="82" s="1"/>
  <c r="E13" i="83" s="1"/>
  <c r="H13" i="83" s="1"/>
  <c r="J13" i="83" s="1"/>
  <c r="E13" i="84" s="1"/>
  <c r="H13" i="84" s="1"/>
  <c r="J13" i="84" s="1"/>
  <c r="E13" i="85" s="1"/>
  <c r="H13" i="85" s="1"/>
  <c r="J13" i="85" s="1"/>
  <c r="E13" i="86" s="1"/>
  <c r="H13" i="86" s="1"/>
  <c r="J13" i="86" s="1"/>
  <c r="E13" i="87" s="1"/>
  <c r="H13" i="87" s="1"/>
  <c r="J13" i="87" s="1"/>
  <c r="E13" i="88" s="1"/>
  <c r="H13" i="88" s="1"/>
  <c r="J13" i="88" s="1"/>
  <c r="E13" i="89" s="1"/>
  <c r="H13" i="89" s="1"/>
  <c r="J13" i="89" s="1"/>
  <c r="E13" i="90" s="1"/>
  <c r="H13" i="90" s="1"/>
  <c r="J13" i="90" s="1"/>
  <c r="E13" i="91" s="1"/>
  <c r="H13" i="91" s="1"/>
  <c r="J13" i="91" s="1"/>
  <c r="E13" i="92" s="1"/>
  <c r="H13" i="92" s="1"/>
  <c r="J13" i="92" s="1"/>
  <c r="E13" i="93" s="1"/>
  <c r="H13" i="93" s="1"/>
  <c r="J13" i="93" s="1"/>
  <c r="E13" i="94" s="1"/>
  <c r="H13" i="94" s="1"/>
  <c r="J13" i="94" s="1"/>
  <c r="E13" i="95" s="1"/>
  <c r="H13" i="95" s="1"/>
  <c r="J13" i="95" s="1"/>
  <c r="E13" i="96" s="1"/>
  <c r="H13" i="96" s="1"/>
  <c r="J13" i="96" s="1"/>
  <c r="E13" i="97" s="1"/>
  <c r="H13" i="97" s="1"/>
  <c r="J13" i="97" s="1"/>
  <c r="E13" i="98" s="1"/>
  <c r="H13" i="98" s="1"/>
  <c r="J13" i="98" s="1"/>
  <c r="E13" i="99" s="1"/>
  <c r="H13" i="99" s="1"/>
  <c r="J13" i="99" s="1"/>
  <c r="E13" i="100" s="1"/>
  <c r="H13" i="100" s="1"/>
  <c r="J13" i="100" s="1"/>
  <c r="J32" i="73"/>
  <c r="E32" i="74" s="1"/>
  <c r="H32" i="74" s="1"/>
  <c r="J32" i="74" s="1"/>
  <c r="E32" i="75" s="1"/>
  <c r="H32" i="75" s="1"/>
  <c r="J32" i="75" s="1"/>
  <c r="E32" i="76" s="1"/>
  <c r="H32" i="76" s="1"/>
  <c r="J32" i="76" s="1"/>
  <c r="E32" i="77" s="1"/>
  <c r="H32" i="77" s="1"/>
  <c r="J32" i="77" s="1"/>
  <c r="E32" i="78" s="1"/>
  <c r="H32" i="78" s="1"/>
  <c r="J32" i="78" s="1"/>
  <c r="E32" i="79" s="1"/>
  <c r="H32" i="79" s="1"/>
  <c r="J32" i="79" s="1"/>
  <c r="E32" i="80" s="1"/>
  <c r="H32" i="80" s="1"/>
  <c r="J32" i="80" s="1"/>
  <c r="E32" i="81" s="1"/>
  <c r="H32" i="81" s="1"/>
  <c r="J32" i="81" s="1"/>
  <c r="E32" i="82" s="1"/>
  <c r="H32" i="82" s="1"/>
  <c r="J32" i="82" s="1"/>
  <c r="E32" i="83" s="1"/>
  <c r="H32" i="83" s="1"/>
  <c r="J32" i="83" s="1"/>
  <c r="C49" i="69"/>
  <c r="G37" i="69"/>
  <c r="E21" i="89" l="1"/>
  <c r="H21" i="89" s="1"/>
  <c r="J21" i="89" s="1"/>
  <c r="E21" i="90" s="1"/>
  <c r="H21" i="90" s="1"/>
  <c r="J21" i="90" s="1"/>
  <c r="E21" i="91" s="1"/>
  <c r="H21" i="91" s="1"/>
  <c r="J21" i="91" s="1"/>
  <c r="E21" i="92" s="1"/>
  <c r="H21" i="92" s="1"/>
  <c r="J21" i="92" s="1"/>
  <c r="E21" i="93" s="1"/>
  <c r="H21" i="93" s="1"/>
  <c r="L15" i="88"/>
  <c r="J28" i="93"/>
  <c r="E28" i="94" s="1"/>
  <c r="H28" i="94" s="1"/>
  <c r="E32" i="84"/>
  <c r="H32" i="84" s="1"/>
  <c r="J32" i="84" s="1"/>
  <c r="E32" i="85" s="1"/>
  <c r="H32" i="85" s="1"/>
  <c r="J32" i="85" s="1"/>
  <c r="E32" i="86" s="1"/>
  <c r="H32" i="86" s="1"/>
  <c r="J32" i="86" s="1"/>
  <c r="E32" i="87" s="1"/>
  <c r="H32" i="87" s="1"/>
  <c r="J32" i="87" s="1"/>
  <c r="E32" i="88" s="1"/>
  <c r="H32" i="88" s="1"/>
  <c r="J32" i="88" s="1"/>
  <c r="E32" i="89" s="1"/>
  <c r="H32" i="89" s="1"/>
  <c r="L30" i="83"/>
  <c r="L42" i="83"/>
  <c r="K38" i="83"/>
  <c r="G37" i="70"/>
  <c r="J32" i="89" l="1"/>
  <c r="E32" i="90" s="1"/>
  <c r="H32" i="90" s="1"/>
  <c r="J32" i="90" s="1"/>
  <c r="J21" i="93"/>
  <c r="H21" i="94" s="1"/>
  <c r="J21" i="94" s="1"/>
  <c r="M42" i="93"/>
  <c r="M46" i="93" s="1"/>
  <c r="J28" i="94"/>
  <c r="E28" i="95" s="1"/>
  <c r="H28" i="95" s="1"/>
  <c r="J28" i="95" s="1"/>
  <c r="E28" i="96" s="1"/>
  <c r="H28" i="96" s="1"/>
  <c r="J28" i="96" s="1"/>
  <c r="E28" i="97" s="1"/>
  <c r="H28" i="97" s="1"/>
  <c r="J28" i="97" s="1"/>
  <c r="E28" i="98" s="1"/>
  <c r="H28" i="98" s="1"/>
  <c r="J28" i="98" s="1"/>
  <c r="E28" i="99" s="1"/>
  <c r="H28" i="99" s="1"/>
  <c r="J28" i="99" s="1"/>
  <c r="E28" i="100" s="1"/>
  <c r="H28" i="100" s="1"/>
  <c r="J28" i="100" s="1"/>
  <c r="H49" i="69"/>
  <c r="I37" i="70"/>
  <c r="B40" i="70"/>
  <c r="F37" i="70"/>
  <c r="E37" i="70"/>
  <c r="H36" i="70"/>
  <c r="J36" i="70" s="1"/>
  <c r="H35" i="70"/>
  <c r="J35" i="70" s="1"/>
  <c r="H34" i="70"/>
  <c r="J34" i="70" s="1"/>
  <c r="H33" i="70"/>
  <c r="J33" i="70" s="1"/>
  <c r="H32" i="70"/>
  <c r="J32" i="70" s="1"/>
  <c r="H31" i="70"/>
  <c r="J31" i="70" s="1"/>
  <c r="H30" i="70"/>
  <c r="J30" i="70" s="1"/>
  <c r="H29" i="70"/>
  <c r="J29" i="70" s="1"/>
  <c r="H28" i="70"/>
  <c r="J28" i="70" s="1"/>
  <c r="H27" i="70"/>
  <c r="J27" i="70" s="1"/>
  <c r="H26" i="70"/>
  <c r="J26" i="70" s="1"/>
  <c r="H25" i="70"/>
  <c r="J25" i="70" s="1"/>
  <c r="H24" i="70"/>
  <c r="J24" i="70" s="1"/>
  <c r="H23" i="70"/>
  <c r="J23" i="70" s="1"/>
  <c r="H22" i="70"/>
  <c r="J22" i="70" s="1"/>
  <c r="H21" i="70"/>
  <c r="J21" i="70" s="1"/>
  <c r="H20" i="70"/>
  <c r="J20" i="70" s="1"/>
  <c r="H19" i="70"/>
  <c r="J19" i="70" s="1"/>
  <c r="H18" i="70"/>
  <c r="J18" i="70" s="1"/>
  <c r="H17" i="70"/>
  <c r="J17" i="70" s="1"/>
  <c r="H16" i="70"/>
  <c r="J16" i="70" s="1"/>
  <c r="H15" i="70"/>
  <c r="J15" i="70" s="1"/>
  <c r="H14" i="70"/>
  <c r="J14" i="70" s="1"/>
  <c r="H13" i="70"/>
  <c r="J13" i="70" s="1"/>
  <c r="H12" i="70"/>
  <c r="J12" i="70" s="1"/>
  <c r="H11" i="70"/>
  <c r="J11" i="70" s="1"/>
  <c r="H10" i="70"/>
  <c r="J10" i="70" s="1"/>
  <c r="H9" i="70"/>
  <c r="J9" i="70" s="1"/>
  <c r="H8" i="70"/>
  <c r="J8" i="70" s="1"/>
  <c r="H7" i="70"/>
  <c r="J7" i="70" s="1"/>
  <c r="H6" i="70"/>
  <c r="J6" i="70" s="1"/>
  <c r="H5" i="70"/>
  <c r="J5" i="70" s="1"/>
  <c r="H4" i="70"/>
  <c r="I38" i="70" l="1"/>
  <c r="G40" i="70" s="1"/>
  <c r="H37" i="70"/>
  <c r="C42" i="70"/>
  <c r="H42" i="70" s="1"/>
  <c r="J4" i="70"/>
  <c r="J37" i="70" s="1"/>
  <c r="C50" i="67"/>
  <c r="C49" i="68"/>
  <c r="H54" i="65"/>
  <c r="I37" i="69" l="1"/>
  <c r="B40" i="69"/>
  <c r="F37" i="69"/>
  <c r="E37" i="69"/>
  <c r="H36" i="69"/>
  <c r="J36" i="69" s="1"/>
  <c r="H35" i="69"/>
  <c r="J35" i="69" s="1"/>
  <c r="H34" i="69"/>
  <c r="J34" i="69" s="1"/>
  <c r="H33" i="69"/>
  <c r="J33" i="69" s="1"/>
  <c r="H32" i="69"/>
  <c r="J32" i="69" s="1"/>
  <c r="H31" i="69"/>
  <c r="J31" i="69" s="1"/>
  <c r="H30" i="69"/>
  <c r="J30" i="69" s="1"/>
  <c r="H29" i="69"/>
  <c r="J29" i="69" s="1"/>
  <c r="H28" i="69"/>
  <c r="J28" i="69" s="1"/>
  <c r="H27" i="69"/>
  <c r="J27" i="69" s="1"/>
  <c r="H26" i="69"/>
  <c r="J26" i="69" s="1"/>
  <c r="H25" i="69"/>
  <c r="J25" i="69" s="1"/>
  <c r="H24" i="69"/>
  <c r="J24" i="69" s="1"/>
  <c r="H23" i="69"/>
  <c r="J23" i="69" s="1"/>
  <c r="H22" i="69"/>
  <c r="J22" i="69" s="1"/>
  <c r="H21" i="69"/>
  <c r="J21" i="69" s="1"/>
  <c r="H20" i="69"/>
  <c r="J20" i="69" s="1"/>
  <c r="H19" i="69"/>
  <c r="J19" i="69" s="1"/>
  <c r="H18" i="69"/>
  <c r="J18" i="69" s="1"/>
  <c r="H17" i="69"/>
  <c r="J17" i="69" s="1"/>
  <c r="H16" i="69"/>
  <c r="J16" i="69" s="1"/>
  <c r="H15" i="69"/>
  <c r="J15" i="69" s="1"/>
  <c r="H14" i="69"/>
  <c r="J14" i="69" s="1"/>
  <c r="H13" i="69"/>
  <c r="J13" i="69" s="1"/>
  <c r="H12" i="69"/>
  <c r="J12" i="69" s="1"/>
  <c r="H11" i="69"/>
  <c r="J11" i="69" s="1"/>
  <c r="H10" i="69"/>
  <c r="J10" i="69" s="1"/>
  <c r="H9" i="69"/>
  <c r="J9" i="69" s="1"/>
  <c r="H8" i="69"/>
  <c r="J8" i="69" s="1"/>
  <c r="H7" i="69"/>
  <c r="J7" i="69" s="1"/>
  <c r="H6" i="69"/>
  <c r="J6" i="69" s="1"/>
  <c r="H5" i="69"/>
  <c r="J5" i="69" s="1"/>
  <c r="H4" i="69"/>
  <c r="I38" i="69" l="1"/>
  <c r="G40" i="69" s="1"/>
  <c r="H37" i="69"/>
  <c r="C42" i="69"/>
  <c r="H42" i="69" s="1"/>
  <c r="J4" i="69"/>
  <c r="J37" i="69" s="1"/>
  <c r="G37" i="68" l="1"/>
  <c r="B40" i="68" s="1"/>
  <c r="I37" i="68"/>
  <c r="G40" i="68" s="1"/>
  <c r="F37" i="68"/>
  <c r="H44" i="68" s="1"/>
  <c r="H49" i="68" s="1"/>
  <c r="E37" i="68"/>
  <c r="H36" i="68"/>
  <c r="J36" i="68" s="1"/>
  <c r="H35" i="68"/>
  <c r="J35" i="68" s="1"/>
  <c r="H34" i="68"/>
  <c r="J34" i="68" s="1"/>
  <c r="H33" i="68"/>
  <c r="J33" i="68" s="1"/>
  <c r="H32" i="68"/>
  <c r="J32" i="68" s="1"/>
  <c r="H31" i="68"/>
  <c r="J31" i="68" s="1"/>
  <c r="H30" i="68"/>
  <c r="J30" i="68" s="1"/>
  <c r="H29" i="68"/>
  <c r="H28" i="68"/>
  <c r="J28" i="68" s="1"/>
  <c r="H27" i="68"/>
  <c r="J27" i="68" s="1"/>
  <c r="H26" i="68"/>
  <c r="J26" i="68" s="1"/>
  <c r="H25" i="68"/>
  <c r="J25" i="68" s="1"/>
  <c r="H24" i="68"/>
  <c r="J24" i="68" s="1"/>
  <c r="H23" i="68"/>
  <c r="J23" i="68" s="1"/>
  <c r="H22" i="68"/>
  <c r="J22" i="68" s="1"/>
  <c r="H21" i="68"/>
  <c r="J21" i="68" s="1"/>
  <c r="H20" i="68"/>
  <c r="J20" i="68" s="1"/>
  <c r="H19" i="68"/>
  <c r="J19" i="68" s="1"/>
  <c r="H18" i="68"/>
  <c r="J18" i="68" s="1"/>
  <c r="H17" i="68"/>
  <c r="J17" i="68" s="1"/>
  <c r="H16" i="68"/>
  <c r="J16" i="68" s="1"/>
  <c r="H15" i="68"/>
  <c r="J15" i="68" s="1"/>
  <c r="H14" i="68"/>
  <c r="J14" i="68" s="1"/>
  <c r="H13" i="68"/>
  <c r="J13" i="68" s="1"/>
  <c r="H12" i="68"/>
  <c r="J12" i="68" s="1"/>
  <c r="H11" i="68"/>
  <c r="J11" i="68" s="1"/>
  <c r="H10" i="68"/>
  <c r="J10" i="68" s="1"/>
  <c r="H9" i="68"/>
  <c r="J9" i="68" s="1"/>
  <c r="H8" i="68"/>
  <c r="J8" i="68" s="1"/>
  <c r="H7" i="68"/>
  <c r="J7" i="68" s="1"/>
  <c r="H6" i="68"/>
  <c r="J6" i="68" s="1"/>
  <c r="H5" i="68"/>
  <c r="J5" i="68" s="1"/>
  <c r="H4" i="68"/>
  <c r="H37" i="68" l="1"/>
  <c r="J29" i="68"/>
  <c r="C42" i="68"/>
  <c r="H42" i="68" s="1"/>
  <c r="J4" i="68"/>
  <c r="J37" i="68" s="1"/>
  <c r="G37" i="67" l="1"/>
  <c r="I37" i="67" l="1"/>
  <c r="G40" i="67" s="1"/>
  <c r="B40" i="67"/>
  <c r="F37" i="67"/>
  <c r="H44" i="67" s="1"/>
  <c r="H50" i="67" s="1"/>
  <c r="E37" i="67"/>
  <c r="H36" i="67"/>
  <c r="J36" i="67" s="1"/>
  <c r="H35" i="67"/>
  <c r="J35" i="67" s="1"/>
  <c r="H34" i="67"/>
  <c r="J34" i="67" s="1"/>
  <c r="H33" i="67"/>
  <c r="J33" i="67" s="1"/>
  <c r="H32" i="67"/>
  <c r="J32" i="67" s="1"/>
  <c r="H31" i="67"/>
  <c r="J31" i="67" s="1"/>
  <c r="H30" i="67"/>
  <c r="J30" i="67" s="1"/>
  <c r="H29" i="67"/>
  <c r="J29" i="67" s="1"/>
  <c r="H28" i="67"/>
  <c r="J28" i="67" s="1"/>
  <c r="H27" i="67"/>
  <c r="J27" i="67" s="1"/>
  <c r="H26" i="67"/>
  <c r="J26" i="67" s="1"/>
  <c r="H25" i="67"/>
  <c r="J25" i="67" s="1"/>
  <c r="H24" i="67"/>
  <c r="J24" i="67" s="1"/>
  <c r="H23" i="67"/>
  <c r="J23" i="67" s="1"/>
  <c r="H22" i="67"/>
  <c r="J22" i="67" s="1"/>
  <c r="H21" i="67"/>
  <c r="J21" i="67" s="1"/>
  <c r="H20" i="67"/>
  <c r="J20" i="67" s="1"/>
  <c r="H19" i="67"/>
  <c r="J19" i="67" s="1"/>
  <c r="H18" i="67"/>
  <c r="J18" i="67" s="1"/>
  <c r="H17" i="67"/>
  <c r="J17" i="67" s="1"/>
  <c r="H16" i="67"/>
  <c r="J16" i="67" s="1"/>
  <c r="H15" i="67"/>
  <c r="J15" i="67" s="1"/>
  <c r="H14" i="67"/>
  <c r="J14" i="67" s="1"/>
  <c r="H13" i="67"/>
  <c r="J13" i="67" s="1"/>
  <c r="H12" i="67"/>
  <c r="J12" i="67" s="1"/>
  <c r="H11" i="67"/>
  <c r="J11" i="67" s="1"/>
  <c r="H10" i="67"/>
  <c r="J10" i="67" s="1"/>
  <c r="H9" i="67"/>
  <c r="J9" i="67" s="1"/>
  <c r="H8" i="67"/>
  <c r="J8" i="67" s="1"/>
  <c r="H7" i="67"/>
  <c r="J7" i="67" s="1"/>
  <c r="H6" i="67"/>
  <c r="J6" i="67" s="1"/>
  <c r="H5" i="67"/>
  <c r="J5" i="67" s="1"/>
  <c r="H4" i="67"/>
  <c r="H37" i="67" l="1"/>
  <c r="C42" i="67"/>
  <c r="H42" i="67" s="1"/>
  <c r="J4" i="67"/>
  <c r="J37" i="67" s="1"/>
  <c r="C48" i="66"/>
  <c r="I37" i="66" l="1"/>
  <c r="G40" i="66" s="1"/>
  <c r="G37" i="66"/>
  <c r="B40" i="66" s="1"/>
  <c r="F37" i="66"/>
  <c r="H44" i="66" s="1"/>
  <c r="H48" i="66" s="1"/>
  <c r="E37" i="66"/>
  <c r="H36" i="66"/>
  <c r="J36" i="66" s="1"/>
  <c r="H35" i="66"/>
  <c r="J35" i="66" s="1"/>
  <c r="H34" i="66"/>
  <c r="J34" i="66" s="1"/>
  <c r="H33" i="66"/>
  <c r="J33" i="66" s="1"/>
  <c r="H32" i="66"/>
  <c r="J32" i="66" s="1"/>
  <c r="H31" i="66"/>
  <c r="J31" i="66" s="1"/>
  <c r="H30" i="66"/>
  <c r="J30" i="66" s="1"/>
  <c r="H29" i="66"/>
  <c r="J29" i="66" s="1"/>
  <c r="H28" i="66"/>
  <c r="J28" i="66" s="1"/>
  <c r="H27" i="66"/>
  <c r="J27" i="66" s="1"/>
  <c r="H26" i="66"/>
  <c r="J26" i="66" s="1"/>
  <c r="H25" i="66"/>
  <c r="J25" i="66" s="1"/>
  <c r="H24" i="66"/>
  <c r="J24" i="66" s="1"/>
  <c r="H23" i="66"/>
  <c r="J23" i="66" s="1"/>
  <c r="H22" i="66"/>
  <c r="J22" i="66" s="1"/>
  <c r="H21" i="66"/>
  <c r="J21" i="66" s="1"/>
  <c r="H20" i="66"/>
  <c r="J20" i="66" s="1"/>
  <c r="H19" i="66"/>
  <c r="J19" i="66" s="1"/>
  <c r="H18" i="66"/>
  <c r="J18" i="66" s="1"/>
  <c r="H17" i="66"/>
  <c r="J17" i="66" s="1"/>
  <c r="H16" i="66"/>
  <c r="J16" i="66" s="1"/>
  <c r="H15" i="66"/>
  <c r="J15" i="66" s="1"/>
  <c r="H14" i="66"/>
  <c r="J14" i="66" s="1"/>
  <c r="H13" i="66"/>
  <c r="J13" i="66" s="1"/>
  <c r="H12" i="66"/>
  <c r="J12" i="66" s="1"/>
  <c r="H11" i="66"/>
  <c r="J11" i="66" s="1"/>
  <c r="H10" i="66"/>
  <c r="J10" i="66" s="1"/>
  <c r="H9" i="66"/>
  <c r="J9" i="66" s="1"/>
  <c r="H8" i="66"/>
  <c r="J8" i="66" s="1"/>
  <c r="H7" i="66"/>
  <c r="J7" i="66" s="1"/>
  <c r="H6" i="66"/>
  <c r="J6" i="66" s="1"/>
  <c r="H5" i="66"/>
  <c r="J5" i="66" s="1"/>
  <c r="H4" i="66"/>
  <c r="H37" i="66" l="1"/>
  <c r="C42" i="66"/>
  <c r="H42" i="66" s="1"/>
  <c r="J4" i="66"/>
  <c r="J37" i="66" s="1"/>
  <c r="C54" i="65"/>
  <c r="H21" i="65" l="1"/>
  <c r="G38" i="65" l="1"/>
  <c r="H15" i="65"/>
  <c r="J15" i="65" s="1"/>
  <c r="F38" i="65"/>
  <c r="H36" i="65"/>
  <c r="J36" i="65" s="1"/>
  <c r="I38" i="65" l="1"/>
  <c r="G41" i="65" l="1"/>
  <c r="B41" i="65"/>
  <c r="C43" i="65" s="1"/>
  <c r="H43" i="65" s="1"/>
  <c r="E38" i="65"/>
  <c r="H37" i="65"/>
  <c r="J37" i="65" s="1"/>
  <c r="H35" i="65"/>
  <c r="J35" i="65" s="1"/>
  <c r="H34" i="65"/>
  <c r="J34" i="65" s="1"/>
  <c r="H33" i="65"/>
  <c r="J33" i="65" s="1"/>
  <c r="H32" i="65"/>
  <c r="J32" i="65" s="1"/>
  <c r="H31" i="65"/>
  <c r="J31" i="65" s="1"/>
  <c r="H30" i="65"/>
  <c r="J30" i="65" s="1"/>
  <c r="H29" i="65"/>
  <c r="J29" i="65" s="1"/>
  <c r="H28" i="65"/>
  <c r="J28" i="65" s="1"/>
  <c r="H27" i="65"/>
  <c r="J27" i="65" s="1"/>
  <c r="H26" i="65"/>
  <c r="J26" i="65" s="1"/>
  <c r="H25" i="65"/>
  <c r="J25" i="65" s="1"/>
  <c r="H24" i="65"/>
  <c r="J24" i="65" s="1"/>
  <c r="H23" i="65"/>
  <c r="J23" i="65" s="1"/>
  <c r="H22" i="65"/>
  <c r="J22" i="65" s="1"/>
  <c r="J21" i="65"/>
  <c r="H20" i="65"/>
  <c r="J20" i="65" s="1"/>
  <c r="H19" i="65"/>
  <c r="J19" i="65" s="1"/>
  <c r="H18" i="65"/>
  <c r="J18" i="65" s="1"/>
  <c r="H17" i="65"/>
  <c r="J17" i="65" s="1"/>
  <c r="H16" i="65"/>
  <c r="J16" i="65" s="1"/>
  <c r="H14" i="65"/>
  <c r="J14" i="65" s="1"/>
  <c r="H13" i="65"/>
  <c r="J13" i="65" s="1"/>
  <c r="H12" i="65"/>
  <c r="J12" i="65" s="1"/>
  <c r="H11" i="65"/>
  <c r="J11" i="65" s="1"/>
  <c r="H10" i="65"/>
  <c r="J10" i="65" s="1"/>
  <c r="H9" i="65"/>
  <c r="J9" i="65" s="1"/>
  <c r="H8" i="65"/>
  <c r="J8" i="65" s="1"/>
  <c r="H7" i="65"/>
  <c r="J7" i="65" s="1"/>
  <c r="H6" i="65"/>
  <c r="J6" i="65" s="1"/>
  <c r="H5" i="65"/>
  <c r="H49" i="64"/>
  <c r="C49" i="64"/>
  <c r="H38" i="65" l="1"/>
  <c r="J5" i="65"/>
  <c r="J38" i="65" s="1"/>
  <c r="I38" i="53"/>
  <c r="B42" i="56"/>
  <c r="B42" i="55"/>
  <c r="D35" i="55"/>
  <c r="G42" i="55"/>
  <c r="C47" i="54"/>
  <c r="G38" i="64" l="1"/>
  <c r="H6" i="64" l="1"/>
  <c r="I38" i="64"/>
  <c r="G41" i="64" s="1"/>
  <c r="B41" i="64"/>
  <c r="F38" i="64"/>
  <c r="E38" i="64"/>
  <c r="H37" i="64"/>
  <c r="J37" i="64" s="1"/>
  <c r="H36" i="64"/>
  <c r="J36" i="64" s="1"/>
  <c r="H35" i="64"/>
  <c r="J35" i="64" s="1"/>
  <c r="H34" i="64"/>
  <c r="J34" i="64" s="1"/>
  <c r="H33" i="64"/>
  <c r="J33" i="64" s="1"/>
  <c r="H32" i="64"/>
  <c r="J32" i="64" s="1"/>
  <c r="H31" i="64"/>
  <c r="J31" i="64" s="1"/>
  <c r="H30" i="64"/>
  <c r="J30" i="64" s="1"/>
  <c r="H29" i="64"/>
  <c r="J29" i="64" s="1"/>
  <c r="H28" i="64"/>
  <c r="J28" i="64" s="1"/>
  <c r="H27" i="64"/>
  <c r="J27" i="64" s="1"/>
  <c r="H26" i="64"/>
  <c r="J26" i="64" s="1"/>
  <c r="H25" i="64"/>
  <c r="J25" i="64" s="1"/>
  <c r="H24" i="64"/>
  <c r="J24" i="64" s="1"/>
  <c r="H23" i="64"/>
  <c r="J23" i="64" s="1"/>
  <c r="H22" i="64"/>
  <c r="J22" i="64" s="1"/>
  <c r="H21" i="64"/>
  <c r="J21" i="64" s="1"/>
  <c r="H20" i="64"/>
  <c r="J20" i="64" s="1"/>
  <c r="H19" i="64"/>
  <c r="J19" i="64" s="1"/>
  <c r="H18" i="64"/>
  <c r="J18" i="64" s="1"/>
  <c r="H17" i="64"/>
  <c r="J17" i="64" s="1"/>
  <c r="H16" i="64"/>
  <c r="J16" i="64" s="1"/>
  <c r="H15" i="64"/>
  <c r="J15" i="64" s="1"/>
  <c r="H14" i="64"/>
  <c r="J14" i="64" s="1"/>
  <c r="H13" i="64"/>
  <c r="J13" i="64" s="1"/>
  <c r="H12" i="64"/>
  <c r="J12" i="64" s="1"/>
  <c r="H11" i="64"/>
  <c r="J11" i="64" s="1"/>
  <c r="H10" i="64"/>
  <c r="J10" i="64" s="1"/>
  <c r="H9" i="64"/>
  <c r="J9" i="64" s="1"/>
  <c r="H8" i="64"/>
  <c r="J8" i="64" s="1"/>
  <c r="H7" i="64"/>
  <c r="J7" i="64" s="1"/>
  <c r="J6" i="64"/>
  <c r="H5" i="64"/>
  <c r="J5" i="64" s="1"/>
  <c r="H38" i="64" l="1"/>
  <c r="J38" i="64"/>
  <c r="C43" i="64"/>
  <c r="H10" i="63"/>
  <c r="J10" i="63" s="1"/>
  <c r="H43" i="64" l="1"/>
  <c r="I38" i="63"/>
  <c r="G41" i="63" s="1"/>
  <c r="G38" i="63"/>
  <c r="B41" i="63" s="1"/>
  <c r="F38" i="63"/>
  <c r="E38" i="63"/>
  <c r="H37" i="63"/>
  <c r="J37" i="63" s="1"/>
  <c r="H36" i="63"/>
  <c r="J36" i="63" s="1"/>
  <c r="H35" i="63"/>
  <c r="J35" i="63" s="1"/>
  <c r="H34" i="63"/>
  <c r="J34" i="63" s="1"/>
  <c r="H33" i="63"/>
  <c r="J33" i="63" s="1"/>
  <c r="H32" i="63"/>
  <c r="J32" i="63" s="1"/>
  <c r="H31" i="63"/>
  <c r="J31" i="63" s="1"/>
  <c r="H30" i="63"/>
  <c r="J30" i="63" s="1"/>
  <c r="H29" i="63"/>
  <c r="J29" i="63" s="1"/>
  <c r="H28" i="63"/>
  <c r="J28" i="63" s="1"/>
  <c r="H27" i="63"/>
  <c r="J27" i="63" s="1"/>
  <c r="H26" i="63"/>
  <c r="J26" i="63" s="1"/>
  <c r="H25" i="63"/>
  <c r="J25" i="63" s="1"/>
  <c r="H24" i="63"/>
  <c r="J24" i="63" s="1"/>
  <c r="H23" i="63"/>
  <c r="J23" i="63" s="1"/>
  <c r="H22" i="63"/>
  <c r="J22" i="63" s="1"/>
  <c r="H21" i="63"/>
  <c r="J21" i="63" s="1"/>
  <c r="H20" i="63"/>
  <c r="J20" i="63" s="1"/>
  <c r="H19" i="63"/>
  <c r="J19" i="63" s="1"/>
  <c r="H18" i="63"/>
  <c r="J18" i="63" s="1"/>
  <c r="H17" i="63"/>
  <c r="J17" i="63" s="1"/>
  <c r="H16" i="63"/>
  <c r="J16" i="63" s="1"/>
  <c r="H15" i="63"/>
  <c r="J15" i="63" s="1"/>
  <c r="H13" i="63"/>
  <c r="J13" i="63" s="1"/>
  <c r="H12" i="63"/>
  <c r="J12" i="63" s="1"/>
  <c r="H11" i="63"/>
  <c r="J11" i="63" s="1"/>
  <c r="H14" i="63"/>
  <c r="J14" i="63" s="1"/>
  <c r="H9" i="63"/>
  <c r="J9" i="63" s="1"/>
  <c r="H8" i="63"/>
  <c r="J8" i="63" s="1"/>
  <c r="H7" i="63"/>
  <c r="J7" i="63" s="1"/>
  <c r="J6" i="63"/>
  <c r="H5" i="63"/>
  <c r="J5" i="63" s="1"/>
  <c r="H38" i="63" l="1"/>
  <c r="J38" i="63"/>
  <c r="C43" i="63"/>
  <c r="C49" i="63" s="1"/>
  <c r="G37" i="62"/>
  <c r="H43" i="63" l="1"/>
  <c r="H49" i="63" s="1"/>
  <c r="H36" i="62"/>
  <c r="H12" i="62" l="1"/>
  <c r="I37" i="62" l="1"/>
  <c r="G40" i="62" s="1"/>
  <c r="B40" i="62"/>
  <c r="F37" i="62"/>
  <c r="H45" i="62" s="1"/>
  <c r="E37" i="62"/>
  <c r="J36" i="62"/>
  <c r="H35" i="62"/>
  <c r="J35" i="62" s="1"/>
  <c r="H34" i="62"/>
  <c r="J34" i="62" s="1"/>
  <c r="H33" i="62"/>
  <c r="J33" i="62" s="1"/>
  <c r="H32" i="62"/>
  <c r="J32" i="62" s="1"/>
  <c r="H31" i="62"/>
  <c r="J31" i="62" s="1"/>
  <c r="H30" i="62"/>
  <c r="J30" i="62" s="1"/>
  <c r="H29" i="62"/>
  <c r="J29" i="62" s="1"/>
  <c r="H28" i="62"/>
  <c r="J28" i="62" s="1"/>
  <c r="H27" i="62"/>
  <c r="J27" i="62" s="1"/>
  <c r="H26" i="62"/>
  <c r="J26" i="62" s="1"/>
  <c r="H25" i="62"/>
  <c r="J25" i="62" s="1"/>
  <c r="H24" i="62"/>
  <c r="J24" i="62" s="1"/>
  <c r="H23" i="62"/>
  <c r="J23" i="62" s="1"/>
  <c r="H22" i="62"/>
  <c r="J22" i="62" s="1"/>
  <c r="H21" i="62"/>
  <c r="J21" i="62" s="1"/>
  <c r="H20" i="62"/>
  <c r="J20" i="62" s="1"/>
  <c r="H19" i="62"/>
  <c r="J19" i="62" s="1"/>
  <c r="H18" i="62"/>
  <c r="J18" i="62" s="1"/>
  <c r="H17" i="62"/>
  <c r="J17" i="62" s="1"/>
  <c r="H16" i="62"/>
  <c r="J16" i="62" s="1"/>
  <c r="H15" i="62"/>
  <c r="J15" i="62" s="1"/>
  <c r="H14" i="62"/>
  <c r="J14" i="62" s="1"/>
  <c r="H13" i="62"/>
  <c r="J13" i="62" s="1"/>
  <c r="J12" i="62"/>
  <c r="H11" i="62"/>
  <c r="J11" i="62" s="1"/>
  <c r="H10" i="62"/>
  <c r="J10" i="62" s="1"/>
  <c r="H9" i="62"/>
  <c r="J9" i="62" s="1"/>
  <c r="H8" i="62"/>
  <c r="J8" i="62" s="1"/>
  <c r="H7" i="62"/>
  <c r="J7" i="62" s="1"/>
  <c r="H6" i="62"/>
  <c r="J6" i="62" s="1"/>
  <c r="J5" i="62"/>
  <c r="H4" i="62"/>
  <c r="J4" i="62" s="1"/>
  <c r="H37" i="62" l="1"/>
  <c r="J37" i="62"/>
  <c r="C42" i="62"/>
  <c r="C49" i="62" s="1"/>
  <c r="F37" i="61"/>
  <c r="H42" i="62" l="1"/>
  <c r="H49" i="62" s="1"/>
  <c r="G37" i="61"/>
  <c r="I37" i="61"/>
  <c r="J36" i="61"/>
  <c r="J12" i="61" l="1"/>
  <c r="H9" i="61"/>
  <c r="J9" i="61" s="1"/>
  <c r="H19" i="61" l="1"/>
  <c r="J19" i="61" s="1"/>
  <c r="H20" i="61"/>
  <c r="J20" i="61" s="1"/>
  <c r="G41" i="61" l="1"/>
  <c r="B41" i="61"/>
  <c r="H46" i="61"/>
  <c r="E37" i="61"/>
  <c r="H35" i="61"/>
  <c r="J35" i="61" s="1"/>
  <c r="H34" i="61"/>
  <c r="J34" i="61" s="1"/>
  <c r="H33" i="61"/>
  <c r="J33" i="61" s="1"/>
  <c r="H32" i="61"/>
  <c r="J32" i="61" s="1"/>
  <c r="H31" i="61"/>
  <c r="J31" i="61" s="1"/>
  <c r="H30" i="61"/>
  <c r="J30" i="61" s="1"/>
  <c r="H29" i="61"/>
  <c r="J29" i="61" s="1"/>
  <c r="H28" i="61"/>
  <c r="J28" i="61" s="1"/>
  <c r="H27" i="61"/>
  <c r="J27" i="61" s="1"/>
  <c r="H26" i="61"/>
  <c r="J26" i="61" s="1"/>
  <c r="H25" i="61"/>
  <c r="H24" i="61"/>
  <c r="J24" i="61" s="1"/>
  <c r="H23" i="61"/>
  <c r="J23" i="61" s="1"/>
  <c r="H22" i="61"/>
  <c r="J22" i="61" s="1"/>
  <c r="H21" i="61"/>
  <c r="J21" i="61" s="1"/>
  <c r="H18" i="61"/>
  <c r="J18" i="61" s="1"/>
  <c r="H17" i="61"/>
  <c r="J17" i="61" s="1"/>
  <c r="H16" i="61"/>
  <c r="J16" i="61" s="1"/>
  <c r="H15" i="61"/>
  <c r="J15" i="61" s="1"/>
  <c r="H14" i="61"/>
  <c r="J14" i="61" s="1"/>
  <c r="H13" i="61"/>
  <c r="J13" i="61" s="1"/>
  <c r="H10" i="61"/>
  <c r="J10" i="61" s="1"/>
  <c r="H11" i="61"/>
  <c r="J11" i="61" s="1"/>
  <c r="H8" i="61"/>
  <c r="J8" i="61" s="1"/>
  <c r="H7" i="61"/>
  <c r="J7" i="61" s="1"/>
  <c r="H6" i="61"/>
  <c r="J6" i="61" s="1"/>
  <c r="H5" i="61"/>
  <c r="J5" i="61" s="1"/>
  <c r="H4" i="61"/>
  <c r="H37" i="61" l="1"/>
  <c r="J25" i="61"/>
  <c r="C43" i="61"/>
  <c r="C51" i="61" s="1"/>
  <c r="J4" i="61"/>
  <c r="J37" i="61" l="1"/>
  <c r="H43" i="61"/>
  <c r="H51" i="61" s="1"/>
  <c r="G37" i="60"/>
  <c r="B44" i="60" l="1"/>
  <c r="H35" i="60"/>
  <c r="B44" i="59"/>
  <c r="G44" i="59" s="1"/>
  <c r="B42" i="57" l="1"/>
  <c r="J11" i="60" l="1"/>
  <c r="G44" i="60" l="1"/>
  <c r="I37" i="60"/>
  <c r="G41" i="60" s="1"/>
  <c r="B41" i="60"/>
  <c r="F37" i="60"/>
  <c r="H47" i="60" s="1"/>
  <c r="E37" i="60"/>
  <c r="J35" i="60"/>
  <c r="H34" i="60"/>
  <c r="J34" i="60" s="1"/>
  <c r="H33" i="60"/>
  <c r="J33" i="60" s="1"/>
  <c r="H32" i="60"/>
  <c r="J32" i="60" s="1"/>
  <c r="H31" i="60"/>
  <c r="J31" i="60" s="1"/>
  <c r="H30" i="60"/>
  <c r="J30" i="60" s="1"/>
  <c r="H29" i="60"/>
  <c r="J29" i="60" s="1"/>
  <c r="H28" i="60"/>
  <c r="H27" i="60"/>
  <c r="J27" i="60" s="1"/>
  <c r="H26" i="60"/>
  <c r="J26" i="60" s="1"/>
  <c r="H25" i="60"/>
  <c r="J25" i="60" s="1"/>
  <c r="H24" i="60"/>
  <c r="J24" i="60" s="1"/>
  <c r="H23" i="60"/>
  <c r="J23" i="60" s="1"/>
  <c r="H22" i="60"/>
  <c r="J22" i="60" s="1"/>
  <c r="H21" i="60"/>
  <c r="J21" i="60" s="1"/>
  <c r="H20" i="60"/>
  <c r="J20" i="60" s="1"/>
  <c r="H19" i="60"/>
  <c r="J19" i="60" s="1"/>
  <c r="H18" i="60"/>
  <c r="J18" i="60" s="1"/>
  <c r="H17" i="60"/>
  <c r="J17" i="60" s="1"/>
  <c r="H16" i="60"/>
  <c r="J16" i="60" s="1"/>
  <c r="H15" i="60"/>
  <c r="J15" i="60" s="1"/>
  <c r="H14" i="60"/>
  <c r="J14" i="60" s="1"/>
  <c r="H13" i="60"/>
  <c r="J13" i="60" s="1"/>
  <c r="H12" i="60"/>
  <c r="J12" i="60" s="1"/>
  <c r="H10" i="60"/>
  <c r="J10" i="60" s="1"/>
  <c r="H9" i="60"/>
  <c r="J9" i="60" s="1"/>
  <c r="H8" i="60"/>
  <c r="J8" i="60" s="1"/>
  <c r="H7" i="60"/>
  <c r="J7" i="60" s="1"/>
  <c r="H6" i="60"/>
  <c r="J6" i="60" s="1"/>
  <c r="H5" i="60"/>
  <c r="J5" i="60" s="1"/>
  <c r="H4" i="60"/>
  <c r="H37" i="60" l="1"/>
  <c r="C43" i="60"/>
  <c r="C53" i="60" s="1"/>
  <c r="J4" i="60"/>
  <c r="J37" i="60" s="1"/>
  <c r="H35" i="59"/>
  <c r="J35" i="59" s="1"/>
  <c r="H43" i="60" l="1"/>
  <c r="H53" i="60" s="1"/>
  <c r="H9" i="59" l="1"/>
  <c r="H29" i="59"/>
  <c r="J29" i="59" s="1"/>
  <c r="O27" i="59" l="1"/>
  <c r="Q27" i="59" s="1"/>
  <c r="H31" i="58" l="1"/>
  <c r="I37" i="59"/>
  <c r="G41" i="59" s="1"/>
  <c r="G37" i="59"/>
  <c r="B41" i="59" s="1"/>
  <c r="F37" i="59"/>
  <c r="E37" i="59"/>
  <c r="H34" i="59"/>
  <c r="J34" i="59" s="1"/>
  <c r="H33" i="59"/>
  <c r="J33" i="59" s="1"/>
  <c r="H32" i="59"/>
  <c r="J32" i="59" s="1"/>
  <c r="H31" i="59"/>
  <c r="J31" i="59" s="1"/>
  <c r="H30" i="59"/>
  <c r="J30" i="59" s="1"/>
  <c r="H28" i="59"/>
  <c r="J28" i="59" s="1"/>
  <c r="H27" i="59"/>
  <c r="J27" i="59" s="1"/>
  <c r="H26" i="59"/>
  <c r="J26" i="59" s="1"/>
  <c r="H25" i="59"/>
  <c r="J25" i="59" s="1"/>
  <c r="H24" i="59"/>
  <c r="J24" i="59" s="1"/>
  <c r="H23" i="59"/>
  <c r="J23" i="59" s="1"/>
  <c r="H22" i="59"/>
  <c r="J22" i="59" s="1"/>
  <c r="H21" i="59"/>
  <c r="J21" i="59" s="1"/>
  <c r="H20" i="59"/>
  <c r="J20" i="59" s="1"/>
  <c r="H19" i="59"/>
  <c r="J19" i="59" s="1"/>
  <c r="H18" i="59"/>
  <c r="J18" i="59" s="1"/>
  <c r="H17" i="59"/>
  <c r="J17" i="59" s="1"/>
  <c r="H16" i="59"/>
  <c r="J16" i="59" s="1"/>
  <c r="H15" i="59"/>
  <c r="J15" i="59" s="1"/>
  <c r="H14" i="59"/>
  <c r="J14" i="59" s="1"/>
  <c r="H13" i="59"/>
  <c r="J13" i="59" s="1"/>
  <c r="H12" i="59"/>
  <c r="J12" i="59" s="1"/>
  <c r="H11" i="59"/>
  <c r="J11" i="59" s="1"/>
  <c r="H10" i="59"/>
  <c r="J10" i="59" s="1"/>
  <c r="J9" i="59"/>
  <c r="H8" i="59"/>
  <c r="J8" i="59" s="1"/>
  <c r="H7" i="59"/>
  <c r="J7" i="59" s="1"/>
  <c r="H6" i="59"/>
  <c r="J6" i="59" s="1"/>
  <c r="H5" i="59"/>
  <c r="J5" i="59" s="1"/>
  <c r="H4" i="59"/>
  <c r="H19" i="58"/>
  <c r="H20" i="58"/>
  <c r="H21" i="58"/>
  <c r="H18" i="58"/>
  <c r="H37" i="59" l="1"/>
  <c r="C43" i="59"/>
  <c r="C52" i="59" s="1"/>
  <c r="J4" i="59"/>
  <c r="J37" i="59" s="1"/>
  <c r="J18" i="58"/>
  <c r="J19" i="58"/>
  <c r="J20" i="58"/>
  <c r="J21" i="58"/>
  <c r="I35" i="58"/>
  <c r="H43" i="59" l="1"/>
  <c r="H52" i="59" s="1"/>
  <c r="G35" i="58"/>
  <c r="G42" i="57" l="1"/>
  <c r="E35" i="58" l="1"/>
  <c r="B41" i="58"/>
  <c r="G41" i="58" s="1"/>
  <c r="G38" i="58"/>
  <c r="B38" i="58"/>
  <c r="F35" i="58"/>
  <c r="H34" i="58"/>
  <c r="J34" i="58" s="1"/>
  <c r="H33" i="58"/>
  <c r="J33" i="58" s="1"/>
  <c r="H32" i="58"/>
  <c r="J31" i="58"/>
  <c r="H30" i="58"/>
  <c r="J30" i="58" s="1"/>
  <c r="H29" i="58"/>
  <c r="J29" i="58" s="1"/>
  <c r="H28" i="58"/>
  <c r="J28" i="58" s="1"/>
  <c r="H27" i="58"/>
  <c r="J27" i="58" s="1"/>
  <c r="H26" i="58"/>
  <c r="J26" i="58" s="1"/>
  <c r="H25" i="58"/>
  <c r="J25" i="58" s="1"/>
  <c r="H24" i="58"/>
  <c r="J24" i="58" s="1"/>
  <c r="H23" i="58"/>
  <c r="J23" i="58" s="1"/>
  <c r="H22" i="58"/>
  <c r="J22" i="58" s="1"/>
  <c r="H17" i="58"/>
  <c r="J17" i="58" s="1"/>
  <c r="H16" i="58"/>
  <c r="J16" i="58" s="1"/>
  <c r="H15" i="58"/>
  <c r="J15" i="58" s="1"/>
  <c r="H14" i="58"/>
  <c r="J14" i="58" s="1"/>
  <c r="H13" i="58"/>
  <c r="J13" i="58" s="1"/>
  <c r="H12" i="58"/>
  <c r="J12" i="58" s="1"/>
  <c r="H11" i="58"/>
  <c r="J11" i="58" s="1"/>
  <c r="H10" i="58"/>
  <c r="J10" i="58" s="1"/>
  <c r="H9" i="58"/>
  <c r="J9" i="58" s="1"/>
  <c r="H8" i="58"/>
  <c r="J8" i="58" s="1"/>
  <c r="H7" i="58"/>
  <c r="J7" i="58" s="1"/>
  <c r="H6" i="58"/>
  <c r="J6" i="58" s="1"/>
  <c r="H5" i="58"/>
  <c r="J5" i="58" s="1"/>
  <c r="H4" i="58"/>
  <c r="H35" i="58" l="1"/>
  <c r="J4" i="58"/>
  <c r="C40" i="58"/>
  <c r="C52" i="58" s="1"/>
  <c r="J35" i="58"/>
  <c r="G35" i="57"/>
  <c r="H10" i="57"/>
  <c r="H40" i="58" l="1"/>
  <c r="H52" i="58" s="1"/>
  <c r="H19" i="57" l="1"/>
  <c r="H11" i="57" l="1"/>
  <c r="H12" i="57" l="1"/>
  <c r="H5" i="57" l="1"/>
  <c r="H6" i="57"/>
  <c r="H7" i="57"/>
  <c r="H8" i="57"/>
  <c r="H9" i="57"/>
  <c r="H13" i="57"/>
  <c r="H14" i="57"/>
  <c r="H15" i="57"/>
  <c r="H16" i="57"/>
  <c r="H17" i="57"/>
  <c r="H18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4" i="57"/>
  <c r="I35" i="57" l="1"/>
  <c r="G39" i="57" s="1"/>
  <c r="B39" i="57"/>
  <c r="F35" i="57"/>
  <c r="J34" i="57"/>
  <c r="J33" i="57"/>
  <c r="J32" i="57"/>
  <c r="J31" i="57"/>
  <c r="J30" i="57"/>
  <c r="J29" i="57"/>
  <c r="J28" i="57"/>
  <c r="J27" i="57"/>
  <c r="J26" i="57"/>
  <c r="J25" i="57"/>
  <c r="J24" i="57"/>
  <c r="J23" i="57"/>
  <c r="J22" i="57"/>
  <c r="J21" i="57"/>
  <c r="J20" i="57"/>
  <c r="J19" i="57"/>
  <c r="J18" i="57"/>
  <c r="J17" i="57"/>
  <c r="J16" i="57"/>
  <c r="J15" i="57"/>
  <c r="J14" i="57"/>
  <c r="J13" i="57"/>
  <c r="J12" i="57"/>
  <c r="J11" i="57"/>
  <c r="J10" i="57"/>
  <c r="J8" i="57"/>
  <c r="J7" i="57"/>
  <c r="J6" i="57"/>
  <c r="J5" i="57"/>
  <c r="H35" i="57" l="1"/>
  <c r="J4" i="57"/>
  <c r="J35" i="57" s="1"/>
  <c r="C41" i="57"/>
  <c r="C48" i="57" s="1"/>
  <c r="H41" i="57" l="1"/>
  <c r="H48" i="57" s="1"/>
  <c r="H25" i="56"/>
  <c r="L5" i="55" l="1"/>
  <c r="G42" i="56"/>
  <c r="M6" i="56"/>
  <c r="H5" i="56" l="1"/>
  <c r="H6" i="56"/>
  <c r="H7" i="56"/>
  <c r="H8" i="56"/>
  <c r="H4" i="56"/>
  <c r="I35" i="56" l="1"/>
  <c r="G39" i="56" s="1"/>
  <c r="G35" i="56"/>
  <c r="B39" i="56" s="1"/>
  <c r="F35" i="56"/>
  <c r="H45" i="56" s="1"/>
  <c r="H34" i="56"/>
  <c r="J34" i="56" s="1"/>
  <c r="H33" i="56"/>
  <c r="J33" i="56" s="1"/>
  <c r="H32" i="56"/>
  <c r="J32" i="56" s="1"/>
  <c r="H31" i="56"/>
  <c r="J31" i="56" s="1"/>
  <c r="H30" i="56"/>
  <c r="J30" i="56" s="1"/>
  <c r="H29" i="56"/>
  <c r="J29" i="56" s="1"/>
  <c r="H28" i="56"/>
  <c r="J28" i="56" s="1"/>
  <c r="H27" i="56"/>
  <c r="J27" i="56" s="1"/>
  <c r="H26" i="56"/>
  <c r="J26" i="56" s="1"/>
  <c r="J25" i="56"/>
  <c r="H24" i="56"/>
  <c r="J24" i="56" s="1"/>
  <c r="H23" i="56"/>
  <c r="J23" i="56" s="1"/>
  <c r="J22" i="56"/>
  <c r="H21" i="56"/>
  <c r="J21" i="56" s="1"/>
  <c r="H20" i="56"/>
  <c r="J20" i="56" s="1"/>
  <c r="H19" i="56"/>
  <c r="J19" i="56" s="1"/>
  <c r="H18" i="56"/>
  <c r="J18" i="56" s="1"/>
  <c r="H17" i="56"/>
  <c r="J17" i="56" s="1"/>
  <c r="H16" i="56"/>
  <c r="J16" i="56" s="1"/>
  <c r="H15" i="56"/>
  <c r="J15" i="56" s="1"/>
  <c r="H14" i="56"/>
  <c r="J14" i="56" s="1"/>
  <c r="J13" i="56"/>
  <c r="H12" i="56"/>
  <c r="J12" i="56" s="1"/>
  <c r="H11" i="56"/>
  <c r="J11" i="56" s="1"/>
  <c r="H10" i="56"/>
  <c r="J10" i="56" s="1"/>
  <c r="J8" i="56"/>
  <c r="J7" i="56"/>
  <c r="J6" i="56"/>
  <c r="J5" i="56"/>
  <c r="J4" i="56"/>
  <c r="C41" i="56" l="1"/>
  <c r="C48" i="56" s="1"/>
  <c r="J35" i="56"/>
  <c r="H35" i="56"/>
  <c r="C62" i="53"/>
  <c r="H41" i="56" l="1"/>
  <c r="H48" i="56" s="1"/>
  <c r="H7" i="55" l="1"/>
  <c r="H8" i="55"/>
  <c r="H10" i="55"/>
  <c r="H11" i="55"/>
  <c r="H12" i="55"/>
  <c r="H13" i="55"/>
  <c r="H14" i="55"/>
  <c r="H15" i="55"/>
  <c r="H16" i="55"/>
  <c r="H17" i="55"/>
  <c r="H18" i="55"/>
  <c r="H19" i="55"/>
  <c r="H20" i="55"/>
  <c r="H21" i="55"/>
  <c r="H22" i="55"/>
  <c r="H23" i="55"/>
  <c r="H24" i="55"/>
  <c r="H25" i="55"/>
  <c r="H26" i="55"/>
  <c r="H27" i="55"/>
  <c r="H28" i="55"/>
  <c r="H29" i="55"/>
  <c r="H30" i="55"/>
  <c r="H31" i="55"/>
  <c r="H32" i="55"/>
  <c r="H33" i="55"/>
  <c r="H34" i="55"/>
  <c r="H6" i="55"/>
  <c r="J6" i="55" l="1"/>
  <c r="J7" i="55"/>
  <c r="J8" i="55"/>
  <c r="J11" i="55"/>
  <c r="J12" i="55"/>
  <c r="J13" i="55"/>
  <c r="J14" i="55"/>
  <c r="J15" i="55"/>
  <c r="J16" i="55"/>
  <c r="J17" i="55"/>
  <c r="J19" i="55"/>
  <c r="J20" i="55"/>
  <c r="J21" i="55"/>
  <c r="J22" i="55"/>
  <c r="J23" i="55"/>
  <c r="J24" i="55"/>
  <c r="J26" i="55"/>
  <c r="J27" i="55"/>
  <c r="J28" i="55"/>
  <c r="J29" i="55"/>
  <c r="J30" i="55"/>
  <c r="J31" i="55"/>
  <c r="J32" i="55"/>
  <c r="J33" i="55"/>
  <c r="J34" i="55"/>
  <c r="H5" i="55"/>
  <c r="J5" i="55" s="1"/>
  <c r="J10" i="55"/>
  <c r="J18" i="55"/>
  <c r="J25" i="55"/>
  <c r="H4" i="55"/>
  <c r="J4" i="55" s="1"/>
  <c r="P34" i="55"/>
  <c r="I35" i="55"/>
  <c r="G39" i="55" s="1"/>
  <c r="G35" i="55"/>
  <c r="B39" i="55" s="1"/>
  <c r="B49" i="55" s="1"/>
  <c r="F35" i="55"/>
  <c r="H48" i="55" s="1"/>
  <c r="C55" i="49"/>
  <c r="H35" i="55" l="1"/>
  <c r="J35" i="55"/>
  <c r="C41" i="55"/>
  <c r="C49" i="55" s="1"/>
  <c r="D49" i="55" s="1"/>
  <c r="I35" i="54"/>
  <c r="G39" i="54" s="1"/>
  <c r="G47" i="54" s="1"/>
  <c r="G35" i="54"/>
  <c r="B39" i="54" s="1"/>
  <c r="F35" i="54"/>
  <c r="H34" i="54"/>
  <c r="H33" i="54"/>
  <c r="H32" i="54"/>
  <c r="H31" i="54"/>
  <c r="H30" i="54"/>
  <c r="H29" i="54"/>
  <c r="H28" i="54"/>
  <c r="J28" i="54" s="1"/>
  <c r="H27" i="54"/>
  <c r="H26" i="54"/>
  <c r="H25" i="54"/>
  <c r="H23" i="54"/>
  <c r="H21" i="54"/>
  <c r="H20" i="54"/>
  <c r="H19" i="54"/>
  <c r="J19" i="54" s="1"/>
  <c r="H18" i="54"/>
  <c r="H17" i="54"/>
  <c r="H16" i="54"/>
  <c r="J16" i="54" s="1"/>
  <c r="H15" i="54"/>
  <c r="H14" i="54"/>
  <c r="H13" i="54"/>
  <c r="J13" i="54" s="1"/>
  <c r="H12" i="54"/>
  <c r="H11" i="54"/>
  <c r="H10" i="54"/>
  <c r="H8" i="54"/>
  <c r="J8" i="54" s="1"/>
  <c r="H7" i="54"/>
  <c r="H6" i="54"/>
  <c r="H5" i="54"/>
  <c r="H4" i="54"/>
  <c r="H41" i="55" l="1"/>
  <c r="H49" i="55" s="1"/>
  <c r="B40" i="56"/>
  <c r="J35" i="54"/>
  <c r="H35" i="54"/>
  <c r="C41" i="54"/>
  <c r="H41" i="54" s="1"/>
  <c r="H47" i="54" s="1"/>
  <c r="I47" i="54" s="1"/>
  <c r="G40" i="55" s="1"/>
  <c r="G49" i="55" s="1"/>
  <c r="I49" i="55" s="1"/>
  <c r="B43" i="54" l="1"/>
  <c r="B47" i="54" s="1"/>
  <c r="D47" i="54" s="1"/>
  <c r="B48" i="56"/>
  <c r="D48" i="56" s="1"/>
  <c r="B40" i="57" s="1"/>
  <c r="G40" i="56"/>
  <c r="G48" i="56" s="1"/>
  <c r="I48" i="56" s="1"/>
  <c r="B48" i="57" l="1"/>
  <c r="D48" i="57" s="1"/>
  <c r="B39" i="58" s="1"/>
  <c r="B52" i="58" s="1"/>
  <c r="D52" i="58" s="1"/>
  <c r="B42" i="59" s="1"/>
  <c r="B52" i="59" s="1"/>
  <c r="D52" i="59" s="1"/>
  <c r="B42" i="60" s="1"/>
  <c r="B53" i="60" s="1"/>
  <c r="G40" i="57"/>
  <c r="Q38" i="52"/>
  <c r="P38" i="52"/>
  <c r="R37" i="52"/>
  <c r="R36" i="52"/>
  <c r="R35" i="52"/>
  <c r="R34" i="52"/>
  <c r="R33" i="52"/>
  <c r="R32" i="52"/>
  <c r="R31" i="52"/>
  <c r="R30" i="52"/>
  <c r="R29" i="52"/>
  <c r="R28" i="52"/>
  <c r="R26" i="52"/>
  <c r="R23" i="52"/>
  <c r="R22" i="52"/>
  <c r="R21" i="52"/>
  <c r="R20" i="52"/>
  <c r="R19" i="52"/>
  <c r="R18" i="52"/>
  <c r="R17" i="52"/>
  <c r="R16" i="52"/>
  <c r="R15" i="52"/>
  <c r="R14" i="52"/>
  <c r="R13" i="52"/>
  <c r="R12" i="52"/>
  <c r="R11" i="52"/>
  <c r="R8" i="52"/>
  <c r="R7" i="52"/>
  <c r="R6" i="52"/>
  <c r="R5" i="52"/>
  <c r="R4" i="52"/>
  <c r="R38" i="52" s="1"/>
  <c r="G48" i="57" l="1"/>
  <c r="G38" i="53"/>
  <c r="H5" i="53"/>
  <c r="H6" i="53"/>
  <c r="H7" i="53"/>
  <c r="H8" i="53"/>
  <c r="H11" i="53"/>
  <c r="H12" i="53"/>
  <c r="H13" i="53"/>
  <c r="H14" i="53"/>
  <c r="H15" i="53"/>
  <c r="H16" i="53"/>
  <c r="H17" i="53"/>
  <c r="H18" i="53"/>
  <c r="H19" i="53"/>
  <c r="H20" i="53"/>
  <c r="H21" i="53"/>
  <c r="H22" i="53"/>
  <c r="H23" i="53"/>
  <c r="H26" i="53"/>
  <c r="H28" i="53"/>
  <c r="H29" i="53"/>
  <c r="H30" i="53"/>
  <c r="H31" i="53"/>
  <c r="H32" i="53"/>
  <c r="H33" i="53"/>
  <c r="H34" i="53"/>
  <c r="H35" i="53"/>
  <c r="H36" i="53"/>
  <c r="H37" i="53"/>
  <c r="H4" i="53"/>
  <c r="I48" i="57" l="1"/>
  <c r="G39" i="58" s="1"/>
  <c r="G52" i="58" s="1"/>
  <c r="I52" i="58" s="1"/>
  <c r="G42" i="59" s="1"/>
  <c r="G52" i="59" s="1"/>
  <c r="I52" i="59" s="1"/>
  <c r="G51" i="53"/>
  <c r="B51" i="53"/>
  <c r="F38" i="53"/>
  <c r="J37" i="53"/>
  <c r="J36" i="53"/>
  <c r="J35" i="53"/>
  <c r="J31" i="53"/>
  <c r="J29" i="53"/>
  <c r="J26" i="53"/>
  <c r="J21" i="53"/>
  <c r="J20" i="53"/>
  <c r="J19" i="53"/>
  <c r="J18" i="53"/>
  <c r="J17" i="53"/>
  <c r="J16" i="53"/>
  <c r="J15" i="53"/>
  <c r="J14" i="53"/>
  <c r="J13" i="53"/>
  <c r="J12" i="53"/>
  <c r="J11" i="53"/>
  <c r="J8" i="53"/>
  <c r="J7" i="53"/>
  <c r="C52" i="53" l="1"/>
  <c r="H52" i="53" s="1"/>
  <c r="H38" i="53"/>
  <c r="J38" i="53" s="1"/>
  <c r="E62" i="53" s="1"/>
  <c r="G57" i="53"/>
  <c r="G62" i="53" s="1"/>
  <c r="H62" i="53"/>
  <c r="C53" i="52"/>
  <c r="I38" i="52"/>
  <c r="G42" i="52" s="1"/>
  <c r="G48" i="52" s="1"/>
  <c r="G38" i="52"/>
  <c r="B42" i="52" s="1"/>
  <c r="C43" i="52" s="1"/>
  <c r="F38" i="52"/>
  <c r="E38" i="52"/>
  <c r="H37" i="52"/>
  <c r="J37" i="52" s="1"/>
  <c r="H36" i="52"/>
  <c r="J36" i="52" s="1"/>
  <c r="H35" i="52"/>
  <c r="J35" i="52" s="1"/>
  <c r="H34" i="52"/>
  <c r="H33" i="52"/>
  <c r="H32" i="52"/>
  <c r="H31" i="52"/>
  <c r="J31" i="52" s="1"/>
  <c r="H30" i="52"/>
  <c r="H29" i="52"/>
  <c r="J29" i="52" s="1"/>
  <c r="H28" i="52"/>
  <c r="H27" i="52"/>
  <c r="J27" i="52" s="1"/>
  <c r="H26" i="52"/>
  <c r="H25" i="52"/>
  <c r="H24" i="52"/>
  <c r="H23" i="52"/>
  <c r="J23" i="52" s="1"/>
  <c r="H22" i="52"/>
  <c r="J22" i="52" s="1"/>
  <c r="H21" i="52"/>
  <c r="J21" i="52" s="1"/>
  <c r="H20" i="52"/>
  <c r="J20" i="52" s="1"/>
  <c r="H19" i="52"/>
  <c r="J19" i="52" s="1"/>
  <c r="H18" i="52"/>
  <c r="J18" i="52" s="1"/>
  <c r="H17" i="52"/>
  <c r="J17" i="52" s="1"/>
  <c r="H16" i="52"/>
  <c r="J16" i="52" s="1"/>
  <c r="H15" i="52"/>
  <c r="J15" i="52" s="1"/>
  <c r="H14" i="52"/>
  <c r="J14" i="52" s="1"/>
  <c r="H13" i="52"/>
  <c r="J13" i="52" s="1"/>
  <c r="H12" i="52"/>
  <c r="J12" i="52" s="1"/>
  <c r="H11" i="52"/>
  <c r="J11" i="52" s="1"/>
  <c r="H10" i="52"/>
  <c r="J10" i="52" s="1"/>
  <c r="H9" i="52"/>
  <c r="J9" i="52" s="1"/>
  <c r="H8" i="52"/>
  <c r="H7" i="52"/>
  <c r="H6" i="52"/>
  <c r="J6" i="52" s="1"/>
  <c r="H5" i="52"/>
  <c r="J5" i="52" s="1"/>
  <c r="H4" i="52"/>
  <c r="G53" i="60" l="1"/>
  <c r="I53" i="60" s="1"/>
  <c r="G42" i="61" s="1"/>
  <c r="B54" i="53"/>
  <c r="B57" i="53" s="1"/>
  <c r="B62" i="53" s="1"/>
  <c r="D62" i="53" s="1"/>
  <c r="I62" i="53"/>
  <c r="H38" i="52"/>
  <c r="J38" i="52" s="1"/>
  <c r="H43" i="52"/>
  <c r="H53" i="52" s="1"/>
  <c r="G53" i="52"/>
  <c r="B45" i="52"/>
  <c r="B48" i="52" s="1"/>
  <c r="B53" i="52" s="1"/>
  <c r="D53" i="52" s="1"/>
  <c r="J4" i="52"/>
  <c r="H32" i="51"/>
  <c r="H33" i="51"/>
  <c r="H34" i="51"/>
  <c r="H35" i="51"/>
  <c r="H36" i="51"/>
  <c r="H37" i="51"/>
  <c r="H30" i="51"/>
  <c r="H5" i="51"/>
  <c r="H6" i="51"/>
  <c r="H7" i="51"/>
  <c r="H8" i="51"/>
  <c r="H9" i="51"/>
  <c r="H10" i="51"/>
  <c r="H11" i="51"/>
  <c r="H12" i="51"/>
  <c r="H13" i="51"/>
  <c r="H14" i="51"/>
  <c r="H15" i="5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1" i="51"/>
  <c r="H4" i="51"/>
  <c r="G51" i="61" l="1"/>
  <c r="I51" i="61" s="1"/>
  <c r="G41" i="62" s="1"/>
  <c r="G49" i="62" s="1"/>
  <c r="I49" i="62" s="1"/>
  <c r="G42" i="63" s="1"/>
  <c r="G49" i="63" s="1"/>
  <c r="I49" i="63" s="1"/>
  <c r="G42" i="64" s="1"/>
  <c r="E53" i="52"/>
  <c r="J53" i="52"/>
  <c r="I53" i="52"/>
  <c r="C52" i="51"/>
  <c r="G49" i="64" l="1"/>
  <c r="I49" i="64" s="1"/>
  <c r="G42" i="65" s="1"/>
  <c r="G54" i="65" s="1"/>
  <c r="I54" i="65" s="1"/>
  <c r="G41" i="66" s="1"/>
  <c r="G48" i="66" s="1"/>
  <c r="I48" i="66" s="1"/>
  <c r="G41" i="67" s="1"/>
  <c r="G50" i="67" s="1"/>
  <c r="I50" i="67" s="1"/>
  <c r="G41" i="68" s="1"/>
  <c r="G49" i="68" s="1"/>
  <c r="I49" i="68" s="1"/>
  <c r="G41" i="69" s="1"/>
  <c r="G49" i="69" s="1"/>
  <c r="I49" i="69" s="1"/>
  <c r="G41" i="70" s="1"/>
  <c r="G49" i="70" s="1"/>
  <c r="I49" i="70" s="1"/>
  <c r="G41" i="71" s="1"/>
  <c r="G51" i="71" s="1"/>
  <c r="I51" i="71" s="1"/>
  <c r="L38" i="51"/>
  <c r="G38" i="51"/>
  <c r="B41" i="51" s="1"/>
  <c r="C44" i="51" s="1"/>
  <c r="I38" i="51"/>
  <c r="F38" i="51"/>
  <c r="E38" i="51"/>
  <c r="J37" i="51"/>
  <c r="J36" i="51"/>
  <c r="J35" i="51"/>
  <c r="J31" i="51"/>
  <c r="J29" i="51"/>
  <c r="J27" i="51"/>
  <c r="J23" i="51"/>
  <c r="J22" i="51"/>
  <c r="J21" i="51"/>
  <c r="J20" i="51"/>
  <c r="J19" i="51"/>
  <c r="J18" i="51"/>
  <c r="J17" i="51"/>
  <c r="J16" i="51"/>
  <c r="J15" i="51"/>
  <c r="J14" i="51"/>
  <c r="J13" i="51"/>
  <c r="J12" i="51"/>
  <c r="J11" i="51"/>
  <c r="J10" i="51"/>
  <c r="J9" i="51"/>
  <c r="J6" i="51"/>
  <c r="J5" i="51"/>
  <c r="H38" i="51"/>
  <c r="G42" i="72" l="1"/>
  <c r="G53" i="72" s="1"/>
  <c r="I53" i="72" s="1"/>
  <c r="G41" i="51"/>
  <c r="G47" i="51" s="1"/>
  <c r="G52" i="51" s="1"/>
  <c r="J38" i="51"/>
  <c r="E52" i="51" s="1"/>
  <c r="J4" i="51"/>
  <c r="J52" i="51"/>
  <c r="C42" i="51"/>
  <c r="B44" i="51" s="1"/>
  <c r="B47" i="51" s="1"/>
  <c r="C55" i="50"/>
  <c r="B52" i="51" l="1"/>
  <c r="D52" i="51" s="1"/>
  <c r="G42" i="73"/>
  <c r="H42" i="51"/>
  <c r="H52" i="51" s="1"/>
  <c r="I52" i="51" s="1"/>
  <c r="H19" i="49"/>
  <c r="H10" i="49"/>
  <c r="G55" i="73" l="1"/>
  <c r="I55" i="73" s="1"/>
  <c r="M20" i="50"/>
  <c r="G42" i="74" l="1"/>
  <c r="G54" i="74" s="1"/>
  <c r="I54" i="74" s="1"/>
  <c r="G38" i="49"/>
  <c r="B41" i="49" s="1"/>
  <c r="G42" i="75" l="1"/>
  <c r="G54" i="75" s="1"/>
  <c r="I54" i="75" s="1"/>
  <c r="G38" i="50"/>
  <c r="H33" i="50"/>
  <c r="H13" i="49"/>
  <c r="I38" i="50"/>
  <c r="G41" i="50" s="1"/>
  <c r="F38" i="50"/>
  <c r="E38" i="50"/>
  <c r="H37" i="50"/>
  <c r="J37" i="50" s="1"/>
  <c r="H36" i="50"/>
  <c r="J36" i="50" s="1"/>
  <c r="H35" i="50"/>
  <c r="J35" i="50" s="1"/>
  <c r="H32" i="50"/>
  <c r="H31" i="50"/>
  <c r="J31" i="50" s="1"/>
  <c r="H30" i="50"/>
  <c r="H29" i="50"/>
  <c r="J29" i="50" s="1"/>
  <c r="H28" i="50"/>
  <c r="H27" i="50"/>
  <c r="J27" i="50" s="1"/>
  <c r="H26" i="50"/>
  <c r="H24" i="50"/>
  <c r="J23" i="50"/>
  <c r="H22" i="50"/>
  <c r="J22" i="50" s="1"/>
  <c r="H21" i="50"/>
  <c r="J21" i="50" s="1"/>
  <c r="H20" i="50"/>
  <c r="J20" i="50" s="1"/>
  <c r="J19" i="50"/>
  <c r="H18" i="50"/>
  <c r="J18" i="50" s="1"/>
  <c r="H17" i="50"/>
  <c r="J17" i="50" s="1"/>
  <c r="J16" i="50"/>
  <c r="H15" i="50"/>
  <c r="J15" i="50" s="1"/>
  <c r="H14" i="50"/>
  <c r="J14" i="50" s="1"/>
  <c r="J13" i="50"/>
  <c r="J12" i="50"/>
  <c r="J11" i="50"/>
  <c r="J10" i="50"/>
  <c r="H9" i="50"/>
  <c r="J9" i="50" s="1"/>
  <c r="H8" i="50"/>
  <c r="J8" i="50" s="1"/>
  <c r="H7" i="50"/>
  <c r="H6" i="50"/>
  <c r="J6" i="50" s="1"/>
  <c r="J5" i="50"/>
  <c r="H4" i="50"/>
  <c r="G42" i="76" l="1"/>
  <c r="G52" i="76" s="1"/>
  <c r="I52" i="76" s="1"/>
  <c r="B41" i="50"/>
  <c r="C42" i="50" s="1"/>
  <c r="H38" i="50"/>
  <c r="J38" i="50" s="1"/>
  <c r="J55" i="50" s="1"/>
  <c r="G46" i="50"/>
  <c r="G55" i="50" s="1"/>
  <c r="H42" i="50"/>
  <c r="H55" i="50" s="1"/>
  <c r="J4" i="50"/>
  <c r="G42" i="77" l="1"/>
  <c r="G54" i="77" s="1"/>
  <c r="I54" i="77" s="1"/>
  <c r="G42" i="78" s="1"/>
  <c r="B44" i="50"/>
  <c r="B46" i="50" s="1"/>
  <c r="B55" i="50" s="1"/>
  <c r="D55" i="50" s="1"/>
  <c r="E55" i="50"/>
  <c r="I55" i="50"/>
  <c r="G51" i="78" l="1"/>
  <c r="I51" i="78" s="1"/>
  <c r="G42" i="79" s="1"/>
  <c r="G51" i="79" s="1"/>
  <c r="I51" i="79" s="1"/>
  <c r="G42" i="80" s="1"/>
  <c r="C55" i="48"/>
  <c r="I38" i="49" l="1"/>
  <c r="G41" i="49" s="1"/>
  <c r="F38" i="49"/>
  <c r="E38" i="49"/>
  <c r="H37" i="49"/>
  <c r="J37" i="49" s="1"/>
  <c r="H36" i="49"/>
  <c r="J36" i="49" s="1"/>
  <c r="H35" i="49"/>
  <c r="J35" i="49" s="1"/>
  <c r="H32" i="49"/>
  <c r="J32" i="49" s="1"/>
  <c r="H31" i="49"/>
  <c r="J31" i="49" s="1"/>
  <c r="H30" i="49"/>
  <c r="J30" i="49" s="1"/>
  <c r="H29" i="49"/>
  <c r="J29" i="49" s="1"/>
  <c r="H28" i="49"/>
  <c r="J28" i="49" s="1"/>
  <c r="H27" i="49"/>
  <c r="J27" i="49" s="1"/>
  <c r="H26" i="49"/>
  <c r="J26" i="49" s="1"/>
  <c r="H24" i="49"/>
  <c r="J23" i="49"/>
  <c r="H22" i="49"/>
  <c r="J22" i="49" s="1"/>
  <c r="H21" i="49"/>
  <c r="J21" i="49" s="1"/>
  <c r="H20" i="49"/>
  <c r="J20" i="49" s="1"/>
  <c r="J19" i="49"/>
  <c r="H18" i="49"/>
  <c r="J18" i="49" s="1"/>
  <c r="H17" i="49"/>
  <c r="J17" i="49" s="1"/>
  <c r="J16" i="49"/>
  <c r="H15" i="49"/>
  <c r="J15" i="49" s="1"/>
  <c r="H14" i="49"/>
  <c r="J14" i="49" s="1"/>
  <c r="J13" i="49"/>
  <c r="J12" i="49"/>
  <c r="J11" i="49"/>
  <c r="J10" i="49"/>
  <c r="H9" i="49"/>
  <c r="J9" i="49" s="1"/>
  <c r="H8" i="49"/>
  <c r="J8" i="49" s="1"/>
  <c r="H7" i="49"/>
  <c r="J7" i="49" s="1"/>
  <c r="H6" i="49"/>
  <c r="J6" i="49" s="1"/>
  <c r="J5" i="49"/>
  <c r="H4" i="49"/>
  <c r="H38" i="49" l="1"/>
  <c r="J38" i="49" s="1"/>
  <c r="E55" i="49" s="1"/>
  <c r="G46" i="49"/>
  <c r="G55" i="49" s="1"/>
  <c r="H42" i="49"/>
  <c r="H55" i="49" s="1"/>
  <c r="C42" i="49"/>
  <c r="B44" i="49" s="1"/>
  <c r="B46" i="49" s="1"/>
  <c r="B55" i="49" s="1"/>
  <c r="D55" i="49" s="1"/>
  <c r="J4" i="49"/>
  <c r="G38" i="48"/>
  <c r="I38" i="48"/>
  <c r="J55" i="49" l="1"/>
  <c r="I55" i="49"/>
  <c r="K44" i="48" l="1"/>
  <c r="J5" i="48"/>
  <c r="G41" i="48"/>
  <c r="B41" i="48"/>
  <c r="F38" i="48"/>
  <c r="E38" i="48"/>
  <c r="H37" i="48"/>
  <c r="J37" i="48" s="1"/>
  <c r="H36" i="48"/>
  <c r="J36" i="48" s="1"/>
  <c r="H35" i="48"/>
  <c r="J35" i="48" s="1"/>
  <c r="H32" i="48"/>
  <c r="J32" i="48" s="1"/>
  <c r="H31" i="48"/>
  <c r="J31" i="48" s="1"/>
  <c r="H30" i="48"/>
  <c r="J30" i="48" s="1"/>
  <c r="H29" i="48"/>
  <c r="J29" i="48" s="1"/>
  <c r="H28" i="48"/>
  <c r="J28" i="48" s="1"/>
  <c r="H27" i="48"/>
  <c r="J27" i="48" s="1"/>
  <c r="H26" i="48"/>
  <c r="J26" i="48" s="1"/>
  <c r="H24" i="48"/>
  <c r="H23" i="48"/>
  <c r="J23" i="48" s="1"/>
  <c r="H22" i="48"/>
  <c r="J22" i="48" s="1"/>
  <c r="H21" i="48"/>
  <c r="J21" i="48" s="1"/>
  <c r="H20" i="48"/>
  <c r="J20" i="48" s="1"/>
  <c r="H19" i="48"/>
  <c r="J19" i="48" s="1"/>
  <c r="H18" i="48"/>
  <c r="J18" i="48" s="1"/>
  <c r="H17" i="48"/>
  <c r="J17" i="48" s="1"/>
  <c r="J16" i="48"/>
  <c r="H15" i="48"/>
  <c r="J15" i="48" s="1"/>
  <c r="H14" i="48"/>
  <c r="J14" i="48" s="1"/>
  <c r="H13" i="48"/>
  <c r="J13" i="48" s="1"/>
  <c r="H12" i="48"/>
  <c r="J12" i="48" s="1"/>
  <c r="J11" i="48"/>
  <c r="H10" i="48"/>
  <c r="J10" i="48" s="1"/>
  <c r="H9" i="48"/>
  <c r="J9" i="48" s="1"/>
  <c r="H8" i="48"/>
  <c r="J8" i="48" s="1"/>
  <c r="H7" i="48"/>
  <c r="J7" i="48" s="1"/>
  <c r="H6" i="48"/>
  <c r="J6" i="48" s="1"/>
  <c r="H4" i="48"/>
  <c r="H38" i="48" l="1"/>
  <c r="J38" i="48" s="1"/>
  <c r="L49" i="48"/>
  <c r="C42" i="48"/>
  <c r="B44" i="48" s="1"/>
  <c r="B46" i="48" s="1"/>
  <c r="B55" i="48" s="1"/>
  <c r="D55" i="48" s="1"/>
  <c r="J4" i="48"/>
  <c r="G46" i="48"/>
  <c r="G55" i="48" s="1"/>
  <c r="H42" i="48"/>
  <c r="H55" i="48" s="1"/>
  <c r="I38" i="47"/>
  <c r="N39" i="47"/>
  <c r="H29" i="47"/>
  <c r="H30" i="47"/>
  <c r="H26" i="47"/>
  <c r="M23" i="47"/>
  <c r="H10" i="47"/>
  <c r="I55" i="48" l="1"/>
  <c r="E55" i="48"/>
  <c r="J55" i="48"/>
  <c r="H15" i="47"/>
  <c r="J11" i="47"/>
  <c r="K55" i="48" l="1"/>
  <c r="H34" i="47"/>
  <c r="F51" i="45" l="1"/>
  <c r="E57" i="46" l="1"/>
  <c r="H24" i="47" l="1"/>
  <c r="G38" i="47" l="1"/>
  <c r="G41" i="47" l="1"/>
  <c r="G46" i="47" s="1"/>
  <c r="G55" i="47" s="1"/>
  <c r="B41" i="47"/>
  <c r="F38" i="47"/>
  <c r="E38" i="47"/>
  <c r="H37" i="47"/>
  <c r="J37" i="47" s="1"/>
  <c r="H36" i="47"/>
  <c r="J36" i="47" s="1"/>
  <c r="H35" i="47"/>
  <c r="J35" i="47" s="1"/>
  <c r="H32" i="47"/>
  <c r="J32" i="47" s="1"/>
  <c r="H31" i="47"/>
  <c r="J31" i="47" s="1"/>
  <c r="J30" i="47"/>
  <c r="J29" i="47"/>
  <c r="H28" i="47"/>
  <c r="J28" i="47" s="1"/>
  <c r="H27" i="47"/>
  <c r="J27" i="47" s="1"/>
  <c r="J26" i="47"/>
  <c r="H23" i="47"/>
  <c r="J23" i="47" s="1"/>
  <c r="H22" i="47"/>
  <c r="J22" i="47" s="1"/>
  <c r="H21" i="47"/>
  <c r="J21" i="47" s="1"/>
  <c r="H20" i="47"/>
  <c r="J20" i="47" s="1"/>
  <c r="H19" i="47"/>
  <c r="J19" i="47" s="1"/>
  <c r="H18" i="47"/>
  <c r="J18" i="47" s="1"/>
  <c r="H17" i="47"/>
  <c r="J17" i="47" s="1"/>
  <c r="H16" i="47"/>
  <c r="J16" i="47" s="1"/>
  <c r="J15" i="47"/>
  <c r="H14" i="47"/>
  <c r="J14" i="47" s="1"/>
  <c r="H13" i="47"/>
  <c r="J13" i="47" s="1"/>
  <c r="H12" i="47"/>
  <c r="J12" i="47" s="1"/>
  <c r="J10" i="47"/>
  <c r="H9" i="47"/>
  <c r="J9" i="47" s="1"/>
  <c r="H8" i="47"/>
  <c r="J8" i="47" s="1"/>
  <c r="H7" i="47"/>
  <c r="J7" i="47" s="1"/>
  <c r="H6" i="47"/>
  <c r="J6" i="47" s="1"/>
  <c r="H4" i="47"/>
  <c r="H38" i="47" l="1"/>
  <c r="H42" i="47"/>
  <c r="H55" i="47" s="1"/>
  <c r="I55" i="47" s="1"/>
  <c r="K55" i="47" s="1"/>
  <c r="J38" i="47"/>
  <c r="B46" i="47"/>
  <c r="B55" i="47" s="1"/>
  <c r="C42" i="47"/>
  <c r="C55" i="47" s="1"/>
  <c r="I43" i="46"/>
  <c r="H11" i="46"/>
  <c r="D55" i="47" l="1"/>
  <c r="I38" i="46"/>
  <c r="G38" i="46"/>
  <c r="B41" i="46" s="1"/>
  <c r="F38" i="46"/>
  <c r="E38" i="46"/>
  <c r="H37" i="46"/>
  <c r="H36" i="46"/>
  <c r="J36" i="46" s="1"/>
  <c r="H35" i="46"/>
  <c r="J35" i="46" s="1"/>
  <c r="H32" i="46"/>
  <c r="J32" i="46" s="1"/>
  <c r="H31" i="46"/>
  <c r="J31" i="46" s="1"/>
  <c r="H30" i="46"/>
  <c r="J30" i="46" s="1"/>
  <c r="H29" i="46"/>
  <c r="J29" i="46" s="1"/>
  <c r="H28" i="46"/>
  <c r="J28" i="46" s="1"/>
  <c r="H27" i="46"/>
  <c r="J27" i="46" s="1"/>
  <c r="H26" i="46"/>
  <c r="J26" i="46" s="1"/>
  <c r="H24" i="46"/>
  <c r="J24" i="46" s="1"/>
  <c r="H23" i="46"/>
  <c r="J23" i="46" s="1"/>
  <c r="H22" i="46"/>
  <c r="J22" i="46" s="1"/>
  <c r="H21" i="46"/>
  <c r="J21" i="46" s="1"/>
  <c r="H20" i="46"/>
  <c r="J20" i="46" s="1"/>
  <c r="H19" i="46"/>
  <c r="J19" i="46" s="1"/>
  <c r="H18" i="46"/>
  <c r="J18" i="46" s="1"/>
  <c r="H17" i="46"/>
  <c r="J17" i="46" s="1"/>
  <c r="H16" i="46"/>
  <c r="J16" i="46" s="1"/>
  <c r="H15" i="46"/>
  <c r="J15" i="46" s="1"/>
  <c r="H14" i="46"/>
  <c r="J14" i="46" s="1"/>
  <c r="H13" i="46"/>
  <c r="J13" i="46" s="1"/>
  <c r="H12" i="46"/>
  <c r="J12" i="46" s="1"/>
  <c r="J11" i="46"/>
  <c r="H10" i="46"/>
  <c r="J10" i="46" s="1"/>
  <c r="H9" i="46"/>
  <c r="J9" i="46" s="1"/>
  <c r="H8" i="46"/>
  <c r="J8" i="46" s="1"/>
  <c r="H7" i="46"/>
  <c r="J7" i="46" s="1"/>
  <c r="H6" i="46"/>
  <c r="J6" i="46" s="1"/>
  <c r="H4" i="46"/>
  <c r="B46" i="46" l="1"/>
  <c r="B55" i="46" s="1"/>
  <c r="H38" i="46"/>
  <c r="J38" i="46"/>
  <c r="C42" i="46"/>
  <c r="C55" i="46" s="1"/>
  <c r="D55" i="46" l="1"/>
  <c r="F55" i="46" s="1"/>
  <c r="E53" i="44"/>
  <c r="F53" i="44" s="1"/>
  <c r="G38" i="45" l="1"/>
  <c r="B41" i="45" l="1"/>
  <c r="C42" i="45" s="1"/>
  <c r="C51" i="45" s="1"/>
  <c r="H11" i="45"/>
  <c r="J11" i="45" s="1"/>
  <c r="I38" i="45"/>
  <c r="F38" i="45"/>
  <c r="E38" i="45"/>
  <c r="H37" i="45"/>
  <c r="H36" i="45"/>
  <c r="J36" i="45" s="1"/>
  <c r="H35" i="45"/>
  <c r="J35" i="45" s="1"/>
  <c r="H34" i="45"/>
  <c r="J34" i="45" s="1"/>
  <c r="H33" i="45"/>
  <c r="J33" i="45" s="1"/>
  <c r="H32" i="45"/>
  <c r="J32" i="45" s="1"/>
  <c r="H31" i="45"/>
  <c r="J31" i="45" s="1"/>
  <c r="H30" i="45"/>
  <c r="J30" i="45" s="1"/>
  <c r="H29" i="45"/>
  <c r="J29" i="45" s="1"/>
  <c r="H28" i="45"/>
  <c r="J28" i="45" s="1"/>
  <c r="H27" i="45"/>
  <c r="J27" i="45" s="1"/>
  <c r="H26" i="45"/>
  <c r="J26" i="45" s="1"/>
  <c r="H24" i="45"/>
  <c r="J24" i="45" s="1"/>
  <c r="H23" i="45"/>
  <c r="J23" i="45" s="1"/>
  <c r="H22" i="45"/>
  <c r="J22" i="45" s="1"/>
  <c r="H21" i="45"/>
  <c r="J21" i="45" s="1"/>
  <c r="H20" i="45"/>
  <c r="J20" i="45" s="1"/>
  <c r="H19" i="45"/>
  <c r="J19" i="45" s="1"/>
  <c r="H18" i="45"/>
  <c r="J18" i="45" s="1"/>
  <c r="H17" i="45"/>
  <c r="J17" i="45" s="1"/>
  <c r="H16" i="45"/>
  <c r="J16" i="45" s="1"/>
  <c r="H15" i="45"/>
  <c r="J15" i="45" s="1"/>
  <c r="H14" i="45"/>
  <c r="J14" i="45" s="1"/>
  <c r="H13" i="45"/>
  <c r="J13" i="45" s="1"/>
  <c r="H12" i="45"/>
  <c r="J12" i="45" s="1"/>
  <c r="H10" i="45"/>
  <c r="J10" i="45" s="1"/>
  <c r="H9" i="45"/>
  <c r="J9" i="45" s="1"/>
  <c r="H8" i="45"/>
  <c r="J8" i="45" s="1"/>
  <c r="H7" i="45"/>
  <c r="J7" i="45" s="1"/>
  <c r="H6" i="45"/>
  <c r="J6" i="45" s="1"/>
  <c r="H4" i="45"/>
  <c r="H5" i="44"/>
  <c r="J5" i="44" s="1"/>
  <c r="H38" i="45" l="1"/>
  <c r="D51" i="45"/>
  <c r="J38" i="45"/>
  <c r="H34" i="43" l="1"/>
  <c r="G38" i="44" l="1"/>
  <c r="B41" i="44" s="1"/>
  <c r="C42" i="44" l="1"/>
  <c r="C51" i="44" s="1"/>
  <c r="A44" i="44"/>
  <c r="B45" i="44"/>
  <c r="B51" i="44" s="1"/>
  <c r="H30" i="43"/>
  <c r="J30" i="43" s="1"/>
  <c r="H30" i="44"/>
  <c r="J30" i="44" s="1"/>
  <c r="I38" i="44"/>
  <c r="F38" i="44"/>
  <c r="E38" i="44"/>
  <c r="H37" i="44"/>
  <c r="H36" i="44"/>
  <c r="J36" i="44" s="1"/>
  <c r="H35" i="44"/>
  <c r="J35" i="44" s="1"/>
  <c r="H34" i="44"/>
  <c r="J34" i="44" s="1"/>
  <c r="H33" i="44"/>
  <c r="J33" i="44" s="1"/>
  <c r="H32" i="44"/>
  <c r="J32" i="44" s="1"/>
  <c r="H31" i="44"/>
  <c r="J31" i="44" s="1"/>
  <c r="H29" i="44"/>
  <c r="J29" i="44" s="1"/>
  <c r="H28" i="44"/>
  <c r="J28" i="44" s="1"/>
  <c r="H27" i="44"/>
  <c r="J27" i="44" s="1"/>
  <c r="H26" i="44"/>
  <c r="J26" i="44" s="1"/>
  <c r="H24" i="44"/>
  <c r="J24" i="44" s="1"/>
  <c r="H23" i="44"/>
  <c r="J23" i="44" s="1"/>
  <c r="H22" i="44"/>
  <c r="J22" i="44" s="1"/>
  <c r="H21" i="44"/>
  <c r="J21" i="44" s="1"/>
  <c r="H20" i="44"/>
  <c r="J20" i="44" s="1"/>
  <c r="H19" i="44"/>
  <c r="J19" i="44" s="1"/>
  <c r="H18" i="44"/>
  <c r="J18" i="44" s="1"/>
  <c r="H17" i="44"/>
  <c r="J17" i="44" s="1"/>
  <c r="H16" i="44"/>
  <c r="J16" i="44" s="1"/>
  <c r="H15" i="44"/>
  <c r="J15" i="44" s="1"/>
  <c r="H14" i="44"/>
  <c r="J14" i="44" s="1"/>
  <c r="H13" i="44"/>
  <c r="J13" i="44" s="1"/>
  <c r="H12" i="44"/>
  <c r="J12" i="44" s="1"/>
  <c r="J11" i="44"/>
  <c r="H10" i="44"/>
  <c r="J10" i="44" s="1"/>
  <c r="H9" i="44"/>
  <c r="J9" i="44" s="1"/>
  <c r="H8" i="44"/>
  <c r="J8" i="44" s="1"/>
  <c r="H7" i="44"/>
  <c r="J7" i="44" s="1"/>
  <c r="H6" i="44"/>
  <c r="J6" i="44" s="1"/>
  <c r="H4" i="44"/>
  <c r="J11" i="43"/>
  <c r="H23" i="43"/>
  <c r="J23" i="43" s="1"/>
  <c r="I38" i="43"/>
  <c r="G38" i="43"/>
  <c r="B41" i="43" s="1"/>
  <c r="F38" i="43"/>
  <c r="E38" i="43"/>
  <c r="H37" i="43"/>
  <c r="H36" i="43"/>
  <c r="J36" i="43" s="1"/>
  <c r="H35" i="43"/>
  <c r="J35" i="43" s="1"/>
  <c r="J34" i="43"/>
  <c r="H33" i="43"/>
  <c r="J33" i="43" s="1"/>
  <c r="H32" i="43"/>
  <c r="J32" i="43" s="1"/>
  <c r="H31" i="43"/>
  <c r="J31" i="43" s="1"/>
  <c r="H29" i="43"/>
  <c r="J29" i="43" s="1"/>
  <c r="H28" i="43"/>
  <c r="J28" i="43" s="1"/>
  <c r="H27" i="43"/>
  <c r="J27" i="43" s="1"/>
  <c r="H26" i="43"/>
  <c r="J26" i="43" s="1"/>
  <c r="H25" i="43"/>
  <c r="J25" i="43" s="1"/>
  <c r="H24" i="43"/>
  <c r="J24" i="43" s="1"/>
  <c r="H22" i="43"/>
  <c r="J22" i="43" s="1"/>
  <c r="H21" i="43"/>
  <c r="J21" i="43" s="1"/>
  <c r="H20" i="43"/>
  <c r="J20" i="43" s="1"/>
  <c r="H19" i="43"/>
  <c r="J19" i="43" s="1"/>
  <c r="H18" i="43"/>
  <c r="J18" i="43" s="1"/>
  <c r="H17" i="43"/>
  <c r="J17" i="43" s="1"/>
  <c r="H16" i="43"/>
  <c r="J16" i="43" s="1"/>
  <c r="H15" i="43"/>
  <c r="J15" i="43" s="1"/>
  <c r="H14" i="43"/>
  <c r="J14" i="43" s="1"/>
  <c r="H13" i="43"/>
  <c r="J13" i="43" s="1"/>
  <c r="H12" i="43"/>
  <c r="J12" i="43" s="1"/>
  <c r="H10" i="43"/>
  <c r="J10" i="43" s="1"/>
  <c r="H9" i="43"/>
  <c r="J9" i="43" s="1"/>
  <c r="H8" i="43"/>
  <c r="J8" i="43" s="1"/>
  <c r="H7" i="43"/>
  <c r="J7" i="43" s="1"/>
  <c r="H6" i="43"/>
  <c r="J6" i="43" s="1"/>
  <c r="H5" i="43"/>
  <c r="J5" i="43" s="1"/>
  <c r="H4" i="43"/>
  <c r="J38" i="43" l="1"/>
  <c r="H38" i="44"/>
  <c r="B46" i="43"/>
  <c r="B51" i="43" s="1"/>
  <c r="D51" i="44"/>
  <c r="J38" i="44"/>
  <c r="H38" i="43"/>
  <c r="C42" i="43"/>
  <c r="C51" i="43" s="1"/>
  <c r="D51" i="43" l="1"/>
  <c r="I48" i="42"/>
  <c r="H12" i="42" l="1"/>
  <c r="O43" i="41" l="1"/>
  <c r="B26" i="39" l="1"/>
  <c r="B27" i="39" s="1"/>
  <c r="E17" i="39"/>
  <c r="C17" i="39"/>
  <c r="D14" i="39"/>
  <c r="D13" i="39"/>
  <c r="I38" i="42"/>
  <c r="G38" i="42"/>
  <c r="B41" i="42" s="1"/>
  <c r="E38" i="42"/>
  <c r="F38" i="42"/>
  <c r="H37" i="42"/>
  <c r="J37" i="42" s="1"/>
  <c r="H36" i="42"/>
  <c r="J36" i="42" s="1"/>
  <c r="H35" i="42"/>
  <c r="J35" i="42" s="1"/>
  <c r="H34" i="42"/>
  <c r="J34" i="42" s="1"/>
  <c r="H33" i="42"/>
  <c r="J33" i="42" s="1"/>
  <c r="H32" i="42"/>
  <c r="J32" i="42" s="1"/>
  <c r="H31" i="42"/>
  <c r="J31" i="42" s="1"/>
  <c r="J30" i="42"/>
  <c r="H29" i="42"/>
  <c r="J29" i="42" s="1"/>
  <c r="H28" i="42"/>
  <c r="J28" i="42" s="1"/>
  <c r="H27" i="42"/>
  <c r="J27" i="42" s="1"/>
  <c r="H26" i="42"/>
  <c r="J26" i="42" s="1"/>
  <c r="H25" i="42"/>
  <c r="J25" i="42" s="1"/>
  <c r="H24" i="42"/>
  <c r="J24" i="42" s="1"/>
  <c r="H23" i="42"/>
  <c r="J23" i="42" s="1"/>
  <c r="H22" i="42"/>
  <c r="J22" i="42" s="1"/>
  <c r="H21" i="42"/>
  <c r="J21" i="42" s="1"/>
  <c r="H20" i="42"/>
  <c r="J20" i="42" s="1"/>
  <c r="H19" i="42"/>
  <c r="J19" i="42" s="1"/>
  <c r="H18" i="42"/>
  <c r="J18" i="42" s="1"/>
  <c r="H17" i="42"/>
  <c r="J17" i="42" s="1"/>
  <c r="H16" i="42"/>
  <c r="J16" i="42" s="1"/>
  <c r="H15" i="42"/>
  <c r="C47" i="42" s="1"/>
  <c r="C50" i="42" s="1"/>
  <c r="H14" i="42"/>
  <c r="J14" i="42" s="1"/>
  <c r="H13" i="42"/>
  <c r="J13" i="42" s="1"/>
  <c r="J12" i="42"/>
  <c r="H10" i="42"/>
  <c r="J10" i="42" s="1"/>
  <c r="H9" i="42"/>
  <c r="J9" i="42" s="1"/>
  <c r="H8" i="42"/>
  <c r="J8" i="42" s="1"/>
  <c r="H7" i="42"/>
  <c r="J7" i="42" s="1"/>
  <c r="H6" i="42"/>
  <c r="J6" i="42" s="1"/>
  <c r="H5" i="42"/>
  <c r="J5" i="42" s="1"/>
  <c r="H4" i="42"/>
  <c r="J4" i="42" s="1"/>
  <c r="J38" i="42" l="1"/>
  <c r="J15" i="42"/>
  <c r="H38" i="42"/>
  <c r="C42" i="42"/>
  <c r="B44" i="42" s="1"/>
  <c r="B50" i="42" s="1"/>
  <c r="D50" i="42" s="1"/>
  <c r="H5" i="41"/>
  <c r="H6" i="41"/>
  <c r="H7" i="41"/>
  <c r="H8" i="41"/>
  <c r="J8" i="41" s="1"/>
  <c r="H9" i="41"/>
  <c r="J9" i="41" s="1"/>
  <c r="H10" i="41"/>
  <c r="H11" i="41"/>
  <c r="J11" i="41" s="1"/>
  <c r="H12" i="41"/>
  <c r="J12" i="41" s="1"/>
  <c r="H13" i="41"/>
  <c r="H14" i="41"/>
  <c r="H15" i="41"/>
  <c r="H16" i="41"/>
  <c r="J16" i="41" s="1"/>
  <c r="H17" i="41"/>
  <c r="J17" i="41" s="1"/>
  <c r="H18" i="41"/>
  <c r="H19" i="41"/>
  <c r="J19" i="41" s="1"/>
  <c r="H20" i="41"/>
  <c r="J20" i="41" s="1"/>
  <c r="H21" i="41"/>
  <c r="H22" i="41"/>
  <c r="H23" i="41"/>
  <c r="H24" i="41"/>
  <c r="J24" i="41" s="1"/>
  <c r="H25" i="41"/>
  <c r="J25" i="41" s="1"/>
  <c r="H26" i="41"/>
  <c r="H27" i="41"/>
  <c r="J27" i="41" s="1"/>
  <c r="H28" i="41"/>
  <c r="J28" i="41" s="1"/>
  <c r="H29" i="41"/>
  <c r="H30" i="41"/>
  <c r="J30" i="41" s="1"/>
  <c r="H31" i="41"/>
  <c r="J31" i="41" s="1"/>
  <c r="H32" i="41"/>
  <c r="H33" i="41"/>
  <c r="J33" i="41" s="1"/>
  <c r="H34" i="41"/>
  <c r="J34" i="41" s="1"/>
  <c r="H35" i="41"/>
  <c r="J35" i="41" s="1"/>
  <c r="H36" i="41"/>
  <c r="J36" i="41" s="1"/>
  <c r="H37" i="41"/>
  <c r="J37" i="41" s="1"/>
  <c r="H4" i="41"/>
  <c r="J4" i="41" s="1"/>
  <c r="J5" i="41"/>
  <c r="J6" i="41"/>
  <c r="J7" i="41"/>
  <c r="J10" i="41"/>
  <c r="J13" i="41"/>
  <c r="J14" i="41"/>
  <c r="J15" i="41"/>
  <c r="J18" i="41"/>
  <c r="J21" i="41"/>
  <c r="J22" i="41"/>
  <c r="J23" i="41"/>
  <c r="J26" i="41"/>
  <c r="J29" i="41"/>
  <c r="J32" i="41"/>
  <c r="C50" i="41" l="1"/>
  <c r="K49" i="41" l="1"/>
  <c r="L49" i="41" s="1"/>
  <c r="G38" i="41" l="1"/>
  <c r="B41" i="41" s="1"/>
  <c r="C42" i="41" s="1"/>
  <c r="I38" i="41"/>
  <c r="F38" i="41"/>
  <c r="H38" i="41"/>
  <c r="J38" i="41" l="1"/>
  <c r="B44" i="41"/>
  <c r="M35" i="40"/>
  <c r="L30" i="40"/>
  <c r="G38" i="40"/>
  <c r="B41" i="40" s="1"/>
  <c r="C42" i="40" s="1"/>
  <c r="I38" i="40"/>
  <c r="F38" i="40"/>
  <c r="H37" i="40"/>
  <c r="H36" i="40"/>
  <c r="H35" i="40"/>
  <c r="H34" i="40"/>
  <c r="H33" i="40"/>
  <c r="H32" i="40"/>
  <c r="H31" i="40"/>
  <c r="H30" i="40"/>
  <c r="H29" i="40"/>
  <c r="H28" i="40"/>
  <c r="H26" i="40"/>
  <c r="H25" i="40"/>
  <c r="H24" i="40"/>
  <c r="H23" i="40"/>
  <c r="H22" i="40"/>
  <c r="H20" i="40"/>
  <c r="H19" i="40"/>
  <c r="H18" i="40"/>
  <c r="H17" i="40"/>
  <c r="H16" i="40"/>
  <c r="H15" i="40"/>
  <c r="H14" i="40"/>
  <c r="H13" i="40"/>
  <c r="H12" i="40"/>
  <c r="H10" i="40"/>
  <c r="H9" i="40"/>
  <c r="H8" i="40"/>
  <c r="H7" i="40"/>
  <c r="H6" i="40"/>
  <c r="H5" i="40"/>
  <c r="H4" i="40"/>
  <c r="I38" i="38"/>
  <c r="I40" i="38" s="1"/>
  <c r="H38" i="40" l="1"/>
  <c r="I41" i="38"/>
  <c r="D50" i="41"/>
  <c r="B50" i="40"/>
  <c r="C50" i="40"/>
  <c r="D5" i="39"/>
  <c r="F5" i="39" s="1"/>
  <c r="D6" i="39"/>
  <c r="F6" i="39" s="1"/>
  <c r="D7" i="39"/>
  <c r="F7" i="39" s="1"/>
  <c r="D8" i="39"/>
  <c r="F8" i="39" s="1"/>
  <c r="D9" i="39"/>
  <c r="F9" i="39" s="1"/>
  <c r="D10" i="39"/>
  <c r="F10" i="39" s="1"/>
  <c r="D11" i="39"/>
  <c r="F11" i="39" s="1"/>
  <c r="D12" i="39"/>
  <c r="F12" i="39" s="1"/>
  <c r="D4" i="39"/>
  <c r="D50" i="40" l="1"/>
  <c r="F4" i="39"/>
  <c r="D17" i="39"/>
  <c r="B44" i="40"/>
  <c r="J6" i="27"/>
  <c r="F17" i="39" l="1"/>
  <c r="G17" i="39"/>
  <c r="M40" i="36"/>
  <c r="G38" i="38" l="1"/>
  <c r="B41" i="38" s="1"/>
  <c r="F38" i="38"/>
  <c r="H37" i="38"/>
  <c r="H36" i="38"/>
  <c r="H35" i="38"/>
  <c r="H34" i="38"/>
  <c r="H33" i="38"/>
  <c r="H32" i="38"/>
  <c r="H31" i="38"/>
  <c r="H30" i="38"/>
  <c r="H29" i="38"/>
  <c r="H28" i="38"/>
  <c r="H26" i="38"/>
  <c r="H25" i="38"/>
  <c r="H24" i="38"/>
  <c r="H23" i="38"/>
  <c r="H22" i="38"/>
  <c r="H20" i="38"/>
  <c r="H19" i="38"/>
  <c r="H18" i="38"/>
  <c r="H17" i="38"/>
  <c r="H16" i="38"/>
  <c r="H15" i="38"/>
  <c r="H14" i="38"/>
  <c r="H13" i="38"/>
  <c r="H12" i="38"/>
  <c r="H10" i="38"/>
  <c r="H9" i="38"/>
  <c r="H8" i="38"/>
  <c r="H7" i="38"/>
  <c r="H6" i="38"/>
  <c r="H5" i="38"/>
  <c r="H4" i="38"/>
  <c r="H9" i="37"/>
  <c r="H38" i="38" l="1"/>
  <c r="B50" i="38"/>
  <c r="C42" i="38"/>
  <c r="C50" i="38" s="1"/>
  <c r="D50" i="38" l="1"/>
  <c r="G38" i="37" l="1"/>
  <c r="B41" i="37" s="1"/>
  <c r="F38" i="37"/>
  <c r="H37" i="37"/>
  <c r="H36" i="37"/>
  <c r="H35" i="37"/>
  <c r="H34" i="37"/>
  <c r="H33" i="37"/>
  <c r="H32" i="37"/>
  <c r="H31" i="37"/>
  <c r="H30" i="37"/>
  <c r="H29" i="37"/>
  <c r="H28" i="37"/>
  <c r="H26" i="37"/>
  <c r="H25" i="37"/>
  <c r="H24" i="37"/>
  <c r="H23" i="37"/>
  <c r="H22" i="37"/>
  <c r="H20" i="37"/>
  <c r="H19" i="37"/>
  <c r="H18" i="37"/>
  <c r="H17" i="37"/>
  <c r="H16" i="37"/>
  <c r="H15" i="37"/>
  <c r="H14" i="37"/>
  <c r="H13" i="37"/>
  <c r="H12" i="37"/>
  <c r="H10" i="37"/>
  <c r="H8" i="37"/>
  <c r="H7" i="37"/>
  <c r="H6" i="37"/>
  <c r="H5" i="37"/>
  <c r="H4" i="37"/>
  <c r="H38" i="37" l="1"/>
  <c r="B50" i="37"/>
  <c r="C42" i="37"/>
  <c r="C50" i="37" s="1"/>
  <c r="G38" i="35"/>
  <c r="D50" i="37" l="1"/>
  <c r="G38" i="36"/>
  <c r="B41" i="36" s="1"/>
  <c r="C42" i="36" s="1"/>
  <c r="C50" i="36" s="1"/>
  <c r="H23" i="36"/>
  <c r="H24" i="36"/>
  <c r="F38" i="36"/>
  <c r="H37" i="36"/>
  <c r="H36" i="36"/>
  <c r="H35" i="36"/>
  <c r="H34" i="36"/>
  <c r="H33" i="36"/>
  <c r="H32" i="36"/>
  <c r="H31" i="36"/>
  <c r="H30" i="36"/>
  <c r="H29" i="36"/>
  <c r="H28" i="36"/>
  <c r="H26" i="36"/>
  <c r="H25" i="36"/>
  <c r="H22" i="36"/>
  <c r="H20" i="36"/>
  <c r="H19" i="36"/>
  <c r="H18" i="36"/>
  <c r="H17" i="36"/>
  <c r="H16" i="36"/>
  <c r="H15" i="36"/>
  <c r="H14" i="36"/>
  <c r="H13" i="36"/>
  <c r="H12" i="36"/>
  <c r="H10" i="36"/>
  <c r="H9" i="36"/>
  <c r="H8" i="36"/>
  <c r="H7" i="36"/>
  <c r="H6" i="36"/>
  <c r="H5" i="36"/>
  <c r="H4" i="36"/>
  <c r="B50" i="36" l="1"/>
  <c r="D50" i="36" s="1"/>
  <c r="H38" i="36"/>
  <c r="D62" i="35"/>
  <c r="B41" i="35" l="1"/>
  <c r="B50" i="35" s="1"/>
  <c r="F38" i="35"/>
  <c r="H37" i="35"/>
  <c r="H36" i="35"/>
  <c r="H35" i="35"/>
  <c r="H34" i="35"/>
  <c r="H33" i="35"/>
  <c r="H32" i="35"/>
  <c r="H31" i="35"/>
  <c r="H30" i="35"/>
  <c r="H29" i="35"/>
  <c r="H28" i="35"/>
  <c r="H26" i="35"/>
  <c r="H25" i="35"/>
  <c r="H24" i="35"/>
  <c r="H23" i="35"/>
  <c r="H22" i="35"/>
  <c r="H21" i="35"/>
  <c r="H20" i="35"/>
  <c r="H19" i="35"/>
  <c r="H18" i="35"/>
  <c r="H17" i="35"/>
  <c r="H16" i="35"/>
  <c r="H15" i="35"/>
  <c r="H14" i="35"/>
  <c r="H13" i="35"/>
  <c r="H12" i="35"/>
  <c r="H11" i="35"/>
  <c r="H10" i="35"/>
  <c r="H9" i="35"/>
  <c r="H8" i="35"/>
  <c r="H7" i="35"/>
  <c r="H6" i="35"/>
  <c r="H5" i="35"/>
  <c r="H4" i="35"/>
  <c r="H38" i="35" l="1"/>
  <c r="C42" i="35"/>
  <c r="C50" i="35" s="1"/>
  <c r="M29" i="33"/>
  <c r="M31" i="33" s="1"/>
  <c r="M33" i="33" s="1"/>
  <c r="D50" i="35" l="1"/>
  <c r="G38" i="34"/>
  <c r="H24" i="34" l="1"/>
  <c r="H9" i="34"/>
  <c r="B41" i="34"/>
  <c r="B48" i="34" s="1"/>
  <c r="F38" i="34"/>
  <c r="H37" i="34"/>
  <c r="H36" i="34"/>
  <c r="H35" i="34"/>
  <c r="H34" i="34"/>
  <c r="H33" i="34"/>
  <c r="H32" i="34"/>
  <c r="H31" i="34"/>
  <c r="H30" i="34"/>
  <c r="H29" i="34"/>
  <c r="H28" i="34"/>
  <c r="H26" i="34"/>
  <c r="H25" i="34"/>
  <c r="H23" i="34"/>
  <c r="H22" i="34"/>
  <c r="H21" i="34"/>
  <c r="H20" i="34"/>
  <c r="H19" i="34"/>
  <c r="H18" i="34"/>
  <c r="H17" i="34"/>
  <c r="H16" i="34"/>
  <c r="H15" i="34"/>
  <c r="H14" i="34"/>
  <c r="H13" i="34"/>
  <c r="H12" i="34"/>
  <c r="H11" i="34"/>
  <c r="H10" i="34"/>
  <c r="H8" i="34"/>
  <c r="H7" i="34"/>
  <c r="H6" i="34"/>
  <c r="H5" i="34"/>
  <c r="H4" i="34"/>
  <c r="H38" i="34" l="1"/>
  <c r="C42" i="34"/>
  <c r="C48" i="34" s="1"/>
  <c r="D48" i="34" s="1"/>
  <c r="G38" i="33"/>
  <c r="B41" i="33" s="1"/>
  <c r="B49" i="33" s="1"/>
  <c r="F38" i="33"/>
  <c r="H37" i="33"/>
  <c r="H36" i="33"/>
  <c r="H35" i="33"/>
  <c r="H34" i="33"/>
  <c r="H33" i="33"/>
  <c r="H32" i="33"/>
  <c r="H31" i="33"/>
  <c r="H30" i="33"/>
  <c r="H29" i="33"/>
  <c r="H28" i="33"/>
  <c r="H26" i="33"/>
  <c r="H25" i="33"/>
  <c r="H23" i="33"/>
  <c r="H22" i="33"/>
  <c r="H21" i="33"/>
  <c r="H20" i="33"/>
  <c r="H19" i="33"/>
  <c r="H18" i="33"/>
  <c r="H17" i="33"/>
  <c r="H16" i="33"/>
  <c r="H15" i="33"/>
  <c r="H14" i="33"/>
  <c r="H13" i="33"/>
  <c r="H12" i="33"/>
  <c r="H11" i="33"/>
  <c r="H10" i="33"/>
  <c r="H8" i="33"/>
  <c r="H7" i="33"/>
  <c r="H6" i="33"/>
  <c r="H5" i="33"/>
  <c r="H4" i="33"/>
  <c r="H38" i="33" l="1"/>
  <c r="C42" i="33"/>
  <c r="C49" i="33" s="1"/>
  <c r="D49" i="33" l="1"/>
  <c r="G38" i="32"/>
  <c r="B41" i="32" s="1"/>
  <c r="B48" i="32" s="1"/>
  <c r="F38" i="32"/>
  <c r="H37" i="32"/>
  <c r="H36" i="32"/>
  <c r="H35" i="32"/>
  <c r="H34" i="32"/>
  <c r="H33" i="32"/>
  <c r="H32" i="32"/>
  <c r="H31" i="32"/>
  <c r="H30" i="32"/>
  <c r="H29" i="32"/>
  <c r="H28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8" i="32"/>
  <c r="H7" i="32"/>
  <c r="H6" i="32"/>
  <c r="H5" i="32"/>
  <c r="H4" i="32"/>
  <c r="H38" i="32" l="1"/>
  <c r="C42" i="32"/>
  <c r="C48" i="32" s="1"/>
  <c r="D48" i="32" s="1"/>
  <c r="C44" i="31"/>
  <c r="C51" i="31" s="1"/>
  <c r="F39" i="31" l="1"/>
  <c r="H6" i="31" l="1"/>
  <c r="H7" i="31"/>
  <c r="H8" i="31"/>
  <c r="H9" i="31"/>
  <c r="H10" i="31"/>
  <c r="H11" i="31"/>
  <c r="H12" i="31"/>
  <c r="H13" i="31"/>
  <c r="H14" i="31"/>
  <c r="H15" i="31"/>
  <c r="H16" i="31"/>
  <c r="H17" i="31"/>
  <c r="H18" i="31"/>
  <c r="H19" i="31"/>
  <c r="H20" i="31"/>
  <c r="H21" i="31"/>
  <c r="H22" i="31"/>
  <c r="H23" i="31"/>
  <c r="H24" i="31"/>
  <c r="H25" i="31"/>
  <c r="H26" i="31"/>
  <c r="H27" i="31"/>
  <c r="H28" i="31"/>
  <c r="H29" i="31"/>
  <c r="H30" i="31"/>
  <c r="H31" i="31"/>
  <c r="H32" i="31"/>
  <c r="H33" i="31"/>
  <c r="H34" i="31"/>
  <c r="H35" i="31"/>
  <c r="H36" i="31"/>
  <c r="H37" i="31"/>
  <c r="H38" i="31"/>
  <c r="H5" i="31"/>
  <c r="G39" i="31" l="1"/>
  <c r="D39" i="31" s="1"/>
  <c r="Q38" i="30"/>
  <c r="R37" i="30"/>
  <c r="R36" i="30"/>
  <c r="R29" i="30"/>
  <c r="R33" i="30"/>
  <c r="R32" i="30"/>
  <c r="R28" i="30"/>
  <c r="R25" i="30"/>
  <c r="R22" i="30"/>
  <c r="T18" i="30"/>
  <c r="R20" i="30"/>
  <c r="T16" i="30"/>
  <c r="Q42" i="30" l="1"/>
  <c r="P42" i="30"/>
  <c r="O42" i="30"/>
  <c r="T4" i="30"/>
  <c r="R4" i="30"/>
  <c r="T31" i="30"/>
  <c r="R31" i="30"/>
  <c r="R30" i="30"/>
  <c r="R34" i="30"/>
  <c r="R27" i="30"/>
  <c r="R26" i="30"/>
  <c r="T24" i="30"/>
  <c r="R24" i="30"/>
  <c r="T23" i="30"/>
  <c r="R23" i="30"/>
  <c r="T22" i="30"/>
  <c r="T21" i="30"/>
  <c r="R21" i="30"/>
  <c r="T19" i="30"/>
  <c r="R19" i="30"/>
  <c r="T17" i="30"/>
  <c r="R17" i="30"/>
  <c r="T15" i="30"/>
  <c r="R15" i="30"/>
  <c r="T14" i="30"/>
  <c r="R14" i="30"/>
  <c r="T13" i="30"/>
  <c r="R13" i="30"/>
  <c r="T12" i="30"/>
  <c r="R12" i="30"/>
  <c r="T10" i="30"/>
  <c r="T8" i="30"/>
  <c r="R8" i="30"/>
  <c r="T7" i="30"/>
  <c r="R7" i="30"/>
  <c r="T6" i="30"/>
  <c r="R6" i="30"/>
  <c r="R42" i="30" l="1"/>
  <c r="T42" i="30"/>
  <c r="J33" i="30" l="1"/>
  <c r="P44" i="30"/>
  <c r="H24" i="30"/>
  <c r="J24" i="30"/>
  <c r="G39" i="30"/>
  <c r="F39" i="30"/>
  <c r="E39" i="30"/>
  <c r="J38" i="30"/>
  <c r="H38" i="30"/>
  <c r="J37" i="30"/>
  <c r="H37" i="30"/>
  <c r="J36" i="30"/>
  <c r="H36" i="30"/>
  <c r="J35" i="30"/>
  <c r="H33" i="30"/>
  <c r="J31" i="30"/>
  <c r="H31" i="30"/>
  <c r="J30" i="30"/>
  <c r="H30" i="30"/>
  <c r="J29" i="30"/>
  <c r="H29" i="30"/>
  <c r="J28" i="30"/>
  <c r="H28" i="30"/>
  <c r="J27" i="30"/>
  <c r="H27" i="30"/>
  <c r="J26" i="30"/>
  <c r="H26" i="30"/>
  <c r="J23" i="30"/>
  <c r="H23" i="30"/>
  <c r="J22" i="30"/>
  <c r="J21" i="30"/>
  <c r="H21" i="30"/>
  <c r="J20" i="30"/>
  <c r="H20" i="30"/>
  <c r="J19" i="30"/>
  <c r="H19" i="30"/>
  <c r="J18" i="30"/>
  <c r="H18" i="30"/>
  <c r="J17" i="30"/>
  <c r="H17" i="30"/>
  <c r="J15" i="30"/>
  <c r="H15" i="30"/>
  <c r="J14" i="30"/>
  <c r="H14" i="30"/>
  <c r="J13" i="30"/>
  <c r="H13" i="30"/>
  <c r="J12" i="30"/>
  <c r="H12" i="30"/>
  <c r="J10" i="30"/>
  <c r="H10" i="30"/>
  <c r="J8" i="30"/>
  <c r="H8" i="30"/>
  <c r="J7" i="30"/>
  <c r="H7" i="30"/>
  <c r="J6" i="30"/>
  <c r="H6" i="30"/>
  <c r="J4" i="30"/>
  <c r="H39" i="30" l="1"/>
  <c r="J39" i="30"/>
  <c r="E40" i="30" s="1"/>
  <c r="E43" i="30" s="1"/>
  <c r="E47" i="30" s="1"/>
  <c r="E41" i="30" l="1"/>
  <c r="J34" i="28"/>
  <c r="J34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5" i="29"/>
  <c r="J36" i="29"/>
  <c r="J37" i="29"/>
  <c r="J38" i="29"/>
  <c r="J5" i="29"/>
  <c r="G39" i="29"/>
  <c r="F39" i="29"/>
  <c r="E39" i="29"/>
  <c r="H37" i="29"/>
  <c r="H36" i="29"/>
  <c r="H35" i="29"/>
  <c r="H32" i="29"/>
  <c r="H30" i="29"/>
  <c r="H29" i="29"/>
  <c r="H28" i="29"/>
  <c r="H27" i="29"/>
  <c r="H26" i="29"/>
  <c r="H25" i="29"/>
  <c r="H23" i="29"/>
  <c r="H22" i="29"/>
  <c r="H20" i="29"/>
  <c r="H19" i="29"/>
  <c r="H18" i="29"/>
  <c r="H17" i="29"/>
  <c r="H16" i="29"/>
  <c r="H14" i="29"/>
  <c r="H13" i="29"/>
  <c r="H12" i="29"/>
  <c r="H11" i="29"/>
  <c r="H9" i="29"/>
  <c r="H7" i="29"/>
  <c r="H6" i="29"/>
  <c r="H5" i="29"/>
  <c r="J4" i="29"/>
  <c r="J5" i="27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5" i="28"/>
  <c r="J36" i="28"/>
  <c r="J37" i="28"/>
  <c r="J38" i="28"/>
  <c r="J5" i="28"/>
  <c r="J38" i="27"/>
  <c r="G39" i="28"/>
  <c r="F39" i="28"/>
  <c r="E39" i="28"/>
  <c r="H38" i="28"/>
  <c r="H37" i="28"/>
  <c r="H36" i="28"/>
  <c r="H35" i="28"/>
  <c r="H32" i="28"/>
  <c r="H30" i="28"/>
  <c r="H29" i="28"/>
  <c r="H28" i="28"/>
  <c r="H27" i="28"/>
  <c r="H26" i="28"/>
  <c r="H25" i="28"/>
  <c r="H23" i="28"/>
  <c r="H22" i="28"/>
  <c r="H20" i="28"/>
  <c r="H19" i="28"/>
  <c r="H18" i="28"/>
  <c r="H17" i="28"/>
  <c r="H16" i="28"/>
  <c r="H14" i="28"/>
  <c r="H13" i="28"/>
  <c r="H12" i="28"/>
  <c r="H11" i="28"/>
  <c r="H9" i="28"/>
  <c r="H7" i="28"/>
  <c r="H6" i="28"/>
  <c r="H5" i="28"/>
  <c r="J4" i="28"/>
  <c r="L42" i="27"/>
  <c r="J7" i="27"/>
  <c r="J9" i="27"/>
  <c r="J11" i="27"/>
  <c r="J12" i="27"/>
  <c r="J13" i="27"/>
  <c r="J14" i="27"/>
  <c r="J16" i="27"/>
  <c r="J17" i="27"/>
  <c r="J18" i="27"/>
  <c r="J19" i="27"/>
  <c r="J22" i="27"/>
  <c r="J24" i="27"/>
  <c r="J25" i="27"/>
  <c r="J26" i="27"/>
  <c r="J27" i="27"/>
  <c r="J28" i="27"/>
  <c r="J29" i="27"/>
  <c r="J30" i="27"/>
  <c r="J32" i="27"/>
  <c r="J35" i="27"/>
  <c r="J37" i="27"/>
  <c r="J4" i="27"/>
  <c r="G39" i="27"/>
  <c r="F39" i="27"/>
  <c r="E39" i="27"/>
  <c r="H38" i="27"/>
  <c r="H37" i="27"/>
  <c r="H36" i="27"/>
  <c r="H35" i="27"/>
  <c r="H32" i="27"/>
  <c r="H30" i="27"/>
  <c r="H29" i="27"/>
  <c r="H28" i="27"/>
  <c r="H27" i="27"/>
  <c r="H26" i="27"/>
  <c r="H25" i="27"/>
  <c r="H23" i="27"/>
  <c r="H22" i="27"/>
  <c r="H20" i="27"/>
  <c r="H19" i="27"/>
  <c r="H18" i="27"/>
  <c r="H17" i="27"/>
  <c r="H16" i="27"/>
  <c r="H14" i="27"/>
  <c r="H13" i="27"/>
  <c r="H12" i="27"/>
  <c r="H11" i="27"/>
  <c r="H9" i="27"/>
  <c r="H7" i="27"/>
  <c r="H6" i="27"/>
  <c r="H5" i="27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4" i="26"/>
  <c r="D39" i="26"/>
  <c r="C39" i="26"/>
  <c r="G39" i="25"/>
  <c r="I39" i="25"/>
  <c r="F39" i="25"/>
  <c r="E39" i="25"/>
  <c r="H38" i="25"/>
  <c r="J38" i="25" s="1"/>
  <c r="H37" i="25"/>
  <c r="J37" i="25" s="1"/>
  <c r="H36" i="25"/>
  <c r="J36" i="25" s="1"/>
  <c r="H35" i="25"/>
  <c r="J35" i="25" s="1"/>
  <c r="H34" i="25"/>
  <c r="J34" i="25" s="1"/>
  <c r="H33" i="25"/>
  <c r="J33" i="25" s="1"/>
  <c r="H32" i="25"/>
  <c r="J32" i="25" s="1"/>
  <c r="H30" i="25"/>
  <c r="J30" i="25" s="1"/>
  <c r="H29" i="25"/>
  <c r="J29" i="25" s="1"/>
  <c r="H28" i="25"/>
  <c r="J28" i="25" s="1"/>
  <c r="H27" i="25"/>
  <c r="J27" i="25" s="1"/>
  <c r="H26" i="25"/>
  <c r="J26" i="25" s="1"/>
  <c r="H25" i="25"/>
  <c r="J25" i="25" s="1"/>
  <c r="H23" i="25"/>
  <c r="J23" i="25" s="1"/>
  <c r="H22" i="25"/>
  <c r="J22" i="25" s="1"/>
  <c r="J21" i="25"/>
  <c r="H20" i="25"/>
  <c r="J20" i="25" s="1"/>
  <c r="H19" i="25"/>
  <c r="J19" i="25" s="1"/>
  <c r="H18" i="25"/>
  <c r="J18" i="25" s="1"/>
  <c r="H17" i="25"/>
  <c r="J17" i="25" s="1"/>
  <c r="H16" i="25"/>
  <c r="J16" i="25" s="1"/>
  <c r="J15" i="25"/>
  <c r="H14" i="25"/>
  <c r="J14" i="25" s="1"/>
  <c r="H13" i="25"/>
  <c r="J13" i="25" s="1"/>
  <c r="H12" i="25"/>
  <c r="J12" i="25" s="1"/>
  <c r="H11" i="25"/>
  <c r="J11" i="25" s="1"/>
  <c r="H9" i="25"/>
  <c r="J9" i="25" s="1"/>
  <c r="H8" i="25"/>
  <c r="J8" i="25" s="1"/>
  <c r="H7" i="25"/>
  <c r="J7" i="25" s="1"/>
  <c r="H6" i="25"/>
  <c r="J6" i="25" s="1"/>
  <c r="H5" i="25"/>
  <c r="E39" i="24"/>
  <c r="I39" i="24"/>
  <c r="E40" i="24" s="1"/>
  <c r="J15" i="24"/>
  <c r="J21" i="24"/>
  <c r="G39" i="24"/>
  <c r="F39" i="24"/>
  <c r="H38" i="24"/>
  <c r="J38" i="24" s="1"/>
  <c r="H37" i="24"/>
  <c r="J37" i="24" s="1"/>
  <c r="H36" i="24"/>
  <c r="J36" i="24" s="1"/>
  <c r="H35" i="24"/>
  <c r="J35" i="24" s="1"/>
  <c r="H34" i="24"/>
  <c r="J34" i="24" s="1"/>
  <c r="H33" i="24"/>
  <c r="J33" i="24" s="1"/>
  <c r="H32" i="24"/>
  <c r="J32" i="24" s="1"/>
  <c r="H30" i="24"/>
  <c r="J30" i="24" s="1"/>
  <c r="H29" i="24"/>
  <c r="J29" i="24" s="1"/>
  <c r="H28" i="24"/>
  <c r="J28" i="24" s="1"/>
  <c r="H27" i="24"/>
  <c r="J27" i="24" s="1"/>
  <c r="H26" i="24"/>
  <c r="J26" i="24" s="1"/>
  <c r="H25" i="24"/>
  <c r="J25" i="24" s="1"/>
  <c r="H23" i="24"/>
  <c r="J23" i="24" s="1"/>
  <c r="H22" i="24"/>
  <c r="J22" i="24" s="1"/>
  <c r="H20" i="24"/>
  <c r="J20" i="24" s="1"/>
  <c r="H19" i="24"/>
  <c r="J19" i="24" s="1"/>
  <c r="H18" i="24"/>
  <c r="J18" i="24" s="1"/>
  <c r="H17" i="24"/>
  <c r="J17" i="24" s="1"/>
  <c r="H16" i="24"/>
  <c r="J16" i="24" s="1"/>
  <c r="H14" i="24"/>
  <c r="J14" i="24" s="1"/>
  <c r="H13" i="24"/>
  <c r="J13" i="24" s="1"/>
  <c r="H12" i="24"/>
  <c r="J12" i="24" s="1"/>
  <c r="H11" i="24"/>
  <c r="J11" i="24" s="1"/>
  <c r="H9" i="24"/>
  <c r="J9" i="24" s="1"/>
  <c r="H8" i="24"/>
  <c r="J8" i="24" s="1"/>
  <c r="H7" i="24"/>
  <c r="J7" i="24" s="1"/>
  <c r="H6" i="24"/>
  <c r="J6" i="24" s="1"/>
  <c r="H5" i="24"/>
  <c r="G40" i="23"/>
  <c r="E41" i="23" s="1"/>
  <c r="F40" i="23"/>
  <c r="E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K42" i="22"/>
  <c r="G39" i="22"/>
  <c r="E40" i="22" s="1"/>
  <c r="H38" i="22"/>
  <c r="F39" i="22"/>
  <c r="E39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17" i="21"/>
  <c r="F38" i="21"/>
  <c r="G38" i="21"/>
  <c r="E39" i="21" s="1"/>
  <c r="E41" i="21" s="1"/>
  <c r="L32" i="21"/>
  <c r="K36" i="21"/>
  <c r="K34" i="21"/>
  <c r="K32" i="21"/>
  <c r="K29" i="21"/>
  <c r="K23" i="21"/>
  <c r="K20" i="21"/>
  <c r="J40" i="21"/>
  <c r="H16" i="21"/>
  <c r="E38" i="21"/>
  <c r="H37" i="21"/>
  <c r="H36" i="21"/>
  <c r="H35" i="21"/>
  <c r="H34" i="21"/>
  <c r="H33" i="21"/>
  <c r="H32" i="21"/>
  <c r="H31" i="21"/>
  <c r="H30" i="21"/>
  <c r="H29" i="21"/>
  <c r="H28" i="21"/>
  <c r="H27" i="21"/>
  <c r="H26" i="21"/>
  <c r="H25" i="21"/>
  <c r="H24" i="21"/>
  <c r="H23" i="21"/>
  <c r="H22" i="21"/>
  <c r="H21" i="21"/>
  <c r="H20" i="21"/>
  <c r="H19" i="21"/>
  <c r="H18" i="21"/>
  <c r="H15" i="21"/>
  <c r="H14" i="21"/>
  <c r="H13" i="21"/>
  <c r="H12" i="21"/>
  <c r="H11" i="21"/>
  <c r="H10" i="21"/>
  <c r="H9" i="21"/>
  <c r="H8" i="21"/>
  <c r="H7" i="21"/>
  <c r="H5" i="21"/>
  <c r="H6" i="21"/>
  <c r="J42" i="20"/>
  <c r="F39" i="20"/>
  <c r="H11" i="20"/>
  <c r="G39" i="20"/>
  <c r="E40" i="20" s="1"/>
  <c r="E43" i="20" s="1"/>
  <c r="E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0" i="20"/>
  <c r="H9" i="20"/>
  <c r="H8" i="20"/>
  <c r="H6" i="20"/>
  <c r="H5" i="20"/>
  <c r="E47" i="19"/>
  <c r="G38" i="19"/>
  <c r="E39" i="19" s="1"/>
  <c r="E40" i="19" s="1"/>
  <c r="M5" i="19"/>
  <c r="K11" i="19"/>
  <c r="F38" i="19"/>
  <c r="E38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9" i="19"/>
  <c r="H8" i="19"/>
  <c r="H7" i="19"/>
  <c r="H37" i="19"/>
  <c r="H5" i="19"/>
  <c r="H4" i="19"/>
  <c r="L37" i="17"/>
  <c r="G38" i="17"/>
  <c r="E39" i="17" s="1"/>
  <c r="E47" i="17" s="1"/>
  <c r="I42" i="17" s="1"/>
  <c r="G39" i="17"/>
  <c r="F38" i="17"/>
  <c r="E38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F38" i="16"/>
  <c r="G39" i="16"/>
  <c r="I38" i="16"/>
  <c r="G38" i="16"/>
  <c r="E39" i="16" s="1"/>
  <c r="J43" i="16" s="1"/>
  <c r="J48" i="16" s="1"/>
  <c r="J49" i="16" s="1"/>
  <c r="E38" i="16"/>
  <c r="K37" i="16"/>
  <c r="H36" i="16"/>
  <c r="K36" i="16" s="1"/>
  <c r="H35" i="16"/>
  <c r="K35" i="16" s="1"/>
  <c r="H34" i="16"/>
  <c r="K34" i="16" s="1"/>
  <c r="H33" i="16"/>
  <c r="K33" i="16" s="1"/>
  <c r="H32" i="16"/>
  <c r="K32" i="16" s="1"/>
  <c r="H31" i="16"/>
  <c r="K31" i="16" s="1"/>
  <c r="H30" i="16"/>
  <c r="K30" i="16" s="1"/>
  <c r="H29" i="16"/>
  <c r="K29" i="16" s="1"/>
  <c r="H28" i="16"/>
  <c r="K28" i="16" s="1"/>
  <c r="H27" i="16"/>
  <c r="K27" i="16" s="1"/>
  <c r="H26" i="16"/>
  <c r="K26" i="16" s="1"/>
  <c r="H25" i="16"/>
  <c r="K25" i="16" s="1"/>
  <c r="H24" i="16"/>
  <c r="K24" i="16" s="1"/>
  <c r="H23" i="16"/>
  <c r="K23" i="16" s="1"/>
  <c r="H22" i="16"/>
  <c r="K22" i="16" s="1"/>
  <c r="H21" i="16"/>
  <c r="K21" i="16" s="1"/>
  <c r="H20" i="16"/>
  <c r="K20" i="16" s="1"/>
  <c r="H19" i="16"/>
  <c r="K19" i="16" s="1"/>
  <c r="H18" i="16"/>
  <c r="K18" i="16" s="1"/>
  <c r="H17" i="16"/>
  <c r="K17" i="16" s="1"/>
  <c r="H16" i="16"/>
  <c r="K16" i="16" s="1"/>
  <c r="H15" i="16"/>
  <c r="K15" i="16" s="1"/>
  <c r="H14" i="16"/>
  <c r="K14" i="16" s="1"/>
  <c r="H13" i="16"/>
  <c r="K13" i="16" s="1"/>
  <c r="H12" i="16"/>
  <c r="K12" i="16" s="1"/>
  <c r="H11" i="16"/>
  <c r="K11" i="16" s="1"/>
  <c r="H10" i="16"/>
  <c r="K10" i="16" s="1"/>
  <c r="H9" i="16"/>
  <c r="K9" i="16" s="1"/>
  <c r="H8" i="16"/>
  <c r="K8" i="16" s="1"/>
  <c r="H7" i="16"/>
  <c r="K7" i="16" s="1"/>
  <c r="H6" i="16"/>
  <c r="K6" i="16" s="1"/>
  <c r="H5" i="16"/>
  <c r="K5" i="16" s="1"/>
  <c r="H4" i="16"/>
  <c r="E38" i="15"/>
  <c r="F38" i="15"/>
  <c r="G38" i="15"/>
  <c r="E39" i="15" s="1"/>
  <c r="I38" i="15"/>
  <c r="K37" i="15"/>
  <c r="H5" i="15"/>
  <c r="K5" i="15" s="1"/>
  <c r="H6" i="15"/>
  <c r="K6" i="15" s="1"/>
  <c r="H7" i="15"/>
  <c r="K7" i="15" s="1"/>
  <c r="H8" i="15"/>
  <c r="K8" i="15" s="1"/>
  <c r="H9" i="15"/>
  <c r="K9" i="15" s="1"/>
  <c r="H10" i="15"/>
  <c r="K10" i="15" s="1"/>
  <c r="H11" i="15"/>
  <c r="K11" i="15" s="1"/>
  <c r="H12" i="15"/>
  <c r="K12" i="15" s="1"/>
  <c r="H13" i="15"/>
  <c r="K13" i="15" s="1"/>
  <c r="H14" i="15"/>
  <c r="K14" i="15" s="1"/>
  <c r="H15" i="15"/>
  <c r="K15" i="15" s="1"/>
  <c r="H16" i="15"/>
  <c r="K16" i="15" s="1"/>
  <c r="H17" i="15"/>
  <c r="K17" i="15" s="1"/>
  <c r="H18" i="15"/>
  <c r="K18" i="15" s="1"/>
  <c r="H19" i="15"/>
  <c r="K19" i="15" s="1"/>
  <c r="H20" i="15"/>
  <c r="K20" i="15" s="1"/>
  <c r="H21" i="15"/>
  <c r="K21" i="15" s="1"/>
  <c r="H22" i="15"/>
  <c r="K22" i="15" s="1"/>
  <c r="H23" i="15"/>
  <c r="K23" i="15" s="1"/>
  <c r="H24" i="15"/>
  <c r="K24" i="15" s="1"/>
  <c r="H25" i="15"/>
  <c r="K25" i="15" s="1"/>
  <c r="H26" i="15"/>
  <c r="K26" i="15" s="1"/>
  <c r="H27" i="15"/>
  <c r="K27" i="15" s="1"/>
  <c r="H28" i="15"/>
  <c r="K28" i="15" s="1"/>
  <c r="H29" i="15"/>
  <c r="K29" i="15" s="1"/>
  <c r="H30" i="15"/>
  <c r="K30" i="15" s="1"/>
  <c r="H31" i="15"/>
  <c r="K31" i="15" s="1"/>
  <c r="H32" i="15"/>
  <c r="K32" i="15" s="1"/>
  <c r="H33" i="15"/>
  <c r="K33" i="15" s="1"/>
  <c r="H34" i="15"/>
  <c r="K34" i="15" s="1"/>
  <c r="H35" i="15"/>
  <c r="K35" i="15" s="1"/>
  <c r="H36" i="15"/>
  <c r="K36" i="15" s="1"/>
  <c r="H4" i="15"/>
  <c r="G39" i="15"/>
  <c r="G39" i="14"/>
  <c r="K38" i="14"/>
  <c r="I38" i="14"/>
  <c r="G38" i="14"/>
  <c r="E39" i="14" s="1"/>
  <c r="F38" i="14"/>
  <c r="E38" i="14"/>
  <c r="H15" i="14"/>
  <c r="H38" i="14" s="1"/>
  <c r="K38" i="13"/>
  <c r="I38" i="13"/>
  <c r="G38" i="13"/>
  <c r="E39" i="13" s="1"/>
  <c r="F38" i="13"/>
  <c r="E38" i="13"/>
  <c r="H15" i="13"/>
  <c r="H38" i="13" s="1"/>
  <c r="K38" i="12"/>
  <c r="I38" i="12"/>
  <c r="G38" i="12"/>
  <c r="E39" i="12" s="1"/>
  <c r="F38" i="12"/>
  <c r="E38" i="12"/>
  <c r="H15" i="12"/>
  <c r="H38" i="12" s="1"/>
  <c r="K38" i="11"/>
  <c r="I38" i="11"/>
  <c r="G38" i="11"/>
  <c r="E39" i="11" s="1"/>
  <c r="F38" i="11"/>
  <c r="E38" i="11"/>
  <c r="H15" i="11"/>
  <c r="H38" i="11" s="1"/>
  <c r="G39" i="10"/>
  <c r="G38" i="10"/>
  <c r="E39" i="10" s="1"/>
  <c r="I38" i="10"/>
  <c r="I39" i="10"/>
  <c r="K39" i="10"/>
  <c r="H15" i="10"/>
  <c r="H38" i="10" s="1"/>
  <c r="F38" i="10"/>
  <c r="K38" i="10"/>
  <c r="E38" i="10"/>
  <c r="G37" i="9"/>
  <c r="E38" i="9" s="1"/>
  <c r="E37" i="9"/>
  <c r="K37" i="9"/>
  <c r="I37" i="9"/>
  <c r="H37" i="9"/>
  <c r="K36" i="8"/>
  <c r="I36" i="8"/>
  <c r="H36" i="8"/>
  <c r="G36" i="8"/>
  <c r="E37" i="8" s="1"/>
  <c r="E38" i="8" s="1"/>
  <c r="E36" i="8"/>
  <c r="K36" i="7"/>
  <c r="I36" i="7"/>
  <c r="H36" i="7"/>
  <c r="G36" i="7"/>
  <c r="E37" i="7" s="1"/>
  <c r="E36" i="7"/>
  <c r="K38" i="6"/>
  <c r="I38" i="6"/>
  <c r="H38" i="6"/>
  <c r="G38" i="6"/>
  <c r="E39" i="6" s="1"/>
  <c r="E38" i="6"/>
  <c r="H38" i="21" l="1"/>
  <c r="H39" i="29"/>
  <c r="H40" i="23"/>
  <c r="H39" i="25"/>
  <c r="H39" i="27"/>
  <c r="H38" i="15"/>
  <c r="H38" i="16"/>
  <c r="K40" i="21"/>
  <c r="H39" i="24"/>
  <c r="K39" i="24" s="1"/>
  <c r="F39" i="26"/>
  <c r="H39" i="28"/>
  <c r="J39" i="29"/>
  <c r="E40" i="29" s="1"/>
  <c r="E40" i="15"/>
  <c r="E47" i="15"/>
  <c r="E51" i="15" s="1"/>
  <c r="E52" i="15" s="1"/>
  <c r="E42" i="15"/>
  <c r="E45" i="15" s="1"/>
  <c r="H39" i="20"/>
  <c r="E45" i="20"/>
  <c r="E48" i="20" s="1"/>
  <c r="E49" i="20" s="1"/>
  <c r="K4" i="15"/>
  <c r="K38" i="15" s="1"/>
  <c r="H39" i="22"/>
  <c r="J39" i="28"/>
  <c r="E40" i="28" s="1"/>
  <c r="J39" i="27"/>
  <c r="E42" i="25"/>
  <c r="E44" i="25"/>
  <c r="E50" i="25" s="1"/>
  <c r="J5" i="25"/>
  <c r="J39" i="25" s="1"/>
  <c r="E44" i="24"/>
  <c r="E50" i="24" s="1"/>
  <c r="E42" i="24"/>
  <c r="E52" i="24"/>
  <c r="J5" i="24"/>
  <c r="J39" i="24" s="1"/>
  <c r="E43" i="23"/>
  <c r="E45" i="23"/>
  <c r="E49" i="23" s="1"/>
  <c r="E42" i="22"/>
  <c r="E44" i="22"/>
  <c r="E48" i="22" s="1"/>
  <c r="E43" i="21"/>
  <c r="E46" i="21" s="1"/>
  <c r="E42" i="19"/>
  <c r="E48" i="19" s="1"/>
  <c r="H38" i="19"/>
  <c r="H38" i="17"/>
  <c r="E42" i="17"/>
  <c r="J50" i="16"/>
  <c r="E40" i="16"/>
  <c r="E42" i="16" s="1"/>
  <c r="J41" i="16" s="1"/>
  <c r="K4" i="16"/>
  <c r="K38" i="16" s="1"/>
  <c r="E46" i="14"/>
  <c r="E50" i="14" s="1"/>
  <c r="J45" i="14" s="1"/>
  <c r="E40" i="14"/>
  <c r="E44" i="14" s="1"/>
  <c r="E41" i="14"/>
  <c r="E41" i="13"/>
  <c r="E46" i="13"/>
  <c r="E50" i="13" s="1"/>
  <c r="J45" i="13" s="1"/>
  <c r="E40" i="13"/>
  <c r="E44" i="13" s="1"/>
  <c r="E46" i="12"/>
  <c r="E50" i="12" s="1"/>
  <c r="J45" i="12" s="1"/>
  <c r="E40" i="12"/>
  <c r="E44" i="12" s="1"/>
  <c r="E41" i="12"/>
  <c r="E46" i="11"/>
  <c r="E50" i="11" s="1"/>
  <c r="J45" i="11" s="1"/>
  <c r="E40" i="11"/>
  <c r="E44" i="11" s="1"/>
  <c r="E41" i="11"/>
  <c r="E46" i="10"/>
  <c r="E50" i="10" s="1"/>
  <c r="J45" i="10" s="1"/>
  <c r="E40" i="10"/>
  <c r="E44" i="10" s="1"/>
  <c r="E41" i="10"/>
  <c r="E44" i="9"/>
  <c r="E48" i="9" s="1"/>
  <c r="J43" i="9" s="1"/>
  <c r="E39" i="9"/>
  <c r="E42" i="9" s="1"/>
  <c r="E40" i="9"/>
  <c r="E43" i="8"/>
  <c r="E47" i="8" s="1"/>
  <c r="J42" i="8" s="1"/>
  <c r="E41" i="8"/>
  <c r="E39" i="8"/>
  <c r="E43" i="7"/>
  <c r="E47" i="7" s="1"/>
  <c r="I42" i="7" s="1"/>
  <c r="E38" i="7"/>
  <c r="E41" i="7" s="1"/>
  <c r="E39" i="7"/>
  <c r="E40" i="6"/>
  <c r="E43" i="6" s="1"/>
  <c r="E45" i="6"/>
  <c r="E49" i="6" s="1"/>
  <c r="I44" i="6" s="1"/>
  <c r="E41" i="6"/>
  <c r="K38" i="5"/>
  <c r="I38" i="5"/>
  <c r="E42" i="5" s="1"/>
  <c r="H38" i="5"/>
  <c r="G38" i="5"/>
  <c r="E39" i="5" s="1"/>
  <c r="E40" i="5" s="1"/>
  <c r="E38" i="5"/>
  <c r="E50" i="23" l="1"/>
  <c r="E43" i="29"/>
  <c r="J42" i="29" s="1"/>
  <c r="E41" i="29"/>
  <c r="G47" i="24"/>
  <c r="E51" i="25"/>
  <c r="G48" i="23"/>
  <c r="E49" i="22"/>
  <c r="E40" i="27"/>
  <c r="E41" i="27" s="1"/>
  <c r="E43" i="28"/>
  <c r="E48" i="28" s="1"/>
  <c r="E41" i="28"/>
  <c r="G47" i="25"/>
  <c r="E47" i="21"/>
  <c r="E49" i="17"/>
  <c r="E45" i="17"/>
  <c r="I43" i="17" s="1"/>
  <c r="E41" i="5"/>
  <c r="E44" i="5"/>
  <c r="E47" i="5" s="1"/>
  <c r="E48" i="5" s="1"/>
  <c r="E43" i="27" l="1"/>
  <c r="E46" i="27" s="1"/>
  <c r="E47" i="27" s="1"/>
  <c r="E49" i="28"/>
  <c r="J43" i="29"/>
  <c r="J45" i="29" s="1"/>
  <c r="K38" i="4"/>
  <c r="I38" i="4" l="1"/>
  <c r="E43" i="4" s="1"/>
  <c r="H38" i="4"/>
  <c r="E38" i="4" l="1"/>
  <c r="G38" i="4"/>
  <c r="E40" i="4" s="1"/>
  <c r="E42" i="4" l="1"/>
  <c r="E41" i="4"/>
  <c r="E45" i="4"/>
  <c r="E48" i="4" s="1"/>
  <c r="E49" i="4" s="1"/>
  <c r="H38" i="3"/>
  <c r="G38" i="3" l="1"/>
  <c r="D40" i="3" s="1"/>
  <c r="D43" i="3" s="1"/>
  <c r="D46" i="3" s="1"/>
  <c r="F38" i="3"/>
  <c r="D38" i="3"/>
  <c r="D41" i="3" l="1"/>
  <c r="D47" i="3" s="1"/>
  <c r="G39" i="2"/>
  <c r="E39" i="2"/>
  <c r="F39" i="2"/>
  <c r="C49" i="2"/>
  <c r="C42" i="2"/>
  <c r="E39" i="1"/>
  <c r="D39" i="1"/>
  <c r="I39" i="1"/>
  <c r="H39" i="1"/>
  <c r="C50" i="2" l="1"/>
  <c r="D43" i="1"/>
  <c r="D48" i="1"/>
  <c r="D49" i="1" l="1"/>
  <c r="F39" i="1" l="1"/>
  <c r="D53" i="60"/>
  <c r="B42" i="61" s="1"/>
  <c r="B51" i="61" l="1"/>
  <c r="D51" i="61" s="1"/>
  <c r="B41" i="62" s="1"/>
  <c r="B49" i="62" s="1"/>
  <c r="D49" i="62" s="1"/>
  <c r="B42" i="63" s="1"/>
  <c r="B49" i="63" s="1"/>
  <c r="D49" i="63" l="1"/>
  <c r="B42" i="64" s="1"/>
  <c r="B49" i="64" s="1"/>
  <c r="D49" i="64" l="1"/>
  <c r="B42" i="65" s="1"/>
  <c r="B54" i="65" s="1"/>
  <c r="D54" i="65" s="1"/>
  <c r="B41" i="66" s="1"/>
  <c r="B48" i="66" s="1"/>
  <c r="D48" i="66" s="1"/>
  <c r="B41" i="67" s="1"/>
  <c r="B50" i="67" s="1"/>
  <c r="D50" i="67" s="1"/>
  <c r="B41" i="68" s="1"/>
  <c r="H4" i="72"/>
  <c r="B49" i="68" l="1"/>
  <c r="D49" i="68" s="1"/>
  <c r="B41" i="69" s="1"/>
  <c r="B49" i="69" s="1"/>
  <c r="D49" i="69" s="1"/>
  <c r="B41" i="70" s="1"/>
  <c r="B49" i="70" s="1"/>
  <c r="D49" i="70" s="1"/>
  <c r="B41" i="71" s="1"/>
  <c r="B51" i="71" s="1"/>
  <c r="D51" i="71" s="1"/>
  <c r="B42" i="72" s="1"/>
  <c r="B53" i="72" s="1"/>
  <c r="D53" i="72" s="1"/>
  <c r="H37" i="72"/>
  <c r="J4" i="72"/>
  <c r="B42" i="73" l="1"/>
  <c r="B55" i="73" s="1"/>
  <c r="D55" i="73" s="1"/>
  <c r="L57" i="73" s="1"/>
  <c r="L51" i="72"/>
  <c r="E4" i="73"/>
  <c r="E37" i="73" s="1"/>
  <c r="J37" i="72"/>
  <c r="H4" i="73" l="1"/>
  <c r="B42" i="74"/>
  <c r="L52" i="73"/>
  <c r="B54" i="74"/>
  <c r="D54" i="74" s="1"/>
  <c r="B42" i="75" s="1"/>
  <c r="B54" i="75" s="1"/>
  <c r="D54" i="75" s="1"/>
  <c r="J4" i="73"/>
  <c r="E4" i="74" s="1"/>
  <c r="H37" i="73"/>
  <c r="J37" i="73" s="1"/>
  <c r="K55" i="73" s="1"/>
  <c r="B42" i="76" l="1"/>
  <c r="B52" i="76" s="1"/>
  <c r="D52" i="76" s="1"/>
  <c r="B42" i="77" s="1"/>
  <c r="B54" i="77" s="1"/>
  <c r="D54" i="77" s="1"/>
  <c r="B42" i="78" s="1"/>
  <c r="B51" i="78" s="1"/>
  <c r="D51" i="78" s="1"/>
  <c r="B42" i="79" s="1"/>
  <c r="B51" i="79" s="1"/>
  <c r="D51" i="79" s="1"/>
  <c r="B42" i="80" s="1"/>
  <c r="E37" i="74"/>
  <c r="H4" i="74"/>
  <c r="B57" i="80" l="1"/>
  <c r="D57" i="80" s="1"/>
  <c r="B42" i="81" s="1"/>
  <c r="B53" i="81" s="1"/>
  <c r="D53" i="81" s="1"/>
  <c r="B42" i="82" s="1"/>
  <c r="B55" i="82" s="1"/>
  <c r="D55" i="82" s="1"/>
  <c r="B42" i="83" s="1"/>
  <c r="B51" i="83" s="1"/>
  <c r="D51" i="83" s="1"/>
  <c r="G57" i="80"/>
  <c r="I57" i="80" s="1"/>
  <c r="G42" i="81" s="1"/>
  <c r="G53" i="81" s="1"/>
  <c r="I53" i="81" s="1"/>
  <c r="J4" i="74"/>
  <c r="E4" i="75" s="1"/>
  <c r="H37" i="74"/>
  <c r="J37" i="74" s="1"/>
  <c r="B42" i="84" l="1"/>
  <c r="B51" i="84" s="1"/>
  <c r="D51" i="84" s="1"/>
  <c r="B42" i="85" s="1"/>
  <c r="B51" i="85" s="1"/>
  <c r="D51" i="85" s="1"/>
  <c r="B43" i="86" s="1"/>
  <c r="B54" i="86" s="1"/>
  <c r="G42" i="82"/>
  <c r="G55" i="82" s="1"/>
  <c r="I55" i="82" s="1"/>
  <c r="K57" i="82" s="1"/>
  <c r="H4" i="75"/>
  <c r="E37" i="75"/>
  <c r="D54" i="86" l="1"/>
  <c r="B42" i="87" s="1"/>
  <c r="B51" i="87" s="1"/>
  <c r="G42" i="83"/>
  <c r="L51" i="82"/>
  <c r="J4" i="75"/>
  <c r="E4" i="76" s="1"/>
  <c r="H37" i="75"/>
  <c r="J37" i="75" s="1"/>
  <c r="K53" i="75" s="1"/>
  <c r="K54" i="75" s="1"/>
  <c r="H4" i="76" l="1"/>
  <c r="E37" i="76"/>
  <c r="D51" i="87"/>
  <c r="B42" i="88" l="1"/>
  <c r="J4" i="76"/>
  <c r="E4" i="77" s="1"/>
  <c r="H4" i="77" s="1"/>
  <c r="H37" i="76"/>
  <c r="J37" i="76" s="1"/>
  <c r="B51" i="88" l="1"/>
  <c r="D51" i="88" s="1"/>
  <c r="B42" i="89" s="1"/>
  <c r="B53" i="89" s="1"/>
  <c r="D53" i="89" s="1"/>
  <c r="E37" i="77"/>
  <c r="K59" i="76"/>
  <c r="K60" i="76" s="1"/>
  <c r="J4" i="77"/>
  <c r="E4" i="78" s="1"/>
  <c r="H37" i="77"/>
  <c r="J37" i="77" s="1"/>
  <c r="B42" i="90" l="1"/>
  <c r="B52" i="90" s="1"/>
  <c r="D52" i="90" s="1"/>
  <c r="B42" i="91" s="1"/>
  <c r="B51" i="91" s="1"/>
  <c r="D51" i="91" s="1"/>
  <c r="B42" i="92" s="1"/>
  <c r="B51" i="92" s="1"/>
  <c r="D51" i="92" s="1"/>
  <c r="H4" i="78"/>
  <c r="E37" i="78"/>
  <c r="B42" i="93" l="1"/>
  <c r="B51" i="93" s="1"/>
  <c r="D51" i="93" s="1"/>
  <c r="J4" i="78"/>
  <c r="E4" i="79" s="1"/>
  <c r="H37" i="78"/>
  <c r="J37" i="78" s="1"/>
  <c r="B42" i="94" l="1"/>
  <c r="B51" i="94" s="1"/>
  <c r="D51" i="94" s="1"/>
  <c r="E37" i="79"/>
  <c r="H4" i="79"/>
  <c r="B42" i="95" l="1"/>
  <c r="B51" i="95" s="1"/>
  <c r="D51" i="95" s="1"/>
  <c r="H37" i="79"/>
  <c r="J37" i="79" s="1"/>
  <c r="J4" i="79"/>
  <c r="E4" i="80" s="1"/>
  <c r="B42" i="96" l="1"/>
  <c r="B51" i="96" s="1"/>
  <c r="D51" i="96" s="1"/>
  <c r="B42" i="97" s="1"/>
  <c r="B51" i="97" s="1"/>
  <c r="D51" i="97" s="1"/>
  <c r="B42" i="98" s="1"/>
  <c r="B51" i="98" s="1"/>
  <c r="D51" i="98" s="1"/>
  <c r="B42" i="99" s="1"/>
  <c r="H4" i="80"/>
  <c r="E37" i="80"/>
  <c r="B51" i="99" l="1"/>
  <c r="D51" i="99" s="1"/>
  <c r="B42" i="100" s="1"/>
  <c r="B51" i="100" s="1"/>
  <c r="D51" i="100" s="1"/>
  <c r="J4" i="80"/>
  <c r="E4" i="81" s="1"/>
  <c r="H37" i="80"/>
  <c r="J37" i="80" s="1"/>
  <c r="H4" i="81" l="1"/>
  <c r="E37" i="81"/>
  <c r="J4" i="81" l="1"/>
  <c r="E4" i="82" s="1"/>
  <c r="H37" i="81"/>
  <c r="J37" i="81" s="1"/>
  <c r="H4" i="82" l="1"/>
  <c r="E37" i="82"/>
  <c r="J4" i="82" l="1"/>
  <c r="H37" i="82"/>
  <c r="J37" i="82" s="1"/>
  <c r="J38" i="82" s="1"/>
  <c r="K41" i="82" l="1"/>
  <c r="K40" i="82"/>
  <c r="E4" i="83"/>
  <c r="E37" i="83" s="1"/>
  <c r="H4" i="83" l="1"/>
  <c r="J4" i="83" s="1"/>
  <c r="E4" i="84" s="1"/>
  <c r="H37" i="83" l="1"/>
  <c r="G51" i="83"/>
  <c r="I51" i="83" s="1"/>
  <c r="J37" i="83"/>
  <c r="J38" i="83" s="1"/>
  <c r="H4" i="84"/>
  <c r="E37" i="84"/>
  <c r="K40" i="83" l="1"/>
  <c r="K41" i="83"/>
  <c r="J4" i="84"/>
  <c r="C4" i="100" s="1"/>
  <c r="H37" i="84"/>
  <c r="J37" i="84" s="1"/>
  <c r="G42" i="84"/>
  <c r="G51" i="84" s="1"/>
  <c r="I51" i="84" s="1"/>
  <c r="G42" i="85" s="1"/>
  <c r="G51" i="85" s="1"/>
  <c r="I51" i="85" s="1"/>
  <c r="G43" i="86" s="1"/>
  <c r="G54" i="86" s="1"/>
  <c r="I54" i="86" s="1"/>
  <c r="H57" i="83"/>
  <c r="C37" i="100" l="1"/>
  <c r="C4" i="89"/>
  <c r="C37" i="89" s="1"/>
  <c r="C4" i="99"/>
  <c r="C4" i="98"/>
  <c r="C4" i="97"/>
  <c r="C4" i="96"/>
  <c r="C4" i="95"/>
  <c r="C4" i="94"/>
  <c r="C4" i="93"/>
  <c r="C4" i="92"/>
  <c r="C4" i="91"/>
  <c r="C37" i="91" s="1"/>
  <c r="C4" i="90"/>
  <c r="C37" i="90" s="1"/>
  <c r="J40" i="84"/>
  <c r="J38" i="84"/>
  <c r="I57" i="86"/>
  <c r="G42" i="87"/>
  <c r="C4" i="88"/>
  <c r="C4" i="87"/>
  <c r="C37" i="87" s="1"/>
  <c r="C4" i="86"/>
  <c r="E4" i="85"/>
  <c r="E37" i="85" s="1"/>
  <c r="C4" i="85"/>
  <c r="C37" i="93" l="1"/>
  <c r="C37" i="95"/>
  <c r="C37" i="97"/>
  <c r="C37" i="99"/>
  <c r="G51" i="87"/>
  <c r="I51" i="87" s="1"/>
  <c r="G42" i="88" s="1"/>
  <c r="G51" i="88" s="1"/>
  <c r="I51" i="88" s="1"/>
  <c r="G42" i="89" s="1"/>
  <c r="C37" i="92"/>
  <c r="C37" i="94"/>
  <c r="C37" i="96"/>
  <c r="C37" i="98"/>
  <c r="E38" i="87"/>
  <c r="K40" i="84"/>
  <c r="K41" i="84"/>
  <c r="C37" i="85"/>
  <c r="H4" i="85"/>
  <c r="C37" i="86"/>
  <c r="C37" i="88"/>
  <c r="J4" i="85" l="1"/>
  <c r="E4" i="86" s="1"/>
  <c r="H4" i="86" s="1"/>
  <c r="H37" i="85"/>
  <c r="J37" i="85" s="1"/>
  <c r="J38" i="85" l="1"/>
  <c r="E37" i="86"/>
  <c r="J4" i="86"/>
  <c r="H37" i="86"/>
  <c r="E4" i="87" l="1"/>
  <c r="J37" i="86"/>
  <c r="H4" i="87" l="1"/>
  <c r="J4" i="87" s="1"/>
  <c r="E4" i="88" s="1"/>
  <c r="E37" i="87"/>
  <c r="J38" i="86"/>
  <c r="H37" i="87"/>
  <c r="J37" i="87" s="1"/>
  <c r="J38" i="87" s="1"/>
  <c r="E37" i="88" l="1"/>
  <c r="H4" i="88"/>
  <c r="J4" i="88" l="1"/>
  <c r="H37" i="88"/>
  <c r="E4" i="89" l="1"/>
  <c r="H4" i="89" s="1"/>
  <c r="J37" i="88"/>
  <c r="J38" i="88" s="1"/>
  <c r="E37" i="89"/>
  <c r="J4" i="89" l="1"/>
  <c r="E4" i="90" s="1"/>
  <c r="H37" i="89"/>
  <c r="J37" i="89" s="1"/>
  <c r="H4" i="90" l="1"/>
  <c r="E37" i="90"/>
  <c r="J38" i="89"/>
  <c r="J39" i="89" s="1"/>
  <c r="G53" i="89"/>
  <c r="I53" i="89" s="1"/>
  <c r="I60" i="89" s="1"/>
  <c r="H37" i="90" l="1"/>
  <c r="J37" i="90" s="1"/>
  <c r="J38" i="90" s="1"/>
  <c r="J39" i="90" s="1"/>
  <c r="J4" i="90"/>
  <c r="E4" i="91" s="1"/>
  <c r="G42" i="90"/>
  <c r="G52" i="90" l="1"/>
  <c r="I52" i="90" s="1"/>
  <c r="G42" i="91" s="1"/>
  <c r="G51" i="91" s="1"/>
  <c r="I51" i="91" s="1"/>
  <c r="G42" i="92" s="1"/>
  <c r="G51" i="92" s="1"/>
  <c r="I51" i="92" s="1"/>
  <c r="G42" i="93" s="1"/>
  <c r="G51" i="93" s="1"/>
  <c r="I51" i="93" s="1"/>
  <c r="G42" i="94" s="1"/>
  <c r="G51" i="94" s="1"/>
  <c r="I51" i="94" s="1"/>
  <c r="G42" i="95" s="1"/>
  <c r="G51" i="95" s="1"/>
  <c r="I51" i="95" s="1"/>
  <c r="G42" i="96" s="1"/>
  <c r="G51" i="96" s="1"/>
  <c r="I51" i="96" s="1"/>
  <c r="G42" i="97" s="1"/>
  <c r="G51" i="97" s="1"/>
  <c r="I51" i="97" s="1"/>
  <c r="G42" i="98" s="1"/>
  <c r="G51" i="98" s="1"/>
  <c r="I51" i="98" s="1"/>
  <c r="G42" i="99" s="1"/>
  <c r="G51" i="99" s="1"/>
  <c r="I51" i="99" s="1"/>
  <c r="G42" i="100" s="1"/>
  <c r="G51" i="100" s="1"/>
  <c r="I51" i="100" s="1"/>
  <c r="H4" i="91"/>
  <c r="E37" i="91"/>
  <c r="J4" i="91" l="1"/>
  <c r="E4" i="92" s="1"/>
  <c r="H37" i="91"/>
  <c r="J37" i="91" s="1"/>
  <c r="J38" i="91" s="1"/>
  <c r="J39" i="91" s="1"/>
  <c r="E37" i="92" l="1"/>
  <c r="H4" i="92"/>
  <c r="J4" i="92" l="1"/>
  <c r="E4" i="93" s="1"/>
  <c r="H4" i="93" s="1"/>
  <c r="H37" i="92"/>
  <c r="J37" i="92" s="1"/>
  <c r="E37" i="93" l="1"/>
  <c r="J38" i="92"/>
  <c r="E38" i="100" s="1"/>
  <c r="J4" i="93"/>
  <c r="E4" i="94" s="1"/>
  <c r="H4" i="94" s="1"/>
  <c r="H37" i="93"/>
  <c r="J37" i="93" s="1"/>
  <c r="J38" i="93" l="1"/>
  <c r="J39" i="93" s="1"/>
  <c r="E37" i="94"/>
  <c r="E38" i="95"/>
  <c r="E38" i="99"/>
  <c r="E38" i="98"/>
  <c r="E38" i="97"/>
  <c r="E38" i="96"/>
  <c r="J39" i="92"/>
  <c r="E38" i="93"/>
  <c r="E38" i="94"/>
  <c r="J4" i="94"/>
  <c r="E4" i="95" s="1"/>
  <c r="H37" i="94"/>
  <c r="J37" i="94" s="1"/>
  <c r="J38" i="94" s="1"/>
  <c r="J39" i="94" s="1"/>
  <c r="E37" i="95" l="1"/>
  <c r="H4" i="95"/>
  <c r="J4" i="95" l="1"/>
  <c r="E4" i="96" s="1"/>
  <c r="H37" i="95"/>
  <c r="J37" i="95" s="1"/>
  <c r="J38" i="95" s="1"/>
  <c r="J39" i="95" s="1"/>
  <c r="E37" i="96" l="1"/>
  <c r="H4" i="96"/>
  <c r="J4" i="96" l="1"/>
  <c r="E4" i="97" s="1"/>
  <c r="H37" i="96"/>
  <c r="J37" i="96" s="1"/>
  <c r="J38" i="96" s="1"/>
  <c r="J39" i="96" s="1"/>
  <c r="E37" i="97" l="1"/>
  <c r="H4" i="97"/>
  <c r="J4" i="97" l="1"/>
  <c r="E4" i="98" s="1"/>
  <c r="H4" i="98" s="1"/>
  <c r="H37" i="97"/>
  <c r="J37" i="97" s="1"/>
  <c r="E37" i="99" l="1"/>
  <c r="E37" i="98"/>
  <c r="J38" i="97"/>
  <c r="J39" i="97" s="1"/>
  <c r="J4" i="98"/>
  <c r="E4" i="99" s="1"/>
  <c r="H4" i="99" s="1"/>
  <c r="H37" i="98"/>
  <c r="J37" i="98" s="1"/>
  <c r="J38" i="98" s="1"/>
  <c r="J39" i="98" s="1"/>
  <c r="J4" i="99" l="1"/>
  <c r="E4" i="100" s="1"/>
  <c r="H37" i="99"/>
  <c r="J37" i="99" s="1"/>
  <c r="J38" i="99" s="1"/>
  <c r="J39" i="99" s="1"/>
  <c r="E37" i="100" l="1"/>
  <c r="H4" i="100"/>
  <c r="J4" i="100" l="1"/>
  <c r="H37" i="100"/>
  <c r="J37" i="100" s="1"/>
  <c r="J38" i="100" s="1"/>
  <c r="J39" i="100" s="1"/>
</calcChain>
</file>

<file path=xl/sharedStrings.xml><?xml version="1.0" encoding="utf-8"?>
<sst xmlns="http://schemas.openxmlformats.org/spreadsheetml/2006/main" count="7579" uniqueCount="778">
  <si>
    <t>LEMENGUTA OLE PAKINE</t>
  </si>
  <si>
    <t>NAME</t>
  </si>
  <si>
    <t>NO</t>
  </si>
  <si>
    <t>SER</t>
  </si>
  <si>
    <t>TOTAL</t>
  </si>
  <si>
    <t>RENT</t>
  </si>
  <si>
    <t>Josephine Achieng</t>
  </si>
  <si>
    <t>Allan Omondi</t>
  </si>
  <si>
    <t>Geoffrey Ocharo</t>
  </si>
  <si>
    <t>Melchdeck Ajuoga</t>
  </si>
  <si>
    <t>Landlady</t>
  </si>
  <si>
    <t>Dennis Tai/Miriam Amatsa</t>
  </si>
  <si>
    <t>Jackline Anyango</t>
  </si>
  <si>
    <t>Catherine  Adhiambo</t>
  </si>
  <si>
    <t>Edwin Hezekia Moguche</t>
  </si>
  <si>
    <t>Hassan M.Isweka</t>
  </si>
  <si>
    <t>Nelly Nekesa/Andrew</t>
  </si>
  <si>
    <t>DEP. DUE</t>
  </si>
  <si>
    <t>BAL B/F</t>
  </si>
  <si>
    <t>DUE BILL</t>
  </si>
  <si>
    <t>RENT C/F</t>
  </si>
  <si>
    <t>TOTAL C/F</t>
  </si>
  <si>
    <t>Charity Njoki</t>
  </si>
  <si>
    <t>Benard Ochieng</t>
  </si>
  <si>
    <t>REMITTANCE ADVICE</t>
  </si>
  <si>
    <t>Total</t>
  </si>
  <si>
    <t>DEDUCTIONS</t>
  </si>
  <si>
    <t>Agency fee 7%</t>
  </si>
  <si>
    <t>less payment</t>
  </si>
  <si>
    <t>TOTAL DEDUCTION</t>
  </si>
  <si>
    <t xml:space="preserve">                   </t>
  </si>
  <si>
    <t>BALANCE</t>
  </si>
  <si>
    <t xml:space="preserve">                    …………………………</t>
  </si>
  <si>
    <t xml:space="preserve">               </t>
  </si>
  <si>
    <t xml:space="preserve">       </t>
  </si>
  <si>
    <t>PREPARED BY</t>
  </si>
  <si>
    <t>APPROVED BY</t>
  </si>
  <si>
    <t>LANDLORD</t>
  </si>
  <si>
    <t>G. N. MUKIRI</t>
  </si>
  <si>
    <t>L.N.MWANGI</t>
  </si>
  <si>
    <t>Date</t>
  </si>
  <si>
    <t>……………………..</t>
  </si>
  <si>
    <t>………………………..</t>
  </si>
  <si>
    <t>………………………………</t>
  </si>
  <si>
    <t>Joseph Aloo</t>
  </si>
  <si>
    <t>Prisca Akinyi</t>
  </si>
  <si>
    <t>Alex B</t>
  </si>
  <si>
    <t>Dennis Omare</t>
  </si>
  <si>
    <t>Eric Momanyi</t>
  </si>
  <si>
    <t>with Landlord</t>
  </si>
  <si>
    <t>Mary Bobareri</t>
  </si>
  <si>
    <t>Moses Asige</t>
  </si>
  <si>
    <t xml:space="preserve">Hezborn </t>
  </si>
  <si>
    <t>John Maina</t>
  </si>
  <si>
    <t>Morris Evelia</t>
  </si>
  <si>
    <t>On deposit</t>
  </si>
  <si>
    <t>Vacant</t>
  </si>
  <si>
    <t>Solomon Mukwana</t>
  </si>
  <si>
    <t>Beatrice Kacha</t>
  </si>
  <si>
    <t>Michael Juma</t>
  </si>
  <si>
    <t>Brian Ouko</t>
  </si>
  <si>
    <t>Store</t>
  </si>
  <si>
    <t xml:space="preserve">deposit for </t>
  </si>
  <si>
    <t>PAYABLE</t>
  </si>
  <si>
    <t>VACANT</t>
  </si>
  <si>
    <t>Agency fee</t>
  </si>
  <si>
    <t>ASSET FLOW LTD</t>
  </si>
  <si>
    <r>
      <t xml:space="preserve">                            </t>
    </r>
    <r>
      <rPr>
        <sz val="11"/>
        <color rgb="FF984806"/>
        <rFont val="Franklin Gothic Demi Cond"/>
        <family val="2"/>
      </rPr>
      <t>P.O BOX 276-00511 TEL 0707 759 987, 0738 620 900</t>
    </r>
  </si>
  <si>
    <r>
      <t xml:space="preserve">                                     PELIZA FORTRESS BUSINESS CENTRE, 1</t>
    </r>
    <r>
      <rPr>
        <b/>
        <vertAlign val="superscript"/>
        <sz val="9"/>
        <color rgb="FF0070C0"/>
        <rFont val="Times New Roman"/>
        <family val="1"/>
      </rPr>
      <t>ST</t>
    </r>
    <r>
      <rPr>
        <b/>
        <sz val="9"/>
        <color rgb="FF0070C0"/>
        <rFont val="Times New Roman"/>
        <family val="1"/>
      </rPr>
      <t xml:space="preserve"> FLR ROOM B9</t>
    </r>
  </si>
  <si>
    <t xml:space="preserve">                                  Your Ultimate Land And Property Consultant</t>
  </si>
  <si>
    <t>CASH STATEMENT FOR THE MONTH OF JANUARY 2014</t>
  </si>
  <si>
    <t>LEMENGUTA</t>
  </si>
  <si>
    <t>TOTAL RENT</t>
  </si>
  <si>
    <t>LEMENGUTA OLE PAKINE -FEBRUARY 2014</t>
  </si>
  <si>
    <t>Sep Onyango Odhiambo</t>
  </si>
  <si>
    <t>Dominic Ngoje</t>
  </si>
  <si>
    <t>vacant</t>
  </si>
  <si>
    <t>David Shinaka</t>
  </si>
  <si>
    <t>Fredrick Omondi</t>
  </si>
  <si>
    <t>Agency fee 8%</t>
  </si>
  <si>
    <t>double payment for 21</t>
  </si>
  <si>
    <t>DEP PAID</t>
  </si>
  <si>
    <t>LUCY MWANGI</t>
  </si>
  <si>
    <t>LESS CASH PAYMENT</t>
  </si>
  <si>
    <t>PAID</t>
  </si>
  <si>
    <t>DATE</t>
  </si>
  <si>
    <t>……………………</t>
  </si>
  <si>
    <t>……………………………</t>
  </si>
  <si>
    <t>Urbanus Musyoki</t>
  </si>
  <si>
    <t>Ulbanus Musyoki</t>
  </si>
  <si>
    <t>Sep Odhiambo</t>
  </si>
  <si>
    <t>Erick Momanyi</t>
  </si>
  <si>
    <t>Dominic Ngonje</t>
  </si>
  <si>
    <t>Sephania Ambogo</t>
  </si>
  <si>
    <t>Hesbon</t>
  </si>
  <si>
    <t>Maurice Evelia</t>
  </si>
  <si>
    <t>mkisii</t>
  </si>
  <si>
    <t>Naftali Nyangau</t>
  </si>
  <si>
    <t>Bernard Ochieng</t>
  </si>
  <si>
    <t>Brian Ochieng</t>
  </si>
  <si>
    <t>Andrew  Limanyi</t>
  </si>
  <si>
    <t>MI</t>
  </si>
  <si>
    <t>Solomon Mukhwana</t>
  </si>
  <si>
    <t>M2</t>
  </si>
  <si>
    <t>M3</t>
  </si>
  <si>
    <t>CASH STATEMENT FOR RENT IN:</t>
  </si>
  <si>
    <t xml:space="preserve">APRIL </t>
  </si>
  <si>
    <t>NAME: LEMENGUTA OLE PAKINE</t>
  </si>
  <si>
    <t>DEP. PAID</t>
  </si>
  <si>
    <t>DEP. BAL</t>
  </si>
  <si>
    <t xml:space="preserve">NAME </t>
  </si>
  <si>
    <t>TOTAL RENT PAYABLE</t>
  </si>
  <si>
    <t>Prepared BY</t>
  </si>
  <si>
    <t>Approved By</t>
  </si>
  <si>
    <t>Received By</t>
  </si>
  <si>
    <t>George Mukiri</t>
  </si>
  <si>
    <t>L. Mwangi</t>
  </si>
  <si>
    <t>…………………………</t>
  </si>
  <si>
    <t>………………………</t>
  </si>
  <si>
    <t>Dennis Tai/a</t>
  </si>
  <si>
    <t>Edwin H. Moguche</t>
  </si>
  <si>
    <t>Lawee Abongo</t>
  </si>
  <si>
    <t>PAYMENT 24.3.14</t>
  </si>
  <si>
    <t>PAYMENT 11.04.14</t>
  </si>
  <si>
    <t>Lemenguta Ole Pakine</t>
  </si>
  <si>
    <t>DISBURSABLE</t>
  </si>
  <si>
    <t>COMMISSION 8%</t>
  </si>
  <si>
    <t>PAID CHEQUE</t>
  </si>
  <si>
    <t>PAID CASH</t>
  </si>
  <si>
    <t>TOTAL PAYMENT TO PAKINE</t>
  </si>
  <si>
    <t>MAY</t>
  </si>
  <si>
    <t xml:space="preserve">PAYMENT </t>
  </si>
  <si>
    <t>PAYMENT 25.04.14</t>
  </si>
  <si>
    <t>DEPOSIT REFUND</t>
  </si>
  <si>
    <t>PAYMENT FROM DEPOSIT</t>
  </si>
  <si>
    <t>TOTAL DEDUCTIONS</t>
  </si>
  <si>
    <t xml:space="preserve">PAID CASH </t>
  </si>
  <si>
    <t>JU NE</t>
  </si>
  <si>
    <t>ADD DEPOSIT NO 22</t>
  </si>
  <si>
    <t>Samwel Otirno</t>
  </si>
  <si>
    <t>JULY</t>
  </si>
  <si>
    <t>Doughlas</t>
  </si>
  <si>
    <t>Michael Ochieng</t>
  </si>
  <si>
    <t>New Tenant</t>
  </si>
  <si>
    <t>rent + deposit - deductions</t>
  </si>
  <si>
    <t>DISBURSABLE RENT</t>
  </si>
  <si>
    <t>FROM DEPOSIT NO 21</t>
  </si>
  <si>
    <t>AUGUST</t>
  </si>
  <si>
    <t>Samwel Otieno</t>
  </si>
  <si>
    <t>Patrick Kibugi</t>
  </si>
  <si>
    <t>ADD DEPOSIT NO 21</t>
  </si>
  <si>
    <t>GROSS DUE</t>
  </si>
  <si>
    <t>SEPTEMBER</t>
  </si>
  <si>
    <t xml:space="preserve"> </t>
  </si>
  <si>
    <t>PAYMENT</t>
  </si>
  <si>
    <t>Veronica</t>
  </si>
  <si>
    <t>Eunice Muthee</t>
  </si>
  <si>
    <t>Nelson</t>
  </si>
  <si>
    <t>ADD DEPOSIT NO 31/33</t>
  </si>
  <si>
    <t>OCTOBER</t>
  </si>
  <si>
    <t xml:space="preserve"> BAL B/F</t>
  </si>
  <si>
    <t>GARBAGE</t>
  </si>
  <si>
    <t>Sam Kasau</t>
  </si>
  <si>
    <t>Veronica Muema</t>
  </si>
  <si>
    <t>GARBAGE FEE</t>
  </si>
  <si>
    <t>DISBURSABLE TOTAL</t>
  </si>
  <si>
    <t>ADD DEPOSIT NO 23</t>
  </si>
  <si>
    <t>deposit Refund</t>
  </si>
  <si>
    <t>NOVEMBER</t>
  </si>
  <si>
    <t>DECEMBER</t>
  </si>
  <si>
    <t>JANUARY</t>
  </si>
  <si>
    <t xml:space="preserve">new </t>
  </si>
  <si>
    <t>SEP ODEKA</t>
  </si>
  <si>
    <t xml:space="preserve">                                                                                                     </t>
  </si>
  <si>
    <t xml:space="preserve">                     </t>
  </si>
  <si>
    <t>SIMON NGOYA</t>
  </si>
  <si>
    <t>LANDLADY</t>
  </si>
  <si>
    <t>Add deposit NO O5 NO 21</t>
  </si>
  <si>
    <t>Benard Baraza</t>
  </si>
  <si>
    <t>MARCH</t>
  </si>
  <si>
    <t>Name</t>
  </si>
  <si>
    <t>Debit</t>
  </si>
  <si>
    <t>Balance</t>
  </si>
  <si>
    <t>DENNIS OMARE</t>
  </si>
  <si>
    <t>FREDRICK OMOMDI</t>
  </si>
  <si>
    <t>CHARITY NJOKI</t>
  </si>
  <si>
    <t>SAM KASAU</t>
  </si>
  <si>
    <t>JESSEE MAINA</t>
  </si>
  <si>
    <t>ANDREW LIMANYI 30</t>
  </si>
  <si>
    <t>MICHAEL  OCHIENG</t>
  </si>
  <si>
    <t>HASSAN M.ISWEKA</t>
  </si>
  <si>
    <t>LAWEE OBONGI</t>
  </si>
  <si>
    <t>BENARD BARAZA</t>
  </si>
  <si>
    <t>SEP ODHIAMBO</t>
  </si>
  <si>
    <t>NELSON AGESA</t>
  </si>
  <si>
    <t>SEPHANIA  AMBOGO</t>
  </si>
  <si>
    <t>DENNIS TAI/MIRIAM AMAT</t>
  </si>
  <si>
    <t>VERONICA MUTHEKA</t>
  </si>
  <si>
    <t>HESBON OBONGO</t>
  </si>
  <si>
    <t>GEOFFREY OCHARO</t>
  </si>
  <si>
    <t>ALLAN  OMONDI</t>
  </si>
  <si>
    <t>PATRICK  KIBUGI</t>
  </si>
  <si>
    <t>SOLOMON MUKHWANA</t>
  </si>
  <si>
    <t>ERICK MUMANYI</t>
  </si>
  <si>
    <t>SAMWEL OMONDI</t>
  </si>
  <si>
    <t>MELCHDECK AJUOGA</t>
  </si>
  <si>
    <t>MICHAEL JUMA</t>
  </si>
  <si>
    <t>MOSES ASIGE</t>
  </si>
  <si>
    <t>HARRISON M. MUTUKU 18</t>
  </si>
  <si>
    <t>JONH MAINA</t>
  </si>
  <si>
    <t>ULBANUS  MUSYOKA</t>
  </si>
  <si>
    <t>JOSEPH ALOO</t>
  </si>
  <si>
    <t>HARRISON M MUTUKU</t>
  </si>
  <si>
    <t>Jesse  Maina</t>
  </si>
  <si>
    <t>13/32015</t>
  </si>
  <si>
    <t>payment</t>
  </si>
  <si>
    <t>MARCH OVERPAYMENT</t>
  </si>
  <si>
    <t>GRACE</t>
  </si>
  <si>
    <t>APRIL</t>
  </si>
  <si>
    <t>OVER PAYMENT</t>
  </si>
  <si>
    <t>DEPOSIT</t>
  </si>
  <si>
    <t>ADVANCE</t>
  </si>
  <si>
    <t>LOAN</t>
  </si>
  <si>
    <t>TOTAL DECUCTION</t>
  </si>
  <si>
    <t>GITONGA</t>
  </si>
  <si>
    <t>DEPOSITE</t>
  </si>
  <si>
    <t>DIRECT TO LANDLORD ACCOUNT</t>
  </si>
  <si>
    <t>BALANCE PAID ON 12/8/2015</t>
  </si>
  <si>
    <t>CASH STATEMENT FOR RENT IN: SEPTEMBER</t>
  </si>
  <si>
    <t>OCUPPIEA</t>
  </si>
  <si>
    <t>OCCUPIED</t>
  </si>
  <si>
    <t>ADVA12-10-2015</t>
  </si>
  <si>
    <t>BALANCE PAID ON 12/10/2015</t>
  </si>
  <si>
    <t>CASH STATEMENT FOR RENT IN: OCTOMBER</t>
  </si>
  <si>
    <t>NEEMA</t>
  </si>
  <si>
    <t xml:space="preserve">PAID </t>
  </si>
  <si>
    <t>TOTAL RENT PAID</t>
  </si>
  <si>
    <t>KITHIKA MWIHINA</t>
  </si>
  <si>
    <t>DEPOSIT  REFUND  FREDRIC</t>
  </si>
  <si>
    <t>DEPOSIT REFUND  FOR  PATRIC KIBUGI</t>
  </si>
  <si>
    <t>PAID ON 14 DEC 2015</t>
  </si>
  <si>
    <t xml:space="preserve">LOAN </t>
  </si>
  <si>
    <t>CASH STATEMENT FOR RENT IN: DEC 2015</t>
  </si>
  <si>
    <t>PAID ON 22 DEC 2015</t>
  </si>
  <si>
    <t>MONTHLY TENURE</t>
  </si>
  <si>
    <t>JAN</t>
  </si>
  <si>
    <t>FEB</t>
  </si>
  <si>
    <t>MAR</t>
  </si>
  <si>
    <t>APR</t>
  </si>
  <si>
    <t>JUN</t>
  </si>
  <si>
    <t>TO EVICT</t>
  </si>
  <si>
    <t>……………….</t>
  </si>
  <si>
    <t xml:space="preserve">LOAN  PREMIER </t>
  </si>
  <si>
    <t xml:space="preserve">TOTAL  </t>
  </si>
  <si>
    <t xml:space="preserve">NET   </t>
  </si>
  <si>
    <t>PAID  ON   13/1/2015</t>
  </si>
  <si>
    <t>CASH STATEMENT FOR RENT IN: JAN 2016</t>
  </si>
  <si>
    <t>Depo  RFD Zadock kyavia</t>
  </si>
  <si>
    <t>depo ref Fredrick omondi</t>
  </si>
  <si>
    <t>.</t>
  </si>
  <si>
    <t xml:space="preserve">  </t>
  </si>
  <si>
    <t>MILCAZEDEC O</t>
  </si>
  <si>
    <t>GENUS  GITONGA</t>
  </si>
  <si>
    <t>Depo  REF</t>
  </si>
  <si>
    <t>depo ref  NELLY</t>
  </si>
  <si>
    <t>NELSON EGESA</t>
  </si>
  <si>
    <t>PAID  10/3/2016</t>
  </si>
  <si>
    <t>NEW</t>
  </si>
  <si>
    <t>NEEMA  RECOVERY</t>
  </si>
  <si>
    <t>CASH STATEMENT FOR RENT IN: APRIL 2016</t>
  </si>
  <si>
    <t>PAID  ON 20/3/2016</t>
  </si>
  <si>
    <t>CASH STATEMENT FOR RENT IN: MARCH 2016</t>
  </si>
  <si>
    <t>JOHN ERIKING</t>
  </si>
  <si>
    <t>DENIS  OUMA</t>
  </si>
  <si>
    <t>ELIZABE  DUNG</t>
  </si>
  <si>
    <t>DELVINE MWENDWA</t>
  </si>
  <si>
    <t>MARTINE  NJENGA</t>
  </si>
  <si>
    <t>Hesbon Obongo</t>
  </si>
  <si>
    <t>Kithuka Mwina</t>
  </si>
  <si>
    <t>LYNET Musambai</t>
  </si>
  <si>
    <t>gitobu</t>
  </si>
  <si>
    <t>martine gard</t>
  </si>
  <si>
    <t>musyoka muthoka</t>
  </si>
  <si>
    <t>lubo demo lubo</t>
  </si>
  <si>
    <t>cared</t>
  </si>
  <si>
    <t>CASH STATEMENT FOR RENT IN: MAY  2016</t>
  </si>
  <si>
    <t>SUMMARY</t>
  </si>
  <si>
    <t xml:space="preserve">DETAILS </t>
  </si>
  <si>
    <t xml:space="preserve">CR </t>
  </si>
  <si>
    <t>DR</t>
  </si>
  <si>
    <t>BL</t>
  </si>
  <si>
    <t>MAY  REMITANCE</t>
  </si>
  <si>
    <t xml:space="preserve">COMMISION  </t>
  </si>
  <si>
    <t>PAYMENTS</t>
  </si>
  <si>
    <t>Amos Waweru</t>
  </si>
  <si>
    <t>assetflow loan</t>
  </si>
  <si>
    <t>premier loan</t>
  </si>
  <si>
    <t>advance</t>
  </si>
  <si>
    <t>electricity labor</t>
  </si>
  <si>
    <t>Net PAID  ON 12/5/2016</t>
  </si>
  <si>
    <t>ASSETFLOW LOAN</t>
  </si>
  <si>
    <t>CASH STATEMENT FOR RENT IN:  JUNE  2016</t>
  </si>
  <si>
    <t>POLO</t>
  </si>
  <si>
    <t>LL</t>
  </si>
  <si>
    <t>CASH STATEMENT FOR RENT IN:  AUGUST   2016</t>
  </si>
  <si>
    <t>lemenguta…………………..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</si>
  <si>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</si>
  <si>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GRACE……………………</t>
  </si>
  <si>
    <t>CASH STATEMENT FOR RENT IN:  SEPTEMBER   2016</t>
  </si>
  <si>
    <t>CHIEF TO REV MORRIs</t>
  </si>
  <si>
    <t>DEPOSIT  DAPHEN AKOTH</t>
  </si>
  <si>
    <t>`</t>
  </si>
  <si>
    <t>CASH STATEMENT FOR RENT IN:  OCT   2016</t>
  </si>
  <si>
    <t>MUTHEKA MUTETI</t>
  </si>
  <si>
    <t>SILVANAS  MANOA</t>
  </si>
  <si>
    <t>DENNIS  OKILI</t>
  </si>
  <si>
    <t>LOAN B</t>
  </si>
  <si>
    <t>GRACE……………</t>
  </si>
  <si>
    <t>…………</t>
  </si>
  <si>
    <t>DEPOSIT  REFUND</t>
  </si>
  <si>
    <t>CASH STATEMENT FOR RENT IN:   NOVEMBER   2016</t>
  </si>
  <si>
    <t>PAID ON 14/11/2016</t>
  </si>
  <si>
    <t>PAID  ON 17/11/2016</t>
  </si>
  <si>
    <t>DEPOSITS</t>
  </si>
  <si>
    <t>ORINA/ELIZABETH NDUNDA</t>
  </si>
  <si>
    <t>DELFINE</t>
  </si>
  <si>
    <t>SILVANAS  MANOA/RUMO DEMO</t>
  </si>
  <si>
    <t>cared OMINDO</t>
  </si>
  <si>
    <t>SEPT</t>
  </si>
  <si>
    <t>MATHEKA</t>
  </si>
  <si>
    <t>DEDUCTION</t>
  </si>
  <si>
    <t>TOTAL PAID</t>
  </si>
  <si>
    <t>ERICK MAKON/SOLOMON</t>
  </si>
  <si>
    <t xml:space="preserve">LEMENGUTA  SAMMAY  OF   DEPOSIT   </t>
  </si>
  <si>
    <t>FROM JAN- NOV</t>
  </si>
  <si>
    <t>CASH STATEMENT FOR RENT IN:   DECEMBER    2016</t>
  </si>
  <si>
    <t xml:space="preserve">                                           </t>
  </si>
  <si>
    <t>PAID  ON 13/12/2016</t>
  </si>
  <si>
    <t>HSE  NO 27  DEPT</t>
  </si>
  <si>
    <t>CASH STATEMENT FOR RENT IN:   JANUARY    2017</t>
  </si>
  <si>
    <t>PAID  ON 12/1/2017</t>
  </si>
  <si>
    <t>CASH STATEMENT FOR RENT IN:   FEBRUARY    2017</t>
  </si>
  <si>
    <t>LESS NO 12</t>
  </si>
  <si>
    <t>PAID  ON 11/2/2016</t>
  </si>
  <si>
    <t xml:space="preserve">NEW </t>
  </si>
  <si>
    <t>vancat</t>
  </si>
  <si>
    <t>JOSEPH OTIENO</t>
  </si>
  <si>
    <t>DAPHEN AKOTH</t>
  </si>
  <si>
    <t>deposit  house  n</t>
  </si>
  <si>
    <t>verinoca  bl</t>
  </si>
  <si>
    <t>feb over payment</t>
  </si>
  <si>
    <t>CASH STATEMENT FOR RENT IN:   MARCH    2017</t>
  </si>
  <si>
    <t>CASH STATEMENT FOR RENT IN:   APRIL   2017</t>
  </si>
  <si>
    <t>PAID  ON 11/4/2016</t>
  </si>
  <si>
    <t>koji</t>
  </si>
  <si>
    <t>bf</t>
  </si>
  <si>
    <t>CASH STATEMENT FOR RENT IN:   MAY  2017</t>
  </si>
  <si>
    <t>PAID  ON 12/3/2016</t>
  </si>
  <si>
    <t>*</t>
  </si>
  <si>
    <t>CAREB</t>
  </si>
  <si>
    <t>CASH STATEMENT FOR RENT MAY  2017</t>
  </si>
  <si>
    <t>CATHERINE</t>
  </si>
  <si>
    <t>UNDER PAID</t>
  </si>
  <si>
    <t>PREVIOUS  DEPOSIT</t>
  </si>
  <si>
    <t>PAID  ON 13/6/2017</t>
  </si>
  <si>
    <t>PAID  ON 27/6/2017</t>
  </si>
  <si>
    <t>PAID ON 29/6/17</t>
  </si>
  <si>
    <t>ROYALTY BL</t>
  </si>
  <si>
    <t>BF</t>
  </si>
  <si>
    <t>FREDRICK NGATIA</t>
  </si>
  <si>
    <t>THEORETICAL</t>
  </si>
  <si>
    <t>JOASH</t>
  </si>
  <si>
    <t>PAID  ON  19/7/2017</t>
  </si>
  <si>
    <t>DENIS OMARE</t>
  </si>
  <si>
    <t>ERICK MOMANYI</t>
  </si>
  <si>
    <t>APOKO</t>
  </si>
  <si>
    <t>PHILIP</t>
  </si>
  <si>
    <t>NICHOLAS KILONZO</t>
  </si>
  <si>
    <t>CARETAKER</t>
  </si>
  <si>
    <t>DAPHET</t>
  </si>
  <si>
    <t>KITHUKA MWINA</t>
  </si>
  <si>
    <t>VACATED</t>
  </si>
  <si>
    <t>JOSHUA KAMINDO</t>
  </si>
  <si>
    <t>MICHAEL OCHIENG</t>
  </si>
  <si>
    <t>new</t>
  </si>
  <si>
    <t>deposit</t>
  </si>
  <si>
    <t>17/8/2017</t>
  </si>
  <si>
    <t>22/8/2017</t>
  </si>
  <si>
    <t>28/8/2016</t>
  </si>
  <si>
    <t>GEOFREY</t>
  </si>
  <si>
    <t>=</t>
  </si>
  <si>
    <t>CASH STATEMENT FOR RENT AUGUST  2017</t>
  </si>
  <si>
    <t>ON DEPOSIT NO 7&amp; 16</t>
  </si>
  <si>
    <t>PAYMENT  ON 13/10/2017</t>
  </si>
  <si>
    <t>CASH STATEMENT FOR RENT SEPT 2017</t>
  </si>
  <si>
    <t>JOSEPH  OLOO</t>
  </si>
  <si>
    <t>FREDRIC OMBAJO</t>
  </si>
  <si>
    <t>CAROLINE</t>
  </si>
  <si>
    <t>CASH STATEMENT FOR RENT NOV  2017</t>
  </si>
  <si>
    <t>PAID  ON 13/11/2017</t>
  </si>
  <si>
    <t>CATHELINE</t>
  </si>
  <si>
    <t>AMBUKA</t>
  </si>
  <si>
    <t>BRIAN SIMIYU</t>
  </si>
  <si>
    <t>paid  ON 11/12/2017</t>
  </si>
  <si>
    <t xml:space="preserve">two   pple  deposit </t>
  </si>
  <si>
    <t>paid   on  11/12/</t>
  </si>
  <si>
    <t>no  25 , 29</t>
  </si>
  <si>
    <t>CASH STATEMENT FOR RENT DEC  2017</t>
  </si>
  <si>
    <t>DEC  REMITANCE</t>
  </si>
  <si>
    <t>DEC REMITANCE</t>
  </si>
  <si>
    <t>COMM</t>
  </si>
  <si>
    <t>CHARLES</t>
  </si>
  <si>
    <t>MICHAEL</t>
  </si>
  <si>
    <t>JOSEPH</t>
  </si>
  <si>
    <t>KILONZO</t>
  </si>
  <si>
    <t>FREDRICK</t>
  </si>
  <si>
    <t>LAWEE</t>
  </si>
  <si>
    <t>JOSEPH OLOO</t>
  </si>
  <si>
    <t>EMILY</t>
  </si>
  <si>
    <t>KHASOA</t>
  </si>
  <si>
    <t xml:space="preserve">VACCANT </t>
  </si>
  <si>
    <t>JOSEPHINE</t>
  </si>
  <si>
    <t>CHARITY</t>
  </si>
  <si>
    <t>ULBUNUS</t>
  </si>
  <si>
    <t xml:space="preserve">ERIC </t>
  </si>
  <si>
    <t>DELVINE</t>
  </si>
  <si>
    <t>HESBON</t>
  </si>
  <si>
    <t>PHILLIP</t>
  </si>
  <si>
    <t>KITHUKA</t>
  </si>
  <si>
    <t>GENIOUS</t>
  </si>
  <si>
    <t>KAMINDO</t>
  </si>
  <si>
    <t xml:space="preserve">JESSE </t>
  </si>
  <si>
    <t>CALEB</t>
  </si>
  <si>
    <t>CASH STATEMENT FOR RENT JAN  2018</t>
  </si>
  <si>
    <t>DELVINE/SOSI</t>
  </si>
  <si>
    <t>SOSI ASIAGO</t>
  </si>
  <si>
    <t>MAXWELL ASWANI</t>
  </si>
  <si>
    <t>SILAS KILONGI</t>
  </si>
  <si>
    <t>CASH STATEMENT FOR RENT FEB 2018</t>
  </si>
  <si>
    <t>PAID ON 12-02-2018</t>
  </si>
  <si>
    <t>ALEX OKORE</t>
  </si>
  <si>
    <t>GRACE………………………</t>
  </si>
  <si>
    <t>RUTH……………………</t>
  </si>
  <si>
    <t>GEOFREY ABUKA</t>
  </si>
  <si>
    <t>LINET MUROOHI</t>
  </si>
  <si>
    <t>DEP. REFUND</t>
  </si>
  <si>
    <t>VACCANT</t>
  </si>
  <si>
    <t>CASH STATEMENT FOR RENT MARCH 2018</t>
  </si>
  <si>
    <t xml:space="preserve"> JOSEPHINE KHASOA</t>
  </si>
  <si>
    <t>PAID 12/3/18</t>
  </si>
  <si>
    <t>DEPOSIT(13,19)</t>
  </si>
  <si>
    <t>DEP.</t>
  </si>
  <si>
    <t xml:space="preserve">   </t>
  </si>
  <si>
    <t>ERIC-CIVIL</t>
  </si>
  <si>
    <t>CASH STATEMENT FOR RENT APRIL 2018</t>
  </si>
  <si>
    <t xml:space="preserve">HESBON </t>
  </si>
  <si>
    <t>JOASH OMONDI</t>
  </si>
  <si>
    <t>GODFREY ABUKA</t>
  </si>
  <si>
    <t>ULBUNUS MUSYOKA</t>
  </si>
  <si>
    <t>EMILY MINAYO</t>
  </si>
  <si>
    <t>ZEPHANIAH APOKO</t>
  </si>
  <si>
    <t>MICHAEL OJWADO</t>
  </si>
  <si>
    <t>GENIOUS GITONGA</t>
  </si>
  <si>
    <t>MILTON ZALEKA</t>
  </si>
  <si>
    <t>RENT STATEMENT FOR MAY 2018</t>
  </si>
  <si>
    <t>STEPHEN MUGENI</t>
  </si>
  <si>
    <t>RENT STATEMENT FOR JUNE 2018</t>
  </si>
  <si>
    <t>TO VACCATE</t>
  </si>
  <si>
    <t>JUNE</t>
  </si>
  <si>
    <t>DEPOSIT REFUND-8</t>
  </si>
  <si>
    <t>LETTING FEE</t>
  </si>
  <si>
    <t>OXFORD OLIK</t>
  </si>
  <si>
    <t>RENT STATEMENT FOR JULY 2018</t>
  </si>
  <si>
    <t>CAROLINE//FREDRICK</t>
  </si>
  <si>
    <t>JESSE MAINA</t>
  </si>
  <si>
    <t>CALEB OMINDO</t>
  </si>
  <si>
    <t>LEMENGUTA…………………….</t>
  </si>
  <si>
    <t>RUTH………………………</t>
  </si>
  <si>
    <t>ROBERT MUTUNGA</t>
  </si>
  <si>
    <t>MUTESI ALAINE</t>
  </si>
  <si>
    <t xml:space="preserve">LETTING FEE </t>
  </si>
  <si>
    <t>EVALYN OCHICHI</t>
  </si>
  <si>
    <t>AUG</t>
  </si>
  <si>
    <t xml:space="preserve">AUG </t>
  </si>
  <si>
    <t>RICKY OKORE</t>
  </si>
  <si>
    <t>LYNE OGINGA</t>
  </si>
  <si>
    <t>RENT STATEMENT FOR AUGUST 2018</t>
  </si>
  <si>
    <t>STEPHEN MUGENI-JULY</t>
  </si>
  <si>
    <t>BYIRINGIRO BONCK</t>
  </si>
  <si>
    <t>NICHOLAS 17, JULY</t>
  </si>
  <si>
    <t>RENT STATEMENT FOR SEPTEMBER 2018</t>
  </si>
  <si>
    <t>SEP</t>
  </si>
  <si>
    <t>AMOS OCHIENG</t>
  </si>
  <si>
    <t>DORCAS ATIENO</t>
  </si>
  <si>
    <t>KENNEDY TIROP</t>
  </si>
  <si>
    <t>RENT STATEMENT FOR OCTOBER 2018</t>
  </si>
  <si>
    <t>OCT</t>
  </si>
  <si>
    <t>NYOKABI……………………………………………..</t>
  </si>
  <si>
    <t>PATRICK WANDERA</t>
  </si>
  <si>
    <t xml:space="preserve">DENIS </t>
  </si>
  <si>
    <t>NOV</t>
  </si>
  <si>
    <t xml:space="preserve">RENT STATEMENT </t>
  </si>
  <si>
    <t>FOR THE MONTH OF NOVEMBER 2018</t>
  </si>
  <si>
    <t>MARGARET ANYANGO</t>
  </si>
  <si>
    <t xml:space="preserve"> 29/11/18</t>
  </si>
  <si>
    <t>JOSEPH MAMBO</t>
  </si>
  <si>
    <t>ERICK SILA</t>
  </si>
  <si>
    <t>FOR THE MONTH OF DECEMBER 2018</t>
  </si>
  <si>
    <t>DEC</t>
  </si>
  <si>
    <t>PAID ON 12/12/18</t>
  </si>
  <si>
    <t>RUTH…………………………</t>
  </si>
  <si>
    <t>FOR THE MONTH OF JANUARY 2019</t>
  </si>
  <si>
    <t>DIANA DEPOSIT REFUND</t>
  </si>
  <si>
    <t xml:space="preserve">CAROLINE ONKOBA </t>
  </si>
  <si>
    <t>GEOFREY DEPOSIT REFUND</t>
  </si>
  <si>
    <t>EVALYN DEPOSIT REFUND</t>
  </si>
  <si>
    <t>PAID ON 12/1/19</t>
  </si>
  <si>
    <t>PAID ON 24/1/19</t>
  </si>
  <si>
    <t>FOR THE MONTH OF FEBRUARY 2019</t>
  </si>
  <si>
    <t>GETRUDE OMANO</t>
  </si>
  <si>
    <t>DOMINIC ESONGA</t>
  </si>
  <si>
    <t>HESBON OBONGI</t>
  </si>
  <si>
    <t>LAWEE ABONGO</t>
  </si>
  <si>
    <t>NYOKABI</t>
  </si>
  <si>
    <t>PAID ON 12/2/19</t>
  </si>
  <si>
    <t>FAITH GATURI</t>
  </si>
  <si>
    <t>PAID ON 19/2/19</t>
  </si>
  <si>
    <t>FOR THE MONTH OF MARCH 2019</t>
  </si>
  <si>
    <t>PAID ON 12/3/19</t>
  </si>
  <si>
    <t>PAINTING HSE 31</t>
  </si>
  <si>
    <t xml:space="preserve">EMILY AMAGOVE </t>
  </si>
  <si>
    <t>DUNCAN OJIAMBO</t>
  </si>
  <si>
    <t>FOR THE MONTH OF APRIL  2019</t>
  </si>
  <si>
    <t>PAID ON 12/4/19</t>
  </si>
  <si>
    <t>SHADRACK CECIL</t>
  </si>
  <si>
    <t>PAID ON 23/4/19</t>
  </si>
  <si>
    <t>PAINTING HSE NO. 28</t>
  </si>
  <si>
    <t>FOR THE MONTH OF MAY  2019</t>
  </si>
  <si>
    <t xml:space="preserve">BONCK </t>
  </si>
  <si>
    <t>PAID ON 10/5/19</t>
  </si>
  <si>
    <t>FRANCIS KWOBA</t>
  </si>
  <si>
    <t>SELLY CHERUTO</t>
  </si>
  <si>
    <t>PAID ON 15/5/19</t>
  </si>
  <si>
    <t>ISMAEL NDICHU</t>
  </si>
  <si>
    <t xml:space="preserve">JUNE </t>
  </si>
  <si>
    <t>FOR THE MONTH OF JUNE 2019</t>
  </si>
  <si>
    <t>ADVANCE ON 1/6/19</t>
  </si>
  <si>
    <t>LL500</t>
  </si>
  <si>
    <t>PAID ON 12/6/19</t>
  </si>
  <si>
    <t>PAID ON 18/6/19</t>
  </si>
  <si>
    <t>DENIS OMBETA</t>
  </si>
  <si>
    <t>DEPOSIT REFUND-EMILY</t>
  </si>
  <si>
    <t>PAID ON 12/7/19</t>
  </si>
  <si>
    <t>AS AT 12TH  OF JULY 2019</t>
  </si>
  <si>
    <t>FOR THE MONTH OF AUG 2019</t>
  </si>
  <si>
    <t>REPAIR</t>
  </si>
  <si>
    <t xml:space="preserve">DEPOSIT </t>
  </si>
  <si>
    <t>LETTING  FEE</t>
  </si>
  <si>
    <t xml:space="preserve">PAID 12/8/2019 </t>
  </si>
  <si>
    <t>BENARD KIBET</t>
  </si>
  <si>
    <t>DAPHEN RAMONGO</t>
  </si>
  <si>
    <t>PATRICK ADVANCE</t>
  </si>
  <si>
    <t>VACCATED</t>
  </si>
  <si>
    <t>FRANCIS</t>
  </si>
  <si>
    <t>PETR NJOROGE</t>
  </si>
  <si>
    <t>VINCENT MAKOKHA</t>
  </si>
  <si>
    <t>FOR THE MONTH OF SEPT 2019</t>
  </si>
  <si>
    <t>ADVANCE 9/9</t>
  </si>
  <si>
    <t>FRANCIS&amp;ombeta</t>
  </si>
  <si>
    <t>PAID ON 12/9</t>
  </si>
  <si>
    <t>FLORENCE</t>
  </si>
  <si>
    <t>Received by</t>
  </si>
  <si>
    <t>BYIRINGIRO ESPOIR</t>
  </si>
  <si>
    <t>Received By….</t>
  </si>
  <si>
    <t>DEPOSIT REFUND(ROBERT)</t>
  </si>
  <si>
    <t>FOR THE MONTH OF OCTOBER 2019</t>
  </si>
  <si>
    <t>ADVANCE 26/9</t>
  </si>
  <si>
    <t xml:space="preserve">SELLY /VINCENT </t>
  </si>
  <si>
    <t>PETER NJOROGE</t>
  </si>
  <si>
    <t>DEPOSIT REFUND JOASH</t>
  </si>
  <si>
    <t>PAID ON 11/10</t>
  </si>
  <si>
    <t>vaccated</t>
  </si>
  <si>
    <t>PETER NJOROGE NO.28</t>
  </si>
  <si>
    <t>HOUSE REPAIR</t>
  </si>
  <si>
    <t>FOR THE MONTH OF NOVEMBER 2019</t>
  </si>
  <si>
    <t>PAID ON 9/11/19</t>
  </si>
  <si>
    <t>LEMENGUTA(ELECTRICITY)</t>
  </si>
  <si>
    <t>FOR THE MONTH OF DECEMBER 2019</t>
  </si>
  <si>
    <t>DOOR REPAIR NYOKABI ON 25/11</t>
  </si>
  <si>
    <t>DENNIS OMBETA</t>
  </si>
  <si>
    <t>SELLY/VINCENT</t>
  </si>
  <si>
    <t>NYOKABI(MWANGI)ON 2/12</t>
  </si>
  <si>
    <t>MORIS OUMA</t>
  </si>
  <si>
    <t>PAID ON 9/12</t>
  </si>
  <si>
    <t>LILIAN KHELERE</t>
  </si>
  <si>
    <t>PAID ON 11/12</t>
  </si>
  <si>
    <t>FOR THE MONTH OF JANUARY 2020</t>
  </si>
  <si>
    <t>PAID ON 1/1</t>
  </si>
  <si>
    <t>PAID ON 9/1/2020</t>
  </si>
  <si>
    <t>JOHN MUTHUI</t>
  </si>
  <si>
    <t>ZACHAUS OWOUR</t>
  </si>
  <si>
    <t>PAID ON 15/1</t>
  </si>
  <si>
    <t>PAID ON 20/1</t>
  </si>
  <si>
    <t>FOR THE MONTH OF FEBRUARY 2020</t>
  </si>
  <si>
    <t>FEBRUARY</t>
  </si>
  <si>
    <t>PAID ON 23/1</t>
  </si>
  <si>
    <t>PAID ON  25/1</t>
  </si>
  <si>
    <t>EVICTED</t>
  </si>
  <si>
    <t>MARYKELVIN</t>
  </si>
  <si>
    <t>EDWIN OKODE</t>
  </si>
  <si>
    <t>KARURI MARTIN</t>
  </si>
  <si>
    <t>PAID ON 8/2/2020</t>
  </si>
  <si>
    <t>PAID ON 24/2</t>
  </si>
  <si>
    <t>ELECTRICITY REPAIR</t>
  </si>
  <si>
    <t>paid on 24/2</t>
  </si>
  <si>
    <t>FOR THE MONTH OF MARCH 2020</t>
  </si>
  <si>
    <t>PAID ON 10/3</t>
  </si>
  <si>
    <t>FOR THE MONTH OF APRIL 2020</t>
  </si>
  <si>
    <t>PAID ON26/3</t>
  </si>
  <si>
    <t>SAND+CEMENT +LABOUR</t>
  </si>
  <si>
    <t>PAID ON 13/4</t>
  </si>
  <si>
    <t>PAID ON 14/4</t>
  </si>
  <si>
    <t>LL=1600</t>
  </si>
  <si>
    <t>ELECTRICITY 0N 20/4</t>
  </si>
  <si>
    <t>ON DEPOSIT</t>
  </si>
  <si>
    <t>JESSE ON DEPOSIT</t>
  </si>
  <si>
    <t>PAID ON 25/4</t>
  </si>
  <si>
    <t>FOR THE MONTH OF MAY  2020</t>
  </si>
  <si>
    <t>AT HOME</t>
  </si>
  <si>
    <t>AWAY</t>
  </si>
  <si>
    <t>NOT AVAILABLE</t>
  </si>
  <si>
    <t>TO PAY WHEN THEY GET MONEY</t>
  </si>
  <si>
    <t>TO PAY ON 5/5</t>
  </si>
  <si>
    <t>PAID ON8/5</t>
  </si>
  <si>
    <t>PAID ON 11/5</t>
  </si>
  <si>
    <t>PAID ON 21/5</t>
  </si>
  <si>
    <t>FOR THE MONTH OF JUNE 2020</t>
  </si>
  <si>
    <t>PAID ON 11/6</t>
  </si>
  <si>
    <t>NOTICE</t>
  </si>
  <si>
    <t>MARTIN 31 EVICTED</t>
  </si>
  <si>
    <t>VINCENT 19 EVICTED</t>
  </si>
  <si>
    <t>JOSEPH 18 AT HOME</t>
  </si>
  <si>
    <t>ZACHAAUS VACCATED</t>
  </si>
  <si>
    <t>MARTINAT HOME</t>
  </si>
  <si>
    <t>JOHN MUTHUI VACCATED</t>
  </si>
  <si>
    <t>MARTIN AT HOME</t>
  </si>
  <si>
    <t>MORIS 28 VACCATED</t>
  </si>
  <si>
    <t>KEVIN</t>
  </si>
  <si>
    <t>BENSON MUSAMBAI</t>
  </si>
  <si>
    <t>EDWIN 6 VACCATED</t>
  </si>
  <si>
    <t>ANTONY MAKHOHA 8 ON DEP</t>
  </si>
  <si>
    <t>VINCENT 19 DEPO(EVICTED)</t>
  </si>
  <si>
    <t>PAID ON 10/7/2020</t>
  </si>
  <si>
    <t xml:space="preserve">COLLINS </t>
  </si>
  <si>
    <t>PAID ON 17/7</t>
  </si>
  <si>
    <t>FOR THE MONTH OF AUGUST 2020</t>
  </si>
  <si>
    <t>COLLINS KINYOSI</t>
  </si>
  <si>
    <t>DEPOSIT NO31&amp;28</t>
  </si>
  <si>
    <t>KENNEDY OMONDI</t>
  </si>
  <si>
    <t>PAID ON 10/8</t>
  </si>
  <si>
    <t>DEPOSIT NO26</t>
  </si>
  <si>
    <t>DAPHETH AKOTH</t>
  </si>
  <si>
    <t>FOR THE MONTH OF SEPTEMBER 2020</t>
  </si>
  <si>
    <t>JOSEPH NO.5</t>
  </si>
  <si>
    <t>PAID ON  1/9</t>
  </si>
  <si>
    <t>PAID ON 10/9</t>
  </si>
  <si>
    <t>FOR THE MONTH OF OCTOBER 2020</t>
  </si>
  <si>
    <t>PAID ON 21/9</t>
  </si>
  <si>
    <t>DEPOSIT NO30</t>
  </si>
  <si>
    <t>PAID ON 21/9MABATI</t>
  </si>
  <si>
    <t>PAID ON 10/10</t>
  </si>
  <si>
    <t>PAID ON 12/10</t>
  </si>
  <si>
    <t>BENIGINA MUTHOKI</t>
  </si>
  <si>
    <t>PAID  16/10</t>
  </si>
  <si>
    <t>PAID  17/10</t>
  </si>
  <si>
    <t>FOR THE MONTH OF NOVEMBER 2020</t>
  </si>
  <si>
    <t>JOSEPH PAID LL</t>
  </si>
  <si>
    <t>JOSEPH NO.18</t>
  </si>
  <si>
    <t>JOSEPH18 PAID LL</t>
  </si>
  <si>
    <t>JOSEPH VACCATED</t>
  </si>
  <si>
    <t>DEPOSIT NO8</t>
  </si>
  <si>
    <t>PAID ON 11/11</t>
  </si>
  <si>
    <t>KARUMA NO 31</t>
  </si>
  <si>
    <t>FOR THE MONTH OF DECEMBER  2020</t>
  </si>
  <si>
    <t>PAID ON 28/11</t>
  </si>
  <si>
    <t>vaccant</t>
  </si>
  <si>
    <t>PAID ON 10/12</t>
  </si>
  <si>
    <t>FOR THE MONTH OF JANUARY  2021</t>
  </si>
  <si>
    <t>ODHIAMBO DENNIS</t>
  </si>
  <si>
    <t>PAID ON 4/1</t>
  </si>
  <si>
    <t xml:space="preserve">SAMUEL </t>
  </si>
  <si>
    <t>DEPOSIT NO8,32,33,19</t>
  </si>
  <si>
    <t>PAINT+PAINTING LABOUR</t>
  </si>
  <si>
    <t>BERNARD KIBET</t>
  </si>
  <si>
    <t>PAID ON 11/1</t>
  </si>
  <si>
    <t>QUINTER AMALI</t>
  </si>
  <si>
    <t>DEBORAH AUNGA</t>
  </si>
  <si>
    <t>PAID ON  23/1</t>
  </si>
  <si>
    <t>FOR THE MONTH OF FEBRUARY  2021</t>
  </si>
  <si>
    <t>MARY MUTINDI</t>
  </si>
  <si>
    <t>JESCA H ESOGAA</t>
  </si>
  <si>
    <t>PAID ON 10/2</t>
  </si>
  <si>
    <t>NO.27 VACCATED</t>
  </si>
  <si>
    <t>DEPOSIT NO29;27+32</t>
  </si>
  <si>
    <t>SOCKET+BULB HOLDER+LABOUR</t>
  </si>
  <si>
    <t>PAID ON 26/2</t>
  </si>
  <si>
    <t>FOR THE MONTH OF MARCH  2021</t>
  </si>
  <si>
    <t>JAMES WANJIRA</t>
  </si>
  <si>
    <t>ERIC OCHIENG</t>
  </si>
  <si>
    <t>PAID ON 6/3</t>
  </si>
  <si>
    <t>DEPOSIT NO.33,29,30</t>
  </si>
  <si>
    <t>PAID ON 16/3</t>
  </si>
  <si>
    <t>FOR THE MONTH OF APRIL  2021</t>
  </si>
  <si>
    <t>DEP REFUND DENNIS 32</t>
  </si>
  <si>
    <t>DEPOSIT NO.,30</t>
  </si>
  <si>
    <t>DEBORAH  ARUNGA</t>
  </si>
  <si>
    <t>PAID ON 10/4</t>
  </si>
  <si>
    <t>FOR THE MONTH OF MAY  2021</t>
  </si>
  <si>
    <t>ZEPHANIAH VACCATED</t>
  </si>
  <si>
    <t>LEVIS  OBARA</t>
  </si>
  <si>
    <t>DEPOSIT NO.,30,12</t>
  </si>
  <si>
    <t>PAID ON 23/4</t>
  </si>
  <si>
    <t>PAID ON 29/4</t>
  </si>
  <si>
    <t>JAMES NO.32 EVICTED</t>
  </si>
  <si>
    <t>PAID ON 10/5</t>
  </si>
  <si>
    <t>FOR THE MONTH OF JUNE  2021</t>
  </si>
  <si>
    <t>DAVID OUMA</t>
  </si>
  <si>
    <t>JOSEPH OTIENO NO.18 VACCATED</t>
  </si>
  <si>
    <t>PAID ON 22/5</t>
  </si>
  <si>
    <t>PAID ON 25/5</t>
  </si>
  <si>
    <t>MEJUMAA MOHAMMED</t>
  </si>
  <si>
    <t>MILKA ATIENO</t>
  </si>
  <si>
    <t>KELVIN STEPHEN</t>
  </si>
  <si>
    <t>DEPOSIT NO.,6,33</t>
  </si>
  <si>
    <t>NO.18 BED</t>
  </si>
  <si>
    <t>ARREARS</t>
  </si>
  <si>
    <t>TO BE SOLD</t>
  </si>
  <si>
    <t>BAL LL</t>
  </si>
  <si>
    <t>DEP</t>
  </si>
  <si>
    <t>DEPOSIT REFUND NO.6 DEBORAH</t>
  </si>
  <si>
    <t>PAID ON 08/6</t>
  </si>
  <si>
    <t>FOR THE MONTH OF JULY  2021</t>
  </si>
  <si>
    <t>ARREARSNO 18</t>
  </si>
  <si>
    <t>DEPOSIT NO.2,18,32</t>
  </si>
  <si>
    <t>TO BE PAID EVERY MONTH 2000</t>
  </si>
  <si>
    <t>PAID ON 9/7</t>
  </si>
  <si>
    <t>FOR THE MONTH OF AUGUST   2021</t>
  </si>
  <si>
    <t>PAID ON 27/8</t>
  </si>
  <si>
    <t>MARK LUSWETI</t>
  </si>
  <si>
    <t>PAID ON 26/8</t>
  </si>
  <si>
    <t>DEPOSIT NO.,18,6</t>
  </si>
  <si>
    <t>HILLARY KHAKALA</t>
  </si>
  <si>
    <t>DEPOSIT NO.,28,</t>
  </si>
  <si>
    <t>FOR THE MONTH OF SEPTEMBER   2021</t>
  </si>
  <si>
    <t>JOHNSTONE KHAMATI</t>
  </si>
  <si>
    <t>PAID ON 9/9</t>
  </si>
  <si>
    <t>PAID ON 16/9</t>
  </si>
  <si>
    <t>FOR THE MONTH OF OCTOBER   2021</t>
  </si>
  <si>
    <t>ESTHER WAMBUI</t>
  </si>
  <si>
    <t>JUDIS KWAMBOKA</t>
  </si>
  <si>
    <t>RONALD ONCHAGA</t>
  </si>
  <si>
    <t>DEPOSIT NO.,24,13,20</t>
  </si>
  <si>
    <t>LINET VACCATED</t>
  </si>
  <si>
    <t>PAID ON 20/9</t>
  </si>
  <si>
    <t>PAID ON 7/10</t>
  </si>
  <si>
    <t>ULBUNUS MUSYOKI</t>
  </si>
  <si>
    <t>RENT STATEMENT FOR THE MONTH OF NOVEMBER   2021</t>
  </si>
  <si>
    <t>WYCLIFFE ONYANGO OKU</t>
  </si>
  <si>
    <t>PAID ON 3/11</t>
  </si>
  <si>
    <t>PAID ON 10/11</t>
  </si>
  <si>
    <t>VITALIS NDAVI MUSANGO</t>
  </si>
  <si>
    <t>PAID ON 26/11</t>
  </si>
  <si>
    <t>RENT STATEMENT FOR THE MONTH OF DECEMBER  2021</t>
  </si>
  <si>
    <t>EMMANUEL NANDWA</t>
  </si>
  <si>
    <t>PAID ON 17/11</t>
  </si>
  <si>
    <t>DEPOSIT NO.,,20,2</t>
  </si>
  <si>
    <t>DEPOSIT NO.,7,2</t>
  </si>
  <si>
    <t>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</si>
</sst>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;\-#,##0.00"/>
    <numFmt numFmtId="165" formatCode="_(* #,##0_);_(* \(#,##0\);_(* &quot;-&quot;??_);_(@_)"/>
  </numFmts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8"/>
      <color rgb="FFFF0000"/>
      <name val="Times New Roman"/>
      <family val="1"/>
    </font>
    <font>
      <sz val="8"/>
      <color rgb="FFFF0000"/>
      <name val="Times New Roman"/>
      <family val="1"/>
    </font>
    <font>
      <b/>
      <u/>
      <sz val="9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u val="singleAccounting"/>
      <sz val="8"/>
      <color rgb="FF0070C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1A8600"/>
      <name val="Times New Roman"/>
      <family val="1"/>
    </font>
    <font>
      <b/>
      <sz val="11"/>
      <color rgb="FF0000FF"/>
      <name val="Times New Roman"/>
      <family val="1"/>
    </font>
    <font>
      <sz val="11"/>
      <color rgb="FF984806"/>
      <name val="Franklin Gothic Demi Cond"/>
      <family val="2"/>
    </font>
    <font>
      <b/>
      <sz val="9"/>
      <color rgb="FF0070C0"/>
      <name val="Times New Roman"/>
      <family val="1"/>
    </font>
    <font>
      <b/>
      <vertAlign val="superscript"/>
      <sz val="9"/>
      <color rgb="FF0070C0"/>
      <name val="Times New Roman"/>
      <family val="1"/>
    </font>
    <font>
      <b/>
      <i/>
      <sz val="10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 val="double"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8"/>
      <color rgb="FFFF0000"/>
      <name val="Calibri Light"/>
      <family val="1"/>
      <scheme val="maj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b/>
      <u val="double"/>
      <sz val="12"/>
      <color rgb="FF00B05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 val="singleAccounting"/>
      <sz val="8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 val="singleAccounting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  <font>
      <b/>
      <sz val="11"/>
      <name val="Calibri"/>
      <family val="2"/>
      <scheme val="minor"/>
    </font>
    <font>
      <u/>
      <sz val="9"/>
      <color rgb="FFFF0000"/>
      <name val="Calibri Light"/>
      <family val="1"/>
      <scheme val="major"/>
    </font>
    <font>
      <sz val="9"/>
      <color theme="1"/>
      <name val="Times New Roman"/>
      <family val="1"/>
    </font>
    <font>
      <sz val="9"/>
      <name val="Calibri"/>
      <family val="2"/>
      <scheme val="minor"/>
    </font>
    <font>
      <sz val="9"/>
      <color rgb="FFFF0000"/>
      <name val="Times New Roman"/>
      <family val="1"/>
    </font>
    <font>
      <sz val="9"/>
      <name val="Times New Roman"/>
      <family val="1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9"/>
      <name val="Calibri"/>
      <family val="2"/>
      <scheme val="minor"/>
    </font>
    <font>
      <b/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Times New Roman"/>
      <family val="1"/>
    </font>
    <font>
      <u/>
      <sz val="8"/>
      <name val="Calibri"/>
      <family val="2"/>
      <scheme val="minor"/>
    </font>
    <font>
      <b/>
      <sz val="8"/>
      <color rgb="FFFF0000"/>
      <name val="Times New Roman"/>
      <family val="1"/>
    </font>
    <font>
      <b/>
      <sz val="8"/>
      <name val="Arial Black"/>
      <family val="2"/>
    </font>
    <font>
      <sz val="8"/>
      <name val="Arial Black"/>
      <family val="2"/>
    </font>
    <font>
      <b/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7">
    <xf numFmtId="0" fontId="0" fillId="0" borderId="0" xfId="0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4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3" fillId="0" borderId="0" xfId="0" applyFont="1"/>
    <xf numFmtId="0" fontId="7" fillId="0" borderId="1" xfId="0" applyFont="1" applyBorder="1"/>
    <xf numFmtId="43" fontId="4" fillId="0" borderId="1" xfId="1" applyFont="1" applyBorder="1"/>
    <xf numFmtId="43" fontId="0" fillId="0" borderId="0" xfId="1" applyFont="1"/>
    <xf numFmtId="43" fontId="4" fillId="0" borderId="2" xfId="1" applyFont="1" applyFill="1" applyBorder="1"/>
    <xf numFmtId="0" fontId="8" fillId="0" borderId="0" xfId="0" applyFont="1" applyFill="1" applyBorder="1" applyAlignment="1">
      <alignment horizontal="center" vertical="center"/>
    </xf>
    <xf numFmtId="43" fontId="3" fillId="0" borderId="0" xfId="0" applyNumberFormat="1" applyFont="1"/>
    <xf numFmtId="43" fontId="9" fillId="0" borderId="0" xfId="1" applyFont="1"/>
    <xf numFmtId="43" fontId="0" fillId="0" borderId="0" xfId="0" applyNumberFormat="1"/>
    <xf numFmtId="43" fontId="10" fillId="0" borderId="0" xfId="1" applyFont="1"/>
    <xf numFmtId="43" fontId="11" fillId="0" borderId="0" xfId="1" applyFont="1"/>
    <xf numFmtId="0" fontId="8" fillId="0" borderId="0" xfId="0" applyFont="1"/>
    <xf numFmtId="49" fontId="4" fillId="0" borderId="0" xfId="1" applyNumberFormat="1" applyFont="1" applyFill="1" applyBorder="1" applyAlignment="1">
      <alignment horizontal="center" vertical="center"/>
    </xf>
    <xf numFmtId="43" fontId="3" fillId="0" borderId="0" xfId="1" applyFont="1"/>
    <xf numFmtId="43" fontId="12" fillId="0" borderId="0" xfId="1" applyFont="1"/>
    <xf numFmtId="0" fontId="13" fillId="0" borderId="0" xfId="0" applyFont="1" applyFill="1" applyBorder="1"/>
    <xf numFmtId="43" fontId="14" fillId="0" borderId="0" xfId="0" applyNumberFormat="1" applyFont="1"/>
    <xf numFmtId="0" fontId="15" fillId="0" borderId="0" xfId="0" applyFont="1"/>
    <xf numFmtId="0" fontId="15" fillId="0" borderId="0" xfId="0" applyFont="1" applyFill="1" applyBorder="1"/>
    <xf numFmtId="0" fontId="16" fillId="0" borderId="0" xfId="0" applyFont="1"/>
    <xf numFmtId="0" fontId="3" fillId="0" borderId="2" xfId="0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7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/>
    </xf>
    <xf numFmtId="0" fontId="0" fillId="0" borderId="3" xfId="0" applyBorder="1"/>
    <xf numFmtId="43" fontId="0" fillId="0" borderId="3" xfId="0" applyNumberFormat="1" applyBorder="1"/>
    <xf numFmtId="0" fontId="2" fillId="0" borderId="3" xfId="0" applyFont="1" applyBorder="1" applyAlignment="1">
      <alignment vertical="center"/>
    </xf>
    <xf numFmtId="0" fontId="29" fillId="0" borderId="1" xfId="0" applyFont="1" applyBorder="1"/>
    <xf numFmtId="43" fontId="30" fillId="0" borderId="0" xfId="0" applyNumberFormat="1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6" fillId="0" borderId="1" xfId="0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vertical="center"/>
    </xf>
    <xf numFmtId="43" fontId="7" fillId="0" borderId="1" xfId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43" fontId="4" fillId="0" borderId="2" xfId="1" applyFont="1" applyFill="1" applyBorder="1" applyAlignment="1">
      <alignment vertical="center"/>
    </xf>
    <xf numFmtId="0" fontId="16" fillId="0" borderId="0" xfId="0" applyFont="1" applyAlignment="1">
      <alignment horizontal="right"/>
    </xf>
    <xf numFmtId="0" fontId="31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3" fillId="0" borderId="0" xfId="0" applyFont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3" fillId="0" borderId="0" xfId="0" applyFont="1"/>
    <xf numFmtId="43" fontId="34" fillId="0" borderId="0" xfId="1" applyFont="1"/>
    <xf numFmtId="43" fontId="0" fillId="0" borderId="0" xfId="1" applyFont="1" applyBorder="1" applyAlignment="1">
      <alignment vertical="center"/>
    </xf>
    <xf numFmtId="0" fontId="33" fillId="0" borderId="0" xfId="0" applyFont="1" applyBorder="1"/>
    <xf numFmtId="43" fontId="27" fillId="0" borderId="0" xfId="1" applyFont="1"/>
    <xf numFmtId="0" fontId="34" fillId="0" borderId="0" xfId="0" applyFont="1"/>
    <xf numFmtId="43" fontId="33" fillId="0" borderId="0" xfId="1" applyFont="1"/>
    <xf numFmtId="0" fontId="35" fillId="0" borderId="0" xfId="0" applyFont="1" applyBorder="1" applyAlignment="1">
      <alignment vertical="top" wrapText="1"/>
    </xf>
    <xf numFmtId="0" fontId="3" fillId="0" borderId="0" xfId="0" applyFont="1" applyFill="1" applyBorder="1"/>
    <xf numFmtId="43" fontId="30" fillId="0" borderId="0" xfId="1" applyFont="1"/>
    <xf numFmtId="0" fontId="33" fillId="0" borderId="0" xfId="0" applyFont="1" applyFill="1" applyBorder="1"/>
    <xf numFmtId="43" fontId="36" fillId="0" borderId="0" xfId="1" applyFont="1"/>
    <xf numFmtId="0" fontId="15" fillId="0" borderId="0" xfId="0" applyFont="1" applyAlignment="1">
      <alignment horizontal="right"/>
    </xf>
    <xf numFmtId="0" fontId="4" fillId="0" borderId="1" xfId="0" applyFont="1" applyFill="1" applyBorder="1"/>
    <xf numFmtId="0" fontId="37" fillId="0" borderId="0" xfId="0" applyFont="1"/>
    <xf numFmtId="0" fontId="38" fillId="0" borderId="0" xfId="0" applyFont="1"/>
    <xf numFmtId="43" fontId="32" fillId="0" borderId="1" xfId="1" applyFont="1" applyFill="1" applyBorder="1" applyAlignment="1">
      <alignment horizontal="center" vertical="center"/>
    </xf>
    <xf numFmtId="43" fontId="3" fillId="0" borderId="1" xfId="1" applyFont="1" applyBorder="1"/>
    <xf numFmtId="43" fontId="3" fillId="0" borderId="0" xfId="1" applyFont="1" applyBorder="1"/>
    <xf numFmtId="43" fontId="35" fillId="0" borderId="0" xfId="1" applyFont="1" applyBorder="1"/>
    <xf numFmtId="43" fontId="3" fillId="0" borderId="0" xfId="1" applyFont="1" applyBorder="1" applyAlignment="1">
      <alignment vertical="center"/>
    </xf>
    <xf numFmtId="0" fontId="2" fillId="0" borderId="1" xfId="0" applyFont="1" applyBorder="1"/>
    <xf numFmtId="43" fontId="27" fillId="0" borderId="1" xfId="1" applyFont="1" applyBorder="1"/>
    <xf numFmtId="0" fontId="2" fillId="0" borderId="0" xfId="0" applyFont="1"/>
    <xf numFmtId="43" fontId="39" fillId="0" borderId="0" xfId="1" applyFont="1"/>
    <xf numFmtId="43" fontId="0" fillId="0" borderId="0" xfId="0" applyNumberFormat="1" applyBorder="1"/>
    <xf numFmtId="0" fontId="16" fillId="0" borderId="1" xfId="0" applyFont="1" applyBorder="1"/>
    <xf numFmtId="0" fontId="40" fillId="0" borderId="0" xfId="0" applyFont="1"/>
    <xf numFmtId="0" fontId="41" fillId="0" borderId="0" xfId="0" applyFont="1"/>
    <xf numFmtId="43" fontId="2" fillId="0" borderId="0" xfId="0" applyNumberFormat="1" applyFont="1"/>
    <xf numFmtId="43" fontId="2" fillId="0" borderId="0" xfId="1" applyFont="1"/>
    <xf numFmtId="0" fontId="42" fillId="0" borderId="0" xfId="0" applyFont="1" applyBorder="1"/>
    <xf numFmtId="0" fontId="27" fillId="0" borderId="0" xfId="0" applyFont="1"/>
    <xf numFmtId="0" fontId="7" fillId="0" borderId="1" xfId="0" applyFont="1" applyFill="1" applyBorder="1"/>
    <xf numFmtId="0" fontId="7" fillId="0" borderId="2" xfId="0" applyFont="1" applyFill="1" applyBorder="1"/>
    <xf numFmtId="0" fontId="28" fillId="0" borderId="1" xfId="0" applyFont="1" applyBorder="1"/>
    <xf numFmtId="43" fontId="28" fillId="0" borderId="1" xfId="1" applyFont="1" applyBorder="1"/>
    <xf numFmtId="49" fontId="43" fillId="0" borderId="0" xfId="0" applyNumberFormat="1" applyFont="1"/>
    <xf numFmtId="164" fontId="43" fillId="0" borderId="0" xfId="0" applyNumberFormat="1" applyFont="1"/>
    <xf numFmtId="49" fontId="44" fillId="0" borderId="0" xfId="0" applyNumberFormat="1" applyFont="1"/>
    <xf numFmtId="164" fontId="44" fillId="0" borderId="0" xfId="0" applyNumberFormat="1" applyFont="1"/>
    <xf numFmtId="164" fontId="44" fillId="0" borderId="0" xfId="0" applyNumberFormat="1" applyFont="1" applyBorder="1"/>
    <xf numFmtId="164" fontId="44" fillId="0" borderId="5" xfId="0" applyNumberFormat="1" applyFont="1" applyBorder="1"/>
    <xf numFmtId="164" fontId="43" fillId="0" borderId="6" xfId="0" applyNumberFormat="1" applyFont="1" applyBorder="1"/>
    <xf numFmtId="49" fontId="43" fillId="0" borderId="4" xfId="0" applyNumberFormat="1" applyFont="1" applyBorder="1" applyAlignment="1">
      <alignment horizontal="center"/>
    </xf>
    <xf numFmtId="0" fontId="0" fillId="0" borderId="0" xfId="0"/>
    <xf numFmtId="9" fontId="3" fillId="0" borderId="0" xfId="1" applyNumberFormat="1" applyFont="1" applyBorder="1" applyAlignment="1">
      <alignment vertical="center"/>
    </xf>
    <xf numFmtId="0" fontId="4" fillId="0" borderId="1" xfId="0" applyFont="1" applyBorder="1" applyAlignment="1"/>
    <xf numFmtId="0" fontId="4" fillId="0" borderId="2" xfId="0" applyFont="1" applyFill="1" applyBorder="1" applyAlignment="1"/>
    <xf numFmtId="0" fontId="3" fillId="0" borderId="1" xfId="0" applyFont="1" applyBorder="1" applyAlignment="1"/>
    <xf numFmtId="9" fontId="33" fillId="0" borderId="0" xfId="0" applyNumberFormat="1" applyFont="1"/>
    <xf numFmtId="14" fontId="33" fillId="0" borderId="0" xfId="0" applyNumberFormat="1" applyFont="1"/>
    <xf numFmtId="0" fontId="32" fillId="0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28" fillId="0" borderId="3" xfId="0" applyFont="1" applyBorder="1"/>
    <xf numFmtId="0" fontId="32" fillId="0" borderId="0" xfId="0" applyFont="1" applyFill="1" applyBorder="1" applyAlignment="1">
      <alignment horizontal="center" vertical="center"/>
    </xf>
    <xf numFmtId="0" fontId="28" fillId="0" borderId="0" xfId="0" applyFont="1" applyBorder="1"/>
    <xf numFmtId="0" fontId="45" fillId="0" borderId="0" xfId="0" applyFont="1"/>
    <xf numFmtId="0" fontId="27" fillId="0" borderId="1" xfId="0" applyFont="1" applyBorder="1"/>
    <xf numFmtId="43" fontId="15" fillId="0" borderId="0" xfId="0" applyNumberFormat="1" applyFont="1"/>
    <xf numFmtId="0" fontId="4" fillId="0" borderId="0" xfId="0" applyFont="1" applyFill="1" applyBorder="1"/>
    <xf numFmtId="14" fontId="3" fillId="0" borderId="0" xfId="0" applyNumberFormat="1" applyFont="1"/>
    <xf numFmtId="0" fontId="46" fillId="0" borderId="0" xfId="0" applyFont="1"/>
    <xf numFmtId="0" fontId="7" fillId="0" borderId="3" xfId="0" applyFont="1" applyBorder="1"/>
    <xf numFmtId="0" fontId="32" fillId="0" borderId="7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2" fillId="0" borderId="3" xfId="0" applyFont="1" applyBorder="1"/>
    <xf numFmtId="0" fontId="27" fillId="0" borderId="2" xfId="0" applyFont="1" applyFill="1" applyBorder="1"/>
    <xf numFmtId="0" fontId="12" fillId="0" borderId="1" xfId="0" applyFont="1" applyBorder="1"/>
    <xf numFmtId="0" fontId="47" fillId="0" borderId="0" xfId="0" applyFont="1"/>
    <xf numFmtId="0" fontId="48" fillId="0" borderId="1" xfId="0" applyFont="1" applyBorder="1"/>
    <xf numFmtId="43" fontId="2" fillId="0" borderId="1" xfId="0" applyNumberFormat="1" applyFont="1" applyBorder="1"/>
    <xf numFmtId="9" fontId="0" fillId="0" borderId="1" xfId="0" applyNumberFormat="1" applyBorder="1"/>
    <xf numFmtId="43" fontId="0" fillId="0" borderId="1" xfId="0" applyNumberFormat="1" applyBorder="1"/>
    <xf numFmtId="0" fontId="0" fillId="0" borderId="1" xfId="0" applyFont="1" applyBorder="1"/>
    <xf numFmtId="3" fontId="0" fillId="0" borderId="1" xfId="0" applyNumberFormat="1" applyFont="1" applyBorder="1"/>
    <xf numFmtId="43" fontId="49" fillId="0" borderId="0" xfId="0" applyNumberFormat="1" applyFont="1"/>
    <xf numFmtId="0" fontId="48" fillId="0" borderId="8" xfId="0" applyFont="1" applyBorder="1"/>
    <xf numFmtId="0" fontId="2" fillId="0" borderId="8" xfId="0" applyFont="1" applyBorder="1"/>
    <xf numFmtId="0" fontId="0" fillId="0" borderId="8" xfId="0" applyBorder="1"/>
    <xf numFmtId="0" fontId="47" fillId="0" borderId="8" xfId="0" applyFont="1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9" xfId="0" applyFont="1" applyBorder="1"/>
    <xf numFmtId="0" fontId="50" fillId="0" borderId="8" xfId="0" applyFont="1" applyFill="1" applyBorder="1"/>
    <xf numFmtId="0" fontId="47" fillId="0" borderId="1" xfId="0" applyFont="1" applyBorder="1"/>
    <xf numFmtId="0" fontId="0" fillId="0" borderId="1" xfId="0" applyFont="1" applyFill="1" applyBorder="1"/>
    <xf numFmtId="0" fontId="50" fillId="0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/>
    <xf numFmtId="0" fontId="4" fillId="2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16" fillId="2" borderId="1" xfId="0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27" fillId="0" borderId="3" xfId="0" applyFont="1" applyFill="1" applyBorder="1"/>
    <xf numFmtId="0" fontId="51" fillId="0" borderId="1" xfId="0" applyFont="1" applyBorder="1"/>
    <xf numFmtId="1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6" fillId="0" borderId="1" xfId="0" applyFont="1" applyBorder="1"/>
    <xf numFmtId="0" fontId="0" fillId="0" borderId="2" xfId="0" applyFill="1" applyBorder="1"/>
    <xf numFmtId="9" fontId="0" fillId="0" borderId="0" xfId="0" applyNumberFormat="1"/>
    <xf numFmtId="0" fontId="4" fillId="2" borderId="9" xfId="0" applyFont="1" applyFill="1" applyBorder="1" applyAlignment="1"/>
    <xf numFmtId="0" fontId="4" fillId="2" borderId="10" xfId="0" applyFont="1" applyFill="1" applyBorder="1"/>
    <xf numFmtId="0" fontId="4" fillId="2" borderId="9" xfId="0" applyFont="1" applyFill="1" applyBorder="1"/>
    <xf numFmtId="0" fontId="0" fillId="0" borderId="9" xfId="0" applyBorder="1"/>
    <xf numFmtId="3" fontId="0" fillId="0" borderId="0" xfId="0" applyNumberFormat="1"/>
    <xf numFmtId="0" fontId="52" fillId="0" borderId="1" xfId="0" applyFont="1" applyBorder="1"/>
    <xf numFmtId="0" fontId="2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/>
    <xf numFmtId="0" fontId="28" fillId="2" borderId="1" xfId="0" applyFont="1" applyFill="1" applyBorder="1"/>
    <xf numFmtId="0" fontId="7" fillId="2" borderId="2" xfId="0" applyFont="1" applyFill="1" applyBorder="1"/>
    <xf numFmtId="0" fontId="0" fillId="0" borderId="11" xfId="0" applyBorder="1"/>
    <xf numFmtId="43" fontId="0" fillId="0" borderId="11" xfId="0" applyNumberFormat="1" applyBorder="1"/>
    <xf numFmtId="0" fontId="47" fillId="0" borderId="9" xfId="0" applyFont="1" applyBorder="1"/>
    <xf numFmtId="43" fontId="0" fillId="0" borderId="9" xfId="0" applyNumberFormat="1" applyBorder="1"/>
    <xf numFmtId="0" fontId="53" fillId="0" borderId="1" xfId="0" applyFont="1" applyBorder="1"/>
    <xf numFmtId="43" fontId="0" fillId="0" borderId="1" xfId="1" applyFont="1" applyBorder="1" applyAlignment="1">
      <alignment vertical="center"/>
    </xf>
    <xf numFmtId="0" fontId="15" fillId="0" borderId="1" xfId="0" applyFont="1" applyBorder="1" applyAlignment="1">
      <alignment horizontal="right"/>
    </xf>
    <xf numFmtId="0" fontId="0" fillId="0" borderId="1" xfId="0" applyFill="1" applyBorder="1"/>
    <xf numFmtId="0" fontId="33" fillId="0" borderId="1" xfId="0" applyFont="1" applyBorder="1"/>
    <xf numFmtId="43" fontId="34" fillId="0" borderId="1" xfId="1" applyFont="1" applyBorder="1"/>
    <xf numFmtId="0" fontId="54" fillId="2" borderId="1" xfId="0" applyFont="1" applyFill="1" applyBorder="1" applyAlignment="1"/>
    <xf numFmtId="14" fontId="0" fillId="0" borderId="1" xfId="0" applyNumberFormat="1" applyFont="1" applyBorder="1" applyAlignment="1">
      <alignment horizontal="left"/>
    </xf>
    <xf numFmtId="0" fontId="55" fillId="0" borderId="1" xfId="0" applyFont="1" applyBorder="1"/>
    <xf numFmtId="14" fontId="52" fillId="0" borderId="1" xfId="0" applyNumberFormat="1" applyFont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56" fillId="0" borderId="1" xfId="0" applyFont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57" fillId="2" borderId="1" xfId="0" applyFont="1" applyFill="1" applyBorder="1" applyAlignment="1"/>
    <xf numFmtId="0" fontId="57" fillId="2" borderId="1" xfId="0" applyFont="1" applyFill="1" applyBorder="1"/>
    <xf numFmtId="0" fontId="58" fillId="0" borderId="1" xfId="0" applyFont="1" applyBorder="1"/>
    <xf numFmtId="0" fontId="16" fillId="2" borderId="2" xfId="0" applyFont="1" applyFill="1" applyBorder="1"/>
    <xf numFmtId="0" fontId="57" fillId="2" borderId="2" xfId="0" applyFont="1" applyFill="1" applyBorder="1"/>
    <xf numFmtId="0" fontId="59" fillId="2" borderId="1" xfId="0" applyFont="1" applyFill="1" applyBorder="1"/>
    <xf numFmtId="0" fontId="60" fillId="2" borderId="1" xfId="0" applyFont="1" applyFill="1" applyBorder="1" applyAlignment="1"/>
    <xf numFmtId="0" fontId="16" fillId="0" borderId="1" xfId="0" applyFont="1" applyFill="1" applyBorder="1"/>
    <xf numFmtId="0" fontId="61" fillId="0" borderId="1" xfId="0" applyFont="1" applyBorder="1"/>
    <xf numFmtId="0" fontId="62" fillId="0" borderId="1" xfId="0" applyFont="1" applyBorder="1"/>
    <xf numFmtId="0" fontId="8" fillId="0" borderId="1" xfId="0" applyFont="1" applyBorder="1"/>
    <xf numFmtId="43" fontId="16" fillId="0" borderId="1" xfId="1" applyFont="1" applyBorder="1" applyAlignment="1">
      <alignment vertical="center"/>
    </xf>
    <xf numFmtId="43" fontId="28" fillId="0" borderId="1" xfId="0" applyNumberFormat="1" applyFont="1" applyBorder="1"/>
    <xf numFmtId="9" fontId="16" fillId="0" borderId="1" xfId="0" applyNumberFormat="1" applyFont="1" applyBorder="1"/>
    <xf numFmtId="43" fontId="16" fillId="0" borderId="1" xfId="0" applyNumberFormat="1" applyFont="1" applyBorder="1"/>
    <xf numFmtId="0" fontId="16" fillId="0" borderId="11" xfId="0" applyFont="1" applyBorder="1"/>
    <xf numFmtId="43" fontId="16" fillId="0" borderId="11" xfId="0" applyNumberFormat="1" applyFont="1" applyBorder="1"/>
    <xf numFmtId="0" fontId="16" fillId="0" borderId="2" xfId="0" applyFont="1" applyFill="1" applyBorder="1"/>
    <xf numFmtId="43" fontId="16" fillId="0" borderId="0" xfId="0" applyNumberFormat="1" applyFont="1"/>
    <xf numFmtId="0" fontId="63" fillId="0" borderId="9" xfId="0" applyFont="1" applyBorder="1"/>
    <xf numFmtId="0" fontId="16" fillId="0" borderId="9" xfId="0" applyFont="1" applyBorder="1"/>
    <xf numFmtId="14" fontId="61" fillId="0" borderId="1" xfId="0" applyNumberFormat="1" applyFont="1" applyBorder="1"/>
    <xf numFmtId="14" fontId="16" fillId="0" borderId="0" xfId="0" applyNumberFormat="1" applyFont="1" applyFill="1" applyBorder="1"/>
    <xf numFmtId="3" fontId="16" fillId="0" borderId="1" xfId="0" applyNumberFormat="1" applyFont="1" applyBorder="1"/>
    <xf numFmtId="0" fontId="16" fillId="0" borderId="0" xfId="0" applyFont="1" applyFill="1" applyBorder="1"/>
    <xf numFmtId="0" fontId="64" fillId="0" borderId="1" xfId="0" applyFont="1" applyFill="1" applyBorder="1"/>
    <xf numFmtId="0" fontId="28" fillId="0" borderId="0" xfId="0" applyFont="1"/>
    <xf numFmtId="0" fontId="16" fillId="0" borderId="11" xfId="0" applyFont="1" applyFill="1" applyBorder="1"/>
    <xf numFmtId="0" fontId="61" fillId="0" borderId="11" xfId="0" applyFont="1" applyBorder="1"/>
    <xf numFmtId="0" fontId="62" fillId="0" borderId="11" xfId="0" applyFont="1" applyBorder="1"/>
    <xf numFmtId="43" fontId="61" fillId="0" borderId="9" xfId="1" applyFont="1" applyBorder="1"/>
    <xf numFmtId="0" fontId="16" fillId="0" borderId="12" xfId="0" applyFont="1" applyBorder="1"/>
    <xf numFmtId="0" fontId="0" fillId="0" borderId="12" xfId="0" applyBorder="1"/>
    <xf numFmtId="0" fontId="16" fillId="0" borderId="0" xfId="0" applyFont="1" applyBorder="1"/>
    <xf numFmtId="0" fontId="61" fillId="0" borderId="0" xfId="0" applyFont="1" applyBorder="1"/>
    <xf numFmtId="0" fontId="62" fillId="0" borderId="0" xfId="0" applyFont="1" applyBorder="1"/>
    <xf numFmtId="0" fontId="63" fillId="0" borderId="1" xfId="0" applyFont="1" applyBorder="1"/>
    <xf numFmtId="43" fontId="61" fillId="0" borderId="1" xfId="1" applyFont="1" applyBorder="1"/>
    <xf numFmtId="14" fontId="16" fillId="0" borderId="1" xfId="0" applyNumberFormat="1" applyFont="1" applyFill="1" applyBorder="1"/>
    <xf numFmtId="0" fontId="61" fillId="0" borderId="1" xfId="0" applyFont="1" applyFill="1" applyBorder="1"/>
    <xf numFmtId="0" fontId="57" fillId="2" borderId="1" xfId="0" applyFont="1" applyFill="1" applyBorder="1" applyAlignment="1">
      <alignment horizontal="right"/>
    </xf>
    <xf numFmtId="165" fontId="28" fillId="0" borderId="1" xfId="0" applyNumberFormat="1" applyFont="1" applyBorder="1"/>
    <xf numFmtId="165" fontId="0" fillId="0" borderId="1" xfId="0" applyNumberFormat="1" applyBorder="1"/>
    <xf numFmtId="165" fontId="16" fillId="0" borderId="1" xfId="0" applyNumberFormat="1" applyFont="1" applyBorder="1"/>
    <xf numFmtId="0" fontId="58" fillId="2" borderId="2" xfId="0" applyFont="1" applyFill="1" applyBorder="1"/>
    <xf numFmtId="0" fontId="58" fillId="2" borderId="1" xfId="0" applyFont="1" applyFill="1" applyBorder="1"/>
    <xf numFmtId="0" fontId="60" fillId="2" borderId="1" xfId="0" applyFont="1" applyFill="1" applyBorder="1"/>
    <xf numFmtId="0" fontId="60" fillId="2" borderId="1" xfId="0" applyFont="1" applyFill="1" applyBorder="1" applyAlignment="1">
      <alignment horizontal="right"/>
    </xf>
    <xf numFmtId="0" fontId="60" fillId="2" borderId="2" xfId="0" applyFont="1" applyFill="1" applyBorder="1"/>
    <xf numFmtId="0" fontId="58" fillId="0" borderId="0" xfId="0" applyFont="1"/>
    <xf numFmtId="0" fontId="62" fillId="0" borderId="1" xfId="0" applyFont="1" applyFill="1" applyBorder="1"/>
    <xf numFmtId="14" fontId="0" fillId="0" borderId="1" xfId="0" applyNumberFormat="1" applyBorder="1"/>
    <xf numFmtId="0" fontId="59" fillId="2" borderId="1" xfId="0" applyFont="1" applyFill="1" applyBorder="1" applyAlignment="1"/>
    <xf numFmtId="0" fontId="65" fillId="0" borderId="1" xfId="0" applyFont="1" applyBorder="1"/>
    <xf numFmtId="43" fontId="62" fillId="0" borderId="1" xfId="1" applyFont="1" applyBorder="1"/>
    <xf numFmtId="43" fontId="58" fillId="0" borderId="1" xfId="1" applyFont="1" applyBorder="1" applyAlignment="1">
      <alignment vertical="center"/>
    </xf>
    <xf numFmtId="165" fontId="58" fillId="0" borderId="1" xfId="0" applyNumberFormat="1" applyFont="1" applyBorder="1"/>
    <xf numFmtId="9" fontId="58" fillId="0" borderId="1" xfId="0" applyNumberFormat="1" applyFont="1" applyBorder="1"/>
    <xf numFmtId="43" fontId="58" fillId="0" borderId="1" xfId="0" applyNumberFormat="1" applyFont="1" applyBorder="1"/>
    <xf numFmtId="0" fontId="53" fillId="0" borderId="0" xfId="0" applyFont="1"/>
    <xf numFmtId="14" fontId="53" fillId="0" borderId="1" xfId="0" applyNumberFormat="1" applyFont="1" applyBorder="1"/>
    <xf numFmtId="165" fontId="53" fillId="0" borderId="1" xfId="0" applyNumberFormat="1" applyFont="1" applyBorder="1"/>
    <xf numFmtId="0" fontId="64" fillId="2" borderId="1" xfId="0" applyFont="1" applyFill="1" applyBorder="1"/>
    <xf numFmtId="0" fontId="66" fillId="2" borderId="1" xfId="0" applyFont="1" applyFill="1" applyBorder="1" applyAlignment="1"/>
    <xf numFmtId="0" fontId="66" fillId="2" borderId="1" xfId="0" applyFont="1" applyFill="1" applyBorder="1"/>
    <xf numFmtId="0" fontId="64" fillId="0" borderId="1" xfId="0" applyFont="1" applyBorder="1"/>
    <xf numFmtId="14" fontId="58" fillId="0" borderId="1" xfId="0" applyNumberFormat="1" applyFont="1" applyBorder="1"/>
    <xf numFmtId="43" fontId="64" fillId="0" borderId="1" xfId="1" applyFont="1" applyBorder="1"/>
    <xf numFmtId="0" fontId="28" fillId="2" borderId="2" xfId="0" applyFont="1" applyFill="1" applyBorder="1"/>
    <xf numFmtId="0" fontId="67" fillId="2" borderId="1" xfId="0" applyFont="1" applyFill="1" applyBorder="1"/>
    <xf numFmtId="0" fontId="52" fillId="0" borderId="0" xfId="0" applyFont="1"/>
    <xf numFmtId="14" fontId="16" fillId="0" borderId="1" xfId="0" applyNumberFormat="1" applyFont="1" applyBorder="1"/>
    <xf numFmtId="0" fontId="0" fillId="0" borderId="0" xfId="0" applyFont="1"/>
    <xf numFmtId="0" fontId="12" fillId="2" borderId="1" xfId="0" applyFont="1" applyFill="1" applyBorder="1"/>
    <xf numFmtId="0" fontId="54" fillId="2" borderId="1" xfId="0" applyFont="1" applyFill="1" applyBorder="1"/>
    <xf numFmtId="0" fontId="12" fillId="2" borderId="2" xfId="0" applyFont="1" applyFill="1" applyBorder="1"/>
    <xf numFmtId="0" fontId="54" fillId="2" borderId="1" xfId="0" applyFont="1" applyFill="1" applyBorder="1" applyAlignment="1">
      <alignment horizontal="right"/>
    </xf>
    <xf numFmtId="0" fontId="54" fillId="2" borderId="2" xfId="0" applyFont="1" applyFill="1" applyBorder="1"/>
    <xf numFmtId="0" fontId="12" fillId="0" borderId="0" xfId="0" applyFont="1"/>
    <xf numFmtId="0" fontId="68" fillId="0" borderId="1" xfId="0" applyFont="1" applyBorder="1"/>
    <xf numFmtId="0" fontId="69" fillId="0" borderId="1" xfId="0" applyFont="1" applyFill="1" applyBorder="1"/>
    <xf numFmtId="0" fontId="69" fillId="0" borderId="1" xfId="0" applyFont="1" applyBorder="1"/>
    <xf numFmtId="0" fontId="70" fillId="0" borderId="1" xfId="0" applyFont="1" applyBorder="1"/>
    <xf numFmtId="43" fontId="12" fillId="0" borderId="1" xfId="1" applyFont="1" applyBorder="1" applyAlignment="1">
      <alignment vertical="center"/>
    </xf>
    <xf numFmtId="165" fontId="12" fillId="0" borderId="1" xfId="0" applyNumberFormat="1" applyFont="1" applyBorder="1"/>
    <xf numFmtId="9" fontId="12" fillId="0" borderId="1" xfId="0" applyNumberFormat="1" applyFont="1" applyBorder="1"/>
    <xf numFmtId="43" fontId="12" fillId="0" borderId="1" xfId="0" applyNumberFormat="1" applyFont="1" applyBorder="1"/>
    <xf numFmtId="14" fontId="12" fillId="0" borderId="1" xfId="0" applyNumberFormat="1" applyFont="1" applyBorder="1"/>
    <xf numFmtId="14" fontId="12" fillId="0" borderId="2" xfId="0" applyNumberFormat="1" applyFont="1" applyFill="1" applyBorder="1"/>
    <xf numFmtId="0" fontId="12" fillId="0" borderId="2" xfId="0" applyFont="1" applyFill="1" applyBorder="1"/>
    <xf numFmtId="0" fontId="70" fillId="0" borderId="1" xfId="0" applyFont="1" applyBorder="1" applyAlignment="1">
      <alignment horizontal="center" vertical="center"/>
    </xf>
    <xf numFmtId="0" fontId="70" fillId="0" borderId="1" xfId="0" applyFont="1" applyFill="1" applyBorder="1" applyAlignment="1">
      <alignment horizontal="center" vertical="center"/>
    </xf>
    <xf numFmtId="43" fontId="69" fillId="0" borderId="1" xfId="1" applyFont="1" applyBorder="1"/>
    <xf numFmtId="165" fontId="69" fillId="0" borderId="1" xfId="0" applyNumberFormat="1" applyFont="1" applyBorder="1"/>
    <xf numFmtId="0" fontId="34" fillId="0" borderId="1" xfId="0" applyFont="1" applyBorder="1"/>
    <xf numFmtId="0" fontId="69" fillId="2" borderId="1" xfId="0" applyFont="1" applyFill="1" applyBorder="1"/>
    <xf numFmtId="0" fontId="71" fillId="2" borderId="1" xfId="0" applyFont="1" applyFill="1" applyBorder="1" applyAlignment="1">
      <alignment horizontal="right"/>
    </xf>
    <xf numFmtId="0" fontId="71" fillId="2" borderId="1" xfId="0" applyFont="1" applyFill="1" applyBorder="1"/>
    <xf numFmtId="0" fontId="55" fillId="0" borderId="0" xfId="0" applyFont="1"/>
    <xf numFmtId="0" fontId="65" fillId="0" borderId="0" xfId="0" applyFont="1"/>
    <xf numFmtId="0" fontId="72" fillId="0" borderId="1" xfId="0" applyFont="1" applyBorder="1" applyAlignment="1">
      <alignment horizontal="center" vertical="center"/>
    </xf>
    <xf numFmtId="0" fontId="72" fillId="0" borderId="1" xfId="0" applyFont="1" applyFill="1" applyBorder="1" applyAlignment="1">
      <alignment horizontal="center" vertical="center"/>
    </xf>
    <xf numFmtId="0" fontId="71" fillId="2" borderId="1" xfId="0" applyFont="1" applyFill="1" applyBorder="1" applyAlignment="1"/>
    <xf numFmtId="0" fontId="12" fillId="0" borderId="0" xfId="0" applyFont="1" applyFill="1" applyBorder="1"/>
    <xf numFmtId="0" fontId="68" fillId="2" borderId="1" xfId="0" applyFont="1" applyFill="1" applyBorder="1"/>
    <xf numFmtId="0" fontId="73" fillId="2" borderId="1" xfId="0" applyFont="1" applyFill="1" applyBorder="1" applyAlignment="1"/>
    <xf numFmtId="0" fontId="73" fillId="2" borderId="2" xfId="0" applyFont="1" applyFill="1" applyBorder="1"/>
    <xf numFmtId="0" fontId="73" fillId="2" borderId="1" xfId="0" applyFont="1" applyFill="1" applyBorder="1"/>
    <xf numFmtId="0" fontId="73" fillId="2" borderId="1" xfId="0" applyFont="1" applyFill="1" applyBorder="1" applyAlignment="1">
      <alignment horizontal="right"/>
    </xf>
    <xf numFmtId="0" fontId="74" fillId="0" borderId="1" xfId="0" applyFont="1" applyFill="1" applyBorder="1"/>
    <xf numFmtId="0" fontId="75" fillId="0" borderId="1" xfId="0" applyFont="1" applyBorder="1"/>
    <xf numFmtId="0" fontId="74" fillId="0" borderId="1" xfId="0" applyFont="1" applyBorder="1"/>
    <xf numFmtId="165" fontId="3" fillId="0" borderId="0" xfId="0" applyNumberFormat="1" applyFont="1"/>
    <xf numFmtId="0" fontId="76" fillId="0" borderId="1" xfId="0" applyFont="1" applyBorder="1" applyAlignment="1">
      <alignment horizontal="center" vertical="center"/>
    </xf>
    <xf numFmtId="0" fontId="76" fillId="0" borderId="1" xfId="0" applyFont="1" applyFill="1" applyBorder="1" applyAlignment="1">
      <alignment horizontal="center" vertical="center"/>
    </xf>
    <xf numFmtId="0" fontId="76" fillId="0" borderId="1" xfId="0" applyFont="1" applyBorder="1"/>
    <xf numFmtId="165" fontId="0" fillId="0" borderId="0" xfId="0" applyNumberFormat="1"/>
    <xf numFmtId="0" fontId="12" fillId="0" borderId="0" xfId="0" applyFont="1" applyBorder="1"/>
    <xf numFmtId="0" fontId="27" fillId="2" borderId="1" xfId="0" applyFont="1" applyFill="1" applyBorder="1"/>
    <xf numFmtId="0" fontId="70" fillId="0" borderId="7" xfId="0" applyFont="1" applyFill="1" applyBorder="1"/>
    <xf numFmtId="165" fontId="52" fillId="0" borderId="0" xfId="0" applyNumberFormat="1" applyFont="1"/>
    <xf numFmtId="9" fontId="12" fillId="0" borderId="9" xfId="0" applyNumberFormat="1" applyFont="1" applyBorder="1"/>
    <xf numFmtId="165" fontId="12" fillId="0" borderId="9" xfId="0" applyNumberFormat="1" applyFont="1" applyBorder="1"/>
    <xf numFmtId="0" fontId="12" fillId="0" borderId="9" xfId="0" applyFont="1" applyBorder="1"/>
    <xf numFmtId="0" fontId="74" fillId="0" borderId="2" xfId="0" applyFont="1" applyFill="1" applyBorder="1"/>
    <xf numFmtId="0" fontId="70" fillId="0" borderId="0" xfId="0" applyFont="1" applyFill="1" applyBorder="1"/>
    <xf numFmtId="0" fontId="27" fillId="2" borderId="2" xfId="0" applyFont="1" applyFill="1" applyBorder="1"/>
    <xf numFmtId="165" fontId="2" fillId="0" borderId="0" xfId="0" applyNumberFormat="1" applyFont="1"/>
    <xf numFmtId="0" fontId="2" fillId="0" borderId="13" xfId="0" applyFont="1" applyBorder="1"/>
    <xf numFmtId="43" fontId="69" fillId="0" borderId="1" xfId="1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57151</xdr:rowOff>
    </xdr:from>
    <xdr:to>
      <xdr:col>1</xdr:col>
      <xdr:colOff>142875</xdr:colOff>
      <xdr:row>2</xdr:row>
      <xdr:rowOff>114300</xdr:rowOff>
    </xdr:to>
    <xdr:pic>
      <xdr:nvPicPr>
        <xdr:cNvPr id="12" name="Picture 1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4" y="57151"/>
          <a:ext cx="962026" cy="571499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361951</xdr:colOff>
      <xdr:row>0</xdr:row>
      <xdr:rowOff>28576</xdr:rowOff>
    </xdr:from>
    <xdr:to>
      <xdr:col>8</xdr:col>
      <xdr:colOff>428626</xdr:colOff>
      <xdr:row>2</xdr:row>
      <xdr:rowOff>161925</xdr:rowOff>
    </xdr:to>
    <xdr:pic>
      <xdr:nvPicPr>
        <xdr:cNvPr id="13" name="Picture 1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00626" y="28576"/>
          <a:ext cx="952500" cy="647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10" workbookViewId="0">
      <selection activeCell="D45" sqref="D45"/>
    </sheetView>
  </sheetViews>
  <sheetFormatPr defaultRowHeight="15" x14ac:dyDescent="0.25"/>
  <cols>
    <col min="1" max="1" width="19.42578125" customWidth="1"/>
    <col min="3" max="3" width="8.7109375" customWidth="1"/>
    <col min="4" max="4" width="12.42578125" customWidth="1"/>
    <col min="6" max="6" width="10.5703125" bestFit="1" customWidth="1"/>
    <col min="8" max="8" width="10.5703125" bestFit="1" customWidth="1"/>
    <col min="9" max="9" width="9.5703125" bestFit="1" customWidth="1"/>
  </cols>
  <sheetData>
    <row r="1" spans="1:19" ht="18.75" x14ac:dyDescent="0.3">
      <c r="A1" s="1"/>
      <c r="B1" s="2"/>
      <c r="C1" s="3"/>
      <c r="D1" s="4" t="s">
        <v>0</v>
      </c>
      <c r="E1" s="3"/>
      <c r="F1" s="5"/>
      <c r="G1" s="5"/>
      <c r="H1" s="5"/>
      <c r="I1" s="5"/>
      <c r="J1" s="5"/>
      <c r="K1" s="5"/>
      <c r="L1" s="3"/>
      <c r="M1" s="3"/>
      <c r="N1" s="3"/>
      <c r="O1" s="3"/>
      <c r="P1" s="3"/>
      <c r="Q1" s="3"/>
      <c r="R1" s="3"/>
      <c r="S1" s="3"/>
    </row>
    <row r="2" spans="1:19" ht="11.1" customHeight="1" x14ac:dyDescent="0.25">
      <c r="A2" s="6" t="s">
        <v>1</v>
      </c>
      <c r="B2" s="13" t="s">
        <v>2</v>
      </c>
      <c r="C2" s="6" t="s">
        <v>17</v>
      </c>
      <c r="D2" s="6" t="s">
        <v>63</v>
      </c>
      <c r="E2" s="6" t="s">
        <v>18</v>
      </c>
      <c r="F2" s="6" t="s">
        <v>3</v>
      </c>
      <c r="G2" s="6" t="s">
        <v>5</v>
      </c>
      <c r="H2" s="7" t="s">
        <v>19</v>
      </c>
      <c r="I2" s="6" t="s">
        <v>5</v>
      </c>
      <c r="J2" s="6" t="s">
        <v>3</v>
      </c>
      <c r="K2" s="6" t="s">
        <v>4</v>
      </c>
      <c r="L2" s="7" t="s">
        <v>20</v>
      </c>
      <c r="M2" s="7" t="s">
        <v>21</v>
      </c>
    </row>
    <row r="3" spans="1:19" ht="11.1" customHeight="1" x14ac:dyDescent="0.25">
      <c r="A3" s="8" t="s">
        <v>23</v>
      </c>
      <c r="B3" s="9">
        <v>1</v>
      </c>
      <c r="C3" s="10"/>
      <c r="D3" s="10">
        <v>3300</v>
      </c>
      <c r="E3" s="10">
        <v>3500</v>
      </c>
      <c r="F3" s="14">
        <v>3300</v>
      </c>
      <c r="G3" s="14"/>
      <c r="H3" s="14">
        <v>3300</v>
      </c>
      <c r="I3" s="14"/>
      <c r="J3" s="11"/>
      <c r="K3" s="10"/>
      <c r="L3" s="10"/>
      <c r="M3" s="10"/>
    </row>
    <row r="4" spans="1:19" ht="11.1" customHeight="1" x14ac:dyDescent="0.25">
      <c r="A4" s="8" t="s">
        <v>22</v>
      </c>
      <c r="B4" s="9">
        <v>13</v>
      </c>
      <c r="C4" s="10"/>
      <c r="D4" s="10">
        <v>2300</v>
      </c>
      <c r="E4" s="10">
        <v>2500</v>
      </c>
      <c r="F4" s="14">
        <v>2300</v>
      </c>
      <c r="G4" s="14"/>
      <c r="H4" s="14">
        <v>2300</v>
      </c>
      <c r="I4" s="14">
        <v>2300</v>
      </c>
      <c r="J4" s="11"/>
      <c r="K4" s="10"/>
      <c r="L4" s="10"/>
      <c r="M4" s="10"/>
    </row>
    <row r="5" spans="1:19" ht="11.1" customHeight="1" x14ac:dyDescent="0.25">
      <c r="A5" s="8" t="s">
        <v>6</v>
      </c>
      <c r="B5" s="9">
        <v>3</v>
      </c>
      <c r="C5" s="10"/>
      <c r="D5" s="10">
        <v>3500</v>
      </c>
      <c r="E5" s="10">
        <v>3700</v>
      </c>
      <c r="F5" s="14">
        <v>3500</v>
      </c>
      <c r="G5" s="14"/>
      <c r="H5" s="14">
        <v>3500</v>
      </c>
      <c r="I5" s="14">
        <v>3500</v>
      </c>
      <c r="J5" s="11" t="s">
        <v>49</v>
      </c>
      <c r="K5" s="10"/>
      <c r="L5" s="10"/>
      <c r="M5" s="10"/>
    </row>
    <row r="6" spans="1:19" ht="11.1" customHeight="1" x14ac:dyDescent="0.25">
      <c r="A6" s="8" t="s">
        <v>44</v>
      </c>
      <c r="B6" s="9">
        <v>4</v>
      </c>
      <c r="C6" s="10"/>
      <c r="D6" s="10">
        <v>3500</v>
      </c>
      <c r="E6" s="10">
        <v>3700</v>
      </c>
      <c r="F6" s="14">
        <v>3500</v>
      </c>
      <c r="G6" s="14"/>
      <c r="H6" s="14">
        <v>3500</v>
      </c>
      <c r="I6" s="14">
        <v>3500</v>
      </c>
      <c r="J6" s="11"/>
      <c r="K6" s="10"/>
      <c r="L6" s="10"/>
      <c r="M6" s="10"/>
    </row>
    <row r="7" spans="1:19" ht="11.1" customHeight="1" x14ac:dyDescent="0.25">
      <c r="A7" s="8" t="s">
        <v>7</v>
      </c>
      <c r="B7" s="9">
        <v>5</v>
      </c>
      <c r="C7" s="10"/>
      <c r="D7" s="10">
        <v>2500</v>
      </c>
      <c r="E7" s="10">
        <v>2700</v>
      </c>
      <c r="F7" s="14">
        <v>2500</v>
      </c>
      <c r="G7" s="14"/>
      <c r="H7" s="14">
        <v>2500</v>
      </c>
      <c r="J7" s="11"/>
      <c r="K7" s="10"/>
      <c r="L7" s="10"/>
      <c r="M7" s="10"/>
    </row>
    <row r="8" spans="1:19" ht="11.1" customHeight="1" x14ac:dyDescent="0.25">
      <c r="A8" s="8"/>
      <c r="B8" s="9">
        <v>6</v>
      </c>
      <c r="C8" s="10"/>
      <c r="D8" s="10">
        <v>2500</v>
      </c>
      <c r="E8" s="10">
        <v>2700</v>
      </c>
      <c r="F8" s="14">
        <v>2500</v>
      </c>
      <c r="G8" s="14"/>
      <c r="H8" s="14">
        <v>2500</v>
      </c>
      <c r="I8" s="14"/>
      <c r="J8" s="11"/>
      <c r="K8" s="10"/>
      <c r="L8" s="10"/>
      <c r="M8" s="10"/>
    </row>
    <row r="9" spans="1:19" ht="11.1" customHeight="1" x14ac:dyDescent="0.25">
      <c r="A9" s="8" t="s">
        <v>45</v>
      </c>
      <c r="B9" s="9">
        <v>7</v>
      </c>
      <c r="C9" s="10"/>
      <c r="D9" s="10">
        <v>2300</v>
      </c>
      <c r="E9" s="10">
        <v>2500</v>
      </c>
      <c r="F9" s="14">
        <v>2300</v>
      </c>
      <c r="G9" s="14"/>
      <c r="H9" s="14">
        <v>2300</v>
      </c>
      <c r="I9" s="14">
        <v>2300</v>
      </c>
      <c r="J9" s="11"/>
      <c r="K9" s="10"/>
      <c r="L9" s="10"/>
      <c r="M9" s="10"/>
    </row>
    <row r="10" spans="1:19" ht="11.1" customHeight="1" x14ac:dyDescent="0.25">
      <c r="A10" s="8" t="s">
        <v>8</v>
      </c>
      <c r="B10" s="9">
        <v>8</v>
      </c>
      <c r="C10" s="10"/>
      <c r="D10" s="10">
        <v>2300</v>
      </c>
      <c r="E10" s="10">
        <v>2500</v>
      </c>
      <c r="F10" s="14">
        <v>2300</v>
      </c>
      <c r="G10" s="14"/>
      <c r="H10" s="14">
        <v>2300</v>
      </c>
      <c r="I10" s="14">
        <v>2300</v>
      </c>
      <c r="J10" s="11"/>
      <c r="K10" s="10"/>
      <c r="L10" s="10"/>
      <c r="M10" s="10"/>
    </row>
    <row r="11" spans="1:19" ht="11.1" customHeight="1" x14ac:dyDescent="0.25">
      <c r="A11" s="8" t="s">
        <v>46</v>
      </c>
      <c r="B11" s="9">
        <v>9</v>
      </c>
      <c r="C11" s="10"/>
      <c r="D11" s="10">
        <v>2300</v>
      </c>
      <c r="E11" s="10">
        <v>2500</v>
      </c>
      <c r="F11" s="14">
        <v>2300</v>
      </c>
      <c r="G11" s="14"/>
      <c r="H11" s="14">
        <v>2300</v>
      </c>
      <c r="I11" s="14">
        <v>2300</v>
      </c>
      <c r="J11" s="11"/>
      <c r="K11" s="10"/>
      <c r="L11" s="10"/>
      <c r="M11" s="10"/>
    </row>
    <row r="12" spans="1:19" ht="11.1" customHeight="1" x14ac:dyDescent="0.25">
      <c r="A12" s="8" t="s">
        <v>47</v>
      </c>
      <c r="B12" s="9">
        <v>10</v>
      </c>
      <c r="C12" s="10"/>
      <c r="D12" s="10">
        <v>2300</v>
      </c>
      <c r="E12" s="10">
        <v>2500</v>
      </c>
      <c r="F12" s="14">
        <v>2300</v>
      </c>
      <c r="G12" s="14"/>
      <c r="H12" s="14">
        <v>2300</v>
      </c>
      <c r="I12" s="14">
        <v>2300</v>
      </c>
      <c r="J12" s="11"/>
      <c r="K12" s="10"/>
      <c r="L12" s="10"/>
      <c r="M12" s="10"/>
    </row>
    <row r="13" spans="1:19" ht="11.1" customHeight="1" x14ac:dyDescent="0.25">
      <c r="A13" s="8" t="s">
        <v>48</v>
      </c>
      <c r="B13" s="9">
        <v>11</v>
      </c>
      <c r="C13" s="10"/>
      <c r="D13" s="10">
        <v>2300</v>
      </c>
      <c r="E13" s="10">
        <v>2500</v>
      </c>
      <c r="F13" s="14">
        <v>2300</v>
      </c>
      <c r="G13" s="14"/>
      <c r="H13" s="14">
        <v>2300</v>
      </c>
      <c r="I13" s="14">
        <v>2300</v>
      </c>
      <c r="J13" s="11"/>
      <c r="K13" s="10"/>
      <c r="L13" s="10"/>
      <c r="M13" s="10"/>
    </row>
    <row r="14" spans="1:19" ht="11.1" customHeight="1" x14ac:dyDescent="0.25">
      <c r="A14" s="10"/>
      <c r="B14" s="9">
        <v>12</v>
      </c>
      <c r="C14" s="10"/>
      <c r="D14" s="10">
        <v>2300</v>
      </c>
      <c r="E14" s="10">
        <v>2500</v>
      </c>
      <c r="F14" s="14">
        <v>2300</v>
      </c>
      <c r="G14" s="14"/>
      <c r="H14" s="14">
        <v>2300</v>
      </c>
      <c r="I14" s="14">
        <v>2300</v>
      </c>
      <c r="J14" s="11"/>
      <c r="K14" s="10"/>
      <c r="L14" s="10"/>
      <c r="M14" s="10"/>
    </row>
    <row r="15" spans="1:19" ht="11.25" customHeight="1" x14ac:dyDescent="0.25">
      <c r="A15" s="33" t="s">
        <v>50</v>
      </c>
      <c r="B15" s="34">
        <v>13</v>
      </c>
      <c r="C15" s="10"/>
      <c r="D15" s="10">
        <v>2300</v>
      </c>
      <c r="E15" s="10">
        <v>2500</v>
      </c>
      <c r="F15" s="35">
        <v>2300</v>
      </c>
      <c r="G15" s="10"/>
      <c r="H15" s="35">
        <v>2300</v>
      </c>
      <c r="I15" s="35">
        <v>2300</v>
      </c>
      <c r="J15" s="10"/>
      <c r="K15" s="10"/>
      <c r="L15" s="10"/>
      <c r="M15" s="10"/>
    </row>
    <row r="16" spans="1:19" ht="11.1" customHeight="1" x14ac:dyDescent="0.25">
      <c r="A16" s="8" t="s">
        <v>9</v>
      </c>
      <c r="B16" s="9">
        <v>14</v>
      </c>
      <c r="C16" s="10"/>
      <c r="D16" s="10">
        <v>2300</v>
      </c>
      <c r="E16" s="10">
        <v>2500</v>
      </c>
      <c r="F16" s="14">
        <v>2300</v>
      </c>
      <c r="G16" s="14"/>
      <c r="H16" s="14">
        <v>2300</v>
      </c>
      <c r="I16" s="14"/>
      <c r="J16" s="11"/>
      <c r="K16" s="10"/>
      <c r="L16" s="10"/>
      <c r="M16" s="10"/>
    </row>
    <row r="17" spans="1:13" ht="11.1" customHeight="1" x14ac:dyDescent="0.25">
      <c r="A17" s="8" t="s">
        <v>51</v>
      </c>
      <c r="B17" s="9">
        <v>15</v>
      </c>
      <c r="C17" s="10"/>
      <c r="D17" s="10">
        <v>2300</v>
      </c>
      <c r="E17" s="10">
        <v>2500</v>
      </c>
      <c r="F17" s="14">
        <v>2300</v>
      </c>
      <c r="G17" s="14"/>
      <c r="H17" s="14">
        <v>2300</v>
      </c>
      <c r="I17" s="14">
        <v>2300</v>
      </c>
      <c r="J17" s="11"/>
      <c r="K17" s="10"/>
      <c r="L17" s="10"/>
      <c r="M17" s="10"/>
    </row>
    <row r="18" spans="1:13" ht="11.1" customHeight="1" x14ac:dyDescent="0.25">
      <c r="A18" s="8" t="s">
        <v>52</v>
      </c>
      <c r="B18" s="9">
        <v>16</v>
      </c>
      <c r="C18" s="10"/>
      <c r="D18" s="10">
        <v>2300</v>
      </c>
      <c r="E18" s="10">
        <v>2500</v>
      </c>
      <c r="F18" s="14">
        <v>2300</v>
      </c>
      <c r="G18" s="15"/>
      <c r="H18" s="14">
        <v>2300</v>
      </c>
      <c r="I18" s="14">
        <v>2300</v>
      </c>
      <c r="J18" s="11"/>
      <c r="K18" s="10"/>
      <c r="L18" s="10"/>
      <c r="M18" s="10"/>
    </row>
    <row r="19" spans="1:13" ht="11.1" customHeight="1" x14ac:dyDescent="0.25">
      <c r="A19" s="8" t="s">
        <v>10</v>
      </c>
      <c r="B19" s="9">
        <v>17</v>
      </c>
      <c r="C19" s="10"/>
      <c r="D19" s="10"/>
      <c r="E19" s="10"/>
      <c r="F19" s="14">
        <v>2300</v>
      </c>
      <c r="G19" s="14"/>
      <c r="H19" s="14">
        <v>2300</v>
      </c>
      <c r="I19" s="14"/>
      <c r="J19" s="11"/>
      <c r="K19" s="10"/>
      <c r="L19" s="10"/>
      <c r="M19" s="10"/>
    </row>
    <row r="20" spans="1:13" ht="11.1" customHeight="1" x14ac:dyDescent="0.25">
      <c r="A20" s="8" t="s">
        <v>11</v>
      </c>
      <c r="B20" s="9">
        <v>18</v>
      </c>
      <c r="C20" s="10"/>
      <c r="D20" s="10">
        <v>2300</v>
      </c>
      <c r="E20" s="10">
        <v>2500</v>
      </c>
      <c r="F20" s="14">
        <v>2300</v>
      </c>
      <c r="G20" s="14"/>
      <c r="H20" s="14">
        <v>2300</v>
      </c>
      <c r="I20" s="14">
        <v>2300</v>
      </c>
      <c r="J20" s="11"/>
      <c r="K20" s="10"/>
      <c r="L20" s="10"/>
      <c r="M20" s="10"/>
    </row>
    <row r="21" spans="1:13" ht="11.1" customHeight="1" x14ac:dyDescent="0.25">
      <c r="A21" s="8" t="s">
        <v>53</v>
      </c>
      <c r="B21" s="9">
        <v>19</v>
      </c>
      <c r="C21" s="10"/>
      <c r="D21" s="10">
        <v>2300</v>
      </c>
      <c r="E21" s="10">
        <v>2500</v>
      </c>
      <c r="F21" s="14">
        <v>2300</v>
      </c>
      <c r="G21" s="14"/>
      <c r="H21" s="14">
        <v>2300</v>
      </c>
      <c r="I21" s="14">
        <v>2300</v>
      </c>
      <c r="J21" s="11"/>
      <c r="K21" s="10"/>
      <c r="L21" s="10"/>
      <c r="M21" s="10"/>
    </row>
    <row r="22" spans="1:13" ht="11.1" customHeight="1" x14ac:dyDescent="0.25">
      <c r="A22" s="8" t="s">
        <v>54</v>
      </c>
      <c r="B22" s="9">
        <v>20</v>
      </c>
      <c r="C22" s="10"/>
      <c r="D22" s="10">
        <v>2300</v>
      </c>
      <c r="E22" s="10">
        <v>2500</v>
      </c>
      <c r="F22" s="14">
        <v>2300</v>
      </c>
      <c r="G22" s="14"/>
      <c r="H22" s="14">
        <v>2300</v>
      </c>
      <c r="I22" s="14">
        <v>2300</v>
      </c>
      <c r="J22" s="11"/>
      <c r="K22" s="10"/>
      <c r="L22" s="10"/>
      <c r="M22" s="10"/>
    </row>
    <row r="23" spans="1:13" ht="11.1" customHeight="1" x14ac:dyDescent="0.25">
      <c r="A23" s="8" t="s">
        <v>12</v>
      </c>
      <c r="B23" s="9">
        <v>21</v>
      </c>
      <c r="C23" s="10"/>
      <c r="D23" s="10">
        <v>2300</v>
      </c>
      <c r="E23" s="10">
        <v>2500</v>
      </c>
      <c r="F23" s="14">
        <v>2300</v>
      </c>
      <c r="G23" s="14"/>
      <c r="H23" s="14">
        <v>2300</v>
      </c>
      <c r="I23" s="14"/>
      <c r="J23" s="11"/>
      <c r="K23" s="10"/>
      <c r="L23" s="10"/>
      <c r="M23" s="10"/>
    </row>
    <row r="24" spans="1:13" ht="11.1" customHeight="1" x14ac:dyDescent="0.25">
      <c r="A24" s="8" t="s">
        <v>13</v>
      </c>
      <c r="B24" s="9">
        <v>22</v>
      </c>
      <c r="C24" s="10"/>
      <c r="D24" s="10"/>
      <c r="E24" s="10">
        <v>3500</v>
      </c>
      <c r="F24" s="14">
        <v>3500</v>
      </c>
      <c r="G24" s="14"/>
      <c r="H24" s="14">
        <v>3000</v>
      </c>
      <c r="I24" s="14">
        <v>3500</v>
      </c>
      <c r="J24" s="11" t="s">
        <v>55</v>
      </c>
      <c r="K24" s="10"/>
      <c r="L24" s="10"/>
      <c r="M24" s="10"/>
    </row>
    <row r="25" spans="1:13" ht="11.1" customHeight="1" x14ac:dyDescent="0.25">
      <c r="A25" s="32" t="s">
        <v>23</v>
      </c>
      <c r="B25" s="9">
        <v>23</v>
      </c>
      <c r="C25" s="10"/>
      <c r="D25" s="10"/>
      <c r="E25" s="10">
        <v>3500</v>
      </c>
      <c r="F25" s="14">
        <v>3500</v>
      </c>
      <c r="G25" s="14"/>
      <c r="H25" s="14">
        <v>3500</v>
      </c>
      <c r="I25" s="14">
        <v>3500</v>
      </c>
      <c r="J25" s="11"/>
      <c r="K25" s="10"/>
      <c r="L25" s="10"/>
      <c r="M25" s="10"/>
    </row>
    <row r="26" spans="1:13" ht="11.1" customHeight="1" x14ac:dyDescent="0.25">
      <c r="A26" s="32" t="s">
        <v>56</v>
      </c>
      <c r="B26" s="9">
        <v>24</v>
      </c>
      <c r="C26" s="10"/>
      <c r="D26" s="10"/>
      <c r="E26" s="10">
        <v>3500</v>
      </c>
      <c r="F26" s="14">
        <v>3500</v>
      </c>
      <c r="G26" s="14"/>
      <c r="H26" s="14"/>
      <c r="I26" s="14"/>
      <c r="J26" s="11"/>
      <c r="K26" s="10"/>
      <c r="L26" s="10"/>
      <c r="M26" s="10"/>
    </row>
    <row r="27" spans="1:13" ht="11.1" customHeight="1" x14ac:dyDescent="0.25">
      <c r="A27" s="8" t="s">
        <v>61</v>
      </c>
      <c r="B27" s="9">
        <v>25</v>
      </c>
      <c r="C27" s="10">
        <v>26</v>
      </c>
      <c r="D27" s="10"/>
      <c r="E27" s="10"/>
      <c r="F27" s="14">
        <v>2000</v>
      </c>
      <c r="G27" s="14"/>
      <c r="H27" s="14"/>
      <c r="I27" s="14"/>
      <c r="J27" s="11"/>
      <c r="K27" s="10"/>
      <c r="L27" s="10"/>
      <c r="M27" s="10"/>
    </row>
    <row r="28" spans="1:13" ht="11.1" customHeight="1" x14ac:dyDescent="0.25">
      <c r="A28" s="8" t="s">
        <v>14</v>
      </c>
      <c r="B28" s="9">
        <v>26</v>
      </c>
      <c r="C28" s="10">
        <v>27</v>
      </c>
      <c r="D28" s="10">
        <v>2000</v>
      </c>
      <c r="E28" s="10">
        <v>2200</v>
      </c>
      <c r="F28" s="14">
        <v>2000</v>
      </c>
      <c r="G28" s="14"/>
      <c r="H28" s="14">
        <v>2000</v>
      </c>
      <c r="I28" s="14"/>
      <c r="J28" s="11"/>
      <c r="K28" s="10"/>
      <c r="L28" s="10"/>
      <c r="M28" s="10"/>
    </row>
    <row r="29" spans="1:13" ht="11.1" customHeight="1" x14ac:dyDescent="0.25">
      <c r="A29" s="8" t="s">
        <v>56</v>
      </c>
      <c r="B29" s="9">
        <v>27</v>
      </c>
      <c r="C29" s="10">
        <v>28</v>
      </c>
      <c r="D29" s="10"/>
      <c r="E29" s="10">
        <v>2200</v>
      </c>
      <c r="F29" s="14"/>
      <c r="G29" s="14"/>
      <c r="H29" s="14"/>
      <c r="I29" s="14"/>
      <c r="J29" s="11"/>
      <c r="K29" s="10"/>
      <c r="L29" s="10"/>
      <c r="M29" s="10"/>
    </row>
    <row r="30" spans="1:13" ht="11.1" customHeight="1" x14ac:dyDescent="0.25">
      <c r="A30" s="8" t="s">
        <v>57</v>
      </c>
      <c r="B30" s="9">
        <v>28</v>
      </c>
      <c r="C30" s="10">
        <v>29</v>
      </c>
      <c r="D30" s="10">
        <v>2000</v>
      </c>
      <c r="E30" s="10">
        <v>2200</v>
      </c>
      <c r="F30" s="14">
        <v>2000</v>
      </c>
      <c r="G30" s="14"/>
      <c r="H30" s="14">
        <v>2000</v>
      </c>
      <c r="I30" s="14">
        <v>2000</v>
      </c>
      <c r="J30" s="11"/>
      <c r="K30" s="10"/>
      <c r="L30" s="10"/>
      <c r="M30" s="10"/>
    </row>
    <row r="31" spans="1:13" ht="11.1" customHeight="1" x14ac:dyDescent="0.25">
      <c r="A31" s="8" t="s">
        <v>15</v>
      </c>
      <c r="B31" s="9">
        <v>29</v>
      </c>
      <c r="C31" s="10">
        <v>30</v>
      </c>
      <c r="D31" s="10">
        <v>3000</v>
      </c>
      <c r="E31" s="10">
        <v>3200</v>
      </c>
      <c r="F31" s="14">
        <v>3000</v>
      </c>
      <c r="G31" s="14"/>
      <c r="H31" s="14">
        <v>3000</v>
      </c>
      <c r="I31" s="14">
        <v>3000</v>
      </c>
      <c r="J31" s="11"/>
      <c r="K31" s="10"/>
      <c r="L31" s="10"/>
      <c r="M31" s="10"/>
    </row>
    <row r="32" spans="1:13" ht="11.1" customHeight="1" x14ac:dyDescent="0.25">
      <c r="A32" s="8" t="s">
        <v>58</v>
      </c>
      <c r="B32" s="9">
        <v>30</v>
      </c>
      <c r="C32" s="10">
        <v>31</v>
      </c>
      <c r="D32" s="10">
        <v>3000</v>
      </c>
      <c r="E32" s="10">
        <v>3200</v>
      </c>
      <c r="F32" s="14">
        <v>3000</v>
      </c>
      <c r="G32" s="14"/>
      <c r="H32" s="14">
        <v>3000</v>
      </c>
      <c r="I32" s="14">
        <v>3000</v>
      </c>
      <c r="J32" s="11"/>
      <c r="K32" s="10"/>
      <c r="L32" s="10"/>
      <c r="M32" s="10"/>
    </row>
    <row r="33" spans="1:19" ht="11.1" customHeight="1" x14ac:dyDescent="0.25">
      <c r="A33" s="8" t="s">
        <v>59</v>
      </c>
      <c r="B33" s="9">
        <v>31</v>
      </c>
      <c r="C33" s="10">
        <v>32</v>
      </c>
      <c r="D33" s="10">
        <v>3000</v>
      </c>
      <c r="E33" s="10">
        <v>3200</v>
      </c>
      <c r="F33" s="14">
        <v>3000</v>
      </c>
      <c r="G33" s="14"/>
      <c r="H33" s="16">
        <v>3000</v>
      </c>
      <c r="I33" s="14">
        <v>3000</v>
      </c>
      <c r="J33" s="11"/>
      <c r="K33" s="10"/>
      <c r="L33" s="10"/>
      <c r="M33" s="10"/>
    </row>
    <row r="34" spans="1:19" ht="11.1" customHeight="1" x14ac:dyDescent="0.25">
      <c r="A34" s="8" t="s">
        <v>60</v>
      </c>
      <c r="B34" s="9">
        <v>32</v>
      </c>
      <c r="C34" s="10">
        <v>34</v>
      </c>
      <c r="D34" s="10">
        <v>2800</v>
      </c>
      <c r="E34" s="10">
        <v>3000</v>
      </c>
      <c r="F34" s="14">
        <v>2800</v>
      </c>
      <c r="G34" s="14"/>
      <c r="H34" s="14">
        <v>2800</v>
      </c>
      <c r="I34" s="14">
        <v>2800</v>
      </c>
      <c r="J34" s="11"/>
      <c r="K34" s="10"/>
      <c r="L34" s="10"/>
      <c r="M34" s="10"/>
    </row>
    <row r="35" spans="1:19" ht="11.1" customHeight="1" x14ac:dyDescent="0.25">
      <c r="A35" s="8" t="s">
        <v>16</v>
      </c>
      <c r="B35" s="9">
        <v>33</v>
      </c>
      <c r="C35" s="10">
        <v>35</v>
      </c>
      <c r="D35" s="10">
        <v>2800</v>
      </c>
      <c r="E35" s="10">
        <v>3000</v>
      </c>
      <c r="F35" s="14">
        <v>2800</v>
      </c>
      <c r="G35" s="14"/>
      <c r="H35" s="14">
        <v>2800</v>
      </c>
      <c r="I35" s="14">
        <v>2800</v>
      </c>
      <c r="J35" s="11"/>
      <c r="K35" s="10"/>
      <c r="L35" s="10"/>
      <c r="M35" s="10"/>
    </row>
    <row r="36" spans="1:19" ht="11.1" customHeight="1" x14ac:dyDescent="0.25">
      <c r="A36" s="8"/>
      <c r="B36" s="9"/>
      <c r="C36" s="10">
        <v>36</v>
      </c>
      <c r="D36" s="10">
        <v>2800</v>
      </c>
      <c r="E36" s="10">
        <v>3000</v>
      </c>
      <c r="F36" s="14"/>
      <c r="G36" s="14"/>
      <c r="H36" s="14"/>
      <c r="I36" s="14"/>
      <c r="J36" s="11"/>
      <c r="K36" s="10"/>
      <c r="L36" s="10"/>
      <c r="M36" s="10"/>
    </row>
    <row r="37" spans="1:19" ht="11.1" customHeight="1" x14ac:dyDescent="0.25">
      <c r="A37" s="8"/>
      <c r="B37" s="9"/>
      <c r="C37" s="10"/>
      <c r="D37" s="10"/>
      <c r="E37" s="10"/>
      <c r="F37" s="14"/>
      <c r="G37" s="14"/>
      <c r="H37" s="14"/>
      <c r="I37" s="14"/>
      <c r="J37" s="11"/>
      <c r="K37" s="10"/>
      <c r="L37" s="10"/>
      <c r="M37" s="10"/>
    </row>
    <row r="38" spans="1:19" ht="11.1" customHeight="1" x14ac:dyDescent="0.25">
      <c r="A38" s="8"/>
      <c r="B38" s="9">
        <v>34</v>
      </c>
      <c r="C38" s="10"/>
      <c r="D38" s="10"/>
      <c r="E38" s="10"/>
      <c r="F38" s="14"/>
      <c r="G38" s="14"/>
      <c r="H38" s="14"/>
      <c r="I38" s="14"/>
      <c r="J38" s="11"/>
      <c r="K38" s="10"/>
      <c r="L38" s="10"/>
      <c r="M38" s="10"/>
    </row>
    <row r="39" spans="1:19" ht="11.1" customHeight="1" x14ac:dyDescent="0.25">
      <c r="A39" s="8"/>
      <c r="B39" s="9"/>
      <c r="C39" s="10"/>
      <c r="D39" s="10">
        <f>SUM(D3:D38)</f>
        <v>71200</v>
      </c>
      <c r="E39" s="10">
        <f>SUM(E3:E37)</f>
        <v>89500</v>
      </c>
      <c r="F39" s="14">
        <f>SUM(F3:F38)</f>
        <v>83200</v>
      </c>
      <c r="G39" s="14"/>
      <c r="H39" s="14">
        <f>SUM(H3:H38)</f>
        <v>77200</v>
      </c>
      <c r="I39" s="14">
        <f>SUM(I3:I35)</f>
        <v>60500</v>
      </c>
      <c r="J39" s="11"/>
      <c r="K39" s="10"/>
      <c r="L39" s="10"/>
      <c r="M39" s="10"/>
    </row>
    <row r="40" spans="1:19" x14ac:dyDescent="0.25">
      <c r="A40" s="17" t="s">
        <v>24</v>
      </c>
      <c r="F40" s="20"/>
      <c r="G40" s="18"/>
      <c r="H40" s="20"/>
      <c r="L40" s="12"/>
      <c r="M40" s="12"/>
    </row>
    <row r="41" spans="1:19" x14ac:dyDescent="0.25">
      <c r="A41" s="12" t="s">
        <v>72</v>
      </c>
      <c r="D41" s="19">
        <v>71200</v>
      </c>
      <c r="K41" s="20"/>
      <c r="L41" s="12"/>
      <c r="M41" s="12"/>
      <c r="N41" s="12"/>
      <c r="Q41" s="12"/>
      <c r="R41" s="3"/>
      <c r="S41" s="3"/>
    </row>
    <row r="42" spans="1:19" x14ac:dyDescent="0.25">
      <c r="A42" s="12"/>
      <c r="B42" s="12"/>
      <c r="C42" s="1"/>
      <c r="D42" s="21"/>
      <c r="L42" s="12"/>
      <c r="M42" s="12"/>
      <c r="N42" s="12"/>
      <c r="Q42" s="12"/>
    </row>
    <row r="43" spans="1:19" ht="16.5" x14ac:dyDescent="0.35">
      <c r="A43" s="12" t="s">
        <v>25</v>
      </c>
      <c r="B43" s="12"/>
      <c r="C43" s="1"/>
      <c r="D43" s="22">
        <f>SUM(D41:D42)</f>
        <v>71200</v>
      </c>
    </row>
    <row r="44" spans="1:19" x14ac:dyDescent="0.25">
      <c r="A44" s="23" t="s">
        <v>26</v>
      </c>
      <c r="B44" s="12"/>
      <c r="C44" s="1"/>
      <c r="D44" s="1"/>
      <c r="G44" s="24"/>
      <c r="I44" s="18"/>
    </row>
    <row r="45" spans="1:19" x14ac:dyDescent="0.25">
      <c r="A45" s="12" t="s">
        <v>27</v>
      </c>
      <c r="B45" s="12"/>
      <c r="C45" s="1"/>
      <c r="D45" s="25">
        <v>5000</v>
      </c>
      <c r="G45" s="18"/>
      <c r="H45" s="18"/>
    </row>
    <row r="46" spans="1:19" x14ac:dyDescent="0.25">
      <c r="A46" s="12" t="s">
        <v>62</v>
      </c>
      <c r="B46" s="12"/>
      <c r="C46" s="1"/>
      <c r="D46" s="25">
        <v>3500</v>
      </c>
      <c r="G46" s="18"/>
      <c r="H46" s="18"/>
    </row>
    <row r="47" spans="1:19" x14ac:dyDescent="0.25">
      <c r="A47" s="12" t="s">
        <v>28</v>
      </c>
      <c r="B47" s="12"/>
      <c r="C47" s="1"/>
      <c r="D47" s="25">
        <v>3500</v>
      </c>
      <c r="G47" s="18"/>
      <c r="H47" s="18"/>
    </row>
    <row r="48" spans="1:19" x14ac:dyDescent="0.25">
      <c r="A48" s="12" t="s">
        <v>29</v>
      </c>
      <c r="B48" s="12"/>
      <c r="C48" s="1"/>
      <c r="D48" s="26">
        <f>SUM(D45:D47)</f>
        <v>12000</v>
      </c>
      <c r="H48" t="s">
        <v>30</v>
      </c>
    </row>
    <row r="49" spans="1:11" ht="15.75" x14ac:dyDescent="0.25">
      <c r="A49" s="27" t="s">
        <v>31</v>
      </c>
      <c r="B49" s="12"/>
      <c r="C49" s="12"/>
      <c r="D49" s="28">
        <f>SUM(D43-D48)</f>
        <v>59200</v>
      </c>
      <c r="F49" s="20" t="s">
        <v>32</v>
      </c>
      <c r="G49" s="20" t="s">
        <v>33</v>
      </c>
      <c r="H49" s="20" t="s">
        <v>32</v>
      </c>
      <c r="I49" s="20" t="s">
        <v>34</v>
      </c>
      <c r="J49" s="20"/>
      <c r="K49" s="20"/>
    </row>
    <row r="50" spans="1:11" x14ac:dyDescent="0.25">
      <c r="A50" s="29"/>
      <c r="B50" s="30"/>
      <c r="E50" s="29"/>
      <c r="F50" s="29"/>
      <c r="G50" s="29"/>
      <c r="H50" s="29"/>
      <c r="I50" s="29"/>
    </row>
    <row r="51" spans="1:11" x14ac:dyDescent="0.25">
      <c r="A51" s="29"/>
      <c r="B51" s="30"/>
      <c r="C51" s="31"/>
      <c r="D51" s="31" t="s">
        <v>35</v>
      </c>
      <c r="E51" s="29"/>
      <c r="F51" s="29" t="s">
        <v>36</v>
      </c>
      <c r="G51" s="29"/>
      <c r="H51" s="29" t="s">
        <v>37</v>
      </c>
      <c r="I51" s="29"/>
    </row>
    <row r="52" spans="1:11" x14ac:dyDescent="0.25">
      <c r="A52" s="29"/>
      <c r="B52" s="29"/>
      <c r="C52" s="31"/>
      <c r="D52" s="31" t="s">
        <v>38</v>
      </c>
      <c r="E52" s="29"/>
      <c r="F52" s="29" t="s">
        <v>39</v>
      </c>
      <c r="G52" s="29"/>
      <c r="H52" s="29" t="s">
        <v>71</v>
      </c>
      <c r="I52" s="29"/>
    </row>
    <row r="53" spans="1:11" x14ac:dyDescent="0.25">
      <c r="A53" s="29"/>
      <c r="B53" s="29"/>
      <c r="C53" s="31" t="s">
        <v>40</v>
      </c>
      <c r="D53" s="31" t="s">
        <v>41</v>
      </c>
      <c r="E53" s="29"/>
      <c r="F53" s="29" t="s">
        <v>42</v>
      </c>
      <c r="G53" s="29"/>
      <c r="H53" s="29" t="s">
        <v>43</v>
      </c>
      <c r="I53" s="29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13" workbookViewId="0">
      <selection activeCell="E41" sqref="E41"/>
    </sheetView>
  </sheetViews>
  <sheetFormatPr defaultRowHeight="15" x14ac:dyDescent="0.25"/>
  <cols>
    <col min="1" max="1" width="20" customWidth="1"/>
    <col min="2" max="2" width="4.7109375" customWidth="1"/>
    <col min="4" max="5" width="12.5703125" customWidth="1"/>
    <col min="7" max="7" width="10.5703125" bestFit="1" customWidth="1"/>
  </cols>
  <sheetData>
    <row r="1" spans="1:13" ht="18.75" x14ac:dyDescent="0.3">
      <c r="A1" s="4" t="s">
        <v>73</v>
      </c>
      <c r="B1" s="2"/>
      <c r="F1" s="3"/>
      <c r="G1" s="5"/>
      <c r="H1" s="5"/>
      <c r="I1" s="5"/>
      <c r="J1" s="5"/>
      <c r="K1" s="3"/>
      <c r="L1" s="3"/>
      <c r="M1" s="3"/>
    </row>
    <row r="2" spans="1:13" s="46" customFormat="1" ht="9.9499999999999993" customHeight="1" x14ac:dyDescent="0.25">
      <c r="A2" s="58" t="s">
        <v>1</v>
      </c>
      <c r="B2" s="59" t="s">
        <v>2</v>
      </c>
      <c r="C2" s="58" t="s">
        <v>17</v>
      </c>
      <c r="D2" s="58" t="s">
        <v>81</v>
      </c>
      <c r="E2" s="58"/>
      <c r="F2" s="58" t="s">
        <v>5</v>
      </c>
      <c r="G2" s="60" t="s">
        <v>19</v>
      </c>
      <c r="H2" s="58" t="s">
        <v>5</v>
      </c>
      <c r="I2" s="58" t="s">
        <v>3</v>
      </c>
      <c r="J2" s="58" t="s">
        <v>4</v>
      </c>
      <c r="K2" s="60" t="s">
        <v>20</v>
      </c>
      <c r="L2" s="60" t="s">
        <v>21</v>
      </c>
    </row>
    <row r="3" spans="1:13" s="46" customFormat="1" ht="9.9499999999999993" customHeight="1" x14ac:dyDescent="0.25">
      <c r="A3" s="61" t="s">
        <v>88</v>
      </c>
      <c r="B3" s="62">
        <v>1</v>
      </c>
      <c r="C3" s="63"/>
      <c r="D3" s="64">
        <v>3000</v>
      </c>
      <c r="E3" s="64"/>
      <c r="F3" s="64">
        <v>3450</v>
      </c>
      <c r="G3" s="65">
        <v>3450</v>
      </c>
      <c r="H3" s="65"/>
      <c r="I3" s="66"/>
      <c r="J3" s="63"/>
      <c r="K3" s="63"/>
      <c r="L3" s="63"/>
    </row>
    <row r="4" spans="1:13" s="46" customFormat="1" ht="9.9499999999999993" customHeight="1" x14ac:dyDescent="0.25">
      <c r="A4" s="61" t="s">
        <v>22</v>
      </c>
      <c r="B4" s="62">
        <v>2</v>
      </c>
      <c r="C4" s="63"/>
      <c r="D4" s="64">
        <v>2000</v>
      </c>
      <c r="E4" s="64"/>
      <c r="F4" s="64">
        <v>2450</v>
      </c>
      <c r="G4" s="65">
        <v>2450</v>
      </c>
      <c r="H4" s="65">
        <v>2450</v>
      </c>
      <c r="I4" s="66"/>
      <c r="J4" s="63"/>
      <c r="K4" s="63"/>
      <c r="L4" s="63"/>
    </row>
    <row r="5" spans="1:13" s="46" customFormat="1" ht="9.9499999999999993" customHeight="1" x14ac:dyDescent="0.25">
      <c r="A5" s="61" t="s">
        <v>6</v>
      </c>
      <c r="B5" s="62">
        <v>3</v>
      </c>
      <c r="C5" s="63"/>
      <c r="D5" s="64">
        <v>3200</v>
      </c>
      <c r="E5" s="64"/>
      <c r="F5" s="64">
        <v>3650</v>
      </c>
      <c r="G5" s="65">
        <v>3650</v>
      </c>
      <c r="H5" s="65">
        <v>3650</v>
      </c>
      <c r="I5" s="66"/>
      <c r="J5" s="63"/>
      <c r="K5" s="63"/>
      <c r="L5" s="63"/>
    </row>
    <row r="6" spans="1:13" s="46" customFormat="1" ht="9.9499999999999993" customHeight="1" x14ac:dyDescent="0.25">
      <c r="A6" s="61" t="s">
        <v>44</v>
      </c>
      <c r="B6" s="62">
        <v>4</v>
      </c>
      <c r="C6" s="63"/>
      <c r="D6" s="64">
        <v>3200</v>
      </c>
      <c r="E6" s="64"/>
      <c r="F6" s="64">
        <v>3650</v>
      </c>
      <c r="G6" s="65">
        <v>3650</v>
      </c>
      <c r="H6" s="65">
        <v>3650</v>
      </c>
      <c r="I6" s="66"/>
      <c r="J6" s="63"/>
      <c r="K6" s="63"/>
      <c r="L6" s="63"/>
    </row>
    <row r="7" spans="1:13" s="46" customFormat="1" ht="9.9499999999999993" customHeight="1" x14ac:dyDescent="0.25">
      <c r="A7" s="61" t="s">
        <v>7</v>
      </c>
      <c r="B7" s="62">
        <v>5</v>
      </c>
      <c r="C7" s="63"/>
      <c r="D7" s="64">
        <v>2500</v>
      </c>
      <c r="E7" s="64"/>
      <c r="F7" s="64">
        <v>2650</v>
      </c>
      <c r="G7" s="65">
        <v>2650</v>
      </c>
      <c r="I7" s="66"/>
      <c r="J7" s="63"/>
      <c r="K7" s="63"/>
      <c r="L7" s="63"/>
    </row>
    <row r="8" spans="1:13" s="46" customFormat="1" ht="9.9499999999999993" customHeight="1" x14ac:dyDescent="0.25">
      <c r="A8" s="61" t="s">
        <v>74</v>
      </c>
      <c r="B8" s="62">
        <v>6</v>
      </c>
      <c r="C8" s="63"/>
      <c r="D8" s="64">
        <v>2500</v>
      </c>
      <c r="E8" s="64"/>
      <c r="F8" s="64">
        <v>2450</v>
      </c>
      <c r="G8" s="65">
        <v>2450</v>
      </c>
      <c r="H8" s="65"/>
      <c r="I8" s="66"/>
      <c r="J8" s="63"/>
      <c r="K8" s="63"/>
      <c r="L8" s="63"/>
    </row>
    <row r="9" spans="1:13" s="46" customFormat="1" ht="9.9499999999999993" customHeight="1" x14ac:dyDescent="0.25">
      <c r="A9" s="61" t="s">
        <v>45</v>
      </c>
      <c r="B9" s="62">
        <v>7</v>
      </c>
      <c r="C9" s="63"/>
      <c r="D9" s="64">
        <v>2300</v>
      </c>
      <c r="E9" s="64"/>
      <c r="F9" s="64">
        <v>2450</v>
      </c>
      <c r="G9" s="65">
        <v>2450</v>
      </c>
      <c r="H9" s="65"/>
      <c r="I9" s="66"/>
      <c r="J9" s="63"/>
      <c r="K9" s="63"/>
      <c r="L9" s="63"/>
    </row>
    <row r="10" spans="1:13" s="46" customFormat="1" ht="9.9499999999999993" customHeight="1" x14ac:dyDescent="0.25">
      <c r="A10" s="61" t="s">
        <v>8</v>
      </c>
      <c r="B10" s="62">
        <v>8</v>
      </c>
      <c r="C10" s="63"/>
      <c r="D10" s="64">
        <v>2300</v>
      </c>
      <c r="E10" s="64"/>
      <c r="F10" s="64">
        <v>2450</v>
      </c>
      <c r="G10" s="65">
        <v>2450</v>
      </c>
      <c r="H10" s="65">
        <v>2450</v>
      </c>
      <c r="I10" s="66"/>
      <c r="J10" s="63"/>
      <c r="K10" s="63"/>
      <c r="L10" s="63"/>
    </row>
    <row r="11" spans="1:13" s="46" customFormat="1" ht="9.9499999999999993" customHeight="1" x14ac:dyDescent="0.25">
      <c r="A11" s="61" t="s">
        <v>46</v>
      </c>
      <c r="B11" s="62">
        <v>9</v>
      </c>
      <c r="C11" s="63"/>
      <c r="D11" s="64">
        <v>2300</v>
      </c>
      <c r="E11" s="64"/>
      <c r="F11" s="64">
        <v>2450</v>
      </c>
      <c r="G11" s="65">
        <v>2450</v>
      </c>
      <c r="H11" s="65">
        <v>2300</v>
      </c>
      <c r="I11" s="66"/>
      <c r="J11" s="63"/>
      <c r="K11" s="63"/>
      <c r="L11" s="63"/>
    </row>
    <row r="12" spans="1:13" s="46" customFormat="1" ht="9.9499999999999993" customHeight="1" x14ac:dyDescent="0.25">
      <c r="A12" s="61" t="s">
        <v>47</v>
      </c>
      <c r="B12" s="62">
        <v>10</v>
      </c>
      <c r="C12" s="63"/>
      <c r="D12" s="64">
        <v>2300</v>
      </c>
      <c r="E12" s="64"/>
      <c r="F12" s="64">
        <v>2450</v>
      </c>
      <c r="G12" s="65">
        <v>2450</v>
      </c>
      <c r="H12" s="65">
        <v>2450</v>
      </c>
      <c r="I12" s="66"/>
      <c r="J12" s="63"/>
      <c r="K12" s="63"/>
      <c r="L12" s="63"/>
    </row>
    <row r="13" spans="1:13" s="46" customFormat="1" ht="9.9499999999999993" customHeight="1" x14ac:dyDescent="0.25">
      <c r="A13" s="61" t="s">
        <v>48</v>
      </c>
      <c r="B13" s="62">
        <v>11</v>
      </c>
      <c r="C13" s="63"/>
      <c r="D13" s="64">
        <v>2300</v>
      </c>
      <c r="E13" s="64"/>
      <c r="F13" s="64">
        <v>2450</v>
      </c>
      <c r="G13" s="65">
        <v>2450</v>
      </c>
      <c r="H13" s="65">
        <v>2450</v>
      </c>
      <c r="I13" s="66"/>
      <c r="J13" s="63"/>
      <c r="K13" s="63"/>
      <c r="L13" s="63"/>
    </row>
    <row r="14" spans="1:13" s="46" customFormat="1" ht="9.9499999999999993" customHeight="1" x14ac:dyDescent="0.25">
      <c r="A14" s="61" t="s">
        <v>75</v>
      </c>
      <c r="B14" s="62">
        <v>12</v>
      </c>
      <c r="C14" s="63"/>
      <c r="D14" s="64">
        <v>2300</v>
      </c>
      <c r="E14" s="64"/>
      <c r="F14" s="64">
        <v>2450</v>
      </c>
      <c r="G14" s="65">
        <v>2450</v>
      </c>
      <c r="H14" s="65"/>
      <c r="I14" s="66"/>
      <c r="J14" s="63"/>
      <c r="K14" s="63"/>
      <c r="L14" s="63"/>
    </row>
    <row r="15" spans="1:13" s="46" customFormat="1" ht="9.9499999999999993" customHeight="1" x14ac:dyDescent="0.25">
      <c r="A15" s="67" t="s">
        <v>50</v>
      </c>
      <c r="B15" s="68">
        <v>13</v>
      </c>
      <c r="C15" s="63"/>
      <c r="D15" s="64">
        <v>2300</v>
      </c>
      <c r="E15" s="64"/>
      <c r="F15" s="64">
        <v>2450</v>
      </c>
      <c r="G15" s="69">
        <v>2450</v>
      </c>
      <c r="H15" s="69">
        <v>2450</v>
      </c>
      <c r="I15" s="63"/>
      <c r="J15" s="63"/>
      <c r="K15" s="63"/>
      <c r="L15" s="63"/>
    </row>
    <row r="16" spans="1:13" s="46" customFormat="1" ht="9.9499999999999993" customHeight="1" x14ac:dyDescent="0.25">
      <c r="A16" s="61" t="s">
        <v>9</v>
      </c>
      <c r="B16" s="62">
        <v>14</v>
      </c>
      <c r="C16" s="63"/>
      <c r="D16" s="64">
        <v>2300</v>
      </c>
      <c r="E16" s="64"/>
      <c r="F16" s="64">
        <v>2450</v>
      </c>
      <c r="G16" s="65">
        <v>2450</v>
      </c>
      <c r="H16" s="65"/>
      <c r="I16" s="66"/>
      <c r="J16" s="63"/>
      <c r="K16" s="63"/>
      <c r="L16" s="63"/>
    </row>
    <row r="17" spans="1:12" s="46" customFormat="1" ht="9.9499999999999993" customHeight="1" x14ac:dyDescent="0.25">
      <c r="A17" s="61" t="s">
        <v>51</v>
      </c>
      <c r="B17" s="62">
        <v>15</v>
      </c>
      <c r="C17" s="63"/>
      <c r="D17" s="64">
        <v>2300</v>
      </c>
      <c r="E17" s="64"/>
      <c r="F17" s="64">
        <v>2450</v>
      </c>
      <c r="G17" s="65">
        <v>2450</v>
      </c>
      <c r="H17" s="65"/>
      <c r="I17" s="66"/>
      <c r="J17" s="63"/>
      <c r="K17" s="63"/>
      <c r="L17" s="63"/>
    </row>
    <row r="18" spans="1:12" s="46" customFormat="1" ht="9.9499999999999993" customHeight="1" x14ac:dyDescent="0.25">
      <c r="A18" s="61" t="s">
        <v>52</v>
      </c>
      <c r="B18" s="62">
        <v>16</v>
      </c>
      <c r="C18" s="63"/>
      <c r="D18" s="64">
        <v>2300</v>
      </c>
      <c r="E18" s="64"/>
      <c r="F18" s="64">
        <v>2450</v>
      </c>
      <c r="G18" s="65">
        <v>2450</v>
      </c>
      <c r="H18" s="65">
        <v>2450</v>
      </c>
      <c r="I18" s="66"/>
      <c r="J18" s="63"/>
      <c r="K18" s="63"/>
      <c r="L18" s="63"/>
    </row>
    <row r="19" spans="1:12" s="46" customFormat="1" ht="9.9499999999999993" customHeight="1" x14ac:dyDescent="0.25">
      <c r="A19" s="61" t="s">
        <v>10</v>
      </c>
      <c r="B19" s="62">
        <v>17</v>
      </c>
      <c r="C19" s="63"/>
      <c r="D19" s="64"/>
      <c r="E19" s="64"/>
      <c r="F19" s="64"/>
      <c r="G19" s="65"/>
      <c r="H19" s="65"/>
      <c r="I19" s="66"/>
      <c r="J19" s="63"/>
      <c r="K19" s="63"/>
      <c r="L19" s="63"/>
    </row>
    <row r="20" spans="1:12" s="46" customFormat="1" ht="9.9499999999999993" customHeight="1" x14ac:dyDescent="0.25">
      <c r="A20" s="61" t="s">
        <v>11</v>
      </c>
      <c r="B20" s="62">
        <v>18</v>
      </c>
      <c r="C20" s="63"/>
      <c r="D20" s="64">
        <v>2300</v>
      </c>
      <c r="E20" s="64"/>
      <c r="F20" s="64">
        <v>2450</v>
      </c>
      <c r="G20" s="65">
        <v>2450</v>
      </c>
      <c r="H20" s="65"/>
      <c r="I20" s="66"/>
      <c r="J20" s="63"/>
      <c r="K20" s="63"/>
      <c r="L20" s="63"/>
    </row>
    <row r="21" spans="1:12" s="46" customFormat="1" ht="9.9499999999999993" customHeight="1" x14ac:dyDescent="0.25">
      <c r="A21" s="61" t="s">
        <v>53</v>
      </c>
      <c r="B21" s="62">
        <v>19</v>
      </c>
      <c r="C21" s="63"/>
      <c r="D21" s="64">
        <v>2300</v>
      </c>
      <c r="E21" s="64"/>
      <c r="F21" s="64">
        <v>2450</v>
      </c>
      <c r="G21" s="65">
        <v>2450</v>
      </c>
      <c r="H21" s="65">
        <v>2450</v>
      </c>
      <c r="I21" s="66"/>
      <c r="J21" s="63"/>
      <c r="K21" s="63"/>
      <c r="L21" s="63"/>
    </row>
    <row r="22" spans="1:12" s="46" customFormat="1" ht="9.9499999999999993" customHeight="1" x14ac:dyDescent="0.25">
      <c r="A22" s="61" t="s">
        <v>54</v>
      </c>
      <c r="B22" s="62">
        <v>20</v>
      </c>
      <c r="C22" s="63"/>
      <c r="D22" s="64">
        <v>2300</v>
      </c>
      <c r="E22" s="64"/>
      <c r="F22" s="64">
        <v>2450</v>
      </c>
      <c r="G22" s="65">
        <v>2450</v>
      </c>
      <c r="H22" s="65">
        <v>2450</v>
      </c>
      <c r="I22" s="66"/>
      <c r="J22" s="63"/>
      <c r="K22" s="63"/>
      <c r="L22" s="63"/>
    </row>
    <row r="23" spans="1:12" s="50" customFormat="1" ht="9.9499999999999993" customHeight="1" x14ac:dyDescent="0.25">
      <c r="A23" s="51" t="s">
        <v>12</v>
      </c>
      <c r="B23" s="70">
        <v>21</v>
      </c>
      <c r="C23" s="49"/>
      <c r="D23" s="71">
        <v>2300</v>
      </c>
      <c r="E23" s="71"/>
      <c r="F23" s="71"/>
      <c r="G23" s="72"/>
      <c r="H23" s="72"/>
      <c r="I23" s="59"/>
      <c r="J23" s="49"/>
      <c r="K23" s="49"/>
      <c r="L23" s="49"/>
    </row>
    <row r="24" spans="1:12" s="46" customFormat="1" ht="9.9499999999999993" customHeight="1" x14ac:dyDescent="0.25">
      <c r="A24" s="61" t="s">
        <v>76</v>
      </c>
      <c r="B24" s="62">
        <v>22</v>
      </c>
      <c r="C24" s="63"/>
      <c r="D24" s="64"/>
      <c r="E24" s="64"/>
      <c r="F24" s="64"/>
      <c r="G24" s="65"/>
      <c r="H24" s="65"/>
      <c r="I24" s="66"/>
      <c r="J24" s="63"/>
      <c r="K24" s="63"/>
      <c r="L24" s="63"/>
    </row>
    <row r="25" spans="1:12" s="46" customFormat="1" ht="9.9499999999999993" customHeight="1" x14ac:dyDescent="0.25">
      <c r="A25" s="73" t="s">
        <v>23</v>
      </c>
      <c r="B25" s="62">
        <v>23</v>
      </c>
      <c r="C25" s="63"/>
      <c r="D25" s="64">
        <v>3500</v>
      </c>
      <c r="E25" s="64"/>
      <c r="F25" s="64">
        <v>3500</v>
      </c>
      <c r="G25" s="65">
        <v>3500</v>
      </c>
      <c r="H25" s="65">
        <v>3500</v>
      </c>
      <c r="I25" s="66"/>
      <c r="J25" s="63"/>
      <c r="K25" s="63"/>
      <c r="L25" s="63"/>
    </row>
    <row r="26" spans="1:12" s="46" customFormat="1" ht="9.9499999999999993" customHeight="1" x14ac:dyDescent="0.25">
      <c r="A26" s="73" t="s">
        <v>56</v>
      </c>
      <c r="B26" s="62">
        <v>24</v>
      </c>
      <c r="C26" s="63"/>
      <c r="D26" s="64"/>
      <c r="E26" s="64"/>
      <c r="F26" s="64"/>
      <c r="G26" s="65"/>
      <c r="H26" s="65"/>
      <c r="I26" s="66"/>
      <c r="J26" s="63"/>
      <c r="K26" s="63"/>
      <c r="L26" s="63"/>
    </row>
    <row r="27" spans="1:12" s="46" customFormat="1" ht="9.9499999999999993" customHeight="1" x14ac:dyDescent="0.25">
      <c r="A27" s="61" t="s">
        <v>61</v>
      </c>
      <c r="B27" s="62">
        <v>25</v>
      </c>
      <c r="C27" s="63"/>
      <c r="D27" s="64"/>
      <c r="E27" s="64"/>
      <c r="F27" s="64"/>
      <c r="G27" s="65"/>
      <c r="H27" s="65"/>
      <c r="I27" s="66"/>
      <c r="J27" s="63"/>
      <c r="K27" s="63"/>
      <c r="L27" s="63"/>
    </row>
    <row r="28" spans="1:12" s="46" customFormat="1" ht="9.9499999999999993" customHeight="1" x14ac:dyDescent="0.25">
      <c r="A28" s="61" t="s">
        <v>14</v>
      </c>
      <c r="B28" s="62">
        <v>26</v>
      </c>
      <c r="C28" s="63"/>
      <c r="D28" s="64">
        <v>2000</v>
      </c>
      <c r="E28" s="64"/>
      <c r="F28" s="64">
        <v>2150</v>
      </c>
      <c r="G28" s="65">
        <v>2150</v>
      </c>
      <c r="H28" s="65"/>
      <c r="I28" s="66"/>
      <c r="J28" s="63"/>
      <c r="K28" s="63"/>
      <c r="L28" s="63"/>
    </row>
    <row r="29" spans="1:12" s="46" customFormat="1" ht="9.9499999999999993" customHeight="1" x14ac:dyDescent="0.25">
      <c r="A29" s="61" t="s">
        <v>56</v>
      </c>
      <c r="B29" s="62">
        <v>27</v>
      </c>
      <c r="C29" s="63"/>
      <c r="D29" s="64"/>
      <c r="E29" s="64"/>
      <c r="F29" s="64"/>
      <c r="G29" s="65"/>
      <c r="H29" s="65"/>
      <c r="I29" s="66"/>
      <c r="J29" s="63"/>
      <c r="K29" s="63"/>
      <c r="L29" s="63"/>
    </row>
    <row r="30" spans="1:12" s="46" customFormat="1" ht="9.9499999999999993" customHeight="1" x14ac:dyDescent="0.25">
      <c r="A30" s="61" t="s">
        <v>57</v>
      </c>
      <c r="B30" s="62">
        <v>28</v>
      </c>
      <c r="C30" s="63"/>
      <c r="D30" s="64">
        <v>2000</v>
      </c>
      <c r="E30" s="64"/>
      <c r="F30" s="64">
        <v>2150</v>
      </c>
      <c r="G30" s="65">
        <v>2150</v>
      </c>
      <c r="H30" s="65">
        <v>2150</v>
      </c>
      <c r="I30" s="66"/>
      <c r="J30" s="63"/>
      <c r="K30" s="63"/>
      <c r="L30" s="63"/>
    </row>
    <row r="31" spans="1:12" s="46" customFormat="1" ht="9.9499999999999993" customHeight="1" x14ac:dyDescent="0.25">
      <c r="A31" s="61" t="s">
        <v>15</v>
      </c>
      <c r="B31" s="62">
        <v>29</v>
      </c>
      <c r="C31" s="63"/>
      <c r="D31" s="64">
        <v>3000</v>
      </c>
      <c r="E31" s="64"/>
      <c r="F31" s="64">
        <v>3150</v>
      </c>
      <c r="G31" s="65">
        <v>3150</v>
      </c>
      <c r="H31" s="65">
        <v>3150</v>
      </c>
      <c r="I31" s="66"/>
      <c r="J31" s="63"/>
      <c r="K31" s="63"/>
      <c r="L31" s="63"/>
    </row>
    <row r="32" spans="1:12" s="46" customFormat="1" ht="9.9499999999999993" customHeight="1" x14ac:dyDescent="0.25">
      <c r="A32" s="61" t="s">
        <v>59</v>
      </c>
      <c r="B32" s="62">
        <v>31</v>
      </c>
      <c r="C32" s="63"/>
      <c r="D32" s="64">
        <v>3000</v>
      </c>
      <c r="E32" s="64"/>
      <c r="F32" s="64">
        <v>3150</v>
      </c>
      <c r="G32" s="74">
        <v>3150</v>
      </c>
      <c r="H32" s="65">
        <v>3150</v>
      </c>
      <c r="I32" s="66"/>
      <c r="J32" s="63"/>
      <c r="K32" s="63"/>
      <c r="L32" s="63"/>
    </row>
    <row r="33" spans="1:13" s="46" customFormat="1" ht="9.9499999999999993" customHeight="1" x14ac:dyDescent="0.25">
      <c r="A33" s="61" t="s">
        <v>60</v>
      </c>
      <c r="B33" s="62">
        <v>32</v>
      </c>
      <c r="C33" s="63"/>
      <c r="D33" s="64">
        <v>2500</v>
      </c>
      <c r="E33" s="64"/>
      <c r="F33" s="64">
        <v>2950</v>
      </c>
      <c r="G33" s="65">
        <v>2950</v>
      </c>
      <c r="H33" s="65">
        <v>2800</v>
      </c>
      <c r="I33" s="66"/>
      <c r="J33" s="63"/>
      <c r="K33" s="63"/>
      <c r="L33" s="63"/>
    </row>
    <row r="34" spans="1:13" s="46" customFormat="1" ht="9.9499999999999993" customHeight="1" x14ac:dyDescent="0.25">
      <c r="A34" s="61" t="s">
        <v>16</v>
      </c>
      <c r="B34" s="62">
        <v>33</v>
      </c>
      <c r="C34" s="63"/>
      <c r="D34" s="64">
        <v>2800</v>
      </c>
      <c r="E34" s="64"/>
      <c r="F34" s="64">
        <v>2950</v>
      </c>
      <c r="G34" s="65">
        <v>2950</v>
      </c>
      <c r="H34" s="65">
        <v>2950</v>
      </c>
      <c r="I34" s="66"/>
      <c r="J34" s="63"/>
      <c r="K34" s="63"/>
      <c r="L34" s="63"/>
    </row>
    <row r="35" spans="1:13" s="46" customFormat="1" ht="9.9499999999999993" customHeight="1" x14ac:dyDescent="0.25">
      <c r="A35" s="61" t="s">
        <v>77</v>
      </c>
      <c r="B35" s="62">
        <v>34</v>
      </c>
      <c r="C35" s="63"/>
      <c r="D35" s="64">
        <v>2800</v>
      </c>
      <c r="E35" s="64"/>
      <c r="F35" s="64">
        <v>2950</v>
      </c>
      <c r="G35" s="65">
        <v>2950</v>
      </c>
      <c r="H35" s="65">
        <v>2800</v>
      </c>
      <c r="I35" s="66"/>
      <c r="J35" s="63"/>
      <c r="K35" s="63"/>
      <c r="L35" s="63"/>
    </row>
    <row r="36" spans="1:13" s="46" customFormat="1" ht="9.9499999999999993" customHeight="1" x14ac:dyDescent="0.25">
      <c r="A36" s="61" t="s">
        <v>78</v>
      </c>
      <c r="B36" s="62"/>
      <c r="C36" s="63"/>
      <c r="D36" s="64">
        <v>2800</v>
      </c>
      <c r="E36" s="64"/>
      <c r="F36" s="64">
        <v>3150</v>
      </c>
      <c r="G36" s="65">
        <v>3150</v>
      </c>
      <c r="H36" s="65">
        <v>3150</v>
      </c>
      <c r="I36" s="66"/>
      <c r="J36" s="63"/>
      <c r="K36" s="63"/>
      <c r="L36" s="63"/>
    </row>
    <row r="37" spans="1:13" s="46" customFormat="1" ht="9.9499999999999993" customHeight="1" x14ac:dyDescent="0.25">
      <c r="A37" s="61"/>
      <c r="B37" s="62">
        <v>34</v>
      </c>
      <c r="C37" s="63"/>
      <c r="D37" s="64"/>
      <c r="E37" s="64"/>
      <c r="F37" s="64"/>
      <c r="G37" s="65"/>
      <c r="H37" s="65"/>
      <c r="I37" s="66"/>
      <c r="J37" s="63"/>
      <c r="K37" s="63"/>
      <c r="L37" s="63"/>
    </row>
    <row r="38" spans="1:13" s="46" customFormat="1" ht="9.9499999999999993" customHeight="1" x14ac:dyDescent="0.25">
      <c r="A38" s="61"/>
      <c r="B38" s="62"/>
      <c r="C38" s="63"/>
      <c r="D38" s="64">
        <f>SUM(D3:D37)</f>
        <v>73000</v>
      </c>
      <c r="E38" s="64"/>
      <c r="F38" s="64">
        <f>SUM(F3:F36)</f>
        <v>76250</v>
      </c>
      <c r="G38" s="65">
        <f>SUM(G3:G37)</f>
        <v>76250</v>
      </c>
      <c r="H38" s="65">
        <f>SUM(H3:H36)</f>
        <v>52850</v>
      </c>
      <c r="I38" s="66"/>
      <c r="J38" s="63"/>
      <c r="K38" s="63"/>
      <c r="L38" s="63"/>
    </row>
    <row r="39" spans="1:13" ht="12.95" customHeight="1" x14ac:dyDescent="0.25">
      <c r="A39" s="17" t="s">
        <v>24</v>
      </c>
      <c r="G39" s="20"/>
      <c r="K39" s="12"/>
      <c r="L39" s="12"/>
    </row>
    <row r="40" spans="1:13" x14ac:dyDescent="0.25">
      <c r="A40" s="12" t="s">
        <v>72</v>
      </c>
      <c r="D40" s="19">
        <f>SUM(G38)</f>
        <v>76250</v>
      </c>
      <c r="E40" s="19"/>
      <c r="J40" s="20"/>
      <c r="K40" s="12"/>
      <c r="L40" s="12"/>
      <c r="M40" s="12"/>
    </row>
    <row r="41" spans="1:13" ht="15" customHeight="1" x14ac:dyDescent="0.35">
      <c r="A41" s="12" t="s">
        <v>25</v>
      </c>
      <c r="B41" s="12"/>
      <c r="C41" s="1"/>
      <c r="D41" s="22">
        <f>SUM(D40:D40)</f>
        <v>76250</v>
      </c>
      <c r="E41" s="22"/>
    </row>
    <row r="42" spans="1:13" x14ac:dyDescent="0.25">
      <c r="A42" s="23" t="s">
        <v>26</v>
      </c>
      <c r="B42" s="12"/>
      <c r="C42" s="1"/>
      <c r="D42" s="1"/>
      <c r="E42" s="1"/>
      <c r="H42" s="18"/>
    </row>
    <row r="43" spans="1:13" x14ac:dyDescent="0.25">
      <c r="A43" s="12" t="s">
        <v>79</v>
      </c>
      <c r="B43" s="12"/>
      <c r="C43" s="1"/>
      <c r="D43" s="25">
        <f>SUM(D40*8%)</f>
        <v>6100</v>
      </c>
      <c r="F43" s="31"/>
      <c r="G43" s="31" t="s">
        <v>35</v>
      </c>
      <c r="H43" s="31"/>
      <c r="I43" s="29" t="s">
        <v>36</v>
      </c>
      <c r="K43" s="29"/>
      <c r="L43" s="29" t="s">
        <v>37</v>
      </c>
    </row>
    <row r="44" spans="1:13" x14ac:dyDescent="0.25">
      <c r="A44" s="12" t="s">
        <v>80</v>
      </c>
      <c r="B44" s="12"/>
      <c r="C44" s="1"/>
      <c r="D44" s="25">
        <v>2300</v>
      </c>
      <c r="F44" s="31"/>
      <c r="G44" s="31"/>
      <c r="H44" s="31"/>
      <c r="I44" s="29"/>
      <c r="K44" s="29"/>
      <c r="L44" s="29"/>
    </row>
    <row r="45" spans="1:13" x14ac:dyDescent="0.25">
      <c r="A45" s="12" t="s">
        <v>28</v>
      </c>
      <c r="B45" s="12"/>
      <c r="C45" s="1"/>
      <c r="D45" s="25">
        <v>15000</v>
      </c>
      <c r="F45" s="31"/>
      <c r="G45" s="31" t="s">
        <v>38</v>
      </c>
      <c r="H45" s="31"/>
      <c r="I45" s="29" t="s">
        <v>82</v>
      </c>
      <c r="K45" s="29"/>
      <c r="L45" s="29" t="s">
        <v>71</v>
      </c>
    </row>
    <row r="46" spans="1:13" x14ac:dyDescent="0.25">
      <c r="A46" s="12" t="s">
        <v>29</v>
      </c>
      <c r="B46" s="12"/>
      <c r="C46" s="1"/>
      <c r="D46" s="26">
        <f>SUM(D43:D45)</f>
        <v>23400</v>
      </c>
      <c r="F46" s="31" t="s">
        <v>40</v>
      </c>
      <c r="G46" s="31" t="s">
        <v>41</v>
      </c>
      <c r="H46" s="31"/>
      <c r="I46" s="29" t="s">
        <v>43</v>
      </c>
      <c r="K46" s="29"/>
      <c r="L46" s="29" t="s">
        <v>43</v>
      </c>
    </row>
    <row r="47" spans="1:13" ht="15.75" x14ac:dyDescent="0.25">
      <c r="A47" s="27" t="s">
        <v>31</v>
      </c>
      <c r="B47" s="12"/>
      <c r="C47" s="12"/>
      <c r="D47" s="57">
        <f>SUM(D41-D46)</f>
        <v>52850</v>
      </c>
    </row>
    <row r="48" spans="1:13" x14ac:dyDescent="0.25">
      <c r="A48" s="29"/>
      <c r="B48" s="30"/>
      <c r="F48" s="29"/>
      <c r="G48" s="29"/>
      <c r="H48" s="29"/>
    </row>
    <row r="49" spans="1:2" x14ac:dyDescent="0.25">
      <c r="A49" s="29"/>
      <c r="B49" s="30"/>
    </row>
    <row r="50" spans="1:2" x14ac:dyDescent="0.25">
      <c r="A50" s="29"/>
      <c r="B50" s="30"/>
    </row>
    <row r="51" spans="1:2" x14ac:dyDescent="0.25">
      <c r="A51" s="29"/>
      <c r="B51" s="29"/>
    </row>
    <row r="52" spans="1:2" x14ac:dyDescent="0.25">
      <c r="A52" s="29"/>
      <c r="B52" s="29"/>
    </row>
  </sheetData>
  <pageMargins left="0.25" right="0.25" top="0.75" bottom="0.75" header="0.3" footer="0.3"/>
  <pageSetup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31" workbookViewId="0">
      <selection activeCell="I28" sqref="I28"/>
    </sheetView>
  </sheetViews>
  <sheetFormatPr defaultRowHeight="15" x14ac:dyDescent="0.25"/>
  <cols>
    <col min="1" max="1" width="17.5703125" customWidth="1"/>
    <col min="2" max="2" width="3.7109375" customWidth="1"/>
    <col min="3" max="3" width="11.7109375" customWidth="1"/>
    <col min="8" max="8" width="13.28515625" customWidth="1"/>
  </cols>
  <sheetData>
    <row r="1" spans="1:12" ht="22.5" customHeight="1" x14ac:dyDescent="0.45">
      <c r="A1" s="37"/>
      <c r="C1" s="38"/>
      <c r="D1" s="38"/>
      <c r="E1" s="39" t="s">
        <v>66</v>
      </c>
      <c r="F1" s="39"/>
      <c r="G1" s="38"/>
      <c r="H1" s="38"/>
      <c r="I1" s="38"/>
    </row>
    <row r="2" spans="1:12" ht="18" customHeight="1" x14ac:dyDescent="0.3">
      <c r="A2" s="36"/>
      <c r="C2" s="36"/>
      <c r="D2" s="40" t="s">
        <v>67</v>
      </c>
      <c r="E2" s="40"/>
      <c r="F2" s="40"/>
      <c r="G2" s="41"/>
      <c r="H2" s="41"/>
      <c r="I2" s="41"/>
    </row>
    <row r="3" spans="1:12" ht="20.25" customHeight="1" x14ac:dyDescent="0.25">
      <c r="C3" s="31"/>
      <c r="D3" s="42" t="s">
        <v>68</v>
      </c>
      <c r="E3" s="42"/>
      <c r="F3" s="43"/>
      <c r="G3" s="43"/>
      <c r="H3" s="31"/>
      <c r="I3" s="31"/>
    </row>
    <row r="4" spans="1:12" ht="10.5" customHeight="1" x14ac:dyDescent="0.25">
      <c r="D4" s="44" t="s">
        <v>69</v>
      </c>
      <c r="E4" s="44"/>
      <c r="F4" s="44"/>
      <c r="G4" s="45"/>
      <c r="H4" s="45"/>
      <c r="I4" s="45"/>
    </row>
    <row r="5" spans="1:12" ht="16.5" customHeight="1" x14ac:dyDescent="0.25">
      <c r="C5" s="46"/>
      <c r="D5" s="47"/>
      <c r="E5" s="48" t="s">
        <v>70</v>
      </c>
      <c r="F5" s="48"/>
      <c r="G5" s="47"/>
      <c r="H5" s="47"/>
      <c r="I5" s="47"/>
      <c r="J5" s="47"/>
      <c r="K5" s="46"/>
      <c r="L5" s="46"/>
    </row>
    <row r="6" spans="1:12" ht="19.5" customHeight="1" x14ac:dyDescent="0.3">
      <c r="A6" s="1"/>
      <c r="B6" s="2"/>
      <c r="C6" s="76" t="s">
        <v>0</v>
      </c>
      <c r="D6" s="77"/>
      <c r="E6" s="78"/>
      <c r="F6" s="5"/>
      <c r="G6" s="5"/>
      <c r="H6" s="5"/>
      <c r="I6" s="5"/>
      <c r="J6" s="3"/>
      <c r="K6" s="3"/>
    </row>
    <row r="7" spans="1:12" ht="11.1" customHeight="1" x14ac:dyDescent="0.25">
      <c r="A7" s="6" t="s">
        <v>1</v>
      </c>
      <c r="B7" s="13" t="s">
        <v>2</v>
      </c>
      <c r="C7" s="6" t="s">
        <v>63</v>
      </c>
      <c r="D7" s="6" t="s">
        <v>18</v>
      </c>
      <c r="E7" s="6" t="s">
        <v>5</v>
      </c>
      <c r="F7" s="7" t="s">
        <v>19</v>
      </c>
      <c r="G7" s="6" t="s">
        <v>84</v>
      </c>
      <c r="H7" s="52" t="s">
        <v>4</v>
      </c>
      <c r="I7" s="56" t="s">
        <v>20</v>
      </c>
      <c r="J7" s="56" t="s">
        <v>21</v>
      </c>
    </row>
    <row r="8" spans="1:12" ht="11.1" customHeight="1" x14ac:dyDescent="0.25">
      <c r="A8" s="8" t="s">
        <v>23</v>
      </c>
      <c r="B8" s="8">
        <v>1</v>
      </c>
      <c r="C8" s="10"/>
      <c r="D8" s="10"/>
      <c r="E8" s="8">
        <v>3300</v>
      </c>
      <c r="F8" s="8">
        <v>3300</v>
      </c>
      <c r="G8" s="8">
        <v>3300</v>
      </c>
      <c r="H8" s="53"/>
      <c r="I8" s="10"/>
      <c r="J8" s="10"/>
    </row>
    <row r="9" spans="1:12" ht="11.1" customHeight="1" x14ac:dyDescent="0.25">
      <c r="A9" s="8" t="s">
        <v>22</v>
      </c>
      <c r="B9" s="8">
        <v>2</v>
      </c>
      <c r="C9" s="10"/>
      <c r="D9" s="10"/>
      <c r="E9" s="8">
        <v>2300</v>
      </c>
      <c r="F9" s="8">
        <v>2300</v>
      </c>
      <c r="G9" s="8">
        <v>2300</v>
      </c>
      <c r="H9" s="53"/>
      <c r="I9" s="10"/>
      <c r="J9" s="10"/>
    </row>
    <row r="10" spans="1:12" ht="11.1" customHeight="1" x14ac:dyDescent="0.25">
      <c r="A10" s="8" t="s">
        <v>6</v>
      </c>
      <c r="B10" s="8">
        <v>3</v>
      </c>
      <c r="C10" s="10"/>
      <c r="D10" s="10"/>
      <c r="E10" s="8">
        <v>3500</v>
      </c>
      <c r="F10" s="8">
        <v>3500</v>
      </c>
      <c r="G10" s="8">
        <v>3500</v>
      </c>
      <c r="H10" s="53"/>
      <c r="I10" s="10"/>
      <c r="J10" s="10"/>
    </row>
    <row r="11" spans="1:12" ht="11.1" customHeight="1" x14ac:dyDescent="0.25">
      <c r="A11" s="8" t="s">
        <v>44</v>
      </c>
      <c r="B11" s="8">
        <v>4</v>
      </c>
      <c r="C11" s="10"/>
      <c r="D11" s="10"/>
      <c r="E11" s="8">
        <v>3500</v>
      </c>
      <c r="F11" s="8">
        <v>3500</v>
      </c>
      <c r="G11" s="8">
        <v>3500</v>
      </c>
      <c r="H11" s="53"/>
      <c r="I11" s="10"/>
      <c r="J11" s="10"/>
    </row>
    <row r="12" spans="1:12" ht="11.1" customHeight="1" x14ac:dyDescent="0.25">
      <c r="A12" s="8" t="s">
        <v>7</v>
      </c>
      <c r="B12" s="8">
        <v>5</v>
      </c>
      <c r="C12" s="10"/>
      <c r="D12" s="10"/>
      <c r="E12" s="8">
        <v>2500</v>
      </c>
      <c r="F12" s="8">
        <v>2500</v>
      </c>
      <c r="G12" s="8">
        <v>2500</v>
      </c>
      <c r="H12" s="53"/>
      <c r="I12" s="10"/>
      <c r="J12" s="10"/>
    </row>
    <row r="13" spans="1:12" ht="11.1" customHeight="1" x14ac:dyDescent="0.25">
      <c r="A13" s="8"/>
      <c r="B13" s="8">
        <v>6</v>
      </c>
      <c r="C13" s="10"/>
      <c r="D13" s="10"/>
      <c r="E13" s="8">
        <v>2500</v>
      </c>
      <c r="F13" s="8">
        <v>2500</v>
      </c>
      <c r="G13" s="8">
        <v>2500</v>
      </c>
      <c r="H13" s="53"/>
      <c r="I13" s="10"/>
      <c r="J13" s="10"/>
    </row>
    <row r="14" spans="1:12" ht="11.1" customHeight="1" x14ac:dyDescent="0.25">
      <c r="A14" s="8" t="s">
        <v>45</v>
      </c>
      <c r="B14" s="8">
        <v>7</v>
      </c>
      <c r="C14" s="10"/>
      <c r="D14" s="10"/>
      <c r="E14" s="8">
        <v>2300</v>
      </c>
      <c r="F14" s="8">
        <v>2300</v>
      </c>
      <c r="G14" s="8">
        <v>2300</v>
      </c>
      <c r="H14" s="53"/>
      <c r="I14" s="10"/>
      <c r="J14" s="10"/>
    </row>
    <row r="15" spans="1:12" ht="11.1" customHeight="1" x14ac:dyDescent="0.25">
      <c r="A15" s="8" t="s">
        <v>8</v>
      </c>
      <c r="B15" s="8">
        <v>8</v>
      </c>
      <c r="C15" s="10"/>
      <c r="D15" s="10"/>
      <c r="E15" s="8">
        <v>2300</v>
      </c>
      <c r="F15" s="8">
        <v>2300</v>
      </c>
      <c r="G15" s="8">
        <v>2300</v>
      </c>
      <c r="H15" s="53"/>
      <c r="I15" s="10"/>
      <c r="J15" s="10"/>
    </row>
    <row r="16" spans="1:12" ht="11.1" customHeight="1" x14ac:dyDescent="0.25">
      <c r="A16" s="8" t="s">
        <v>46</v>
      </c>
      <c r="B16" s="8">
        <v>9</v>
      </c>
      <c r="C16" s="10"/>
      <c r="D16" s="10"/>
      <c r="E16" s="8">
        <v>2300</v>
      </c>
      <c r="F16" s="8">
        <v>2300</v>
      </c>
      <c r="G16" s="8">
        <v>2300</v>
      </c>
      <c r="H16" s="53"/>
      <c r="I16" s="10"/>
      <c r="J16" s="10"/>
    </row>
    <row r="17" spans="1:10" ht="11.1" customHeight="1" x14ac:dyDescent="0.25">
      <c r="A17" s="8" t="s">
        <v>47</v>
      </c>
      <c r="B17" s="8">
        <v>10</v>
      </c>
      <c r="C17" s="10"/>
      <c r="D17" s="10"/>
      <c r="E17" s="8">
        <v>2300</v>
      </c>
      <c r="F17" s="8">
        <v>2300</v>
      </c>
      <c r="G17" s="8"/>
      <c r="H17" s="53"/>
      <c r="I17" s="10"/>
      <c r="J17" s="10"/>
    </row>
    <row r="18" spans="1:10" ht="11.1" customHeight="1" x14ac:dyDescent="0.25">
      <c r="A18" s="8" t="s">
        <v>48</v>
      </c>
      <c r="B18" s="8">
        <v>11</v>
      </c>
      <c r="C18" s="10"/>
      <c r="D18" s="10"/>
      <c r="E18" s="8">
        <v>2300</v>
      </c>
      <c r="F18" s="8">
        <v>2300</v>
      </c>
      <c r="G18" s="8">
        <v>2300</v>
      </c>
      <c r="H18" s="53"/>
      <c r="I18" s="10"/>
      <c r="J18" s="10"/>
    </row>
    <row r="19" spans="1:10" ht="11.1" customHeight="1" x14ac:dyDescent="0.25">
      <c r="A19" s="10"/>
      <c r="B19" s="8">
        <v>12</v>
      </c>
      <c r="C19" s="10"/>
      <c r="D19" s="10"/>
      <c r="E19" s="8">
        <v>2300</v>
      </c>
      <c r="F19" s="8">
        <v>2300</v>
      </c>
      <c r="G19" s="8">
        <v>2300</v>
      </c>
      <c r="H19" s="53"/>
      <c r="I19" s="10"/>
      <c r="J19" s="10"/>
    </row>
    <row r="20" spans="1:10" ht="11.1" customHeight="1" x14ac:dyDescent="0.25">
      <c r="A20" s="33" t="s">
        <v>50</v>
      </c>
      <c r="B20" s="8">
        <v>13</v>
      </c>
      <c r="C20" s="10"/>
      <c r="D20" s="10"/>
      <c r="E20" s="8">
        <v>2300</v>
      </c>
      <c r="F20" s="8">
        <v>2300</v>
      </c>
      <c r="G20" s="8"/>
      <c r="H20" s="53"/>
      <c r="I20" s="10"/>
      <c r="J20" s="10"/>
    </row>
    <row r="21" spans="1:10" ht="11.1" customHeight="1" x14ac:dyDescent="0.25">
      <c r="A21" s="8" t="s">
        <v>9</v>
      </c>
      <c r="B21" s="8">
        <v>14</v>
      </c>
      <c r="C21" s="10"/>
      <c r="D21" s="10"/>
      <c r="E21" s="8">
        <v>2300</v>
      </c>
      <c r="F21" s="8">
        <v>2300</v>
      </c>
      <c r="G21" s="8">
        <v>2300</v>
      </c>
      <c r="H21" s="53"/>
      <c r="I21" s="10"/>
      <c r="J21" s="10"/>
    </row>
    <row r="22" spans="1:10" ht="11.1" customHeight="1" x14ac:dyDescent="0.25">
      <c r="A22" s="8" t="s">
        <v>51</v>
      </c>
      <c r="B22" s="8">
        <v>15</v>
      </c>
      <c r="C22" s="10"/>
      <c r="D22" s="10"/>
      <c r="E22" s="8">
        <v>2300</v>
      </c>
      <c r="F22" s="8">
        <v>2300</v>
      </c>
      <c r="G22" s="8">
        <v>2300</v>
      </c>
      <c r="H22" s="53"/>
      <c r="I22" s="10"/>
      <c r="J22" s="10"/>
    </row>
    <row r="23" spans="1:10" ht="11.1" customHeight="1" x14ac:dyDescent="0.25">
      <c r="A23" s="8" t="s">
        <v>52</v>
      </c>
      <c r="B23" s="8">
        <v>16</v>
      </c>
      <c r="C23" s="10"/>
      <c r="D23" s="10"/>
      <c r="E23" s="8">
        <v>2300</v>
      </c>
      <c r="F23" s="8">
        <v>2300</v>
      </c>
      <c r="G23" s="8">
        <v>2300</v>
      </c>
      <c r="H23" s="53"/>
      <c r="I23" s="10"/>
      <c r="J23" s="10"/>
    </row>
    <row r="24" spans="1:10" ht="11.1" customHeight="1" x14ac:dyDescent="0.25">
      <c r="A24" s="8" t="s">
        <v>11</v>
      </c>
      <c r="B24" s="8">
        <v>18</v>
      </c>
      <c r="C24" s="10"/>
      <c r="D24" s="10"/>
      <c r="E24" s="8">
        <v>2300</v>
      </c>
      <c r="F24" s="8">
        <v>2300</v>
      </c>
      <c r="G24" s="8"/>
      <c r="H24" s="53"/>
      <c r="I24" s="10"/>
      <c r="J24" s="10"/>
    </row>
    <row r="25" spans="1:10" ht="11.1" customHeight="1" x14ac:dyDescent="0.25">
      <c r="A25" s="8" t="s">
        <v>53</v>
      </c>
      <c r="B25" s="8">
        <v>19</v>
      </c>
      <c r="C25" s="10"/>
      <c r="D25" s="10"/>
      <c r="E25" s="8">
        <v>2300</v>
      </c>
      <c r="F25" s="8">
        <v>2300</v>
      </c>
      <c r="G25" s="8">
        <v>2300</v>
      </c>
      <c r="H25" s="53"/>
      <c r="I25" s="10"/>
      <c r="J25" s="10"/>
    </row>
    <row r="26" spans="1:10" ht="11.1" customHeight="1" x14ac:dyDescent="0.25">
      <c r="A26" s="8" t="s">
        <v>54</v>
      </c>
      <c r="B26" s="8">
        <v>20</v>
      </c>
      <c r="C26" s="10"/>
      <c r="D26" s="10"/>
      <c r="E26" s="8">
        <v>2300</v>
      </c>
      <c r="F26" s="8">
        <v>2300</v>
      </c>
      <c r="G26" s="8">
        <v>2300</v>
      </c>
      <c r="H26" s="53"/>
      <c r="I26" s="10"/>
      <c r="J26" s="10"/>
    </row>
    <row r="27" spans="1:10" ht="11.1" customHeight="1" x14ac:dyDescent="0.25">
      <c r="A27" s="8" t="s">
        <v>12</v>
      </c>
      <c r="B27" s="8">
        <v>21</v>
      </c>
      <c r="C27" s="10"/>
      <c r="D27" s="10"/>
      <c r="E27" s="8">
        <v>2300</v>
      </c>
      <c r="F27" s="8">
        <v>2300</v>
      </c>
      <c r="G27" s="8"/>
      <c r="H27" s="53"/>
      <c r="I27" s="10"/>
      <c r="J27" s="10"/>
    </row>
    <row r="28" spans="1:10" ht="11.1" customHeight="1" x14ac:dyDescent="0.25">
      <c r="A28" s="8" t="s">
        <v>14</v>
      </c>
      <c r="B28" s="8">
        <v>27</v>
      </c>
      <c r="C28" s="10"/>
      <c r="D28" s="10"/>
      <c r="E28" s="8">
        <v>3500</v>
      </c>
      <c r="F28" s="8">
        <v>3500</v>
      </c>
      <c r="G28" s="8">
        <v>3500</v>
      </c>
      <c r="H28" s="53"/>
      <c r="I28" s="10"/>
      <c r="J28" s="10"/>
    </row>
    <row r="29" spans="1:10" ht="11.1" customHeight="1" x14ac:dyDescent="0.25">
      <c r="A29" s="10"/>
      <c r="B29" s="8"/>
      <c r="C29" s="10"/>
      <c r="D29" s="10"/>
      <c r="E29" s="8">
        <v>3500</v>
      </c>
      <c r="F29" s="8">
        <v>3500</v>
      </c>
      <c r="G29" s="8"/>
      <c r="H29" s="53"/>
      <c r="I29" s="10"/>
      <c r="J29" s="10"/>
    </row>
    <row r="30" spans="1:10" ht="11.1" customHeight="1" x14ac:dyDescent="0.25">
      <c r="A30" s="8" t="s">
        <v>56</v>
      </c>
      <c r="B30" s="8">
        <v>28</v>
      </c>
      <c r="C30" s="10"/>
      <c r="D30" s="10"/>
      <c r="E30" s="8">
        <v>2000</v>
      </c>
      <c r="F30" s="8">
        <v>2000</v>
      </c>
      <c r="G30" s="8">
        <v>2000</v>
      </c>
      <c r="H30" s="53"/>
      <c r="I30" s="10"/>
      <c r="J30" s="10"/>
    </row>
    <row r="31" spans="1:10" ht="11.1" customHeight="1" x14ac:dyDescent="0.25">
      <c r="A31" s="8" t="s">
        <v>57</v>
      </c>
      <c r="B31" s="8">
        <v>29</v>
      </c>
      <c r="C31" s="10"/>
      <c r="D31" s="10"/>
      <c r="E31" s="8">
        <v>2000</v>
      </c>
      <c r="F31" s="8">
        <v>2000</v>
      </c>
      <c r="G31" s="8">
        <v>2000</v>
      </c>
      <c r="H31" s="53"/>
      <c r="I31" s="10"/>
      <c r="J31" s="10"/>
    </row>
    <row r="32" spans="1:10" ht="11.1" customHeight="1" x14ac:dyDescent="0.25">
      <c r="A32" s="8" t="s">
        <v>15</v>
      </c>
      <c r="B32" s="8">
        <v>30</v>
      </c>
      <c r="C32" s="10"/>
      <c r="D32" s="10"/>
      <c r="E32" s="8">
        <v>3000</v>
      </c>
      <c r="F32" s="8">
        <v>3000</v>
      </c>
      <c r="G32" s="8"/>
      <c r="H32" s="53"/>
      <c r="I32" s="10"/>
      <c r="J32" s="10"/>
    </row>
    <row r="33" spans="1:11" ht="11.1" customHeight="1" x14ac:dyDescent="0.25">
      <c r="A33" s="8" t="s">
        <v>64</v>
      </c>
      <c r="B33" s="8"/>
      <c r="C33" s="10"/>
      <c r="D33" s="10"/>
      <c r="E33" s="8">
        <v>3000</v>
      </c>
      <c r="F33" s="8">
        <v>3000</v>
      </c>
      <c r="G33" s="8">
        <v>3000</v>
      </c>
      <c r="H33" s="53"/>
      <c r="I33" s="10"/>
      <c r="J33" s="10"/>
    </row>
    <row r="34" spans="1:11" ht="11.1" customHeight="1" x14ac:dyDescent="0.25">
      <c r="A34" s="8" t="s">
        <v>58</v>
      </c>
      <c r="B34" s="8">
        <v>31</v>
      </c>
      <c r="C34" s="10"/>
      <c r="D34" s="10"/>
      <c r="E34" s="8">
        <v>3000</v>
      </c>
      <c r="F34" s="8">
        <v>3000</v>
      </c>
      <c r="G34" s="8">
        <v>3000</v>
      </c>
      <c r="H34" s="53"/>
      <c r="I34" s="10"/>
      <c r="J34" s="10"/>
    </row>
    <row r="35" spans="1:11" ht="11.1" customHeight="1" x14ac:dyDescent="0.25">
      <c r="A35" s="8" t="s">
        <v>59</v>
      </c>
      <c r="B35" s="8">
        <v>32</v>
      </c>
      <c r="C35" s="10"/>
      <c r="D35" s="10"/>
      <c r="E35" s="8">
        <v>2800</v>
      </c>
      <c r="F35" s="8">
        <v>2800</v>
      </c>
      <c r="G35" s="8"/>
      <c r="H35" s="53"/>
      <c r="I35" s="10"/>
      <c r="J35" s="10"/>
    </row>
    <row r="36" spans="1:11" ht="11.1" customHeight="1" x14ac:dyDescent="0.25">
      <c r="A36" s="8" t="s">
        <v>60</v>
      </c>
      <c r="B36" s="8">
        <v>34</v>
      </c>
      <c r="C36" s="10"/>
      <c r="D36" s="10"/>
      <c r="E36" s="8">
        <v>2800</v>
      </c>
      <c r="F36" s="8">
        <v>2800</v>
      </c>
      <c r="G36" s="8">
        <v>2800</v>
      </c>
      <c r="H36" s="54"/>
      <c r="I36" s="10"/>
      <c r="J36" s="10"/>
    </row>
    <row r="37" spans="1:11" ht="11.1" customHeight="1" x14ac:dyDescent="0.25">
      <c r="A37" s="8" t="s">
        <v>16</v>
      </c>
      <c r="B37" s="8">
        <v>35</v>
      </c>
      <c r="C37" s="10"/>
      <c r="D37" s="10"/>
      <c r="E37" s="8">
        <v>2800</v>
      </c>
      <c r="F37" s="8">
        <v>2800</v>
      </c>
      <c r="G37" s="8">
        <v>2800</v>
      </c>
      <c r="H37" s="53"/>
      <c r="I37" s="10"/>
      <c r="J37" s="10"/>
    </row>
    <row r="38" spans="1:11" ht="11.1" customHeight="1" x14ac:dyDescent="0.25">
      <c r="A38" s="8"/>
      <c r="B38" s="8"/>
      <c r="C38" s="10"/>
      <c r="D38" s="10"/>
      <c r="E38" s="8"/>
      <c r="F38" s="8"/>
      <c r="G38" s="8"/>
      <c r="H38" s="53"/>
      <c r="I38" s="10"/>
      <c r="J38" s="10"/>
    </row>
    <row r="39" spans="1:11" s="50" customFormat="1" ht="11.1" customHeight="1" x14ac:dyDescent="0.25">
      <c r="A39" s="49"/>
      <c r="B39" s="49"/>
      <c r="C39" s="49"/>
      <c r="D39" s="49"/>
      <c r="E39" s="51">
        <f>SUM(E8:E37)</f>
        <v>78200</v>
      </c>
      <c r="F39" s="51">
        <f>SUM(F8:F37)</f>
        <v>78200</v>
      </c>
      <c r="G39" s="51">
        <f>SUM(G8:G37)</f>
        <v>59700</v>
      </c>
      <c r="H39" s="55"/>
      <c r="I39" s="49"/>
      <c r="J39" s="49"/>
    </row>
    <row r="40" spans="1:11" x14ac:dyDescent="0.25">
      <c r="A40" s="17" t="s">
        <v>24</v>
      </c>
      <c r="D40" s="29"/>
    </row>
    <row r="41" spans="1:11" x14ac:dyDescent="0.25">
      <c r="A41" s="12" t="s">
        <v>72</v>
      </c>
      <c r="C41" s="19">
        <v>78200</v>
      </c>
      <c r="D41" s="29"/>
    </row>
    <row r="42" spans="1:11" ht="15.75" customHeight="1" x14ac:dyDescent="0.35">
      <c r="A42" s="12" t="s">
        <v>25</v>
      </c>
      <c r="B42" s="12"/>
      <c r="C42" s="22">
        <f>SUM(C41:C41)</f>
        <v>78200</v>
      </c>
    </row>
    <row r="43" spans="1:11" x14ac:dyDescent="0.25">
      <c r="A43" s="23" t="s">
        <v>26</v>
      </c>
      <c r="B43" s="12"/>
      <c r="C43" s="1"/>
      <c r="D43" s="31"/>
      <c r="K43" s="12"/>
    </row>
    <row r="44" spans="1:11" x14ac:dyDescent="0.25">
      <c r="A44" s="12" t="s">
        <v>65</v>
      </c>
      <c r="B44" s="12"/>
      <c r="C44" s="25">
        <v>5000</v>
      </c>
      <c r="D44" s="31"/>
      <c r="K44" s="12"/>
    </row>
    <row r="45" spans="1:11" x14ac:dyDescent="0.25">
      <c r="A45" s="12" t="s">
        <v>62</v>
      </c>
      <c r="B45" s="12"/>
      <c r="C45" s="25">
        <v>3500</v>
      </c>
      <c r="D45" s="31"/>
      <c r="K45" s="12"/>
    </row>
    <row r="46" spans="1:11" x14ac:dyDescent="0.25">
      <c r="A46" s="12" t="s">
        <v>83</v>
      </c>
      <c r="B46" s="12"/>
      <c r="C46" s="25">
        <v>30000</v>
      </c>
      <c r="D46" s="75"/>
    </row>
    <row r="48" spans="1:11" x14ac:dyDescent="0.25">
      <c r="A48" s="12" t="s">
        <v>28</v>
      </c>
      <c r="B48" s="12"/>
      <c r="C48" s="25">
        <v>3500</v>
      </c>
    </row>
    <row r="49" spans="1:8" x14ac:dyDescent="0.25">
      <c r="A49" s="12" t="s">
        <v>29</v>
      </c>
      <c r="B49" s="12"/>
      <c r="C49" s="26">
        <f>SUM(C44:C47)</f>
        <v>38500</v>
      </c>
      <c r="E49" s="20"/>
    </row>
    <row r="50" spans="1:8" ht="15.75" x14ac:dyDescent="0.25">
      <c r="A50" s="27" t="s">
        <v>31</v>
      </c>
      <c r="B50" s="12"/>
      <c r="C50" s="57">
        <f>SUM(C42-C49)</f>
        <v>39700</v>
      </c>
    </row>
    <row r="52" spans="1:8" ht="10.5" customHeight="1" x14ac:dyDescent="0.25">
      <c r="B52" s="12" t="s">
        <v>35</v>
      </c>
      <c r="C52" s="12"/>
      <c r="E52" s="12" t="s">
        <v>36</v>
      </c>
      <c r="F52" s="12"/>
      <c r="G52" s="12"/>
      <c r="H52" s="12" t="s">
        <v>37</v>
      </c>
    </row>
    <row r="53" spans="1:8" x14ac:dyDescent="0.25">
      <c r="B53" s="12"/>
      <c r="C53" s="12"/>
      <c r="E53" s="12"/>
      <c r="F53" s="12"/>
      <c r="G53" s="12"/>
      <c r="H53" s="12"/>
    </row>
    <row r="54" spans="1:8" x14ac:dyDescent="0.25">
      <c r="B54" s="12" t="s">
        <v>38</v>
      </c>
      <c r="C54" s="12"/>
      <c r="E54" s="12" t="s">
        <v>82</v>
      </c>
      <c r="F54" s="12"/>
      <c r="G54" s="12"/>
      <c r="H54" s="12" t="s">
        <v>71</v>
      </c>
    </row>
    <row r="55" spans="1:8" x14ac:dyDescent="0.25">
      <c r="A55" s="79" t="s">
        <v>85</v>
      </c>
      <c r="B55" t="s">
        <v>86</v>
      </c>
      <c r="E55" t="s">
        <v>41</v>
      </c>
      <c r="H55" t="s">
        <v>87</v>
      </c>
    </row>
    <row r="57" spans="1:8" x14ac:dyDescent="0.25">
      <c r="A57" s="29"/>
      <c r="B57" s="29"/>
      <c r="C57" s="31"/>
    </row>
  </sheetData>
  <pageMargins left="0.25" right="0.25" top="0.75" bottom="0.75" header="0.3" footer="0.3"/>
  <pageSetup orientation="portrait" horizontalDpi="300" verticalDpi="0" r:id="rId1"/>
  <ignoredErrors>
    <ignoredError sqref="C49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34" workbookViewId="0">
      <selection activeCell="M29" sqref="M29"/>
    </sheetView>
  </sheetViews>
  <sheetFormatPr defaultRowHeight="15" x14ac:dyDescent="0.25"/>
  <cols>
    <col min="1" max="1" width="15.85546875" customWidth="1"/>
    <col min="2" max="2" width="3.42578125" customWidth="1"/>
    <col min="3" max="3" width="7" customWidth="1"/>
    <col min="4" max="4" width="7.5703125" customWidth="1"/>
    <col min="5" max="5" width="12.42578125" customWidth="1"/>
    <col min="6" max="6" width="7.5703125" customWidth="1"/>
    <col min="7" max="7" width="8" customWidth="1"/>
    <col min="8" max="8" width="8.28515625" customWidth="1"/>
    <col min="9" max="9" width="8" customWidth="1"/>
    <col min="10" max="10" width="7.28515625" customWidth="1"/>
    <col min="11" max="11" width="9.140625" style="25"/>
  </cols>
  <sheetData>
    <row r="1" spans="1:11" s="99" customFormat="1" ht="18.75" x14ac:dyDescent="0.3">
      <c r="A1" s="99" t="s">
        <v>107</v>
      </c>
      <c r="K1" s="19"/>
    </row>
    <row r="2" spans="1:11" s="98" customFormat="1" ht="15.75" x14ac:dyDescent="0.25">
      <c r="A2" s="98" t="s">
        <v>105</v>
      </c>
      <c r="E2" s="98" t="s">
        <v>106</v>
      </c>
      <c r="K2" s="19"/>
    </row>
    <row r="3" spans="1:11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>
        <v>3450</v>
      </c>
    </row>
    <row r="5" spans="1:11" ht="12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1" ht="12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>
        <v>2650</v>
      </c>
    </row>
    <row r="9" spans="1:11" ht="12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>
        <v>2650</v>
      </c>
    </row>
    <row r="10" spans="1:11" ht="12" customHeight="1" x14ac:dyDescent="0.25">
      <c r="A10" s="8" t="s">
        <v>76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" customHeight="1" x14ac:dyDescent="0.25">
      <c r="A12" s="8" t="s">
        <v>46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/>
      <c r="I12" s="8"/>
      <c r="J12" s="10"/>
      <c r="K12" s="101">
        <v>2450</v>
      </c>
    </row>
    <row r="13" spans="1:11" ht="12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/>
      <c r="I15" s="8"/>
      <c r="J15" s="10"/>
      <c r="K15" s="101">
        <v>2450</v>
      </c>
    </row>
    <row r="16" spans="1:11" ht="12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/>
      <c r="I18" s="8"/>
      <c r="J18" s="10"/>
      <c r="K18" s="101">
        <v>2450</v>
      </c>
    </row>
    <row r="19" spans="1:11" ht="12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" customHeight="1" x14ac:dyDescent="0.25">
      <c r="A24" s="8" t="s">
        <v>96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" customHeight="1" x14ac:dyDescent="0.25">
      <c r="A25" s="8" t="s">
        <v>97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" customHeight="1" x14ac:dyDescent="0.25">
      <c r="A31" s="8" t="s">
        <v>99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" customHeight="1" x14ac:dyDescent="0.25">
      <c r="A32" s="32" t="s">
        <v>77</v>
      </c>
      <c r="B32" s="9">
        <v>29</v>
      </c>
      <c r="C32" s="10"/>
      <c r="D32" s="10"/>
      <c r="E32" s="11">
        <v>2950</v>
      </c>
      <c r="F32" s="11"/>
      <c r="G32" s="11">
        <v>2950</v>
      </c>
      <c r="H32" s="11">
        <v>2950</v>
      </c>
      <c r="I32" s="8"/>
      <c r="J32" s="10"/>
      <c r="K32" s="101"/>
    </row>
    <row r="33" spans="1:11" ht="12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" customHeight="1" x14ac:dyDescent="0.25">
      <c r="A34" s="32" t="s">
        <v>64</v>
      </c>
      <c r="B34" s="9" t="s">
        <v>101</v>
      </c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" customHeight="1" x14ac:dyDescent="0.25">
      <c r="A35" s="8" t="s">
        <v>102</v>
      </c>
      <c r="B35" s="9" t="s">
        <v>103</v>
      </c>
      <c r="C35" s="10"/>
      <c r="D35" s="10"/>
      <c r="E35" s="11">
        <v>2150</v>
      </c>
      <c r="F35" s="11"/>
      <c r="G35" s="11">
        <v>2150</v>
      </c>
      <c r="H35" s="11">
        <v>2150</v>
      </c>
      <c r="I35" s="8"/>
      <c r="J35" s="10"/>
      <c r="K35" s="101"/>
    </row>
    <row r="36" spans="1:11" ht="12" customHeight="1" x14ac:dyDescent="0.25">
      <c r="A36" s="8" t="s">
        <v>120</v>
      </c>
      <c r="B36" s="9" t="s">
        <v>104</v>
      </c>
      <c r="C36" s="10"/>
      <c r="D36" s="10"/>
      <c r="E36" s="11">
        <v>2150</v>
      </c>
      <c r="F36" s="11"/>
      <c r="G36" s="11">
        <v>2150</v>
      </c>
      <c r="H36" s="11"/>
      <c r="I36" s="8"/>
      <c r="J36" s="10"/>
      <c r="K36" s="101">
        <v>2150</v>
      </c>
    </row>
    <row r="37" spans="1:11" ht="12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1"/>
    </row>
    <row r="38" spans="1:11" ht="12" customHeight="1" x14ac:dyDescent="0.25">
      <c r="A38" s="10"/>
      <c r="B38" s="10"/>
      <c r="C38" s="10"/>
      <c r="D38" s="10"/>
      <c r="E38" s="10">
        <f>SUM(E4:E37)</f>
        <v>85900</v>
      </c>
      <c r="F38" s="10"/>
      <c r="G38" s="10">
        <f>SUM(G4:G37)</f>
        <v>85900</v>
      </c>
      <c r="H38" s="10">
        <f>SUM(H4:H37)</f>
        <v>67650</v>
      </c>
      <c r="I38" s="10">
        <f>SUM(I4:I36)</f>
        <v>0</v>
      </c>
      <c r="J38" s="10"/>
      <c r="K38" s="101">
        <f>SUM(K4:K37)</f>
        <v>18250</v>
      </c>
    </row>
    <row r="39" spans="1:11" ht="12" customHeight="1" x14ac:dyDescent="0.25"/>
    <row r="40" spans="1:11" x14ac:dyDescent="0.25">
      <c r="A40" s="84"/>
      <c r="B40" s="12" t="s">
        <v>111</v>
      </c>
      <c r="D40" s="84"/>
      <c r="E40" s="85">
        <f>SUM(G38)</f>
        <v>85900</v>
      </c>
      <c r="F40" s="3"/>
      <c r="G40" s="86"/>
      <c r="H40" s="3"/>
      <c r="I40" s="20"/>
      <c r="J40" s="87"/>
      <c r="K40" s="102"/>
    </row>
    <row r="41" spans="1:11" x14ac:dyDescent="0.25">
      <c r="A41" s="84"/>
      <c r="B41" s="12" t="s">
        <v>126</v>
      </c>
      <c r="D41" s="84"/>
      <c r="E41" s="85">
        <f>SUM(E40*8%)</f>
        <v>6872</v>
      </c>
      <c r="F41" s="3"/>
      <c r="G41" s="104" t="s">
        <v>127</v>
      </c>
      <c r="H41" s="3"/>
      <c r="I41" s="20"/>
      <c r="J41" s="87">
        <v>40000</v>
      </c>
      <c r="K41" s="102"/>
    </row>
    <row r="42" spans="1:11" x14ac:dyDescent="0.25">
      <c r="A42" s="84"/>
      <c r="B42" s="12" t="s">
        <v>125</v>
      </c>
      <c r="D42" s="84"/>
      <c r="E42" s="88">
        <f>SUM(E40*8%-E40)</f>
        <v>-79028</v>
      </c>
      <c r="F42" s="3"/>
      <c r="G42" s="104" t="s">
        <v>128</v>
      </c>
      <c r="H42" s="3"/>
      <c r="J42" s="87">
        <v>9000</v>
      </c>
      <c r="K42" s="102"/>
    </row>
    <row r="43" spans="1:11" x14ac:dyDescent="0.25">
      <c r="B43" s="12"/>
      <c r="D43" s="84"/>
      <c r="E43" s="85">
        <f>SUM(I38)</f>
        <v>0</v>
      </c>
      <c r="F43" s="3"/>
      <c r="G43" s="3"/>
      <c r="H43" s="3"/>
      <c r="J43" s="87"/>
      <c r="K43" s="102"/>
    </row>
    <row r="44" spans="1:11" x14ac:dyDescent="0.25">
      <c r="A44" s="84"/>
      <c r="B44" s="89" t="s">
        <v>26</v>
      </c>
      <c r="D44" s="84"/>
      <c r="E44" s="19"/>
      <c r="J44" s="87"/>
      <c r="K44" s="102"/>
    </row>
    <row r="45" spans="1:11" x14ac:dyDescent="0.25">
      <c r="A45" s="84"/>
      <c r="B45" s="12" t="s">
        <v>79</v>
      </c>
      <c r="D45" s="84"/>
      <c r="E45" s="90">
        <f>SUM(E40*8%)</f>
        <v>6872</v>
      </c>
      <c r="J45" s="91"/>
      <c r="K45" s="103"/>
    </row>
    <row r="46" spans="1:11" x14ac:dyDescent="0.25">
      <c r="A46" s="84"/>
      <c r="B46" s="12" t="s">
        <v>122</v>
      </c>
      <c r="D46" s="84"/>
      <c r="E46" s="90">
        <v>10000</v>
      </c>
      <c r="J46" s="91"/>
      <c r="K46" s="103"/>
    </row>
    <row r="47" spans="1:11" x14ac:dyDescent="0.25">
      <c r="A47" s="84"/>
      <c r="B47" s="12" t="s">
        <v>123</v>
      </c>
      <c r="D47" s="84"/>
      <c r="E47" s="90">
        <v>20000</v>
      </c>
      <c r="J47" s="91"/>
      <c r="K47" s="103"/>
    </row>
    <row r="48" spans="1:11" x14ac:dyDescent="0.25">
      <c r="A48" s="84"/>
      <c r="B48" s="12" t="s">
        <v>4</v>
      </c>
      <c r="D48" s="84"/>
      <c r="E48" s="90">
        <f>SUM(E45:E47)</f>
        <v>36872</v>
      </c>
      <c r="J48" s="84"/>
    </row>
    <row r="49" spans="1:10" ht="15.75" x14ac:dyDescent="0.25">
      <c r="A49" s="84"/>
      <c r="B49" s="92" t="s">
        <v>129</v>
      </c>
      <c r="D49" s="84"/>
      <c r="E49" s="93">
        <f>SUM(E40-E48)</f>
        <v>49028</v>
      </c>
      <c r="J49" s="84"/>
    </row>
    <row r="50" spans="1:10" ht="15.75" x14ac:dyDescent="0.25">
      <c r="A50" s="84"/>
      <c r="B50" s="94"/>
      <c r="D50" s="84"/>
      <c r="E50" s="95"/>
      <c r="J50" s="84"/>
    </row>
    <row r="51" spans="1:10" x14ac:dyDescent="0.25">
      <c r="B51" s="29"/>
      <c r="C51" s="92" t="s">
        <v>112</v>
      </c>
      <c r="D51" s="92"/>
      <c r="E51" s="12" t="s">
        <v>113</v>
      </c>
      <c r="F51" s="12"/>
      <c r="G51" s="12"/>
      <c r="H51" s="12" t="s">
        <v>114</v>
      </c>
      <c r="I51" s="12"/>
    </row>
    <row r="52" spans="1:10" x14ac:dyDescent="0.25">
      <c r="B52" s="29"/>
      <c r="C52" s="12"/>
      <c r="D52" s="12"/>
      <c r="E52" s="12"/>
      <c r="F52" s="12"/>
      <c r="G52" s="12"/>
      <c r="H52" s="12"/>
      <c r="I52" s="12"/>
    </row>
    <row r="53" spans="1:10" x14ac:dyDescent="0.25">
      <c r="B53" s="29"/>
      <c r="C53" s="12" t="s">
        <v>115</v>
      </c>
      <c r="D53" s="12"/>
      <c r="E53" s="12" t="s">
        <v>116</v>
      </c>
      <c r="F53" s="12"/>
      <c r="G53" s="12"/>
      <c r="H53" s="12" t="s">
        <v>124</v>
      </c>
      <c r="I53" s="12"/>
    </row>
    <row r="54" spans="1:10" x14ac:dyDescent="0.25">
      <c r="B54" s="96" t="s">
        <v>40</v>
      </c>
      <c r="C54" s="12" t="s">
        <v>117</v>
      </c>
      <c r="D54" s="12"/>
      <c r="E54" s="12" t="s">
        <v>117</v>
      </c>
      <c r="F54" s="12"/>
      <c r="G54" s="12"/>
      <c r="H54" s="12" t="s">
        <v>118</v>
      </c>
      <c r="I54" s="12"/>
    </row>
  </sheetData>
  <pageMargins left="0.25" right="0.25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34" workbookViewId="0">
      <selection activeCell="K41" sqref="K41"/>
    </sheetView>
  </sheetViews>
  <sheetFormatPr defaultRowHeight="15" x14ac:dyDescent="0.25"/>
  <cols>
    <col min="1" max="1" width="14.140625" customWidth="1"/>
    <col min="2" max="2" width="3.5703125" customWidth="1"/>
    <col min="3" max="3" width="8" customWidth="1"/>
    <col min="4" max="4" width="8.140625" customWidth="1"/>
    <col min="5" max="5" width="12.42578125" customWidth="1"/>
    <col min="6" max="6" width="6.7109375" customWidth="1"/>
    <col min="9" max="9" width="10.7109375" customWidth="1"/>
    <col min="10" max="10" width="7.28515625" customWidth="1"/>
  </cols>
  <sheetData>
    <row r="1" spans="1:12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  <c r="L1" s="99"/>
    </row>
    <row r="2" spans="1:12" ht="15.75" x14ac:dyDescent="0.25">
      <c r="A2" s="98" t="s">
        <v>105</v>
      </c>
      <c r="B2" s="98"/>
      <c r="C2" s="98"/>
      <c r="D2" s="98"/>
      <c r="E2" s="98" t="s">
        <v>130</v>
      </c>
      <c r="F2" s="98"/>
      <c r="G2" s="98"/>
      <c r="H2" s="98"/>
      <c r="I2" s="98"/>
      <c r="J2" s="98"/>
      <c r="K2" s="19"/>
      <c r="L2" s="98"/>
    </row>
    <row r="3" spans="1:12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2" ht="12.95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>
        <v>3450</v>
      </c>
    </row>
    <row r="5" spans="1:12" ht="12.95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2" ht="12.95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2" ht="12.95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2" ht="12.95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>
        <v>2650</v>
      </c>
    </row>
    <row r="9" spans="1:12" ht="12.95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>
        <v>2650</v>
      </c>
    </row>
    <row r="10" spans="1:12" ht="12.95" customHeight="1" x14ac:dyDescent="0.25">
      <c r="A10" s="8" t="s">
        <v>76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2" ht="12.95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2" ht="12.95" customHeight="1" x14ac:dyDescent="0.25">
      <c r="A12" s="8" t="s">
        <v>46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/>
      <c r="I12" s="8"/>
      <c r="J12" s="10"/>
      <c r="K12" s="101">
        <v>2450</v>
      </c>
    </row>
    <row r="13" spans="1:12" ht="12.95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2" ht="12.95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2" ht="12.95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/>
      <c r="I15" s="8"/>
      <c r="J15" s="10"/>
      <c r="K15" s="101">
        <v>2450</v>
      </c>
    </row>
    <row r="16" spans="1:12" ht="12.95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.95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.95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/>
      <c r="I18" s="8"/>
      <c r="J18" s="10"/>
      <c r="K18" s="101">
        <v>2450</v>
      </c>
    </row>
    <row r="19" spans="1:11" ht="12.95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.95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.95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.95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.95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.95" customHeight="1" x14ac:dyDescent="0.25">
      <c r="A24" s="8" t="s">
        <v>96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.95" customHeight="1" x14ac:dyDescent="0.25">
      <c r="A25" s="8" t="s">
        <v>97</v>
      </c>
      <c r="B25" s="9">
        <v>22</v>
      </c>
      <c r="C25" s="10"/>
      <c r="D25" s="10"/>
      <c r="E25" s="11"/>
      <c r="F25" s="11"/>
      <c r="G25" s="11"/>
      <c r="H25" s="11"/>
      <c r="I25" s="8"/>
      <c r="J25" s="10"/>
      <c r="K25" s="101"/>
    </row>
    <row r="26" spans="1:11" ht="12.95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.95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.95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.95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.95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.95" customHeight="1" x14ac:dyDescent="0.25">
      <c r="A31" s="8" t="s">
        <v>99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.95" customHeight="1" x14ac:dyDescent="0.25">
      <c r="A32" s="32" t="s">
        <v>77</v>
      </c>
      <c r="B32" s="9">
        <v>29</v>
      </c>
      <c r="C32" s="10"/>
      <c r="D32" s="10"/>
      <c r="E32" s="11">
        <v>2950</v>
      </c>
      <c r="F32" s="11"/>
      <c r="G32" s="11">
        <v>2950</v>
      </c>
      <c r="H32" s="11">
        <v>2950</v>
      </c>
      <c r="I32" s="8"/>
      <c r="J32" s="10"/>
      <c r="K32" s="101"/>
    </row>
    <row r="33" spans="1:11" ht="12.95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.95" customHeight="1" x14ac:dyDescent="0.25">
      <c r="A34" s="32" t="s">
        <v>64</v>
      </c>
      <c r="B34" s="9" t="s">
        <v>101</v>
      </c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.95" customHeight="1" x14ac:dyDescent="0.25">
      <c r="A35" s="8" t="s">
        <v>102</v>
      </c>
      <c r="B35" s="9" t="s">
        <v>103</v>
      </c>
      <c r="C35" s="10"/>
      <c r="D35" s="10"/>
      <c r="E35" s="11">
        <v>2150</v>
      </c>
      <c r="F35" s="11"/>
      <c r="G35" s="11">
        <v>2150</v>
      </c>
      <c r="H35" s="11">
        <v>2150</v>
      </c>
      <c r="I35" s="8"/>
      <c r="J35" s="10"/>
      <c r="K35" s="101"/>
    </row>
    <row r="36" spans="1:11" ht="12.95" customHeight="1" x14ac:dyDescent="0.25">
      <c r="A36" s="8" t="s">
        <v>120</v>
      </c>
      <c r="B36" s="9" t="s">
        <v>104</v>
      </c>
      <c r="C36" s="10"/>
      <c r="D36" s="10"/>
      <c r="E36" s="11">
        <v>2150</v>
      </c>
      <c r="F36" s="11"/>
      <c r="G36" s="11">
        <v>2150</v>
      </c>
      <c r="H36" s="11"/>
      <c r="I36" s="8"/>
      <c r="J36" s="10"/>
      <c r="K36" s="101">
        <v>2150</v>
      </c>
    </row>
    <row r="37" spans="1:11" ht="12.9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1"/>
    </row>
    <row r="38" spans="1:11" s="107" customFormat="1" ht="12.95" customHeight="1" x14ac:dyDescent="0.25">
      <c r="A38" s="105"/>
      <c r="B38" s="105"/>
      <c r="C38" s="105"/>
      <c r="D38" s="105"/>
      <c r="E38" s="105">
        <f>SUM(E4:E37)</f>
        <v>82400</v>
      </c>
      <c r="F38" s="105"/>
      <c r="G38" s="105">
        <f>SUM(G4:G37)</f>
        <v>82400</v>
      </c>
      <c r="H38" s="105">
        <f>SUM(H4:H37)</f>
        <v>64150</v>
      </c>
      <c r="I38" s="105">
        <f>SUM(I4:I36)</f>
        <v>0</v>
      </c>
      <c r="J38" s="105"/>
      <c r="K38" s="106">
        <f>SUM(K4:K37)</f>
        <v>18250</v>
      </c>
    </row>
    <row r="39" spans="1:11" x14ac:dyDescent="0.25">
      <c r="A39" s="84"/>
      <c r="B39" s="12" t="s">
        <v>111</v>
      </c>
      <c r="D39" s="84"/>
      <c r="E39" s="85">
        <f>SUM(G38)</f>
        <v>82400</v>
      </c>
      <c r="F39" s="3"/>
      <c r="G39" s="86"/>
      <c r="H39" s="3"/>
      <c r="I39" s="20"/>
      <c r="J39" s="87"/>
      <c r="K39" s="102"/>
    </row>
    <row r="40" spans="1:11" ht="14.1" customHeight="1" x14ac:dyDescent="0.25">
      <c r="A40" s="84"/>
      <c r="B40" s="12" t="s">
        <v>126</v>
      </c>
      <c r="D40" s="84"/>
      <c r="E40" s="85">
        <f>SUM(E39*8%)</f>
        <v>6592</v>
      </c>
      <c r="F40" s="3"/>
      <c r="G40" s="104" t="s">
        <v>127</v>
      </c>
      <c r="H40" s="3"/>
      <c r="I40" s="20">
        <v>30000</v>
      </c>
      <c r="J40" s="87"/>
      <c r="K40" s="102"/>
    </row>
    <row r="41" spans="1:11" ht="14.1" customHeight="1" x14ac:dyDescent="0.25">
      <c r="A41" s="84"/>
      <c r="B41" s="12" t="s">
        <v>125</v>
      </c>
      <c r="D41" s="84"/>
      <c r="E41" s="88">
        <f>SUM(E39*8%-E39)</f>
        <v>-75808</v>
      </c>
      <c r="F41" s="3"/>
      <c r="G41" s="104" t="s">
        <v>128</v>
      </c>
      <c r="H41" s="3"/>
      <c r="I41" s="15">
        <v>35808</v>
      </c>
      <c r="J41" s="87"/>
      <c r="K41" s="102"/>
    </row>
    <row r="42" spans="1:11" ht="14.1" customHeight="1" x14ac:dyDescent="0.25">
      <c r="B42" s="12"/>
      <c r="D42" s="84"/>
      <c r="E42" s="85">
        <f>SUM(I38)</f>
        <v>0</v>
      </c>
      <c r="F42" s="3"/>
      <c r="G42" s="3"/>
      <c r="H42" s="3"/>
      <c r="J42" s="87"/>
      <c r="K42" s="102"/>
    </row>
    <row r="43" spans="1:11" ht="14.1" customHeight="1" x14ac:dyDescent="0.25">
      <c r="A43" s="84"/>
      <c r="B43" s="89" t="s">
        <v>26</v>
      </c>
      <c r="D43" s="84"/>
      <c r="E43" s="19"/>
      <c r="J43" s="87"/>
      <c r="K43" s="102"/>
    </row>
    <row r="44" spans="1:11" ht="14.1" customHeight="1" x14ac:dyDescent="0.25">
      <c r="A44" s="84"/>
      <c r="B44" s="12" t="s">
        <v>79</v>
      </c>
      <c r="D44" s="84"/>
      <c r="E44" s="90">
        <f>SUM(E39*8%)</f>
        <v>6592</v>
      </c>
      <c r="J44" s="91"/>
      <c r="K44" s="103"/>
    </row>
    <row r="45" spans="1:11" ht="14.1" customHeight="1" x14ac:dyDescent="0.25">
      <c r="A45" s="84"/>
      <c r="B45" s="12" t="s">
        <v>132</v>
      </c>
      <c r="D45" s="84"/>
      <c r="E45" s="90">
        <v>10000</v>
      </c>
      <c r="J45" s="91"/>
      <c r="K45" s="103"/>
    </row>
    <row r="46" spans="1:11" ht="14.1" customHeight="1" x14ac:dyDescent="0.25">
      <c r="A46" s="84"/>
      <c r="B46" s="12" t="s">
        <v>131</v>
      </c>
      <c r="D46" s="84"/>
      <c r="E46" s="90"/>
      <c r="J46" s="91"/>
      <c r="K46" s="103"/>
    </row>
    <row r="47" spans="1:11" ht="14.1" customHeight="1" x14ac:dyDescent="0.25">
      <c r="A47" s="84"/>
      <c r="B47" s="12" t="s">
        <v>4</v>
      </c>
      <c r="D47" s="84"/>
      <c r="E47" s="90">
        <f>SUM(E44:E46)</f>
        <v>16592</v>
      </c>
      <c r="J47" s="84"/>
      <c r="K47" s="25"/>
    </row>
    <row r="48" spans="1:11" ht="15.75" x14ac:dyDescent="0.25">
      <c r="A48" s="84"/>
      <c r="B48" s="92" t="s">
        <v>129</v>
      </c>
      <c r="D48" s="84"/>
      <c r="E48" s="93">
        <f>SUM(E39-E47)</f>
        <v>65808</v>
      </c>
      <c r="J48" s="84"/>
      <c r="K48" s="25"/>
    </row>
    <row r="49" spans="1:11" ht="8.25" customHeight="1" x14ac:dyDescent="0.25">
      <c r="A49" s="84"/>
      <c r="B49" s="94"/>
      <c r="D49" s="84"/>
      <c r="E49" s="95"/>
      <c r="J49" s="84"/>
      <c r="K49" s="25"/>
    </row>
    <row r="50" spans="1:11" x14ac:dyDescent="0.25">
      <c r="B50" s="29"/>
      <c r="C50" s="92" t="s">
        <v>112</v>
      </c>
      <c r="D50" s="92"/>
      <c r="E50" s="12" t="s">
        <v>113</v>
      </c>
      <c r="F50" s="12"/>
      <c r="G50" s="12"/>
      <c r="H50" s="12" t="s">
        <v>114</v>
      </c>
      <c r="I50" s="12"/>
      <c r="K50" s="25"/>
    </row>
    <row r="51" spans="1:11" x14ac:dyDescent="0.25">
      <c r="B51" s="29"/>
      <c r="C51" s="12"/>
      <c r="D51" s="12"/>
      <c r="E51" s="12"/>
      <c r="F51" s="12"/>
      <c r="G51" s="12"/>
      <c r="H51" s="12"/>
      <c r="I51" s="12"/>
      <c r="K51" s="25"/>
    </row>
    <row r="52" spans="1:11" x14ac:dyDescent="0.25">
      <c r="B52" s="29"/>
      <c r="C52" s="12" t="s">
        <v>115</v>
      </c>
      <c r="D52" s="12"/>
      <c r="E52" s="12" t="s">
        <v>116</v>
      </c>
      <c r="F52" s="12"/>
      <c r="G52" s="12"/>
      <c r="H52" s="12" t="s">
        <v>124</v>
      </c>
      <c r="I52" s="12"/>
      <c r="K52" s="25"/>
    </row>
    <row r="53" spans="1:11" x14ac:dyDescent="0.25">
      <c r="B53" s="96" t="s">
        <v>40</v>
      </c>
      <c r="C53" s="12" t="s">
        <v>117</v>
      </c>
      <c r="D53" s="12"/>
      <c r="E53" s="12" t="s">
        <v>117</v>
      </c>
      <c r="F53" s="12"/>
      <c r="G53" s="12"/>
      <c r="H53" s="12" t="s">
        <v>118</v>
      </c>
      <c r="I53" s="12"/>
      <c r="K53" s="25"/>
    </row>
    <row r="54" spans="1:11" x14ac:dyDescent="0.25">
      <c r="K54" s="25"/>
    </row>
  </sheetData>
  <pageMargins left="0.25" right="0.25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22" workbookViewId="0">
      <selection activeCell="H29" sqref="H29"/>
    </sheetView>
  </sheetViews>
  <sheetFormatPr defaultRowHeight="15" x14ac:dyDescent="0.25"/>
  <cols>
    <col min="1" max="1" width="13.85546875" customWidth="1"/>
    <col min="2" max="2" width="3.42578125" customWidth="1"/>
    <col min="3" max="3" width="7.28515625" customWidth="1"/>
    <col min="4" max="4" width="8" customWidth="1"/>
    <col min="5" max="5" width="10.28515625" customWidth="1"/>
    <col min="6" max="6" width="6.5703125" customWidth="1"/>
    <col min="7" max="7" width="7.28515625" customWidth="1"/>
    <col min="8" max="8" width="6.42578125" customWidth="1"/>
    <col min="9" max="9" width="11.5703125" customWidth="1"/>
    <col min="10" max="10" width="7.5703125" customWidth="1"/>
    <col min="11" max="11" width="8" customWidth="1"/>
  </cols>
  <sheetData>
    <row r="1" spans="1:12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  <c r="L1" s="99"/>
    </row>
    <row r="2" spans="1:12" ht="15.75" x14ac:dyDescent="0.25">
      <c r="A2" s="98" t="s">
        <v>105</v>
      </c>
      <c r="B2" s="98"/>
      <c r="C2" s="98"/>
      <c r="D2" s="98"/>
      <c r="E2" s="98" t="s">
        <v>137</v>
      </c>
      <c r="G2" s="98"/>
      <c r="H2" s="98"/>
      <c r="I2" s="98"/>
      <c r="J2" s="98"/>
      <c r="K2" s="19"/>
      <c r="L2" s="98"/>
    </row>
    <row r="3" spans="1:12" ht="12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2" ht="12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2" ht="12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2" ht="12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2" ht="12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2" ht="12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/>
    </row>
    <row r="9" spans="1:12" ht="12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/>
    </row>
    <row r="10" spans="1:12" ht="12" customHeight="1" x14ac:dyDescent="0.25">
      <c r="A10" s="8" t="s">
        <v>76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2" ht="12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2" ht="12" customHeight="1" x14ac:dyDescent="0.25">
      <c r="A12" s="8" t="s">
        <v>46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2" ht="12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2" ht="12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2" ht="12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2" ht="12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" customHeight="1" x14ac:dyDescent="0.25">
      <c r="A24" s="8" t="s">
        <v>96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" customHeight="1" x14ac:dyDescent="0.25">
      <c r="A25" s="8" t="s">
        <v>97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" customHeight="1" x14ac:dyDescent="0.25">
      <c r="A31" s="8" t="s">
        <v>99</v>
      </c>
      <c r="B31" s="9">
        <v>28</v>
      </c>
      <c r="C31" s="10"/>
      <c r="D31" s="10"/>
      <c r="E31" s="11"/>
      <c r="F31" s="11"/>
      <c r="G31" s="11"/>
      <c r="H31" s="11"/>
      <c r="I31" s="8"/>
      <c r="J31" s="10"/>
      <c r="K31" s="101"/>
    </row>
    <row r="32" spans="1:11" ht="12" customHeight="1" x14ac:dyDescent="0.25">
      <c r="A32" s="32" t="s">
        <v>77</v>
      </c>
      <c r="B32" s="9">
        <v>29</v>
      </c>
      <c r="C32" s="10"/>
      <c r="D32" s="10"/>
      <c r="E32" s="11">
        <v>1500</v>
      </c>
      <c r="F32" s="11"/>
      <c r="G32" s="11">
        <v>1500</v>
      </c>
      <c r="H32" s="11">
        <v>1500</v>
      </c>
      <c r="I32" s="8"/>
      <c r="J32" s="10"/>
      <c r="K32" s="101"/>
    </row>
    <row r="33" spans="1:12" ht="12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2" ht="12" customHeight="1" x14ac:dyDescent="0.25">
      <c r="A34" s="32" t="s">
        <v>64</v>
      </c>
      <c r="B34" s="9" t="s">
        <v>101</v>
      </c>
      <c r="C34" s="10"/>
      <c r="D34" s="10"/>
      <c r="E34" s="81"/>
      <c r="F34" s="11"/>
      <c r="G34" s="11"/>
      <c r="H34" s="81"/>
      <c r="I34" s="8"/>
      <c r="J34" s="10"/>
      <c r="K34" s="101"/>
    </row>
    <row r="35" spans="1:12" ht="12" customHeight="1" x14ac:dyDescent="0.25">
      <c r="A35" s="8" t="s">
        <v>102</v>
      </c>
      <c r="B35" s="9" t="s">
        <v>103</v>
      </c>
      <c r="C35" s="10"/>
      <c r="D35" s="10"/>
      <c r="E35" s="11">
        <v>2150</v>
      </c>
      <c r="F35" s="11"/>
      <c r="G35" s="11">
        <v>2150</v>
      </c>
      <c r="H35" s="11">
        <v>2150</v>
      </c>
      <c r="I35" s="8"/>
      <c r="J35" s="10"/>
      <c r="K35" s="101"/>
    </row>
    <row r="36" spans="1:12" ht="12" customHeight="1" x14ac:dyDescent="0.25">
      <c r="A36" s="8"/>
      <c r="B36" s="9" t="s">
        <v>104</v>
      </c>
      <c r="C36" s="10"/>
      <c r="D36" s="10"/>
      <c r="E36" s="11"/>
      <c r="F36" s="11"/>
      <c r="G36" s="11"/>
      <c r="H36" s="11"/>
      <c r="I36" s="8"/>
      <c r="J36" s="10"/>
      <c r="K36" s="101"/>
    </row>
    <row r="37" spans="1:12" ht="12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1"/>
    </row>
    <row r="38" spans="1:12" ht="12" customHeight="1" x14ac:dyDescent="0.25">
      <c r="A38" s="105"/>
      <c r="B38" s="105"/>
      <c r="C38" s="105"/>
      <c r="D38" s="105"/>
      <c r="E38" s="105">
        <f>SUM(E4:E37)</f>
        <v>79350</v>
      </c>
      <c r="F38" s="105"/>
      <c r="G38" s="105">
        <f>SUM(G4:G37)</f>
        <v>79350</v>
      </c>
      <c r="H38" s="105">
        <f>SUM(H4:H37)</f>
        <v>70600</v>
      </c>
      <c r="I38" s="105">
        <f>SUM(I4:I36)</f>
        <v>0</v>
      </c>
      <c r="J38" s="105"/>
      <c r="K38" s="106">
        <f>SUM(K4:K37)</f>
        <v>0</v>
      </c>
      <c r="L38" s="107"/>
    </row>
    <row r="39" spans="1:12" x14ac:dyDescent="0.25">
      <c r="A39" s="84"/>
      <c r="B39" s="12" t="s">
        <v>111</v>
      </c>
      <c r="D39" s="84"/>
      <c r="E39" s="85">
        <f>SUM(G38)</f>
        <v>79350</v>
      </c>
      <c r="F39" s="3"/>
      <c r="G39" s="86"/>
      <c r="H39" s="3"/>
      <c r="I39" s="20"/>
      <c r="J39" s="87"/>
      <c r="K39" s="102"/>
    </row>
    <row r="40" spans="1:12" x14ac:dyDescent="0.25">
      <c r="A40" s="84"/>
      <c r="B40" s="12" t="s">
        <v>126</v>
      </c>
      <c r="D40" s="84"/>
      <c r="E40" s="85">
        <f>SUM(E39*8%)</f>
        <v>6348</v>
      </c>
      <c r="F40" s="3"/>
      <c r="G40" s="104" t="s">
        <v>136</v>
      </c>
      <c r="H40" s="3"/>
      <c r="I40" s="20">
        <v>44727</v>
      </c>
      <c r="J40" s="87"/>
      <c r="K40" s="102"/>
    </row>
    <row r="41" spans="1:12" x14ac:dyDescent="0.25">
      <c r="A41" s="84"/>
      <c r="B41" s="12" t="s">
        <v>125</v>
      </c>
      <c r="D41" s="84"/>
      <c r="E41" s="88">
        <f>SUM(E39*8%-E39)</f>
        <v>-73002</v>
      </c>
      <c r="F41" s="3"/>
      <c r="G41" s="104" t="s">
        <v>128</v>
      </c>
      <c r="H41" s="3"/>
      <c r="I41" s="15">
        <v>20000</v>
      </c>
      <c r="J41" s="87"/>
      <c r="K41" s="102"/>
    </row>
    <row r="42" spans="1:12" x14ac:dyDescent="0.25">
      <c r="B42" s="12" t="s">
        <v>138</v>
      </c>
      <c r="D42" s="84"/>
      <c r="E42" s="85">
        <v>3500</v>
      </c>
      <c r="F42" s="3"/>
      <c r="G42" s="3"/>
      <c r="H42" s="3"/>
      <c r="J42" s="87"/>
      <c r="K42" s="102"/>
    </row>
    <row r="43" spans="1:12" x14ac:dyDescent="0.25">
      <c r="B43" s="12"/>
      <c r="D43" s="84"/>
      <c r="E43" s="85">
        <f>SUM(E39-E40+E42)</f>
        <v>76502</v>
      </c>
      <c r="F43" s="3"/>
      <c r="G43" s="3"/>
      <c r="H43" s="3"/>
      <c r="J43" s="87"/>
      <c r="K43" s="102"/>
    </row>
    <row r="44" spans="1:12" ht="15.75" x14ac:dyDescent="0.25">
      <c r="A44" s="84"/>
      <c r="B44" s="89" t="s">
        <v>26</v>
      </c>
      <c r="D44" s="84"/>
      <c r="E44" s="19"/>
      <c r="G44" s="92" t="s">
        <v>129</v>
      </c>
      <c r="I44" s="93">
        <f>SUM(E39-E49)</f>
        <v>64679</v>
      </c>
      <c r="J44" s="87"/>
      <c r="K44" s="102"/>
    </row>
    <row r="45" spans="1:12" x14ac:dyDescent="0.25">
      <c r="A45" s="84"/>
      <c r="B45" s="12" t="s">
        <v>79</v>
      </c>
      <c r="D45" s="84"/>
      <c r="E45" s="90">
        <f>SUM(E39*8%)</f>
        <v>6348</v>
      </c>
      <c r="J45" s="91"/>
      <c r="K45" s="103"/>
    </row>
    <row r="46" spans="1:12" x14ac:dyDescent="0.25">
      <c r="A46" s="84"/>
      <c r="B46" s="12" t="s">
        <v>131</v>
      </c>
      <c r="D46" s="84"/>
      <c r="E46" s="90">
        <v>3000</v>
      </c>
      <c r="J46" s="91"/>
      <c r="K46" s="103"/>
    </row>
    <row r="47" spans="1:12" x14ac:dyDescent="0.25">
      <c r="A47" s="84"/>
      <c r="B47" s="12" t="s">
        <v>134</v>
      </c>
      <c r="D47" s="84"/>
      <c r="E47" s="90">
        <v>2800</v>
      </c>
      <c r="J47" s="91"/>
      <c r="K47" s="103"/>
    </row>
    <row r="48" spans="1:12" x14ac:dyDescent="0.25">
      <c r="A48" s="84"/>
      <c r="B48" s="12" t="s">
        <v>133</v>
      </c>
      <c r="D48" s="84"/>
      <c r="E48" s="90">
        <v>2523</v>
      </c>
      <c r="J48" s="91"/>
      <c r="K48" s="103"/>
    </row>
    <row r="49" spans="1:11" ht="16.5" x14ac:dyDescent="0.35">
      <c r="A49" s="84"/>
      <c r="B49" s="23" t="s">
        <v>135</v>
      </c>
      <c r="D49" s="84"/>
      <c r="E49" s="108">
        <f>SUM(E45:E48)</f>
        <v>14671</v>
      </c>
      <c r="J49" s="84"/>
      <c r="K49" s="25"/>
    </row>
    <row r="50" spans="1:11" x14ac:dyDescent="0.25">
      <c r="A50" s="84"/>
      <c r="D50" s="84"/>
      <c r="J50" s="84"/>
      <c r="K50" s="25"/>
    </row>
    <row r="51" spans="1:11" ht="15.75" x14ac:dyDescent="0.25">
      <c r="A51" s="84"/>
      <c r="B51" s="94"/>
      <c r="D51" s="84"/>
      <c r="E51" s="95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2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2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2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2"/>
      <c r="K55" s="25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1" workbookViewId="0">
      <selection activeCell="F46" sqref="F46"/>
    </sheetView>
  </sheetViews>
  <sheetFormatPr defaultRowHeight="15" x14ac:dyDescent="0.25"/>
  <cols>
    <col min="1" max="1" width="14" customWidth="1"/>
    <col min="2" max="2" width="3.7109375" customWidth="1"/>
    <col min="3" max="3" width="7" customWidth="1"/>
    <col min="4" max="4" width="6.7109375" customWidth="1"/>
    <col min="5" max="5" width="8.85546875" customWidth="1"/>
    <col min="6" max="6" width="7" customWidth="1"/>
    <col min="8" max="8" width="7.5703125" customWidth="1"/>
    <col min="9" max="9" width="11.7109375" customWidth="1"/>
    <col min="10" max="10" width="7.140625" customWidth="1"/>
    <col min="11" max="11" width="7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</row>
    <row r="2" spans="1:11" ht="15.75" x14ac:dyDescent="0.25">
      <c r="A2" s="98" t="s">
        <v>105</v>
      </c>
      <c r="B2" s="98"/>
      <c r="C2" s="98"/>
      <c r="D2" s="98"/>
      <c r="E2" s="98" t="s">
        <v>140</v>
      </c>
      <c r="G2" s="98"/>
      <c r="H2" s="98"/>
      <c r="I2" s="98"/>
      <c r="J2" s="98"/>
      <c r="K2" s="19"/>
    </row>
    <row r="3" spans="1:11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.95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1" ht="12.95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1" ht="12.95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.95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.95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/>
    </row>
    <row r="9" spans="1:11" ht="12.95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/>
    </row>
    <row r="10" spans="1:11" ht="12.95" customHeight="1" x14ac:dyDescent="0.25">
      <c r="A10" s="8" t="s">
        <v>139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.95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.95" customHeight="1" x14ac:dyDescent="0.25">
      <c r="A12" s="8" t="s">
        <v>102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1" ht="12.95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.95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.95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1" ht="12.95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.95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.95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.95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.95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.95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.95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.95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.95" customHeight="1" x14ac:dyDescent="0.25">
      <c r="A24" s="8" t="s">
        <v>141</v>
      </c>
      <c r="B24" s="9">
        <v>21</v>
      </c>
      <c r="C24" s="10"/>
      <c r="D24" s="10"/>
      <c r="E24" s="11">
        <v>1060</v>
      </c>
      <c r="F24" s="11"/>
      <c r="G24" s="11">
        <v>1060</v>
      </c>
      <c r="H24" s="11">
        <v>1060</v>
      </c>
      <c r="I24" s="8"/>
      <c r="J24" s="10"/>
      <c r="K24" s="101"/>
    </row>
    <row r="25" spans="1:11" ht="12.95" customHeight="1" x14ac:dyDescent="0.25">
      <c r="A25" s="8" t="s">
        <v>142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.95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.95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.95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.95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.95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.95" customHeight="1" x14ac:dyDescent="0.25">
      <c r="A31" s="8" t="s">
        <v>143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.95" customHeight="1" x14ac:dyDescent="0.25">
      <c r="A32" s="32"/>
      <c r="B32" s="9">
        <v>29</v>
      </c>
      <c r="C32" s="10"/>
      <c r="D32" s="10"/>
      <c r="E32" s="11"/>
      <c r="F32" s="11"/>
      <c r="G32" s="11"/>
      <c r="H32" s="11"/>
      <c r="I32" s="8"/>
      <c r="J32" s="10"/>
      <c r="K32" s="101"/>
    </row>
    <row r="33" spans="1:11" ht="12.95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.95" customHeight="1" x14ac:dyDescent="0.25">
      <c r="A34" s="32"/>
      <c r="B34" s="9"/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.9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1"/>
    </row>
    <row r="36" spans="1:11" ht="12.95" customHeight="1" x14ac:dyDescent="0.25">
      <c r="A36" s="105"/>
      <c r="B36" s="105"/>
      <c r="C36" s="105"/>
      <c r="D36" s="105"/>
      <c r="E36" s="105">
        <f>SUM(E4:E35)</f>
        <v>77260</v>
      </c>
      <c r="F36" s="105"/>
      <c r="G36" s="105">
        <f>SUM(G4:G35)</f>
        <v>77260</v>
      </c>
      <c r="H36" s="105">
        <f>SUM(H4:H35)</f>
        <v>68510</v>
      </c>
      <c r="I36" s="105">
        <f>SUM(I4:I34)</f>
        <v>0</v>
      </c>
      <c r="J36" s="105"/>
      <c r="K36" s="106">
        <f>SUM(K4:K35)</f>
        <v>0</v>
      </c>
    </row>
    <row r="37" spans="1:11" x14ac:dyDescent="0.25">
      <c r="A37" s="84"/>
      <c r="B37" s="12" t="s">
        <v>111</v>
      </c>
      <c r="D37" s="84"/>
      <c r="E37" s="85">
        <f>SUM(G36)</f>
        <v>77260</v>
      </c>
      <c r="F37" s="3"/>
      <c r="G37" s="86"/>
      <c r="H37" s="3"/>
      <c r="I37" s="20"/>
      <c r="J37" s="87"/>
      <c r="K37" s="102"/>
    </row>
    <row r="38" spans="1:11" x14ac:dyDescent="0.25">
      <c r="A38" s="84"/>
      <c r="B38" s="12" t="s">
        <v>126</v>
      </c>
      <c r="D38" s="84"/>
      <c r="E38" s="85">
        <f>SUM(E37*8%)</f>
        <v>6180.8</v>
      </c>
      <c r="F38" s="3"/>
      <c r="G38" s="104"/>
      <c r="H38" s="3"/>
      <c r="I38" s="20"/>
      <c r="J38" s="87"/>
      <c r="K38" s="102"/>
    </row>
    <row r="39" spans="1:11" x14ac:dyDescent="0.25">
      <c r="A39" s="84"/>
      <c r="B39" s="12" t="s">
        <v>145</v>
      </c>
      <c r="D39" s="84"/>
      <c r="E39" s="88">
        <f>SUM(E37*8%-E37)</f>
        <v>-71079.199999999997</v>
      </c>
      <c r="F39" s="3"/>
      <c r="G39" s="104"/>
      <c r="H39" s="3"/>
      <c r="I39" s="15"/>
      <c r="J39" s="87"/>
      <c r="K39" s="102"/>
    </row>
    <row r="40" spans="1:11" x14ac:dyDescent="0.25">
      <c r="B40" s="12" t="s">
        <v>138</v>
      </c>
      <c r="D40" s="84"/>
      <c r="E40" s="85">
        <v>3000</v>
      </c>
      <c r="F40" s="3"/>
      <c r="G40" s="3"/>
      <c r="H40" s="3"/>
      <c r="J40" s="87"/>
      <c r="K40" s="102"/>
    </row>
    <row r="41" spans="1:11" x14ac:dyDescent="0.25">
      <c r="B41" s="12"/>
      <c r="D41" s="84"/>
      <c r="E41" s="85">
        <f>SUM(E37-E38+E40)</f>
        <v>74079.199999999997</v>
      </c>
      <c r="F41" s="109"/>
      <c r="G41" s="3"/>
      <c r="H41" s="3"/>
      <c r="I41" s="20"/>
      <c r="J41" s="87"/>
      <c r="K41" s="102"/>
    </row>
    <row r="42" spans="1:11" ht="15.75" x14ac:dyDescent="0.25">
      <c r="A42" s="84"/>
      <c r="B42" s="89" t="s">
        <v>26</v>
      </c>
      <c r="D42" s="84"/>
      <c r="E42" s="19"/>
      <c r="G42" s="92" t="s">
        <v>129</v>
      </c>
      <c r="I42" s="93">
        <f>SUM(E37+E40-E47)</f>
        <v>61019.199999999997</v>
      </c>
      <c r="K42" s="102"/>
    </row>
    <row r="43" spans="1:11" x14ac:dyDescent="0.25">
      <c r="A43" s="84"/>
      <c r="B43" s="12" t="s">
        <v>79</v>
      </c>
      <c r="D43" s="84"/>
      <c r="E43" s="90">
        <f>SUM(E37*8%)</f>
        <v>6180.8</v>
      </c>
      <c r="I43" s="87" t="s">
        <v>144</v>
      </c>
      <c r="J43" s="91"/>
      <c r="K43" s="103"/>
    </row>
    <row r="44" spans="1:11" x14ac:dyDescent="0.25">
      <c r="A44" s="84"/>
      <c r="B44" s="12" t="s">
        <v>131</v>
      </c>
      <c r="D44" s="84"/>
      <c r="E44" s="90">
        <v>12000</v>
      </c>
      <c r="J44" s="91"/>
      <c r="K44" s="103"/>
    </row>
    <row r="45" spans="1:11" x14ac:dyDescent="0.25">
      <c r="A45" s="84"/>
      <c r="B45" s="12" t="s">
        <v>146</v>
      </c>
      <c r="D45" s="84"/>
      <c r="E45" s="90">
        <v>1060</v>
      </c>
      <c r="J45" s="91"/>
      <c r="K45" s="103"/>
    </row>
    <row r="46" spans="1:11" x14ac:dyDescent="0.25">
      <c r="A46" s="84"/>
      <c r="B46" s="12"/>
      <c r="D46" s="84"/>
      <c r="E46" s="90"/>
      <c r="J46" s="91"/>
      <c r="K46" s="103"/>
    </row>
    <row r="47" spans="1:11" ht="16.5" x14ac:dyDescent="0.35">
      <c r="A47" s="84"/>
      <c r="B47" s="23" t="s">
        <v>135</v>
      </c>
      <c r="D47" s="84"/>
      <c r="E47" s="108">
        <f>SUM(E43:E46)</f>
        <v>19240.8</v>
      </c>
      <c r="J47" s="84"/>
      <c r="K47" s="25"/>
    </row>
    <row r="48" spans="1:11" ht="10.5" customHeight="1" x14ac:dyDescent="0.25">
      <c r="A48" s="84"/>
      <c r="D48" s="84"/>
      <c r="J48" s="84"/>
      <c r="K48" s="25"/>
    </row>
    <row r="49" spans="2:11" x14ac:dyDescent="0.25">
      <c r="B49" s="29"/>
      <c r="C49" s="92" t="s">
        <v>112</v>
      </c>
      <c r="D49" s="92"/>
      <c r="E49" s="12" t="s">
        <v>113</v>
      </c>
      <c r="F49" s="12"/>
      <c r="G49" s="12"/>
      <c r="H49" s="12" t="s">
        <v>114</v>
      </c>
      <c r="I49" s="12"/>
      <c r="K49" s="25"/>
    </row>
    <row r="50" spans="2:11" x14ac:dyDescent="0.25">
      <c r="B50" s="29"/>
      <c r="C50" s="12"/>
      <c r="D50" s="12"/>
      <c r="E50" s="12"/>
      <c r="F50" s="12"/>
      <c r="G50" s="12"/>
      <c r="H50" s="12"/>
      <c r="I50" s="12"/>
      <c r="K50" s="25"/>
    </row>
    <row r="51" spans="2:11" x14ac:dyDescent="0.25">
      <c r="B51" s="29"/>
      <c r="C51" s="12" t="s">
        <v>115</v>
      </c>
      <c r="D51" s="12"/>
      <c r="E51" s="12" t="s">
        <v>116</v>
      </c>
      <c r="F51" s="12"/>
      <c r="G51" s="12"/>
      <c r="H51" s="12" t="s">
        <v>124</v>
      </c>
      <c r="I51" s="12"/>
      <c r="K51" s="25"/>
    </row>
    <row r="52" spans="2:11" x14ac:dyDescent="0.25">
      <c r="B52" s="96" t="s">
        <v>40</v>
      </c>
      <c r="C52" s="12" t="s">
        <v>117</v>
      </c>
      <c r="D52" s="12"/>
      <c r="E52" s="12" t="s">
        <v>117</v>
      </c>
      <c r="F52" s="12"/>
      <c r="G52" s="12"/>
      <c r="H52" s="12" t="s">
        <v>118</v>
      </c>
      <c r="I52" s="12"/>
      <c r="K52" s="25"/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0" workbookViewId="0">
      <selection activeCell="I22" sqref="I22"/>
    </sheetView>
  </sheetViews>
  <sheetFormatPr defaultRowHeight="15" x14ac:dyDescent="0.25"/>
  <cols>
    <col min="1" max="1" width="14" customWidth="1"/>
    <col min="2" max="2" width="3.7109375" customWidth="1"/>
    <col min="3" max="3" width="7" customWidth="1"/>
    <col min="4" max="4" width="6.7109375" customWidth="1"/>
    <col min="5" max="5" width="8.85546875" customWidth="1"/>
    <col min="6" max="6" width="7" customWidth="1"/>
    <col min="8" max="8" width="7.5703125" customWidth="1"/>
    <col min="9" max="9" width="4.42578125" customWidth="1"/>
    <col min="10" max="10" width="11.42578125" customWidth="1"/>
    <col min="11" max="11" width="7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</row>
    <row r="2" spans="1:11" ht="15.75" x14ac:dyDescent="0.25">
      <c r="A2" s="98" t="s">
        <v>105</v>
      </c>
      <c r="B2" s="98"/>
      <c r="C2" s="98"/>
      <c r="D2" s="98"/>
      <c r="E2" s="98" t="s">
        <v>147</v>
      </c>
      <c r="G2" s="98"/>
      <c r="H2" s="98"/>
      <c r="I2" s="98"/>
      <c r="J2" s="98"/>
      <c r="K2" s="19"/>
    </row>
    <row r="3" spans="1:11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.95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1" ht="12.95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1" ht="12.95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.95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.95" customHeight="1" x14ac:dyDescent="0.25">
      <c r="A8" s="8" t="s">
        <v>7</v>
      </c>
      <c r="B8" s="9">
        <v>5</v>
      </c>
      <c r="C8" s="10"/>
      <c r="D8" s="10"/>
      <c r="E8" s="11">
        <v>3500</v>
      </c>
      <c r="F8" s="11"/>
      <c r="G8" s="11">
        <v>3500</v>
      </c>
      <c r="H8" s="11">
        <v>3500</v>
      </c>
      <c r="I8" s="8"/>
      <c r="J8" s="10"/>
      <c r="K8" s="101"/>
    </row>
    <row r="9" spans="1:11" ht="12.95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/>
    </row>
    <row r="10" spans="1:11" ht="12.95" customHeight="1" x14ac:dyDescent="0.25">
      <c r="A10" s="8" t="s">
        <v>148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.95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.95" customHeight="1" x14ac:dyDescent="0.25">
      <c r="A12" s="8" t="s">
        <v>102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1" ht="12.95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.95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.95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1" ht="12.95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.95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.95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.95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.95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.95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.95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.95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.95" customHeight="1" x14ac:dyDescent="0.25">
      <c r="A24" s="8" t="s">
        <v>141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.95" customHeight="1" x14ac:dyDescent="0.25">
      <c r="A25" s="8" t="s">
        <v>142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.95" customHeight="1" x14ac:dyDescent="0.25">
      <c r="A26" s="8"/>
      <c r="B26" s="9">
        <v>23</v>
      </c>
      <c r="C26" s="10"/>
      <c r="D26" s="10"/>
      <c r="E26" s="11"/>
      <c r="F26" s="11"/>
      <c r="G26" s="11"/>
      <c r="H26" s="11"/>
      <c r="I26" s="8"/>
      <c r="J26" s="10"/>
      <c r="K26" s="101"/>
    </row>
    <row r="27" spans="1:11" ht="12.95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.95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.95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.95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.95" customHeight="1" x14ac:dyDescent="0.25">
      <c r="A31" s="8" t="s">
        <v>149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.95" customHeight="1" x14ac:dyDescent="0.25">
      <c r="A32" s="32"/>
      <c r="B32" s="9">
        <v>29</v>
      </c>
      <c r="C32" s="10"/>
      <c r="D32" s="10"/>
      <c r="E32" s="11"/>
      <c r="F32" s="11"/>
      <c r="G32" s="11"/>
      <c r="H32" s="11"/>
      <c r="I32" s="8"/>
      <c r="J32" s="10"/>
      <c r="K32" s="101"/>
    </row>
    <row r="33" spans="1:11" ht="12.95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.95" customHeight="1" x14ac:dyDescent="0.25">
      <c r="A34" s="32"/>
      <c r="B34" s="9"/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.9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1"/>
    </row>
    <row r="36" spans="1:11" ht="12.95" customHeight="1" x14ac:dyDescent="0.25">
      <c r="A36" s="105"/>
      <c r="B36" s="105"/>
      <c r="C36" s="105"/>
      <c r="D36" s="105"/>
      <c r="E36" s="105">
        <f>SUM(E4:E35)</f>
        <v>76000</v>
      </c>
      <c r="F36" s="105"/>
      <c r="G36" s="105">
        <f>SUM(G4:G35)</f>
        <v>76000</v>
      </c>
      <c r="H36" s="105">
        <f>SUM(H4:H35)</f>
        <v>69900</v>
      </c>
      <c r="I36" s="105">
        <f>SUM(I4:I34)</f>
        <v>0</v>
      </c>
      <c r="J36" s="105"/>
      <c r="K36" s="106">
        <f>SUM(K4:K35)</f>
        <v>0</v>
      </c>
    </row>
    <row r="37" spans="1:11" x14ac:dyDescent="0.25">
      <c r="A37" s="84"/>
      <c r="B37" s="12" t="s">
        <v>111</v>
      </c>
      <c r="D37" s="84"/>
      <c r="E37" s="85">
        <f>SUM(G36)</f>
        <v>76000</v>
      </c>
      <c r="F37" s="3"/>
      <c r="G37" s="86"/>
      <c r="H37" s="3"/>
      <c r="I37" s="20"/>
      <c r="J37" s="87"/>
      <c r="K37" s="102"/>
    </row>
    <row r="38" spans="1:11" x14ac:dyDescent="0.25">
      <c r="A38" s="84"/>
      <c r="B38" s="12" t="s">
        <v>126</v>
      </c>
      <c r="D38" s="84"/>
      <c r="E38" s="85">
        <f>SUM(E37*8%)</f>
        <v>6080</v>
      </c>
      <c r="F38" s="3"/>
      <c r="G38" s="104"/>
      <c r="H38" s="3"/>
      <c r="I38" s="20"/>
      <c r="J38" s="87"/>
      <c r="K38" s="102"/>
    </row>
    <row r="39" spans="1:11" x14ac:dyDescent="0.25">
      <c r="A39" s="84"/>
      <c r="B39" s="12" t="s">
        <v>145</v>
      </c>
      <c r="D39" s="84"/>
      <c r="E39" s="88">
        <f>SUM(E37*8%-E37)</f>
        <v>-69920</v>
      </c>
      <c r="F39" s="3"/>
      <c r="G39" s="104"/>
      <c r="H39" s="3"/>
      <c r="I39" s="15"/>
      <c r="J39" s="87"/>
      <c r="K39" s="102"/>
    </row>
    <row r="40" spans="1:11" x14ac:dyDescent="0.25">
      <c r="B40" s="12" t="s">
        <v>150</v>
      </c>
      <c r="D40" s="84"/>
      <c r="E40" s="85">
        <v>2450</v>
      </c>
      <c r="F40" s="3"/>
      <c r="G40" s="3"/>
      <c r="H40" s="3"/>
      <c r="J40" s="87"/>
      <c r="K40" s="102"/>
    </row>
    <row r="41" spans="1:11" x14ac:dyDescent="0.25">
      <c r="B41" s="12"/>
      <c r="D41" s="84"/>
      <c r="E41" s="85">
        <f>SUM(E37-E38+E40)</f>
        <v>72370</v>
      </c>
      <c r="F41" s="109"/>
      <c r="G41" s="3"/>
      <c r="H41" s="3"/>
      <c r="I41" s="20"/>
      <c r="J41" s="87"/>
      <c r="K41" s="102"/>
    </row>
    <row r="42" spans="1:11" ht="15.75" x14ac:dyDescent="0.25">
      <c r="A42" s="84"/>
      <c r="B42" s="89" t="s">
        <v>26</v>
      </c>
      <c r="D42" s="84"/>
      <c r="E42" s="19"/>
      <c r="G42" s="92" t="s">
        <v>151</v>
      </c>
      <c r="J42" s="93">
        <f>SUM(E37+E40-E47)</f>
        <v>72370</v>
      </c>
      <c r="K42" s="102"/>
    </row>
    <row r="43" spans="1:11" x14ac:dyDescent="0.25">
      <c r="A43" s="84"/>
      <c r="B43" s="12" t="s">
        <v>79</v>
      </c>
      <c r="D43" s="84"/>
      <c r="E43" s="90">
        <f>SUM(E37*8%)</f>
        <v>6080</v>
      </c>
      <c r="I43" s="87" t="s">
        <v>144</v>
      </c>
      <c r="J43" s="91"/>
      <c r="K43" s="103"/>
    </row>
    <row r="44" spans="1:11" x14ac:dyDescent="0.25">
      <c r="A44" s="84"/>
      <c r="B44" s="12"/>
      <c r="D44" s="84"/>
      <c r="E44" s="90"/>
      <c r="J44" s="91"/>
      <c r="K44" s="103"/>
    </row>
    <row r="45" spans="1:11" x14ac:dyDescent="0.25">
      <c r="A45" s="84"/>
      <c r="B45" s="12"/>
      <c r="D45" s="84"/>
      <c r="E45" s="90"/>
      <c r="J45" s="91"/>
      <c r="K45" s="103"/>
    </row>
    <row r="46" spans="1:11" x14ac:dyDescent="0.25">
      <c r="A46" s="84"/>
      <c r="B46" s="12"/>
      <c r="D46" s="84"/>
      <c r="E46" s="90"/>
      <c r="J46" s="91"/>
      <c r="K46" s="103"/>
    </row>
    <row r="47" spans="1:11" ht="16.5" x14ac:dyDescent="0.35">
      <c r="A47" s="84"/>
      <c r="B47" s="23" t="s">
        <v>135</v>
      </c>
      <c r="D47" s="84"/>
      <c r="E47" s="108">
        <f>SUM(E43:E46)</f>
        <v>6080</v>
      </c>
      <c r="J47" s="84"/>
      <c r="K47" s="25"/>
    </row>
    <row r="48" spans="1:11" ht="10.5" customHeight="1" x14ac:dyDescent="0.25">
      <c r="A48" s="84"/>
      <c r="D48" s="84"/>
      <c r="J48" s="84"/>
      <c r="K48" s="25"/>
    </row>
    <row r="49" spans="2:11" x14ac:dyDescent="0.25">
      <c r="B49" s="29"/>
      <c r="C49" s="92" t="s">
        <v>112</v>
      </c>
      <c r="D49" s="92"/>
      <c r="E49" s="12" t="s">
        <v>113</v>
      </c>
      <c r="F49" s="12"/>
      <c r="G49" s="12"/>
      <c r="H49" s="12" t="s">
        <v>114</v>
      </c>
      <c r="I49" s="12"/>
      <c r="K49" s="25"/>
    </row>
    <row r="50" spans="2:11" x14ac:dyDescent="0.25">
      <c r="B50" s="29"/>
      <c r="C50" s="12"/>
      <c r="D50" s="12"/>
      <c r="E50" s="12"/>
      <c r="F50" s="12"/>
      <c r="G50" s="12"/>
      <c r="H50" s="12"/>
      <c r="I50" s="12"/>
      <c r="K50" s="25"/>
    </row>
    <row r="51" spans="2:11" x14ac:dyDescent="0.25">
      <c r="B51" s="29"/>
      <c r="C51" s="12" t="s">
        <v>115</v>
      </c>
      <c r="D51" s="12"/>
      <c r="E51" s="12" t="s">
        <v>116</v>
      </c>
      <c r="F51" s="12"/>
      <c r="G51" s="12"/>
      <c r="H51" s="12" t="s">
        <v>124</v>
      </c>
      <c r="I51" s="12"/>
      <c r="K51" s="25"/>
    </row>
    <row r="52" spans="2:11" x14ac:dyDescent="0.25">
      <c r="B52" s="96" t="s">
        <v>40</v>
      </c>
      <c r="C52" s="12" t="s">
        <v>117</v>
      </c>
      <c r="D52" s="12"/>
      <c r="E52" s="12" t="s">
        <v>117</v>
      </c>
      <c r="F52" s="12"/>
      <c r="G52" s="12"/>
      <c r="H52" s="12" t="s">
        <v>118</v>
      </c>
      <c r="I52" s="12"/>
      <c r="K52" s="25"/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22" workbookViewId="0">
      <selection activeCell="G57" sqref="G57"/>
    </sheetView>
  </sheetViews>
  <sheetFormatPr defaultRowHeight="15" x14ac:dyDescent="0.25"/>
  <cols>
    <col min="1" max="1" width="14.5703125" customWidth="1"/>
    <col min="2" max="2" width="3.42578125" customWidth="1"/>
    <col min="3" max="3" width="6.7109375" customWidth="1"/>
    <col min="4" max="4" width="5.85546875" customWidth="1"/>
    <col min="5" max="5" width="11.140625" customWidth="1"/>
    <col min="6" max="6" width="6.85546875" bestFit="1" customWidth="1"/>
    <col min="9" max="9" width="7.140625" customWidth="1"/>
    <col min="10" max="10" width="11.570312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152</v>
      </c>
      <c r="G2" s="98"/>
      <c r="H2" s="98"/>
      <c r="I2" s="98"/>
      <c r="J2" s="98"/>
      <c r="K2" s="19"/>
    </row>
    <row r="3" spans="1:11" ht="12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1" ht="12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/>
      <c r="I5" s="8"/>
      <c r="J5" s="10"/>
      <c r="K5" s="101"/>
    </row>
    <row r="6" spans="1:11" ht="12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" customHeight="1" x14ac:dyDescent="0.25">
      <c r="A8" s="32" t="s">
        <v>157</v>
      </c>
      <c r="B8" s="9">
        <v>5</v>
      </c>
      <c r="C8" s="10"/>
      <c r="D8" s="10"/>
      <c r="E8" s="11">
        <v>2650</v>
      </c>
      <c r="F8" s="11"/>
      <c r="G8" s="11">
        <v>2650</v>
      </c>
      <c r="H8" s="11">
        <v>2650</v>
      </c>
      <c r="I8" s="8"/>
      <c r="J8" s="10"/>
      <c r="K8" s="101"/>
    </row>
    <row r="9" spans="1:11" ht="12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>
        <v>2650</v>
      </c>
      <c r="I9" s="8"/>
      <c r="J9" s="10"/>
      <c r="K9" s="101"/>
    </row>
    <row r="10" spans="1:11" ht="12" customHeight="1" x14ac:dyDescent="0.25">
      <c r="A10" s="8" t="s">
        <v>148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" customHeight="1" x14ac:dyDescent="0.25">
      <c r="A12" s="8" t="s">
        <v>102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1" ht="12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1" ht="12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" customHeight="1" x14ac:dyDescent="0.25">
      <c r="A24" s="8" t="s">
        <v>141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" customHeight="1" x14ac:dyDescent="0.25">
      <c r="A25" s="8" t="s">
        <v>142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" customHeight="1" x14ac:dyDescent="0.25">
      <c r="A26" s="8" t="s">
        <v>64</v>
      </c>
      <c r="B26" s="9">
        <v>23</v>
      </c>
      <c r="C26" s="10"/>
      <c r="D26" s="10"/>
      <c r="E26" s="11"/>
      <c r="F26" s="11"/>
      <c r="G26" s="11"/>
      <c r="H26" s="11"/>
      <c r="I26" s="8"/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" customHeight="1" x14ac:dyDescent="0.25">
      <c r="A31" s="8" t="s">
        <v>149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8"/>
      <c r="J32" s="10"/>
      <c r="K32" s="101"/>
    </row>
    <row r="33" spans="1:11" ht="12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" customHeight="1" x14ac:dyDescent="0.25">
      <c r="A34" s="8" t="s">
        <v>7</v>
      </c>
      <c r="B34" s="9">
        <v>31</v>
      </c>
      <c r="C34" s="10"/>
      <c r="D34" s="10"/>
      <c r="E34" s="81">
        <v>3500</v>
      </c>
      <c r="F34" s="11"/>
      <c r="G34" s="11">
        <v>3500</v>
      </c>
      <c r="H34" s="81"/>
      <c r="I34" s="8"/>
      <c r="J34" s="10"/>
      <c r="K34" s="101"/>
    </row>
    <row r="35" spans="1:11" ht="12" customHeight="1" x14ac:dyDescent="0.25">
      <c r="A35" s="8" t="s">
        <v>155</v>
      </c>
      <c r="B35" s="8">
        <v>32</v>
      </c>
      <c r="C35" s="10"/>
      <c r="D35" s="10"/>
      <c r="E35" s="110">
        <v>3500</v>
      </c>
      <c r="F35" s="10"/>
      <c r="G35" s="110">
        <v>3500</v>
      </c>
      <c r="H35" s="8">
        <v>3500</v>
      </c>
      <c r="I35" s="10"/>
      <c r="J35" s="10"/>
      <c r="K35" s="101"/>
    </row>
    <row r="36" spans="1:11" ht="12" customHeight="1" x14ac:dyDescent="0.25">
      <c r="A36" s="8" t="s">
        <v>156</v>
      </c>
      <c r="B36" s="8">
        <v>33</v>
      </c>
      <c r="C36" s="10"/>
      <c r="D36" s="10"/>
      <c r="E36" s="110">
        <v>3500</v>
      </c>
      <c r="F36" s="10"/>
      <c r="G36" s="110">
        <v>3500</v>
      </c>
      <c r="H36" s="8">
        <v>3500</v>
      </c>
      <c r="I36" s="10"/>
      <c r="J36" s="10"/>
      <c r="K36" s="101"/>
    </row>
    <row r="37" spans="1:11" ht="12" customHeight="1" x14ac:dyDescent="0.25">
      <c r="A37" s="105"/>
      <c r="B37" s="105"/>
      <c r="C37" s="105"/>
      <c r="D37" s="105"/>
      <c r="E37" s="105">
        <f>SUM(E4:E36)</f>
        <v>85650</v>
      </c>
      <c r="F37" s="105"/>
      <c r="G37" s="105">
        <f>SUM(G4:G36)</f>
        <v>85650</v>
      </c>
      <c r="H37" s="105">
        <f>SUM(H4:H35)</f>
        <v>72750</v>
      </c>
      <c r="I37" s="105">
        <f>SUM(I4:I34)</f>
        <v>0</v>
      </c>
      <c r="J37" s="105"/>
      <c r="K37" s="106">
        <f>SUM(K4:K35)</f>
        <v>0</v>
      </c>
    </row>
    <row r="38" spans="1:11" x14ac:dyDescent="0.25">
      <c r="A38" s="84"/>
      <c r="B38" s="12" t="s">
        <v>111</v>
      </c>
      <c r="D38" s="84"/>
      <c r="E38" s="85">
        <f>SUM(G37)</f>
        <v>85650</v>
      </c>
      <c r="F38" s="3"/>
      <c r="G38" s="86"/>
      <c r="H38" s="3"/>
      <c r="I38" s="20"/>
      <c r="J38" s="87"/>
      <c r="K38" s="102"/>
    </row>
    <row r="39" spans="1:11" x14ac:dyDescent="0.25">
      <c r="A39" s="84"/>
      <c r="B39" s="12" t="s">
        <v>126</v>
      </c>
      <c r="D39" s="84"/>
      <c r="E39" s="85">
        <f>SUM(E38*8%)</f>
        <v>6852</v>
      </c>
      <c r="F39" s="3"/>
      <c r="G39" s="104"/>
      <c r="H39" s="3"/>
      <c r="I39" s="20"/>
      <c r="J39" s="87"/>
      <c r="K39" s="102"/>
    </row>
    <row r="40" spans="1:11" x14ac:dyDescent="0.25">
      <c r="A40" s="84"/>
      <c r="B40" s="12" t="s">
        <v>145</v>
      </c>
      <c r="D40" s="84"/>
      <c r="E40" s="88">
        <f>SUM(E38*8%-E38)</f>
        <v>-78798</v>
      </c>
      <c r="F40" s="3"/>
      <c r="G40" s="104" t="s">
        <v>153</v>
      </c>
      <c r="H40" s="3"/>
      <c r="I40" s="15"/>
      <c r="J40" s="87"/>
      <c r="K40" s="102"/>
    </row>
    <row r="41" spans="1:11" x14ac:dyDescent="0.25">
      <c r="B41" s="12" t="s">
        <v>158</v>
      </c>
      <c r="D41" s="84"/>
      <c r="E41" s="85">
        <v>7000</v>
      </c>
      <c r="F41" s="3"/>
      <c r="G41" s="3"/>
      <c r="H41" s="3"/>
      <c r="J41" s="87"/>
      <c r="K41" s="102"/>
    </row>
    <row r="42" spans="1:11" x14ac:dyDescent="0.25">
      <c r="B42" s="12"/>
      <c r="D42" s="84"/>
      <c r="E42" s="85">
        <f>SUM(E38-E39+E41)</f>
        <v>85798</v>
      </c>
      <c r="F42" s="109"/>
      <c r="G42" s="3"/>
      <c r="H42" s="3"/>
      <c r="I42" s="20"/>
      <c r="J42" s="87"/>
      <c r="K42" s="102"/>
    </row>
    <row r="43" spans="1:11" ht="15.75" x14ac:dyDescent="0.25">
      <c r="A43" s="84"/>
      <c r="B43" s="89" t="s">
        <v>26</v>
      </c>
      <c r="D43" s="84"/>
      <c r="E43" s="19"/>
      <c r="G43" s="92" t="s">
        <v>151</v>
      </c>
      <c r="J43" s="93">
        <f>SUM(E38+E41-E48)</f>
        <v>77798</v>
      </c>
      <c r="K43" s="102"/>
    </row>
    <row r="44" spans="1:11" x14ac:dyDescent="0.25">
      <c r="A44" s="84"/>
      <c r="B44" s="12" t="s">
        <v>79</v>
      </c>
      <c r="D44" s="84"/>
      <c r="E44" s="90">
        <f>SUM(E38*8%)</f>
        <v>6852</v>
      </c>
      <c r="I44" s="87" t="s">
        <v>144</v>
      </c>
      <c r="J44" s="91"/>
      <c r="K44" s="103"/>
    </row>
    <row r="45" spans="1:11" x14ac:dyDescent="0.25">
      <c r="A45" s="84"/>
      <c r="B45" s="12" t="s">
        <v>154</v>
      </c>
      <c r="D45" s="84"/>
      <c r="E45" s="90">
        <v>8000</v>
      </c>
      <c r="J45" s="91"/>
      <c r="K45" s="103"/>
    </row>
    <row r="46" spans="1:11" x14ac:dyDescent="0.25">
      <c r="A46" s="84"/>
      <c r="B46" s="12"/>
      <c r="D46" s="84"/>
      <c r="E46" s="90"/>
      <c r="J46" s="91"/>
      <c r="K46" s="103"/>
    </row>
    <row r="47" spans="1:11" x14ac:dyDescent="0.25">
      <c r="A47" s="84"/>
      <c r="B47" s="12"/>
      <c r="D47" s="84"/>
      <c r="E47" s="90"/>
      <c r="J47" s="91"/>
      <c r="K47" s="103"/>
    </row>
    <row r="48" spans="1:11" ht="16.5" x14ac:dyDescent="0.35">
      <c r="A48" s="84"/>
      <c r="B48" s="23" t="s">
        <v>135</v>
      </c>
      <c r="D48" s="84"/>
      <c r="E48" s="108">
        <f>SUM(E44:E47)</f>
        <v>14852</v>
      </c>
      <c r="J48" s="84"/>
      <c r="K48" s="25"/>
    </row>
    <row r="49" spans="1:11" x14ac:dyDescent="0.25">
      <c r="A49" s="84"/>
      <c r="D49" s="84"/>
      <c r="J49" s="84"/>
      <c r="K49" s="25"/>
    </row>
    <row r="50" spans="1:11" x14ac:dyDescent="0.25">
      <c r="B50" s="29"/>
      <c r="C50" s="92" t="s">
        <v>112</v>
      </c>
      <c r="D50" s="92"/>
      <c r="E50" s="12" t="s">
        <v>113</v>
      </c>
      <c r="F50" s="12"/>
      <c r="G50" s="12"/>
      <c r="H50" s="12" t="s">
        <v>114</v>
      </c>
      <c r="I50" s="12"/>
      <c r="K50" s="25"/>
    </row>
    <row r="51" spans="1:11" x14ac:dyDescent="0.25">
      <c r="B51" s="29"/>
      <c r="C51" s="12"/>
      <c r="D51" s="12"/>
      <c r="E51" s="12"/>
      <c r="F51" s="12"/>
      <c r="G51" s="12"/>
      <c r="H51" s="12"/>
      <c r="I51" s="12"/>
      <c r="K51" s="25"/>
    </row>
    <row r="52" spans="1:11" x14ac:dyDescent="0.25">
      <c r="B52" s="29"/>
      <c r="C52" s="12" t="s">
        <v>115</v>
      </c>
      <c r="D52" s="12"/>
      <c r="E52" s="12" t="s">
        <v>116</v>
      </c>
      <c r="F52" s="12"/>
      <c r="G52" s="12"/>
      <c r="H52" s="12" t="s">
        <v>124</v>
      </c>
      <c r="I52" s="12"/>
      <c r="K52" s="25"/>
    </row>
    <row r="53" spans="1:11" x14ac:dyDescent="0.25">
      <c r="B53" s="96" t="s">
        <v>40</v>
      </c>
      <c r="C53" s="12" t="s">
        <v>117</v>
      </c>
      <c r="D53" s="12"/>
      <c r="E53" s="12" t="s">
        <v>117</v>
      </c>
      <c r="F53" s="12"/>
      <c r="G53" s="12"/>
      <c r="H53" s="12" t="s">
        <v>118</v>
      </c>
      <c r="I53" s="12"/>
      <c r="K53" s="25"/>
    </row>
  </sheetData>
  <pageMargins left="0.25" right="0.25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J51" sqref="J51"/>
    </sheetView>
  </sheetViews>
  <sheetFormatPr defaultRowHeight="15" x14ac:dyDescent="0.25"/>
  <cols>
    <col min="1" max="1" width="14.5703125" customWidth="1"/>
    <col min="2" max="2" width="3.42578125" customWidth="1"/>
    <col min="3" max="3" width="6.7109375" customWidth="1"/>
    <col min="4" max="4" width="5.85546875" customWidth="1"/>
    <col min="5" max="5" width="11.140625" customWidth="1"/>
    <col min="6" max="6" width="6.85546875" bestFit="1" customWidth="1"/>
    <col min="7" max="7" width="10.5703125" bestFit="1" customWidth="1"/>
    <col min="9" max="9" width="12.28515625" style="107" customWidth="1"/>
    <col min="10" max="10" width="11.570312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159</v>
      </c>
      <c r="G2" s="98"/>
      <c r="H2" s="98"/>
      <c r="I2" s="112"/>
      <c r="J2" s="98"/>
      <c r="K2" s="19"/>
    </row>
    <row r="3" spans="1:11" ht="12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3550</v>
      </c>
      <c r="J4" s="10"/>
      <c r="K4" s="101"/>
    </row>
    <row r="5" spans="1:11" ht="12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>
        <v>100</v>
      </c>
    </row>
    <row r="6" spans="1:11" ht="12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2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>
        <v>750</v>
      </c>
    </row>
    <row r="8" spans="1:11" ht="12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2" customHeight="1" x14ac:dyDescent="0.25">
      <c r="A9" s="8" t="s">
        <v>90</v>
      </c>
      <c r="B9" s="9">
        <v>6</v>
      </c>
      <c r="C9" s="10"/>
      <c r="D9" s="10"/>
      <c r="E9" s="11">
        <v>2750</v>
      </c>
      <c r="F9" s="11">
        <v>100</v>
      </c>
      <c r="G9" s="11">
        <v>2650</v>
      </c>
      <c r="H9" s="11">
        <v>5500</v>
      </c>
      <c r="I9" s="13">
        <v>4000</v>
      </c>
      <c r="J9" s="10"/>
      <c r="K9" s="101">
        <v>1500</v>
      </c>
    </row>
    <row r="10" spans="1:11" ht="12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>
        <v>250</v>
      </c>
    </row>
    <row r="11" spans="1:11" ht="12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2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>
        <v>100</v>
      </c>
    </row>
    <row r="13" spans="1:11" ht="12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>
        <v>100</v>
      </c>
    </row>
    <row r="14" spans="1:11" ht="12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>
        <v>100</v>
      </c>
    </row>
    <row r="15" spans="1:11" ht="12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>
        <v>3950</v>
      </c>
    </row>
    <row r="16" spans="1:11" ht="12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>
        <v>750</v>
      </c>
    </row>
    <row r="19" spans="1:11" ht="12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>
        <v>400</v>
      </c>
    </row>
    <row r="22" spans="1:11" ht="12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/>
      <c r="F23" s="11">
        <v>100</v>
      </c>
      <c r="G23" s="11">
        <v>2450</v>
      </c>
      <c r="H23" s="11">
        <v>2550</v>
      </c>
      <c r="I23" s="13">
        <v>2550</v>
      </c>
      <c r="J23" s="10"/>
      <c r="K23" s="101"/>
    </row>
    <row r="24" spans="1:11" ht="12" customHeight="1" x14ac:dyDescent="0.25">
      <c r="A24" s="8" t="s">
        <v>141</v>
      </c>
      <c r="B24" s="9">
        <v>21</v>
      </c>
      <c r="C24" s="10"/>
      <c r="D24" s="10"/>
      <c r="E24" s="11"/>
      <c r="F24" s="11"/>
      <c r="G24" s="11">
        <v>2450</v>
      </c>
      <c r="H24" s="11">
        <v>2450</v>
      </c>
      <c r="I24" s="13">
        <v>2450</v>
      </c>
      <c r="J24" s="10"/>
      <c r="K24" s="101"/>
    </row>
    <row r="25" spans="1:11" ht="12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2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>
        <v>300</v>
      </c>
    </row>
    <row r="28" spans="1:11" ht="12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>
        <v>50</v>
      </c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>
        <v>1250</v>
      </c>
    </row>
    <row r="30" spans="1:11" ht="12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2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>
        <v>100</v>
      </c>
    </row>
    <row r="32" spans="1:11" ht="12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13"/>
      <c r="J32" s="10"/>
      <c r="K32" s="101"/>
    </row>
    <row r="33" spans="1:11" ht="12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>
        <v>100</v>
      </c>
    </row>
    <row r="34" spans="1:11" ht="12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81">
        <v>3600</v>
      </c>
      <c r="I34" s="118">
        <v>3000</v>
      </c>
      <c r="J34" s="10"/>
      <c r="K34" s="101">
        <v>600</v>
      </c>
    </row>
    <row r="35" spans="1:11" ht="12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81">
        <v>3600</v>
      </c>
      <c r="I35" s="118">
        <v>3500</v>
      </c>
      <c r="J35" s="10"/>
      <c r="K35" s="101">
        <v>100</v>
      </c>
    </row>
    <row r="36" spans="1:11" ht="12" customHeight="1" x14ac:dyDescent="0.25">
      <c r="A36" s="8" t="s">
        <v>156</v>
      </c>
      <c r="B36" s="8">
        <v>33</v>
      </c>
      <c r="C36" s="10"/>
      <c r="D36" s="10"/>
      <c r="E36" s="110"/>
      <c r="F36" s="11">
        <v>100</v>
      </c>
      <c r="G36" s="110">
        <v>3500</v>
      </c>
      <c r="H36" s="81">
        <v>3600</v>
      </c>
      <c r="I36" s="118">
        <v>3600</v>
      </c>
      <c r="J36" s="10"/>
      <c r="K36" s="101"/>
    </row>
    <row r="37" spans="1:11" ht="12" customHeight="1" x14ac:dyDescent="0.25">
      <c r="A37" s="8"/>
      <c r="B37" s="8"/>
      <c r="C37" s="10"/>
      <c r="D37" s="10"/>
      <c r="E37" s="110"/>
      <c r="F37" s="11"/>
      <c r="G37" s="110"/>
      <c r="H37" s="81"/>
      <c r="I37" s="118"/>
      <c r="J37" s="10"/>
      <c r="K37" s="101"/>
    </row>
    <row r="38" spans="1:11" ht="12" customHeight="1" x14ac:dyDescent="0.25">
      <c r="A38" s="105"/>
      <c r="B38" s="105"/>
      <c r="C38" s="105"/>
      <c r="D38" s="105"/>
      <c r="E38" s="105">
        <f>SUM(E4:E36)</f>
        <v>11250</v>
      </c>
      <c r="F38" s="105">
        <f>SUM(F4:F36)</f>
        <v>3000</v>
      </c>
      <c r="G38" s="105">
        <f>SUM(G4:G36)</f>
        <v>89150</v>
      </c>
      <c r="H38" s="105">
        <f>SUM(H4:H37)</f>
        <v>103500</v>
      </c>
      <c r="I38" s="105">
        <f>SUM(I4:I36)</f>
        <v>92850</v>
      </c>
      <c r="J38" s="105"/>
      <c r="K38" s="106">
        <f>SUM(K4:K35)</f>
        <v>10500</v>
      </c>
    </row>
    <row r="39" spans="1:11" x14ac:dyDescent="0.25">
      <c r="A39" s="84"/>
      <c r="B39" s="12" t="s">
        <v>111</v>
      </c>
      <c r="D39" s="84"/>
      <c r="E39" s="85">
        <f>SUM(G38)</f>
        <v>89150</v>
      </c>
      <c r="F39" s="3"/>
      <c r="G39" s="86">
        <f>SUM(G4:G37)</f>
        <v>89150</v>
      </c>
      <c r="H39" s="3"/>
      <c r="I39" s="113">
        <f>SUM(I4:I36)</f>
        <v>92850</v>
      </c>
      <c r="J39" s="87"/>
      <c r="K39" s="102">
        <f>SUM(K5:K35)</f>
        <v>10500</v>
      </c>
    </row>
    <row r="40" spans="1:11" x14ac:dyDescent="0.25">
      <c r="A40" s="84"/>
      <c r="B40" s="12" t="s">
        <v>126</v>
      </c>
      <c r="D40" s="84"/>
      <c r="E40" s="85">
        <f>SUM(E39*8%)</f>
        <v>7132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-82018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3000</v>
      </c>
      <c r="F42" s="3"/>
      <c r="G42" s="104"/>
      <c r="H42" s="3"/>
      <c r="I42" s="114"/>
      <c r="J42" s="87"/>
      <c r="K42" s="102"/>
    </row>
    <row r="43" spans="1:11" x14ac:dyDescent="0.25">
      <c r="B43" s="12" t="s">
        <v>166</v>
      </c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85018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81518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7132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500</v>
      </c>
      <c r="J47" s="91"/>
      <c r="K47" s="103"/>
    </row>
    <row r="48" spans="1:11" x14ac:dyDescent="0.25">
      <c r="A48" s="84"/>
      <c r="B48" s="12"/>
      <c r="D48" s="84"/>
      <c r="E48" s="90"/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7632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40" workbookViewId="0">
      <selection activeCell="A56" sqref="A1:XFD1048576"/>
    </sheetView>
  </sheetViews>
  <sheetFormatPr defaultRowHeight="15" x14ac:dyDescent="0.25"/>
  <cols>
    <col min="1" max="1" width="14" customWidth="1"/>
    <col min="2" max="2" width="3.42578125" customWidth="1"/>
    <col min="3" max="3" width="6.7109375" customWidth="1"/>
    <col min="4" max="4" width="5.85546875" customWidth="1"/>
    <col min="5" max="5" width="9.7109375" customWidth="1"/>
    <col min="6" max="6" width="6.85546875" bestFit="1" customWidth="1"/>
    <col min="7" max="7" width="7.85546875" customWidth="1"/>
    <col min="8" max="8" width="7.42578125" customWidth="1"/>
    <col min="9" max="9" width="7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168</v>
      </c>
      <c r="G2" s="98"/>
      <c r="H2" s="98">
        <v>2014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3550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>
        <v>100</v>
      </c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>
        <v>750</v>
      </c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90</v>
      </c>
      <c r="B9" s="9">
        <v>6</v>
      </c>
      <c r="C9" s="10"/>
      <c r="D9" s="10"/>
      <c r="E9" s="11">
        <v>2750</v>
      </c>
      <c r="F9" s="11">
        <v>100</v>
      </c>
      <c r="G9" s="11">
        <v>2650</v>
      </c>
      <c r="H9" s="11">
        <v>5500</v>
      </c>
      <c r="I9" s="13">
        <v>4000</v>
      </c>
      <c r="J9" s="10"/>
      <c r="K9" s="101">
        <v>1500</v>
      </c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>
        <v>250</v>
      </c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>
        <v>100</v>
      </c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>
        <v>100</v>
      </c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>
        <v>100</v>
      </c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>
        <v>3950</v>
      </c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>
        <v>750</v>
      </c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>
        <v>400</v>
      </c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64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141</v>
      </c>
      <c r="B24" s="9">
        <v>21</v>
      </c>
      <c r="C24" s="10"/>
      <c r="D24" s="10"/>
      <c r="E24" s="11"/>
      <c r="F24" s="11"/>
      <c r="G24" s="11">
        <v>2450</v>
      </c>
      <c r="H24" s="11">
        <v>2450</v>
      </c>
      <c r="I24" s="13">
        <v>2450</v>
      </c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>
        <v>300</v>
      </c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>
        <v>50</v>
      </c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>
        <v>1250</v>
      </c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>
        <v>100</v>
      </c>
    </row>
    <row r="32" spans="1:11" ht="11.1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13"/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>
        <v>100</v>
      </c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81">
        <v>3600</v>
      </c>
      <c r="I34" s="118">
        <v>3000</v>
      </c>
      <c r="J34" s="10"/>
      <c r="K34" s="101">
        <v>600</v>
      </c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81">
        <v>3600</v>
      </c>
      <c r="I35" s="118">
        <v>3500</v>
      </c>
      <c r="J35" s="10"/>
      <c r="K35" s="101">
        <v>100</v>
      </c>
    </row>
    <row r="36" spans="1:11" ht="11.1" customHeight="1" x14ac:dyDescent="0.25">
      <c r="A36" s="8"/>
      <c r="B36" s="8">
        <v>33</v>
      </c>
      <c r="C36" s="10"/>
      <c r="D36" s="10"/>
      <c r="E36" s="110"/>
      <c r="F36" s="11"/>
      <c r="G36" s="110"/>
      <c r="H36" s="81"/>
      <c r="I36" s="118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81"/>
      <c r="I37" s="118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11250</v>
      </c>
      <c r="F38" s="119">
        <f>SUM(F4:F36)</f>
        <v>2800</v>
      </c>
      <c r="G38" s="119">
        <f>SUM(G4:G36)</f>
        <v>83200</v>
      </c>
      <c r="H38" s="119">
        <f>SUM(H4:H37)</f>
        <v>97350</v>
      </c>
      <c r="I38" s="119">
        <f>SUM(I4:I36)</f>
        <v>86700</v>
      </c>
      <c r="J38" s="119"/>
      <c r="K38" s="120">
        <f>SUM(K4:K35)</f>
        <v>10500</v>
      </c>
    </row>
    <row r="39" spans="1:11" x14ac:dyDescent="0.25">
      <c r="A39" s="84"/>
      <c r="B39" s="12" t="s">
        <v>111</v>
      </c>
      <c r="D39" s="84"/>
      <c r="E39" s="85">
        <f>SUM(G38)</f>
        <v>83200</v>
      </c>
      <c r="F39" s="3"/>
      <c r="G39" s="86"/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6656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-76544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2800</v>
      </c>
      <c r="F42" s="3"/>
      <c r="G42" s="104"/>
      <c r="H42" s="3"/>
      <c r="I42" s="114"/>
      <c r="J42" s="87"/>
      <c r="K42" s="102"/>
    </row>
    <row r="43" spans="1:11" x14ac:dyDescent="0.25">
      <c r="B43" s="12"/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79344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60894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6656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10000</v>
      </c>
      <c r="J47" s="91"/>
      <c r="K47" s="103"/>
    </row>
    <row r="48" spans="1:11" x14ac:dyDescent="0.25">
      <c r="A48" s="84"/>
      <c r="B48" s="12" t="s">
        <v>167</v>
      </c>
      <c r="D48" s="84"/>
      <c r="E48" s="90">
        <v>2150</v>
      </c>
      <c r="J48" s="91"/>
      <c r="K48" s="103"/>
    </row>
    <row r="49" spans="1:11" x14ac:dyDescent="0.25">
      <c r="A49" s="84"/>
      <c r="B49" s="12"/>
      <c r="D49" s="84"/>
      <c r="E49" s="90">
        <v>3500</v>
      </c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22306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  <pageSetup orientation="portrait" horizontalDpi="0" verticalDpi="0" r:id="rId1"/>
  <ignoredErrors>
    <ignoredError sqref="H38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8" workbookViewId="0">
      <selection activeCell="J52" sqref="J52"/>
    </sheetView>
  </sheetViews>
  <sheetFormatPr defaultRowHeight="15" x14ac:dyDescent="0.25"/>
  <cols>
    <col min="1" max="1" width="14" customWidth="1"/>
    <col min="2" max="2" width="3.42578125" customWidth="1"/>
    <col min="3" max="3" width="6.7109375" customWidth="1"/>
    <col min="4" max="4" width="5.85546875" customWidth="1"/>
    <col min="5" max="5" width="9.7109375" customWidth="1"/>
    <col min="6" max="6" width="6.85546875" bestFit="1" customWidth="1"/>
    <col min="7" max="7" width="7.85546875" customWidth="1"/>
    <col min="8" max="8" width="7.42578125" customWidth="1"/>
    <col min="9" max="9" width="7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169</v>
      </c>
      <c r="G2" s="98"/>
      <c r="H2" s="98">
        <v>2014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3550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>
        <v>100</v>
      </c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>
        <v>750</v>
      </c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90</v>
      </c>
      <c r="B9" s="9">
        <v>6</v>
      </c>
      <c r="C9" s="10"/>
      <c r="D9" s="10"/>
      <c r="E9" s="11">
        <v>1500</v>
      </c>
      <c r="F9" s="11">
        <v>100</v>
      </c>
      <c r="G9" s="11">
        <v>2650</v>
      </c>
      <c r="H9" s="11">
        <v>5500</v>
      </c>
      <c r="I9" s="13"/>
      <c r="J9" s="10"/>
      <c r="K9" s="101">
        <v>1500</v>
      </c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>
        <v>250</v>
      </c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>
        <v>100</v>
      </c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>
        <v>100</v>
      </c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>
        <v>100</v>
      </c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>
        <v>3950</v>
      </c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>
        <v>750</v>
      </c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>
        <v>400</v>
      </c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64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141</v>
      </c>
      <c r="B24" s="9">
        <v>21</v>
      </c>
      <c r="C24" s="10"/>
      <c r="D24" s="10"/>
      <c r="E24" s="11"/>
      <c r="F24" s="11"/>
      <c r="G24" s="11">
        <v>2450</v>
      </c>
      <c r="H24" s="11">
        <v>2450</v>
      </c>
      <c r="I24" s="13">
        <v>2450</v>
      </c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>
        <v>300</v>
      </c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>
        <v>50</v>
      </c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>
        <v>1250</v>
      </c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>
        <v>100</v>
      </c>
    </row>
    <row r="32" spans="1:11" ht="11.1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13"/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>
        <v>100</v>
      </c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97">
        <v>3600</v>
      </c>
      <c r="I34" s="117">
        <v>3000</v>
      </c>
      <c r="J34" s="10"/>
      <c r="K34" s="101">
        <v>600</v>
      </c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97">
        <v>3600</v>
      </c>
      <c r="I35" s="117">
        <v>3500</v>
      </c>
      <c r="J35" s="10"/>
      <c r="K35" s="101">
        <v>100</v>
      </c>
    </row>
    <row r="36" spans="1:11" ht="11.1" customHeight="1" x14ac:dyDescent="0.25">
      <c r="A36" s="8"/>
      <c r="B36" s="8">
        <v>33</v>
      </c>
      <c r="C36" s="10"/>
      <c r="D36" s="10"/>
      <c r="E36" s="110"/>
      <c r="F36" s="11"/>
      <c r="G36" s="110"/>
      <c r="H36" s="97"/>
      <c r="I36" s="117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97"/>
      <c r="I37" s="117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10000</v>
      </c>
      <c r="F38" s="119">
        <f>SUM(F4:F36)</f>
        <v>2800</v>
      </c>
      <c r="G38" s="119">
        <f>SUM(G4:G36)</f>
        <v>83200</v>
      </c>
      <c r="H38" s="119">
        <f>SUM(H4:H37)</f>
        <v>97350</v>
      </c>
      <c r="I38" s="119">
        <f>SUM(I4:I36)</f>
        <v>82700</v>
      </c>
      <c r="J38" s="119"/>
      <c r="K38" s="120">
        <f>SUM(K4:K35)</f>
        <v>10500</v>
      </c>
    </row>
    <row r="39" spans="1:11" x14ac:dyDescent="0.25">
      <c r="A39" s="84"/>
      <c r="B39" s="12" t="s">
        <v>111</v>
      </c>
      <c r="D39" s="84"/>
      <c r="E39" s="85">
        <f>SUM(G38)</f>
        <v>83200</v>
      </c>
      <c r="F39" s="3"/>
      <c r="G39" s="86"/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6656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-76544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2800</v>
      </c>
      <c r="F42" s="3"/>
      <c r="G42" s="104"/>
      <c r="H42" s="3"/>
      <c r="I42" s="114"/>
      <c r="J42" s="87"/>
      <c r="K42" s="102"/>
    </row>
    <row r="43" spans="1:11" x14ac:dyDescent="0.25">
      <c r="B43" s="12"/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79344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76544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6656</v>
      </c>
      <c r="I46" s="115" t="s">
        <v>144</v>
      </c>
      <c r="J46" s="91"/>
      <c r="K46" s="103"/>
    </row>
    <row r="47" spans="1:11" x14ac:dyDescent="0.25">
      <c r="A47" s="84"/>
      <c r="B47" s="12"/>
      <c r="D47" s="84"/>
      <c r="E47" s="90"/>
      <c r="J47" s="91"/>
      <c r="K47" s="103"/>
    </row>
    <row r="48" spans="1:11" x14ac:dyDescent="0.25">
      <c r="A48" s="84"/>
      <c r="B48" s="12"/>
      <c r="D48" s="84"/>
      <c r="E48" s="90"/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6656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5" workbookViewId="0">
      <selection activeCell="H49" sqref="H48:H49"/>
    </sheetView>
  </sheetViews>
  <sheetFormatPr defaultRowHeight="15" x14ac:dyDescent="0.25"/>
  <cols>
    <col min="1" max="1" width="14" customWidth="1"/>
    <col min="2" max="2" width="5.7109375" customWidth="1"/>
    <col min="3" max="3" width="6.7109375" customWidth="1"/>
    <col min="4" max="4" width="5.85546875" customWidth="1"/>
    <col min="5" max="5" width="10" customWidth="1"/>
    <col min="6" max="6" width="9.28515625" customWidth="1"/>
    <col min="7" max="7" width="8.7109375" customWidth="1"/>
    <col min="8" max="8" width="10" customWidth="1"/>
    <col min="9" max="9" width="9.140625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170</v>
      </c>
      <c r="G2" s="98"/>
      <c r="H2" s="98">
        <v>2015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2000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/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/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64</v>
      </c>
      <c r="B9" s="9">
        <v>6</v>
      </c>
      <c r="C9" s="10"/>
      <c r="D9" s="10"/>
      <c r="E9" s="11"/>
      <c r="F9" s="11"/>
      <c r="G9" s="11"/>
      <c r="H9" s="11"/>
      <c r="I9" s="13"/>
      <c r="J9" s="10"/>
      <c r="K9" s="101"/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/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/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/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/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/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/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/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64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64</v>
      </c>
      <c r="B24" s="9">
        <v>21</v>
      </c>
      <c r="C24" s="10"/>
      <c r="D24" s="10"/>
      <c r="E24" s="11"/>
      <c r="F24" s="11"/>
      <c r="G24" s="11"/>
      <c r="H24" s="11"/>
      <c r="I24" s="13"/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/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/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/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/>
    </row>
    <row r="32" spans="1:11" ht="11.1" customHeight="1" x14ac:dyDescent="0.25">
      <c r="A32" s="32" t="s">
        <v>171</v>
      </c>
      <c r="B32" s="9">
        <v>29</v>
      </c>
      <c r="C32" s="10"/>
      <c r="D32" s="10"/>
      <c r="E32" s="11"/>
      <c r="F32" s="11"/>
      <c r="G32" s="11">
        <v>3000</v>
      </c>
      <c r="H32" s="11">
        <v>3000</v>
      </c>
      <c r="I32" s="13">
        <v>3000</v>
      </c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/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97">
        <v>3600</v>
      </c>
      <c r="I34" s="117">
        <v>3000</v>
      </c>
      <c r="J34" s="10"/>
      <c r="K34" s="101"/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97">
        <v>3600</v>
      </c>
      <c r="I35" s="117">
        <v>3500</v>
      </c>
      <c r="J35" s="10"/>
      <c r="K35" s="101"/>
    </row>
    <row r="36" spans="1:11" ht="11.1" customHeight="1" x14ac:dyDescent="0.25">
      <c r="A36" s="8" t="s">
        <v>172</v>
      </c>
      <c r="B36" s="8">
        <v>33</v>
      </c>
      <c r="C36" s="10"/>
      <c r="D36" s="10"/>
      <c r="E36" s="110"/>
      <c r="F36" s="11">
        <v>100</v>
      </c>
      <c r="G36" s="110">
        <v>3500</v>
      </c>
      <c r="H36" s="110">
        <v>3500</v>
      </c>
      <c r="I36" s="117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97"/>
      <c r="I37" s="117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8500</v>
      </c>
      <c r="F38" s="119">
        <f>SUM(F4:F36)</f>
        <v>2800</v>
      </c>
      <c r="G38" s="119">
        <f>SUM(G4:G36)</f>
        <v>84600</v>
      </c>
      <c r="H38" s="119">
        <f>SUM(H4:H37)</f>
        <v>95900</v>
      </c>
      <c r="I38" s="119">
        <f>SUM(I4:I36)</f>
        <v>81700</v>
      </c>
      <c r="J38" s="119"/>
      <c r="K38" s="120">
        <f>SUM(K4:K35)</f>
        <v>0</v>
      </c>
    </row>
    <row r="39" spans="1:11" x14ac:dyDescent="0.25">
      <c r="A39" s="84"/>
      <c r="B39" s="12" t="s">
        <v>111</v>
      </c>
      <c r="D39" s="84"/>
      <c r="E39" s="85">
        <f>SUM(G38)</f>
        <v>84600</v>
      </c>
      <c r="F39" s="3"/>
      <c r="G39" s="86"/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6768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-77832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2800</v>
      </c>
      <c r="F42" s="3"/>
      <c r="G42" s="104"/>
      <c r="H42" s="3"/>
      <c r="I42" s="114"/>
      <c r="J42" s="87"/>
      <c r="K42" s="102"/>
    </row>
    <row r="43" spans="1:11" x14ac:dyDescent="0.25">
      <c r="B43" s="12"/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80632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54832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6768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3000</v>
      </c>
      <c r="J47" s="91"/>
      <c r="K47" s="103"/>
    </row>
    <row r="48" spans="1:11" x14ac:dyDescent="0.25">
      <c r="A48" s="84"/>
      <c r="B48" s="12" t="s">
        <v>154</v>
      </c>
      <c r="D48" s="84"/>
      <c r="E48" s="90">
        <v>20000</v>
      </c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29768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37" workbookViewId="0">
      <selection activeCell="H60" sqref="H60"/>
    </sheetView>
  </sheetViews>
  <sheetFormatPr defaultRowHeight="15" x14ac:dyDescent="0.25"/>
  <cols>
    <col min="1" max="1" width="14" customWidth="1"/>
    <col min="2" max="2" width="5.7109375" customWidth="1"/>
    <col min="3" max="3" width="6.7109375" customWidth="1"/>
    <col min="4" max="4" width="5.85546875" customWidth="1"/>
    <col min="5" max="5" width="10" customWidth="1"/>
    <col min="6" max="6" width="9.28515625" customWidth="1"/>
    <col min="7" max="7" width="10.42578125" customWidth="1"/>
    <col min="8" max="8" width="10" customWidth="1"/>
    <col min="9" max="9" width="9.140625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170</v>
      </c>
      <c r="G2" s="98"/>
      <c r="H2" s="98">
        <v>2015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2000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/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/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64</v>
      </c>
      <c r="B9" s="9">
        <v>6</v>
      </c>
      <c r="C9" s="10"/>
      <c r="D9" s="10"/>
      <c r="E9" s="11"/>
      <c r="F9" s="11">
        <v>100</v>
      </c>
      <c r="G9" s="11">
        <v>2650</v>
      </c>
      <c r="H9" s="11">
        <v>2650</v>
      </c>
      <c r="I9" s="13">
        <v>2650</v>
      </c>
      <c r="J9" s="10"/>
      <c r="K9" s="101"/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/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/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/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/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/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/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/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176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175</v>
      </c>
      <c r="B24" s="9">
        <v>21</v>
      </c>
      <c r="C24" s="10"/>
      <c r="D24" s="10"/>
      <c r="E24" s="11">
        <v>2450</v>
      </c>
      <c r="F24" s="11"/>
      <c r="G24" s="11">
        <v>1470</v>
      </c>
      <c r="H24" s="11">
        <v>3920</v>
      </c>
      <c r="I24" s="13">
        <v>3920</v>
      </c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>
        <v>100</v>
      </c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 t="s">
        <v>173</v>
      </c>
      <c r="K27" s="101"/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/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/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/>
    </row>
    <row r="32" spans="1:11" ht="11.1" customHeight="1" x14ac:dyDescent="0.25">
      <c r="A32" s="32" t="s">
        <v>171</v>
      </c>
      <c r="B32" s="9">
        <v>29</v>
      </c>
      <c r="C32" s="10"/>
      <c r="D32" s="10"/>
      <c r="E32" s="11"/>
      <c r="F32" s="11">
        <v>100</v>
      </c>
      <c r="G32" s="11">
        <v>3000</v>
      </c>
      <c r="H32" s="11">
        <v>3000</v>
      </c>
      <c r="I32" s="13">
        <v>3000</v>
      </c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/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97">
        <v>3600</v>
      </c>
      <c r="I34" s="117">
        <v>3000</v>
      </c>
      <c r="J34" s="10"/>
      <c r="K34" s="101"/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97">
        <v>3600</v>
      </c>
      <c r="I35" s="117">
        <v>3500</v>
      </c>
      <c r="J35" s="10"/>
      <c r="K35" s="101"/>
    </row>
    <row r="36" spans="1:11" ht="11.1" customHeight="1" x14ac:dyDescent="0.25">
      <c r="A36" s="8" t="s">
        <v>172</v>
      </c>
      <c r="B36" s="8">
        <v>33</v>
      </c>
      <c r="C36" s="10"/>
      <c r="D36" s="10"/>
      <c r="E36" s="110"/>
      <c r="F36" s="11">
        <v>100</v>
      </c>
      <c r="G36" s="110">
        <v>3500</v>
      </c>
      <c r="H36" s="110">
        <v>3500</v>
      </c>
      <c r="I36" s="117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97"/>
      <c r="I37" s="117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10950</v>
      </c>
      <c r="F38" s="119">
        <f>SUM(F4:F36)</f>
        <v>3000</v>
      </c>
      <c r="G38" s="119">
        <f>SUM(G4:G36)</f>
        <v>88720</v>
      </c>
      <c r="H38" s="119">
        <f>SUM(H4:H37)</f>
        <v>102470</v>
      </c>
      <c r="I38" s="119">
        <f>SUM(I4:I36)</f>
        <v>88270</v>
      </c>
      <c r="J38" s="119"/>
      <c r="K38" s="120">
        <f>SUM(K4:K35)</f>
        <v>0</v>
      </c>
    </row>
    <row r="39" spans="1:11" x14ac:dyDescent="0.25">
      <c r="A39" s="84"/>
      <c r="B39" s="12" t="s">
        <v>111</v>
      </c>
      <c r="D39" s="84"/>
      <c r="E39" s="85">
        <f>SUM(G38)</f>
        <v>88720</v>
      </c>
      <c r="F39" s="3"/>
      <c r="G39" s="86">
        <f>SUM(G4:G36)</f>
        <v>88720</v>
      </c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7097.6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-81622.399999999994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 t="s">
        <v>153</v>
      </c>
      <c r="F42" s="3"/>
      <c r="G42" s="104"/>
      <c r="H42" s="3"/>
      <c r="I42" s="114"/>
      <c r="J42" s="87"/>
      <c r="K42" s="102"/>
    </row>
    <row r="43" spans="1:11" x14ac:dyDescent="0.25">
      <c r="B43" s="12" t="s">
        <v>177</v>
      </c>
      <c r="D43" s="84"/>
      <c r="E43" s="85">
        <v>5100</v>
      </c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 t="e">
        <f>SUM(E39-E40+E42+E43)</f>
        <v>#VALUE!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71272.399999999994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7097.6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13000</v>
      </c>
      <c r="J47" s="91"/>
      <c r="K47" s="103"/>
    </row>
    <row r="48" spans="1:11" x14ac:dyDescent="0.25">
      <c r="A48" s="84"/>
      <c r="B48" s="12" t="s">
        <v>154</v>
      </c>
      <c r="D48" s="84"/>
      <c r="E48" s="90">
        <v>2450</v>
      </c>
      <c r="I48" s="107" t="s">
        <v>174</v>
      </c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22547.599999999999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42" workbookViewId="0">
      <selection sqref="A1:I56"/>
    </sheetView>
  </sheetViews>
  <sheetFormatPr defaultRowHeight="15" x14ac:dyDescent="0.25"/>
  <cols>
    <col min="1" max="1" width="14" customWidth="1"/>
    <col min="2" max="2" width="5.7109375" customWidth="1"/>
    <col min="3" max="3" width="6.7109375" customWidth="1"/>
    <col min="4" max="4" width="5.85546875" customWidth="1"/>
    <col min="5" max="5" width="11.5703125" customWidth="1"/>
    <col min="6" max="6" width="9.28515625" customWidth="1"/>
    <col min="7" max="7" width="10.42578125" customWidth="1"/>
    <col min="8" max="8" width="10" customWidth="1"/>
    <col min="9" max="9" width="9.140625" style="107" customWidth="1"/>
    <col min="10" max="10" width="14.28515625" customWidth="1"/>
    <col min="11" max="11" width="8.7109375" customWidth="1"/>
    <col min="12" max="12" width="14.7109375" customWidth="1"/>
  </cols>
  <sheetData>
    <row r="1" spans="1:14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4" ht="16.5" thickBot="1" x14ac:dyDescent="0.3">
      <c r="A2" s="98" t="s">
        <v>105</v>
      </c>
      <c r="B2" s="98"/>
      <c r="C2" s="98"/>
      <c r="D2" s="98"/>
      <c r="F2" s="98" t="s">
        <v>179</v>
      </c>
      <c r="G2" s="98"/>
      <c r="H2" s="98">
        <v>2015</v>
      </c>
      <c r="I2" s="112"/>
      <c r="J2" s="98"/>
      <c r="K2" s="19"/>
      <c r="L2" s="128" t="s">
        <v>180</v>
      </c>
      <c r="M2" s="128" t="s">
        <v>181</v>
      </c>
      <c r="N2" s="128" t="s">
        <v>182</v>
      </c>
    </row>
    <row r="3" spans="1:14" ht="11.1" customHeight="1" thickTop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  <c r="L3" s="121"/>
      <c r="M3" s="122"/>
      <c r="N3" s="122">
        <v>207120</v>
      </c>
    </row>
    <row r="4" spans="1:14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f>E4+F4+G4</f>
        <v>3550</v>
      </c>
      <c r="I4" s="13">
        <v>3550</v>
      </c>
      <c r="J4" s="10"/>
      <c r="K4" s="101">
        <f>H4-I4</f>
        <v>0</v>
      </c>
      <c r="L4" s="123" t="s">
        <v>183</v>
      </c>
      <c r="M4" s="124">
        <v>2550</v>
      </c>
      <c r="N4" s="124">
        <v>209670</v>
      </c>
    </row>
    <row r="5" spans="1:14" ht="11.1" customHeight="1" x14ac:dyDescent="0.25">
      <c r="A5" s="8" t="s">
        <v>22</v>
      </c>
      <c r="B5" s="9">
        <v>2</v>
      </c>
      <c r="C5" s="10"/>
      <c r="D5" s="10"/>
      <c r="E5" s="11">
        <v>90</v>
      </c>
      <c r="F5" s="11">
        <v>100</v>
      </c>
      <c r="G5" s="11">
        <v>2450</v>
      </c>
      <c r="H5" s="11">
        <f t="shared" ref="H5:H36" si="0">E5+F5+G5</f>
        <v>2640</v>
      </c>
      <c r="I5" s="13">
        <v>2640</v>
      </c>
      <c r="J5" s="10"/>
      <c r="K5" s="101">
        <f t="shared" ref="K5:K37" si="1">H5-I5</f>
        <v>0</v>
      </c>
      <c r="L5" s="123" t="s">
        <v>184</v>
      </c>
      <c r="M5" s="124">
        <v>3250</v>
      </c>
      <c r="N5" s="124">
        <v>212920</v>
      </c>
    </row>
    <row r="6" spans="1:14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f t="shared" si="0"/>
        <v>3750</v>
      </c>
      <c r="I6" s="13">
        <v>3750</v>
      </c>
      <c r="J6" s="10"/>
      <c r="K6" s="101">
        <f t="shared" si="1"/>
        <v>0</v>
      </c>
      <c r="L6" s="123" t="s">
        <v>185</v>
      </c>
      <c r="M6" s="124">
        <v>2640</v>
      </c>
      <c r="N6" s="124">
        <v>215560</v>
      </c>
    </row>
    <row r="7" spans="1:14" ht="11.1" customHeight="1" x14ac:dyDescent="0.25">
      <c r="A7" s="8" t="s">
        <v>44</v>
      </c>
      <c r="B7" s="9">
        <v>4</v>
      </c>
      <c r="C7" s="10"/>
      <c r="D7" s="10"/>
      <c r="E7" s="11">
        <v>800</v>
      </c>
      <c r="F7" s="11">
        <v>100</v>
      </c>
      <c r="G7" s="11">
        <v>3650</v>
      </c>
      <c r="H7" s="11">
        <f t="shared" si="0"/>
        <v>4550</v>
      </c>
      <c r="I7" s="13">
        <v>3750</v>
      </c>
      <c r="J7" s="10"/>
      <c r="K7" s="101">
        <f t="shared" si="1"/>
        <v>800</v>
      </c>
      <c r="L7" s="123" t="s">
        <v>186</v>
      </c>
      <c r="M7" s="124">
        <v>3600</v>
      </c>
      <c r="N7" s="124">
        <v>219160</v>
      </c>
    </row>
    <row r="8" spans="1:14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  <c r="I8" s="13">
        <v>2750</v>
      </c>
      <c r="J8" s="10"/>
      <c r="K8" s="101">
        <f t="shared" si="1"/>
        <v>0</v>
      </c>
      <c r="L8" s="123" t="s">
        <v>187</v>
      </c>
      <c r="M8" s="124"/>
      <c r="N8" s="124">
        <v>219160</v>
      </c>
    </row>
    <row r="9" spans="1:14" ht="11.1" customHeight="1" x14ac:dyDescent="0.25">
      <c r="A9" s="8" t="s">
        <v>178</v>
      </c>
      <c r="B9" s="9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3">
        <v>2750</v>
      </c>
      <c r="J9" s="10"/>
      <c r="K9" s="101">
        <f t="shared" si="1"/>
        <v>0</v>
      </c>
      <c r="L9" s="123" t="s">
        <v>188</v>
      </c>
      <c r="M9" s="124">
        <v>3050</v>
      </c>
      <c r="N9" s="124">
        <v>222210</v>
      </c>
    </row>
    <row r="10" spans="1:14" ht="11.1" customHeight="1" x14ac:dyDescent="0.25">
      <c r="A10" s="8" t="s">
        <v>148</v>
      </c>
      <c r="B10" s="9">
        <v>7</v>
      </c>
      <c r="C10" s="10"/>
      <c r="D10" s="10"/>
      <c r="E10" s="11">
        <v>300</v>
      </c>
      <c r="F10" s="11">
        <v>100</v>
      </c>
      <c r="G10" s="11">
        <v>2450</v>
      </c>
      <c r="H10" s="11">
        <f t="shared" si="0"/>
        <v>2850</v>
      </c>
      <c r="I10" s="13">
        <v>2500</v>
      </c>
      <c r="J10" s="10"/>
      <c r="K10" s="101">
        <f t="shared" si="1"/>
        <v>350</v>
      </c>
      <c r="L10" s="123" t="s">
        <v>189</v>
      </c>
      <c r="M10" s="124">
        <v>3600</v>
      </c>
      <c r="N10" s="124">
        <v>225810</v>
      </c>
    </row>
    <row r="11" spans="1:14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 s="13">
        <v>2450</v>
      </c>
      <c r="J11" s="10"/>
      <c r="K11" s="101">
        <f t="shared" si="1"/>
        <v>100</v>
      </c>
      <c r="L11" s="123" t="s">
        <v>190</v>
      </c>
      <c r="M11" s="124">
        <v>3200</v>
      </c>
      <c r="N11" s="124">
        <v>229010</v>
      </c>
    </row>
    <row r="12" spans="1:14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3">
        <v>2550</v>
      </c>
      <c r="J12" s="10"/>
      <c r="K12" s="101">
        <f t="shared" si="1"/>
        <v>0</v>
      </c>
      <c r="L12" s="123" t="s">
        <v>191</v>
      </c>
      <c r="M12" s="124">
        <v>3700</v>
      </c>
      <c r="N12" s="124">
        <v>232710</v>
      </c>
    </row>
    <row r="13" spans="1:14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3">
        <v>2550</v>
      </c>
      <c r="J13" s="10"/>
      <c r="K13" s="101">
        <f t="shared" si="1"/>
        <v>0</v>
      </c>
      <c r="L13" s="123" t="s">
        <v>192</v>
      </c>
      <c r="M13" s="124">
        <v>2750</v>
      </c>
      <c r="N13" s="124">
        <v>235460</v>
      </c>
    </row>
    <row r="14" spans="1:14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3">
        <v>2550</v>
      </c>
      <c r="J14" s="10"/>
      <c r="K14" s="101">
        <f t="shared" si="1"/>
        <v>0</v>
      </c>
      <c r="L14" s="123" t="s">
        <v>193</v>
      </c>
      <c r="M14" s="124">
        <v>3600</v>
      </c>
      <c r="N14" s="124">
        <v>239060</v>
      </c>
    </row>
    <row r="15" spans="1:14" ht="11.1" customHeight="1" x14ac:dyDescent="0.25">
      <c r="A15" s="8" t="s">
        <v>92</v>
      </c>
      <c r="B15" s="9">
        <v>12</v>
      </c>
      <c r="C15" s="10"/>
      <c r="D15" s="10"/>
      <c r="E15" s="11">
        <v>100</v>
      </c>
      <c r="F15" s="11">
        <v>100</v>
      </c>
      <c r="G15" s="11">
        <v>2450</v>
      </c>
      <c r="H15" s="11">
        <f t="shared" si="0"/>
        <v>2650</v>
      </c>
      <c r="I15" s="13">
        <v>0</v>
      </c>
      <c r="J15" s="10"/>
      <c r="K15" s="101">
        <f t="shared" si="1"/>
        <v>2650</v>
      </c>
      <c r="L15" s="123" t="s">
        <v>194</v>
      </c>
      <c r="M15" s="124">
        <v>2750</v>
      </c>
      <c r="N15" s="124">
        <v>241810</v>
      </c>
    </row>
    <row r="16" spans="1:14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3">
        <v>2550</v>
      </c>
      <c r="J16" s="10"/>
      <c r="K16" s="101">
        <f t="shared" si="1"/>
        <v>0</v>
      </c>
      <c r="L16" s="123" t="s">
        <v>187</v>
      </c>
      <c r="M16" s="124">
        <v>3050</v>
      </c>
      <c r="N16" s="124">
        <v>244860</v>
      </c>
    </row>
    <row r="17" spans="1:14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3">
        <v>2550</v>
      </c>
      <c r="J17" s="10"/>
      <c r="K17" s="101">
        <f t="shared" si="1"/>
        <v>0</v>
      </c>
      <c r="L17" s="123" t="s">
        <v>195</v>
      </c>
      <c r="M17" s="124">
        <v>2550</v>
      </c>
      <c r="N17" s="124">
        <v>247410</v>
      </c>
    </row>
    <row r="18" spans="1:14" ht="11.1" customHeight="1" x14ac:dyDescent="0.25">
      <c r="A18" s="8" t="s">
        <v>51</v>
      </c>
      <c r="B18" s="9">
        <v>15</v>
      </c>
      <c r="C18" s="10"/>
      <c r="D18" s="10"/>
      <c r="E18" s="11">
        <v>350</v>
      </c>
      <c r="F18" s="11">
        <v>100</v>
      </c>
      <c r="G18" s="11">
        <v>2450</v>
      </c>
      <c r="H18" s="11">
        <f t="shared" si="0"/>
        <v>2900</v>
      </c>
      <c r="I18" s="13">
        <v>2600</v>
      </c>
      <c r="J18" s="10"/>
      <c r="K18" s="101">
        <f t="shared" si="1"/>
        <v>300</v>
      </c>
      <c r="L18" s="123" t="s">
        <v>196</v>
      </c>
      <c r="M18" s="124">
        <v>3350</v>
      </c>
      <c r="N18" s="124">
        <v>250760</v>
      </c>
    </row>
    <row r="19" spans="1:14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3">
        <v>2450</v>
      </c>
      <c r="J19" s="10"/>
      <c r="K19" s="101">
        <f t="shared" si="1"/>
        <v>100</v>
      </c>
      <c r="L19" s="123" t="s">
        <v>197</v>
      </c>
      <c r="M19" s="124">
        <v>3700</v>
      </c>
      <c r="N19" s="124">
        <v>254460</v>
      </c>
    </row>
    <row r="20" spans="1:14" ht="11.1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>
        <f t="shared" si="0"/>
        <v>0</v>
      </c>
      <c r="I20" s="13">
        <v>0</v>
      </c>
      <c r="J20" s="10"/>
      <c r="K20" s="101">
        <f t="shared" si="1"/>
        <v>0</v>
      </c>
      <c r="L20" s="123" t="s">
        <v>198</v>
      </c>
      <c r="M20" s="124">
        <v>2450</v>
      </c>
      <c r="N20" s="124">
        <v>256910</v>
      </c>
    </row>
    <row r="21" spans="1:14" ht="11.1" customHeight="1" x14ac:dyDescent="0.25">
      <c r="A21" s="8" t="s">
        <v>212</v>
      </c>
      <c r="B21" s="9">
        <v>18</v>
      </c>
      <c r="C21" s="10"/>
      <c r="D21" s="10"/>
      <c r="E21" s="11">
        <v>2500</v>
      </c>
      <c r="F21" s="11"/>
      <c r="G21" s="11">
        <v>700</v>
      </c>
      <c r="H21" s="11">
        <f t="shared" si="0"/>
        <v>3200</v>
      </c>
      <c r="I21" s="13">
        <v>3200</v>
      </c>
      <c r="J21" s="10"/>
      <c r="K21" s="101">
        <f t="shared" si="1"/>
        <v>0</v>
      </c>
      <c r="L21" s="123" t="s">
        <v>199</v>
      </c>
      <c r="M21" s="124">
        <v>2450</v>
      </c>
      <c r="N21" s="124">
        <v>259360</v>
      </c>
    </row>
    <row r="22" spans="1:14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3">
        <v>2550</v>
      </c>
      <c r="J22" s="10"/>
      <c r="K22" s="101">
        <f t="shared" si="1"/>
        <v>0</v>
      </c>
      <c r="L22" s="123" t="s">
        <v>200</v>
      </c>
      <c r="M22" s="124">
        <v>3700</v>
      </c>
      <c r="N22" s="124">
        <v>263060</v>
      </c>
    </row>
    <row r="23" spans="1:14" ht="11.1" customHeight="1" x14ac:dyDescent="0.25">
      <c r="A23" s="8" t="s">
        <v>10</v>
      </c>
      <c r="B23" s="9">
        <v>20</v>
      </c>
      <c r="C23" s="10"/>
      <c r="D23" s="10"/>
      <c r="E23" s="11"/>
      <c r="F23" s="11"/>
      <c r="G23" s="11"/>
      <c r="H23" s="11">
        <f t="shared" si="0"/>
        <v>0</v>
      </c>
      <c r="I23" s="13">
        <v>0</v>
      </c>
      <c r="J23" s="10"/>
      <c r="K23" s="101">
        <f t="shared" si="1"/>
        <v>0</v>
      </c>
      <c r="L23" s="123" t="s">
        <v>201</v>
      </c>
      <c r="M23" s="124">
        <v>2915</v>
      </c>
      <c r="N23" s="124">
        <v>265975</v>
      </c>
    </row>
    <row r="24" spans="1:14" ht="11.1" customHeight="1" x14ac:dyDescent="0.25">
      <c r="A24" s="8" t="s">
        <v>175</v>
      </c>
      <c r="B24" s="9">
        <v>21</v>
      </c>
      <c r="C24" s="10"/>
      <c r="D24" s="10"/>
      <c r="E24" s="11"/>
      <c r="F24" s="11">
        <v>100</v>
      </c>
      <c r="G24" s="11">
        <v>2450</v>
      </c>
      <c r="H24" s="11">
        <f t="shared" si="0"/>
        <v>2550</v>
      </c>
      <c r="I24" s="13">
        <v>2550</v>
      </c>
      <c r="J24" s="10"/>
      <c r="K24" s="101">
        <f t="shared" si="1"/>
        <v>0</v>
      </c>
      <c r="L24" s="123" t="s">
        <v>202</v>
      </c>
      <c r="M24" s="124">
        <v>2550</v>
      </c>
      <c r="N24" s="124">
        <v>268525</v>
      </c>
    </row>
    <row r="25" spans="1:14" ht="11.1" customHeight="1" x14ac:dyDescent="0.25">
      <c r="A25" s="8" t="s">
        <v>142</v>
      </c>
      <c r="B25" s="9">
        <v>22</v>
      </c>
      <c r="C25" s="10"/>
      <c r="D25" s="10"/>
      <c r="E25" s="11">
        <v>100</v>
      </c>
      <c r="F25" s="11">
        <v>100</v>
      </c>
      <c r="G25" s="11">
        <v>3500</v>
      </c>
      <c r="H25" s="11">
        <f t="shared" si="0"/>
        <v>3700</v>
      </c>
      <c r="I25" s="13">
        <v>3600</v>
      </c>
      <c r="J25" s="10"/>
      <c r="K25" s="101">
        <f t="shared" si="1"/>
        <v>100</v>
      </c>
      <c r="L25" s="123" t="s">
        <v>203</v>
      </c>
      <c r="M25" s="124">
        <v>2550</v>
      </c>
      <c r="N25" s="124">
        <v>271075</v>
      </c>
    </row>
    <row r="26" spans="1:14" ht="11.1" customHeight="1" x14ac:dyDescent="0.25">
      <c r="A26" s="8" t="s">
        <v>162</v>
      </c>
      <c r="B26" s="9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3">
        <v>3600</v>
      </c>
      <c r="J26" s="10"/>
      <c r="K26" s="101">
        <f t="shared" si="1"/>
        <v>0</v>
      </c>
      <c r="L26" s="123" t="s">
        <v>204</v>
      </c>
      <c r="M26" s="124">
        <v>2500</v>
      </c>
      <c r="N26" s="124">
        <v>273575</v>
      </c>
    </row>
    <row r="27" spans="1:14" ht="11.1" customHeight="1" x14ac:dyDescent="0.25">
      <c r="A27" s="8" t="s">
        <v>121</v>
      </c>
      <c r="B27" s="9">
        <v>24</v>
      </c>
      <c r="C27" s="10"/>
      <c r="D27" s="10"/>
      <c r="E27" s="11">
        <v>200</v>
      </c>
      <c r="F27" s="11">
        <v>100</v>
      </c>
      <c r="G27" s="11">
        <v>3500</v>
      </c>
      <c r="H27" s="11">
        <f t="shared" si="0"/>
        <v>3800</v>
      </c>
      <c r="I27" s="13">
        <v>3700</v>
      </c>
      <c r="J27" s="10" t="s">
        <v>173</v>
      </c>
      <c r="K27" s="101">
        <f t="shared" si="1"/>
        <v>100</v>
      </c>
      <c r="L27" s="123" t="s">
        <v>205</v>
      </c>
      <c r="M27" s="124">
        <v>2000</v>
      </c>
      <c r="N27" s="124">
        <v>275575</v>
      </c>
    </row>
    <row r="28" spans="1:14" ht="11.1" customHeight="1" x14ac:dyDescent="0.25">
      <c r="A28" s="8" t="s">
        <v>15</v>
      </c>
      <c r="B28" s="9">
        <v>25</v>
      </c>
      <c r="C28" s="10"/>
      <c r="D28" s="10"/>
      <c r="E28" s="11">
        <v>50</v>
      </c>
      <c r="F28" s="11">
        <v>100</v>
      </c>
      <c r="G28" s="11">
        <v>3150</v>
      </c>
      <c r="H28" s="11">
        <f t="shared" si="0"/>
        <v>3300</v>
      </c>
      <c r="I28" s="13">
        <v>3200</v>
      </c>
      <c r="J28" s="10"/>
      <c r="K28" s="101">
        <f t="shared" si="1"/>
        <v>100</v>
      </c>
      <c r="L28" s="123" t="s">
        <v>206</v>
      </c>
      <c r="M28" s="124">
        <v>2500</v>
      </c>
      <c r="N28" s="124">
        <v>278075</v>
      </c>
    </row>
    <row r="29" spans="1:14" ht="11.1" customHeight="1" x14ac:dyDescent="0.25">
      <c r="A29" s="8" t="s">
        <v>59</v>
      </c>
      <c r="B29" s="80">
        <v>26</v>
      </c>
      <c r="C29" s="10"/>
      <c r="D29" s="10"/>
      <c r="E29" s="97">
        <v>3600</v>
      </c>
      <c r="F29" s="11">
        <v>100</v>
      </c>
      <c r="G29" s="97">
        <v>3150</v>
      </c>
      <c r="H29" s="11">
        <f t="shared" si="0"/>
        <v>6850</v>
      </c>
      <c r="I29" s="117">
        <v>6450</v>
      </c>
      <c r="J29" s="10"/>
      <c r="K29" s="101">
        <f t="shared" si="1"/>
        <v>400</v>
      </c>
      <c r="L29" s="123" t="s">
        <v>200</v>
      </c>
      <c r="M29" s="124">
        <v>3500</v>
      </c>
      <c r="N29" s="124">
        <v>281575</v>
      </c>
    </row>
    <row r="30" spans="1:14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13">
        <v>3250</v>
      </c>
      <c r="J30" s="10"/>
      <c r="K30" s="101">
        <f t="shared" si="1"/>
        <v>0</v>
      </c>
      <c r="L30" s="123" t="s">
        <v>207</v>
      </c>
      <c r="M30" s="124">
        <v>2600</v>
      </c>
      <c r="N30" s="124">
        <v>284175</v>
      </c>
    </row>
    <row r="31" spans="1:14" ht="11.1" customHeight="1" x14ac:dyDescent="0.25">
      <c r="A31" s="8" t="s">
        <v>149</v>
      </c>
      <c r="B31" s="9">
        <v>28</v>
      </c>
      <c r="C31" s="10"/>
      <c r="D31" s="10"/>
      <c r="E31" s="11">
        <v>350</v>
      </c>
      <c r="F31" s="11">
        <v>100</v>
      </c>
      <c r="G31" s="11">
        <v>2950</v>
      </c>
      <c r="H31" s="11">
        <f t="shared" si="0"/>
        <v>3400</v>
      </c>
      <c r="I31" s="13">
        <v>2900</v>
      </c>
      <c r="J31" s="10"/>
      <c r="K31" s="101">
        <f t="shared" si="1"/>
        <v>500</v>
      </c>
      <c r="L31" s="123" t="s">
        <v>208</v>
      </c>
      <c r="M31" s="124">
        <v>3200</v>
      </c>
      <c r="N31" s="124">
        <v>287375</v>
      </c>
    </row>
    <row r="32" spans="1:14" ht="11.1" customHeight="1" x14ac:dyDescent="0.25">
      <c r="A32" s="32" t="s">
        <v>213</v>
      </c>
      <c r="B32" s="9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13">
        <v>3050</v>
      </c>
      <c r="J32" s="10"/>
      <c r="K32" s="101">
        <f t="shared" si="1"/>
        <v>50</v>
      </c>
      <c r="L32" s="123" t="s">
        <v>209</v>
      </c>
      <c r="M32" s="124">
        <v>2550</v>
      </c>
      <c r="N32" s="124">
        <v>289925</v>
      </c>
    </row>
    <row r="33" spans="1:14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3">
        <v>3050</v>
      </c>
      <c r="J33" s="10"/>
      <c r="K33" s="101">
        <f t="shared" si="1"/>
        <v>0</v>
      </c>
      <c r="L33" s="123" t="s">
        <v>210</v>
      </c>
      <c r="M33" s="124">
        <v>3550</v>
      </c>
      <c r="N33" s="124">
        <v>293475</v>
      </c>
    </row>
    <row r="34" spans="1:14" ht="11.1" customHeight="1" x14ac:dyDescent="0.25">
      <c r="A34" s="8" t="s">
        <v>7</v>
      </c>
      <c r="B34" s="9">
        <v>31</v>
      </c>
      <c r="C34" s="10"/>
      <c r="D34" s="10"/>
      <c r="E34" s="81">
        <v>100</v>
      </c>
      <c r="F34" s="11">
        <v>100</v>
      </c>
      <c r="G34" s="11">
        <v>3500</v>
      </c>
      <c r="H34" s="11">
        <f t="shared" si="0"/>
        <v>3700</v>
      </c>
      <c r="I34" s="117">
        <v>3700</v>
      </c>
      <c r="J34" s="10"/>
      <c r="K34" s="101">
        <f t="shared" si="1"/>
        <v>0</v>
      </c>
      <c r="L34" s="123" t="s">
        <v>211</v>
      </c>
      <c r="M34" s="124">
        <v>3750</v>
      </c>
      <c r="N34" s="124">
        <v>297225</v>
      </c>
    </row>
    <row r="35" spans="1:14" ht="11.1" customHeight="1" x14ac:dyDescent="0.25">
      <c r="A35" s="8" t="s">
        <v>163</v>
      </c>
      <c r="B35" s="8">
        <v>32</v>
      </c>
      <c r="C35" s="10"/>
      <c r="D35" s="10"/>
      <c r="E35" s="110">
        <v>100</v>
      </c>
      <c r="F35" s="11">
        <v>100</v>
      </c>
      <c r="G35" s="110">
        <v>3500</v>
      </c>
      <c r="H35" s="11">
        <f t="shared" si="0"/>
        <v>3700</v>
      </c>
      <c r="I35" s="117">
        <v>3700</v>
      </c>
      <c r="J35" s="10"/>
      <c r="K35" s="101">
        <f t="shared" si="1"/>
        <v>0</v>
      </c>
      <c r="L35" s="123" t="s">
        <v>206</v>
      </c>
      <c r="M35" s="124">
        <v>700</v>
      </c>
      <c r="N35" s="124">
        <v>297925</v>
      </c>
    </row>
    <row r="36" spans="1:14" ht="11.1" customHeight="1" thickBot="1" x14ac:dyDescent="0.3">
      <c r="A36" s="8" t="s">
        <v>172</v>
      </c>
      <c r="B36" s="8">
        <v>33</v>
      </c>
      <c r="C36" s="10"/>
      <c r="D36" s="10"/>
      <c r="E36" s="110">
        <v>2760</v>
      </c>
      <c r="F36" s="11">
        <v>100</v>
      </c>
      <c r="G36" s="110">
        <v>3500</v>
      </c>
      <c r="H36" s="11">
        <f t="shared" si="0"/>
        <v>6360</v>
      </c>
      <c r="I36" s="117">
        <v>3600</v>
      </c>
      <c r="J36" s="10"/>
      <c r="K36" s="101">
        <f t="shared" si="1"/>
        <v>2760</v>
      </c>
      <c r="L36" s="123" t="s">
        <v>205</v>
      </c>
      <c r="M36" s="125">
        <v>750</v>
      </c>
      <c r="N36" s="125">
        <v>298675</v>
      </c>
    </row>
    <row r="37" spans="1:14" ht="11.1" customHeight="1" thickBot="1" x14ac:dyDescent="0.3">
      <c r="A37" s="8"/>
      <c r="B37" s="8"/>
      <c r="C37" s="10"/>
      <c r="D37" s="10"/>
      <c r="E37" s="110"/>
      <c r="F37" s="11"/>
      <c r="G37" s="110"/>
      <c r="H37" s="97"/>
      <c r="I37" s="117">
        <v>0</v>
      </c>
      <c r="J37" s="10"/>
      <c r="K37" s="101">
        <f t="shared" si="1"/>
        <v>0</v>
      </c>
      <c r="L37" s="123"/>
      <c r="M37" s="126">
        <v>91555</v>
      </c>
      <c r="N37" s="126">
        <v>298675</v>
      </c>
    </row>
    <row r="38" spans="1:14" s="31" customFormat="1" ht="12" customHeight="1" thickBot="1" x14ac:dyDescent="0.25">
      <c r="A38" s="119"/>
      <c r="B38" s="119"/>
      <c r="C38" s="119"/>
      <c r="D38" s="119"/>
      <c r="E38" s="119">
        <f>SUM(E4:E36)</f>
        <v>11400</v>
      </c>
      <c r="F38" s="119">
        <f>SUM(F4:F36)</f>
        <v>3000</v>
      </c>
      <c r="G38" s="119">
        <f>SUM(G4:G36)</f>
        <v>87950</v>
      </c>
      <c r="H38" s="119">
        <f>SUM(H4:H37)</f>
        <v>102350</v>
      </c>
      <c r="I38" s="119">
        <f>SUM(I4:I37)</f>
        <v>94040</v>
      </c>
      <c r="J38" s="119"/>
      <c r="K38" s="120">
        <f>SUM(K4:K35)</f>
        <v>5550</v>
      </c>
      <c r="L38" s="121"/>
      <c r="M38" s="127">
        <v>91555</v>
      </c>
      <c r="N38" s="127">
        <v>298675</v>
      </c>
    </row>
    <row r="39" spans="1:14" ht="15.75" thickTop="1" x14ac:dyDescent="0.25">
      <c r="A39" s="84"/>
      <c r="B39" s="12" t="s">
        <v>111</v>
      </c>
      <c r="D39" s="84"/>
      <c r="E39" s="85">
        <f>SUM(G38)</f>
        <v>87950</v>
      </c>
      <c r="F39" s="3"/>
      <c r="G39" s="86">
        <f>SUM(G4:G36)</f>
        <v>87950</v>
      </c>
      <c r="H39" s="3"/>
      <c r="I39" s="113"/>
      <c r="J39" s="87"/>
      <c r="K39" s="102"/>
    </row>
    <row r="40" spans="1:14" x14ac:dyDescent="0.25">
      <c r="A40" s="84"/>
      <c r="B40" s="12" t="s">
        <v>126</v>
      </c>
      <c r="D40" s="84"/>
      <c r="E40" s="85">
        <f>SUM(E39*8%)</f>
        <v>7036</v>
      </c>
      <c r="F40" s="3"/>
      <c r="G40" s="104"/>
      <c r="H40" s="3"/>
      <c r="I40" s="113"/>
      <c r="J40" s="87"/>
      <c r="K40" s="102"/>
    </row>
    <row r="41" spans="1:14" x14ac:dyDescent="0.25">
      <c r="A41" s="84"/>
      <c r="B41" s="12" t="s">
        <v>177</v>
      </c>
      <c r="D41" s="84"/>
      <c r="E41" s="85">
        <v>2500</v>
      </c>
      <c r="F41" s="3"/>
      <c r="G41" s="104" t="s">
        <v>153</v>
      </c>
      <c r="H41" s="3"/>
      <c r="I41" s="114"/>
      <c r="J41" s="87"/>
      <c r="K41" s="102"/>
    </row>
    <row r="42" spans="1:14" s="129" customFormat="1" x14ac:dyDescent="0.25">
      <c r="A42" s="84"/>
      <c r="B42" s="12" t="s">
        <v>145</v>
      </c>
      <c r="C42"/>
      <c r="D42" s="84"/>
      <c r="E42" s="88">
        <f>E39+E41-E40</f>
        <v>83414</v>
      </c>
      <c r="F42" s="3"/>
      <c r="G42" s="104"/>
      <c r="H42" s="3"/>
      <c r="I42" s="114"/>
      <c r="J42" s="87"/>
      <c r="K42" s="102"/>
    </row>
    <row r="43" spans="1:14" x14ac:dyDescent="0.25">
      <c r="A43" s="84"/>
      <c r="F43" s="3"/>
      <c r="G43" s="104"/>
      <c r="H43" s="3"/>
      <c r="I43" s="114"/>
      <c r="J43" s="87"/>
      <c r="K43" s="102"/>
    </row>
    <row r="44" spans="1:14" x14ac:dyDescent="0.25">
      <c r="B44" s="12" t="s">
        <v>164</v>
      </c>
      <c r="F44" s="3"/>
      <c r="G44" s="3"/>
      <c r="H44" s="3"/>
      <c r="J44" s="87"/>
      <c r="K44" s="102"/>
    </row>
    <row r="45" spans="1:14" x14ac:dyDescent="0.25">
      <c r="B45" s="12" t="s">
        <v>165</v>
      </c>
      <c r="D45" s="84"/>
      <c r="E45" s="88">
        <f>E42+E44-E43</f>
        <v>83414</v>
      </c>
      <c r="F45" s="109"/>
      <c r="G45" s="3"/>
      <c r="H45" s="3"/>
      <c r="I45" s="113"/>
      <c r="J45" s="87"/>
      <c r="K45" s="102"/>
    </row>
    <row r="46" spans="1:14" ht="15.75" x14ac:dyDescent="0.25">
      <c r="A46" s="84"/>
      <c r="B46" s="89" t="s">
        <v>26</v>
      </c>
      <c r="D46" s="84"/>
      <c r="E46" s="19"/>
      <c r="G46" s="92" t="s">
        <v>151</v>
      </c>
      <c r="J46" s="93"/>
      <c r="K46" s="102"/>
    </row>
    <row r="47" spans="1:14" x14ac:dyDescent="0.25">
      <c r="A47" s="84"/>
      <c r="B47" s="12" t="s">
        <v>79</v>
      </c>
      <c r="D47" s="134">
        <v>0.08</v>
      </c>
      <c r="E47" s="90">
        <f>E39*D47</f>
        <v>7036</v>
      </c>
      <c r="I47" s="115" t="s">
        <v>144</v>
      </c>
      <c r="J47" s="91"/>
      <c r="K47" s="103"/>
    </row>
    <row r="48" spans="1:14" x14ac:dyDescent="0.25">
      <c r="A48" s="84"/>
      <c r="B48" s="12" t="s">
        <v>154</v>
      </c>
      <c r="D48" s="84"/>
      <c r="E48" s="90">
        <v>3400</v>
      </c>
      <c r="J48" s="91"/>
      <c r="K48" s="103"/>
    </row>
    <row r="49" spans="1:11" x14ac:dyDescent="0.25">
      <c r="A49" s="84"/>
      <c r="B49" s="12" t="s">
        <v>131</v>
      </c>
      <c r="D49" s="84"/>
      <c r="E49" s="90">
        <v>3145</v>
      </c>
      <c r="I49" s="107" t="s">
        <v>174</v>
      </c>
      <c r="J49" s="91"/>
      <c r="K49" s="103"/>
    </row>
    <row r="50" spans="1:11" x14ac:dyDescent="0.25">
      <c r="A50" s="84" t="s">
        <v>214</v>
      </c>
      <c r="B50" s="12" t="s">
        <v>215</v>
      </c>
      <c r="D50" s="84"/>
      <c r="E50" s="90">
        <v>79000</v>
      </c>
      <c r="J50" s="91"/>
      <c r="K50" s="103"/>
    </row>
    <row r="51" spans="1:11" ht="16.5" x14ac:dyDescent="0.35">
      <c r="A51" s="84"/>
      <c r="B51" s="23" t="s">
        <v>135</v>
      </c>
      <c r="D51" s="84"/>
      <c r="E51" s="108">
        <f>SUM(E47:E50)</f>
        <v>92581</v>
      </c>
      <c r="J51" s="84"/>
      <c r="K51" s="25"/>
    </row>
    <row r="52" spans="1:11" x14ac:dyDescent="0.25">
      <c r="A52" s="84"/>
      <c r="D52" s="84"/>
      <c r="E52" s="20">
        <f>MARCH!E39-MARCH!E51</f>
        <v>-4631</v>
      </c>
      <c r="J52" s="84"/>
      <c r="K52" s="25"/>
    </row>
    <row r="53" spans="1:11" x14ac:dyDescent="0.25">
      <c r="B53" s="29"/>
      <c r="C53" s="92" t="s">
        <v>112</v>
      </c>
      <c r="D53" s="92"/>
      <c r="E53" s="12" t="s">
        <v>113</v>
      </c>
      <c r="F53" s="12"/>
      <c r="G53" s="12"/>
      <c r="H53" s="12" t="s">
        <v>114</v>
      </c>
      <c r="I53" s="116"/>
      <c r="K53" s="25"/>
    </row>
    <row r="54" spans="1:11" x14ac:dyDescent="0.25">
      <c r="B54" s="29"/>
      <c r="C54" s="12"/>
      <c r="D54" s="12"/>
      <c r="E54" s="12"/>
      <c r="F54" s="12"/>
      <c r="G54" s="12"/>
      <c r="H54" s="12"/>
      <c r="I54" s="116"/>
      <c r="K54" s="25"/>
    </row>
    <row r="55" spans="1:11" x14ac:dyDescent="0.25">
      <c r="B55" s="29"/>
      <c r="C55" s="12" t="s">
        <v>115</v>
      </c>
      <c r="D55" s="12"/>
      <c r="E55" s="12" t="s">
        <v>116</v>
      </c>
      <c r="F55" s="12"/>
      <c r="G55" s="12"/>
      <c r="H55" s="12" t="s">
        <v>124</v>
      </c>
      <c r="I55" s="116"/>
      <c r="K55" s="25"/>
    </row>
    <row r="56" spans="1:11" x14ac:dyDescent="0.25">
      <c r="B56" s="96" t="s">
        <v>40</v>
      </c>
      <c r="C56" s="12" t="s">
        <v>117</v>
      </c>
      <c r="D56" s="12"/>
      <c r="E56" s="12" t="s">
        <v>117</v>
      </c>
      <c r="F56" s="12"/>
      <c r="G56" s="12"/>
      <c r="H56" s="12" t="s">
        <v>118</v>
      </c>
      <c r="I56" s="116"/>
      <c r="K56" s="25"/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37" workbookViewId="0">
      <selection activeCell="J52" sqref="A1:J52"/>
    </sheetView>
  </sheetViews>
  <sheetFormatPr defaultRowHeight="15" x14ac:dyDescent="0.25"/>
  <cols>
    <col min="1" max="1" width="17" customWidth="1"/>
    <col min="3" max="3" width="5.28515625" customWidth="1"/>
    <col min="4" max="4" width="3" customWidth="1"/>
    <col min="5" max="5" width="8.5703125" customWidth="1"/>
    <col min="6" max="6" width="6.85546875" customWidth="1"/>
    <col min="7" max="7" width="12.28515625" customWidth="1"/>
    <col min="10" max="10" width="9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E2" s="129"/>
      <c r="F2" s="98" t="s">
        <v>218</v>
      </c>
      <c r="G2" s="98"/>
      <c r="H2" s="98">
        <v>2015</v>
      </c>
      <c r="I2" s="112"/>
      <c r="J2" s="98"/>
      <c r="K2" s="1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/>
      <c r="H3" s="83" t="s">
        <v>19</v>
      </c>
      <c r="I3" s="82" t="s">
        <v>84</v>
      </c>
      <c r="J3" s="83" t="s">
        <v>20</v>
      </c>
      <c r="K3" s="100" t="s">
        <v>21</v>
      </c>
    </row>
    <row r="4" spans="1:11" x14ac:dyDescent="0.25">
      <c r="A4" s="8" t="s">
        <v>89</v>
      </c>
      <c r="B4" s="131">
        <v>1</v>
      </c>
      <c r="C4" s="10"/>
      <c r="D4" s="10"/>
      <c r="E4" s="11"/>
      <c r="F4" s="11">
        <v>100</v>
      </c>
      <c r="G4" s="11">
        <v>3450</v>
      </c>
      <c r="H4" s="11">
        <f>E4+F4+G4</f>
        <v>3550</v>
      </c>
      <c r="I4" s="13">
        <v>3550</v>
      </c>
      <c r="J4" s="10"/>
      <c r="K4" s="101">
        <f>H4-I4</f>
        <v>0</v>
      </c>
    </row>
    <row r="5" spans="1:11" x14ac:dyDescent="0.25">
      <c r="A5" s="8" t="s">
        <v>22</v>
      </c>
      <c r="B5" s="131">
        <v>2</v>
      </c>
      <c r="C5" s="10"/>
      <c r="D5" s="10"/>
      <c r="E5" s="11">
        <v>90</v>
      </c>
      <c r="F5" s="11">
        <v>100</v>
      </c>
      <c r="G5" s="11">
        <v>2450</v>
      </c>
      <c r="H5" s="11">
        <f t="shared" ref="H5:H36" si="0">E5+F5+G5</f>
        <v>2640</v>
      </c>
      <c r="I5" s="13">
        <v>2640</v>
      </c>
      <c r="J5" s="10"/>
      <c r="K5" s="101">
        <f t="shared" ref="K5:K37" si="1">H5-I5</f>
        <v>0</v>
      </c>
    </row>
    <row r="6" spans="1:11" x14ac:dyDescent="0.25">
      <c r="A6" s="8" t="s">
        <v>6</v>
      </c>
      <c r="B6" s="131">
        <v>3</v>
      </c>
      <c r="C6" s="10"/>
      <c r="D6" s="10"/>
      <c r="E6" s="11"/>
      <c r="F6" s="11">
        <v>100</v>
      </c>
      <c r="G6" s="11">
        <v>3650</v>
      </c>
      <c r="H6" s="11">
        <f t="shared" si="0"/>
        <v>3750</v>
      </c>
      <c r="I6" s="13">
        <v>3750</v>
      </c>
      <c r="J6" s="10"/>
      <c r="K6" s="101">
        <f t="shared" si="1"/>
        <v>0</v>
      </c>
    </row>
    <row r="7" spans="1:11" x14ac:dyDescent="0.25">
      <c r="A7" s="8" t="s">
        <v>44</v>
      </c>
      <c r="B7" s="131">
        <v>4</v>
      </c>
      <c r="C7" s="10"/>
      <c r="D7" s="10"/>
      <c r="E7" s="11">
        <v>800</v>
      </c>
      <c r="F7" s="11">
        <v>100</v>
      </c>
      <c r="G7" s="11">
        <v>3650</v>
      </c>
      <c r="H7" s="11">
        <f t="shared" si="0"/>
        <v>4550</v>
      </c>
      <c r="I7" s="13">
        <v>3750</v>
      </c>
      <c r="J7" s="10"/>
      <c r="K7" s="101">
        <f t="shared" si="1"/>
        <v>800</v>
      </c>
    </row>
    <row r="8" spans="1:11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  <c r="I8" s="13">
        <v>2750</v>
      </c>
      <c r="J8" s="10"/>
      <c r="K8" s="101">
        <f t="shared" si="1"/>
        <v>0</v>
      </c>
    </row>
    <row r="9" spans="1:11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3">
        <v>2750</v>
      </c>
      <c r="J9" s="10"/>
      <c r="K9" s="101">
        <f t="shared" si="1"/>
        <v>0</v>
      </c>
    </row>
    <row r="10" spans="1:11" x14ac:dyDescent="0.25">
      <c r="A10" s="8" t="s">
        <v>148</v>
      </c>
      <c r="B10" s="131">
        <v>7</v>
      </c>
      <c r="C10" s="10"/>
      <c r="D10" s="10"/>
      <c r="E10" s="11">
        <v>300</v>
      </c>
      <c r="F10" s="11">
        <v>100</v>
      </c>
      <c r="G10" s="11">
        <v>2450</v>
      </c>
      <c r="H10" s="11">
        <f t="shared" si="0"/>
        <v>2850</v>
      </c>
      <c r="I10" s="13">
        <v>2500</v>
      </c>
      <c r="J10" s="10"/>
      <c r="K10" s="101">
        <f t="shared" si="1"/>
        <v>350</v>
      </c>
    </row>
    <row r="11" spans="1:11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 s="13">
        <v>2450</v>
      </c>
      <c r="J11" s="10"/>
      <c r="K11" s="101">
        <f t="shared" si="1"/>
        <v>100</v>
      </c>
    </row>
    <row r="12" spans="1:11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3">
        <v>2550</v>
      </c>
      <c r="J12" s="10"/>
      <c r="K12" s="101">
        <f t="shared" si="1"/>
        <v>0</v>
      </c>
    </row>
    <row r="13" spans="1:11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3">
        <v>2550</v>
      </c>
      <c r="J13" s="10"/>
      <c r="K13" s="101">
        <f t="shared" si="1"/>
        <v>0</v>
      </c>
    </row>
    <row r="14" spans="1:11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3">
        <v>2550</v>
      </c>
      <c r="J14" s="10"/>
      <c r="K14" s="101">
        <f t="shared" si="1"/>
        <v>0</v>
      </c>
    </row>
    <row r="15" spans="1:11" x14ac:dyDescent="0.25">
      <c r="A15" s="8" t="s">
        <v>92</v>
      </c>
      <c r="B15" s="131">
        <v>12</v>
      </c>
      <c r="C15" s="10"/>
      <c r="D15" s="10"/>
      <c r="E15" s="11">
        <v>100</v>
      </c>
      <c r="F15" s="11">
        <v>100</v>
      </c>
      <c r="G15" s="11">
        <v>2450</v>
      </c>
      <c r="H15" s="11">
        <f t="shared" si="0"/>
        <v>2650</v>
      </c>
      <c r="I15" s="13">
        <v>0</v>
      </c>
      <c r="J15" s="10"/>
      <c r="K15" s="101">
        <f t="shared" si="1"/>
        <v>2650</v>
      </c>
    </row>
    <row r="16" spans="1:11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3">
        <v>2550</v>
      </c>
      <c r="J16" s="10"/>
      <c r="K16" s="101">
        <f t="shared" si="1"/>
        <v>0</v>
      </c>
    </row>
    <row r="17" spans="1:11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3">
        <v>2550</v>
      </c>
      <c r="J17" s="10"/>
      <c r="K17" s="101">
        <f t="shared" si="1"/>
        <v>0</v>
      </c>
    </row>
    <row r="18" spans="1:11" x14ac:dyDescent="0.25">
      <c r="A18" s="8" t="s">
        <v>51</v>
      </c>
      <c r="B18" s="131">
        <v>15</v>
      </c>
      <c r="C18" s="10"/>
      <c r="D18" s="10"/>
      <c r="E18" s="11">
        <v>350</v>
      </c>
      <c r="F18" s="11">
        <v>100</v>
      </c>
      <c r="G18" s="11">
        <v>2450</v>
      </c>
      <c r="H18" s="11">
        <f t="shared" si="0"/>
        <v>2900</v>
      </c>
      <c r="I18" s="13">
        <v>2600</v>
      </c>
      <c r="J18" s="10"/>
      <c r="K18" s="101">
        <f t="shared" si="1"/>
        <v>300</v>
      </c>
    </row>
    <row r="19" spans="1:11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3">
        <v>2450</v>
      </c>
      <c r="J19" s="10"/>
      <c r="K19" s="101">
        <f t="shared" si="1"/>
        <v>100</v>
      </c>
    </row>
    <row r="20" spans="1:11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  <c r="I20" s="13">
        <v>0</v>
      </c>
      <c r="J20" s="10"/>
      <c r="K20" s="101">
        <f t="shared" si="1"/>
        <v>0</v>
      </c>
    </row>
    <row r="21" spans="1:11" x14ac:dyDescent="0.25">
      <c r="A21" s="8" t="s">
        <v>212</v>
      </c>
      <c r="B21" s="131">
        <v>18</v>
      </c>
      <c r="C21" s="10"/>
      <c r="D21" s="10"/>
      <c r="E21" s="11">
        <v>2500</v>
      </c>
      <c r="F21" s="11">
        <v>100</v>
      </c>
      <c r="G21" s="11">
        <v>700</v>
      </c>
      <c r="H21" s="11">
        <f t="shared" si="0"/>
        <v>3300</v>
      </c>
      <c r="I21" s="13">
        <v>3200</v>
      </c>
      <c r="J21" s="10"/>
      <c r="K21" s="101">
        <f t="shared" si="1"/>
        <v>100</v>
      </c>
    </row>
    <row r="22" spans="1:11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3">
        <v>2550</v>
      </c>
      <c r="J22" s="10"/>
      <c r="K22" s="101">
        <f t="shared" si="1"/>
        <v>0</v>
      </c>
    </row>
    <row r="23" spans="1:11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  <c r="I23" s="13">
        <v>0</v>
      </c>
      <c r="J23" s="10"/>
      <c r="K23" s="101">
        <f t="shared" si="1"/>
        <v>0</v>
      </c>
    </row>
    <row r="24" spans="1:11" x14ac:dyDescent="0.25">
      <c r="A24" s="8" t="s">
        <v>175</v>
      </c>
      <c r="B24" s="131">
        <v>21</v>
      </c>
      <c r="C24" s="10"/>
      <c r="D24" s="10"/>
      <c r="E24" s="11"/>
      <c r="F24" s="11">
        <v>100</v>
      </c>
      <c r="G24" s="11">
        <v>2450</v>
      </c>
      <c r="H24" s="11">
        <f t="shared" si="0"/>
        <v>2550</v>
      </c>
      <c r="I24" s="13">
        <v>2550</v>
      </c>
      <c r="J24" s="10"/>
      <c r="K24" s="101">
        <f t="shared" si="1"/>
        <v>0</v>
      </c>
    </row>
    <row r="25" spans="1:11" x14ac:dyDescent="0.25">
      <c r="A25" s="8" t="s">
        <v>142</v>
      </c>
      <c r="B25" s="131">
        <v>22</v>
      </c>
      <c r="C25" s="10"/>
      <c r="D25" s="10"/>
      <c r="E25" s="11">
        <v>100</v>
      </c>
      <c r="F25" s="11">
        <v>100</v>
      </c>
      <c r="G25" s="11">
        <v>3500</v>
      </c>
      <c r="H25" s="11">
        <f t="shared" si="0"/>
        <v>3700</v>
      </c>
      <c r="I25" s="13">
        <v>3600</v>
      </c>
      <c r="J25" s="10"/>
      <c r="K25" s="101">
        <f t="shared" si="1"/>
        <v>100</v>
      </c>
    </row>
    <row r="26" spans="1:11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3">
        <v>3600</v>
      </c>
      <c r="J26" s="10"/>
      <c r="K26" s="101">
        <f t="shared" si="1"/>
        <v>0</v>
      </c>
    </row>
    <row r="27" spans="1:11" x14ac:dyDescent="0.25">
      <c r="A27" s="8" t="s">
        <v>121</v>
      </c>
      <c r="B27" s="131">
        <v>24</v>
      </c>
      <c r="C27" s="10"/>
      <c r="D27" s="10"/>
      <c r="E27" s="11">
        <v>200</v>
      </c>
      <c r="F27" s="11">
        <v>100</v>
      </c>
      <c r="G27" s="11">
        <v>3500</v>
      </c>
      <c r="H27" s="11">
        <f t="shared" si="0"/>
        <v>3800</v>
      </c>
      <c r="I27" s="13">
        <v>3700</v>
      </c>
      <c r="J27" s="10" t="s">
        <v>173</v>
      </c>
      <c r="K27" s="101">
        <f t="shared" si="1"/>
        <v>100</v>
      </c>
    </row>
    <row r="28" spans="1:11" x14ac:dyDescent="0.25">
      <c r="A28" s="8" t="s">
        <v>15</v>
      </c>
      <c r="B28" s="131">
        <v>25</v>
      </c>
      <c r="C28" s="10"/>
      <c r="D28" s="10"/>
      <c r="E28" s="11">
        <v>50</v>
      </c>
      <c r="F28" s="11">
        <v>100</v>
      </c>
      <c r="G28" s="11">
        <v>3150</v>
      </c>
      <c r="H28" s="11">
        <f t="shared" si="0"/>
        <v>3300</v>
      </c>
      <c r="I28" s="13">
        <v>3200</v>
      </c>
      <c r="J28" s="10"/>
      <c r="K28" s="101">
        <f t="shared" si="1"/>
        <v>100</v>
      </c>
    </row>
    <row r="29" spans="1:11" x14ac:dyDescent="0.25">
      <c r="A29" s="8" t="s">
        <v>59</v>
      </c>
      <c r="B29" s="132">
        <v>26</v>
      </c>
      <c r="C29" s="10"/>
      <c r="D29" s="10"/>
      <c r="E29" s="97">
        <v>3600</v>
      </c>
      <c r="F29" s="11">
        <v>100</v>
      </c>
      <c r="G29" s="97">
        <v>3150</v>
      </c>
      <c r="H29" s="11">
        <f t="shared" si="0"/>
        <v>6850</v>
      </c>
      <c r="I29" s="117">
        <v>6450</v>
      </c>
      <c r="J29" s="10"/>
      <c r="K29" s="101">
        <f t="shared" si="1"/>
        <v>400</v>
      </c>
    </row>
    <row r="30" spans="1:11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13">
        <v>3250</v>
      </c>
      <c r="J30" s="10"/>
      <c r="K30" s="101">
        <f t="shared" si="1"/>
        <v>0</v>
      </c>
    </row>
    <row r="31" spans="1:11" x14ac:dyDescent="0.25">
      <c r="A31" s="8" t="s">
        <v>149</v>
      </c>
      <c r="B31" s="131">
        <v>28</v>
      </c>
      <c r="C31" s="10"/>
      <c r="D31" s="10"/>
      <c r="E31" s="11">
        <v>350</v>
      </c>
      <c r="F31" s="11">
        <v>100</v>
      </c>
      <c r="G31" s="11">
        <v>2950</v>
      </c>
      <c r="H31" s="11">
        <f t="shared" si="0"/>
        <v>3400</v>
      </c>
      <c r="I31" s="13">
        <v>2900</v>
      </c>
      <c r="J31" s="10"/>
      <c r="K31" s="101">
        <f t="shared" si="1"/>
        <v>500</v>
      </c>
    </row>
    <row r="32" spans="1:11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13">
        <v>3050</v>
      </c>
      <c r="J32" s="10"/>
      <c r="K32" s="101">
        <f t="shared" si="1"/>
        <v>50</v>
      </c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3">
        <v>3050</v>
      </c>
      <c r="J33" s="10"/>
      <c r="K33" s="101">
        <f t="shared" si="1"/>
        <v>0</v>
      </c>
    </row>
    <row r="34" spans="1:11" x14ac:dyDescent="0.25">
      <c r="A34" s="8" t="s">
        <v>7</v>
      </c>
      <c r="B34" s="131">
        <v>31</v>
      </c>
      <c r="C34" s="10"/>
      <c r="D34" s="10"/>
      <c r="E34" s="81">
        <v>100</v>
      </c>
      <c r="F34" s="11">
        <v>100</v>
      </c>
      <c r="G34" s="11">
        <v>3500</v>
      </c>
      <c r="H34" s="11">
        <f t="shared" si="0"/>
        <v>3700</v>
      </c>
      <c r="I34" s="117">
        <v>3700</v>
      </c>
      <c r="J34" s="10"/>
      <c r="K34" s="101">
        <f t="shared" si="1"/>
        <v>0</v>
      </c>
    </row>
    <row r="35" spans="1:11" x14ac:dyDescent="0.25">
      <c r="A35" s="8" t="s">
        <v>163</v>
      </c>
      <c r="B35" s="133">
        <v>32</v>
      </c>
      <c r="C35" s="10"/>
      <c r="D35" s="10"/>
      <c r="E35" s="110">
        <v>100</v>
      </c>
      <c r="F35" s="11">
        <v>100</v>
      </c>
      <c r="G35" s="110">
        <v>3500</v>
      </c>
      <c r="H35" s="11">
        <f t="shared" si="0"/>
        <v>3700</v>
      </c>
      <c r="I35" s="117">
        <v>3700</v>
      </c>
      <c r="J35" s="10"/>
      <c r="K35" s="101">
        <f t="shared" si="1"/>
        <v>0</v>
      </c>
    </row>
    <row r="36" spans="1:11" x14ac:dyDescent="0.25">
      <c r="A36" s="8" t="s">
        <v>172</v>
      </c>
      <c r="B36" s="133">
        <v>33</v>
      </c>
      <c r="C36" s="10"/>
      <c r="D36" s="10"/>
      <c r="E36" s="110">
        <v>2760</v>
      </c>
      <c r="F36" s="11">
        <v>100</v>
      </c>
      <c r="G36" s="110">
        <v>3500</v>
      </c>
      <c r="H36" s="11">
        <f t="shared" si="0"/>
        <v>6360</v>
      </c>
      <c r="I36" s="117">
        <v>3600</v>
      </c>
      <c r="J36" s="10"/>
      <c r="K36" s="101">
        <f t="shared" si="1"/>
        <v>2760</v>
      </c>
    </row>
    <row r="37" spans="1:11" x14ac:dyDescent="0.25">
      <c r="A37" s="8"/>
      <c r="B37" s="8"/>
      <c r="C37" s="10"/>
      <c r="D37" s="10"/>
      <c r="E37" s="110"/>
      <c r="F37" s="11"/>
      <c r="G37" s="110"/>
      <c r="H37" s="97"/>
      <c r="I37" s="117">
        <v>0</v>
      </c>
      <c r="J37" s="10"/>
      <c r="K37" s="101">
        <f t="shared" si="1"/>
        <v>0</v>
      </c>
    </row>
    <row r="38" spans="1:11" x14ac:dyDescent="0.25">
      <c r="A38" s="119"/>
      <c r="B38" s="119"/>
      <c r="C38" s="119"/>
      <c r="D38" s="119"/>
      <c r="E38" s="119">
        <f>SUM(E4:E36)</f>
        <v>11400</v>
      </c>
      <c r="F38" s="119">
        <f>SUM(F4:F37)</f>
        <v>3100</v>
      </c>
      <c r="G38" s="119">
        <f>SUM(G4:G36)</f>
        <v>87950</v>
      </c>
      <c r="H38" s="119">
        <f>SUM(H4:H37)</f>
        <v>102450</v>
      </c>
      <c r="I38" s="119">
        <f>SUM(I4:I37)</f>
        <v>94040</v>
      </c>
      <c r="J38" s="119"/>
      <c r="K38" s="120">
        <f>SUM(K4:K35)</f>
        <v>5650</v>
      </c>
    </row>
    <row r="39" spans="1:11" x14ac:dyDescent="0.25">
      <c r="A39" s="84"/>
      <c r="B39" s="12" t="s">
        <v>111</v>
      </c>
      <c r="C39" s="129"/>
      <c r="D39" s="84"/>
      <c r="E39" s="85">
        <f>SUM(G38)</f>
        <v>87950</v>
      </c>
      <c r="F39" s="3"/>
      <c r="G39" s="86">
        <f>SUM(G4:G36)</f>
        <v>87950</v>
      </c>
      <c r="H39" s="3"/>
      <c r="I39" s="113"/>
      <c r="J39" s="87"/>
      <c r="K39" s="102"/>
    </row>
    <row r="40" spans="1:11" x14ac:dyDescent="0.25">
      <c r="A40" s="84"/>
      <c r="B40" s="12" t="s">
        <v>126</v>
      </c>
      <c r="C40" s="129"/>
      <c r="D40" s="84"/>
      <c r="E40" s="85">
        <f>SUM(E39*8%)</f>
        <v>7036</v>
      </c>
      <c r="F40" s="3"/>
      <c r="G40" s="12" t="s">
        <v>164</v>
      </c>
      <c r="H40" s="129"/>
      <c r="I40" s="129"/>
      <c r="J40" s="129">
        <v>3200</v>
      </c>
      <c r="K40" s="102"/>
    </row>
    <row r="41" spans="1:11" x14ac:dyDescent="0.25">
      <c r="A41" s="84"/>
      <c r="B41" s="12"/>
      <c r="C41" s="129"/>
      <c r="D41" s="130">
        <v>0.08</v>
      </c>
      <c r="E41" s="85"/>
      <c r="F41" s="3"/>
      <c r="G41" s="12" t="s">
        <v>165</v>
      </c>
      <c r="H41" s="129"/>
      <c r="I41" s="84"/>
      <c r="J41" s="88">
        <f>E42+J40-E43</f>
        <v>84114</v>
      </c>
      <c r="K41" s="102"/>
    </row>
    <row r="42" spans="1:11" x14ac:dyDescent="0.25">
      <c r="A42" s="84"/>
      <c r="B42" s="12" t="s">
        <v>145</v>
      </c>
      <c r="C42" s="129"/>
      <c r="D42" s="84"/>
      <c r="E42" s="88">
        <f>E39+E41-E40</f>
        <v>80914</v>
      </c>
      <c r="F42" s="3"/>
      <c r="G42" s="89" t="s">
        <v>26</v>
      </c>
      <c r="H42" s="129"/>
      <c r="I42" s="84"/>
      <c r="J42" s="19"/>
      <c r="K42" s="102"/>
    </row>
    <row r="43" spans="1:11" x14ac:dyDescent="0.25">
      <c r="A43" s="84"/>
      <c r="B43" s="129"/>
      <c r="C43" s="129"/>
      <c r="D43" s="129"/>
      <c r="E43" s="129"/>
      <c r="F43" s="3"/>
      <c r="G43" s="12" t="s">
        <v>79</v>
      </c>
      <c r="H43" s="129"/>
      <c r="I43" s="84"/>
      <c r="J43" s="90">
        <f>D41*E39</f>
        <v>7036</v>
      </c>
      <c r="K43" s="102"/>
    </row>
    <row r="44" spans="1:11" x14ac:dyDescent="0.25">
      <c r="A44" s="29"/>
      <c r="B44" s="92" t="s">
        <v>112</v>
      </c>
      <c r="C44" s="12" t="s">
        <v>113</v>
      </c>
      <c r="D44" s="12" t="s">
        <v>114</v>
      </c>
      <c r="E44" s="116"/>
      <c r="G44" s="12" t="s">
        <v>154</v>
      </c>
      <c r="H44" s="129"/>
      <c r="I44" s="84"/>
      <c r="J44" s="90">
        <v>5000</v>
      </c>
      <c r="K44" s="102"/>
    </row>
    <row r="45" spans="1:11" x14ac:dyDescent="0.25">
      <c r="A45" s="29"/>
      <c r="B45" s="12"/>
      <c r="C45" s="12"/>
      <c r="D45" s="12"/>
      <c r="E45" s="116"/>
      <c r="G45" s="12" t="s">
        <v>215</v>
      </c>
      <c r="H45" s="129"/>
      <c r="I45" s="84"/>
      <c r="J45" s="90">
        <v>68878</v>
      </c>
      <c r="K45" s="102"/>
    </row>
    <row r="46" spans="1:11" x14ac:dyDescent="0.25">
      <c r="A46" s="29"/>
      <c r="B46" s="12" t="s">
        <v>217</v>
      </c>
      <c r="C46" s="12" t="s">
        <v>116</v>
      </c>
      <c r="D46" s="12" t="s">
        <v>124</v>
      </c>
      <c r="E46" s="116"/>
      <c r="G46" s="12" t="s">
        <v>216</v>
      </c>
      <c r="H46" s="129"/>
      <c r="I46" s="84"/>
      <c r="J46" s="90">
        <v>4631</v>
      </c>
      <c r="K46" s="102"/>
    </row>
    <row r="47" spans="1:11" x14ac:dyDescent="0.25">
      <c r="A47" s="96" t="s">
        <v>40</v>
      </c>
      <c r="B47" s="12" t="s">
        <v>117</v>
      </c>
      <c r="C47" s="12" t="s">
        <v>117</v>
      </c>
      <c r="D47" s="12"/>
      <c r="E47" s="12"/>
      <c r="F47" s="12" t="s">
        <v>118</v>
      </c>
      <c r="G47" s="12" t="s">
        <v>154</v>
      </c>
      <c r="H47" s="129"/>
      <c r="I47" s="84"/>
      <c r="J47" s="90">
        <v>2400</v>
      </c>
      <c r="K47" s="103"/>
    </row>
    <row r="48" spans="1:11" ht="16.5" x14ac:dyDescent="0.35">
      <c r="G48" s="23" t="s">
        <v>135</v>
      </c>
      <c r="H48" s="129"/>
      <c r="I48" s="84"/>
      <c r="J48" s="108">
        <f>SUM(J43:J47)</f>
        <v>87945</v>
      </c>
      <c r="K48" s="103"/>
    </row>
    <row r="49" spans="1:11" x14ac:dyDescent="0.25">
      <c r="A49" s="84" t="s">
        <v>214</v>
      </c>
      <c r="F49" s="129"/>
      <c r="G49" s="12" t="s">
        <v>31</v>
      </c>
      <c r="H49" s="129"/>
      <c r="I49" s="84"/>
      <c r="J49" s="20">
        <f>E39-J48</f>
        <v>5</v>
      </c>
      <c r="K49" s="103"/>
    </row>
    <row r="50" spans="1:11" s="129" customFormat="1" ht="15.75" x14ac:dyDescent="0.25">
      <c r="A50" s="84"/>
      <c r="G50" s="92" t="s">
        <v>151</v>
      </c>
      <c r="I50" s="107"/>
      <c r="J50" s="93">
        <f>SUM(E39+E41-J48)</f>
        <v>5</v>
      </c>
      <c r="K50" s="103"/>
    </row>
    <row r="51" spans="1:11" s="129" customFormat="1" x14ac:dyDescent="0.25">
      <c r="A51" s="84"/>
      <c r="I51" s="115" t="s">
        <v>144</v>
      </c>
      <c r="J51" s="91"/>
      <c r="K51" s="103"/>
    </row>
    <row r="52" spans="1:11" x14ac:dyDescent="0.25">
      <c r="A52" s="84"/>
      <c r="F52" s="129"/>
      <c r="G52" s="129"/>
      <c r="H52" s="129"/>
      <c r="I52" s="107"/>
      <c r="J52" s="84"/>
      <c r="K52" s="25"/>
    </row>
    <row r="53" spans="1:11" x14ac:dyDescent="0.25">
      <c r="A53" s="84"/>
      <c r="F53" s="129"/>
      <c r="G53" s="129"/>
      <c r="H53" s="129"/>
      <c r="I53" s="107"/>
      <c r="J53" s="84"/>
      <c r="K53" s="25"/>
    </row>
    <row r="54" spans="1:11" x14ac:dyDescent="0.25">
      <c r="A54" s="129"/>
      <c r="J54" s="129"/>
      <c r="K54" s="25"/>
    </row>
    <row r="55" spans="1:11" x14ac:dyDescent="0.25">
      <c r="A55" s="129"/>
      <c r="J55" s="129"/>
      <c r="K55" s="25"/>
    </row>
    <row r="56" spans="1:11" x14ac:dyDescent="0.25">
      <c r="A56" s="129"/>
      <c r="J56" s="129"/>
      <c r="K56" s="25"/>
    </row>
    <row r="57" spans="1:11" x14ac:dyDescent="0.25">
      <c r="A57" s="129"/>
      <c r="I57" s="116"/>
      <c r="J57" s="129"/>
      <c r="K57" s="25"/>
    </row>
  </sheetData>
  <pageMargins left="0.15" right="0.7" top="0.3" bottom="0.11" header="0.3" footer="0.17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4" workbookViewId="0">
      <selection sqref="A1:I51"/>
    </sheetView>
  </sheetViews>
  <sheetFormatPr defaultRowHeight="15" x14ac:dyDescent="0.25"/>
  <cols>
    <col min="1" max="1" width="14" customWidth="1"/>
    <col min="5" max="5" width="12.42578125" bestFit="1" customWidth="1"/>
    <col min="7" max="7" width="11" customWidth="1"/>
    <col min="9" max="9" width="12" customWidth="1"/>
  </cols>
  <sheetData>
    <row r="1" spans="1:9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</row>
    <row r="2" spans="1:9" ht="15.75" x14ac:dyDescent="0.25">
      <c r="A2" s="98" t="s">
        <v>105</v>
      </c>
      <c r="B2" s="98"/>
      <c r="C2" s="98"/>
      <c r="D2" s="98"/>
      <c r="E2" s="129"/>
      <c r="F2" s="98" t="s">
        <v>130</v>
      </c>
      <c r="G2" s="98"/>
      <c r="H2" s="98">
        <v>2015</v>
      </c>
      <c r="I2" s="98"/>
    </row>
    <row r="3" spans="1:9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3" t="s">
        <v>20</v>
      </c>
    </row>
    <row r="4" spans="1:9" x14ac:dyDescent="0.25">
      <c r="A4" s="8" t="s">
        <v>89</v>
      </c>
      <c r="B4" s="131">
        <v>1</v>
      </c>
      <c r="C4" s="10"/>
      <c r="D4" s="10"/>
      <c r="E4" s="11"/>
      <c r="F4" s="11">
        <v>100</v>
      </c>
      <c r="G4" s="11">
        <v>3450</v>
      </c>
      <c r="H4" s="11">
        <f>E4+F4+G4</f>
        <v>3550</v>
      </c>
      <c r="I4" s="10"/>
    </row>
    <row r="5" spans="1:9" x14ac:dyDescent="0.25">
      <c r="A5" s="8" t="s">
        <v>22</v>
      </c>
      <c r="B5" s="131">
        <v>2</v>
      </c>
      <c r="C5" s="10"/>
      <c r="D5" s="10"/>
      <c r="E5" s="11">
        <v>90</v>
      </c>
      <c r="F5" s="11">
        <v>100</v>
      </c>
      <c r="G5" s="11">
        <v>2450</v>
      </c>
      <c r="H5" s="11">
        <f t="shared" ref="H5:H36" si="0">E5+F5+G5</f>
        <v>2640</v>
      </c>
      <c r="I5" s="10"/>
    </row>
    <row r="6" spans="1:9" x14ac:dyDescent="0.25">
      <c r="A6" s="8" t="s">
        <v>6</v>
      </c>
      <c r="B6" s="131">
        <v>3</v>
      </c>
      <c r="C6" s="10"/>
      <c r="D6" s="10"/>
      <c r="E6" s="11"/>
      <c r="F6" s="11">
        <v>100</v>
      </c>
      <c r="G6" s="11">
        <v>3650</v>
      </c>
      <c r="H6" s="11">
        <f t="shared" si="0"/>
        <v>3750</v>
      </c>
      <c r="I6" s="10"/>
    </row>
    <row r="7" spans="1:9" x14ac:dyDescent="0.25">
      <c r="A7" s="8" t="s">
        <v>44</v>
      </c>
      <c r="B7" s="131">
        <v>4</v>
      </c>
      <c r="C7" s="10"/>
      <c r="D7" s="10"/>
      <c r="E7" s="11">
        <v>800</v>
      </c>
      <c r="F7" s="11">
        <v>100</v>
      </c>
      <c r="G7" s="11">
        <v>3650</v>
      </c>
      <c r="H7" s="11">
        <f t="shared" si="0"/>
        <v>4550</v>
      </c>
      <c r="I7" s="10"/>
    </row>
    <row r="8" spans="1:9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  <c r="I8" s="10"/>
    </row>
    <row r="9" spans="1:9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0"/>
    </row>
    <row r="10" spans="1:9" x14ac:dyDescent="0.25">
      <c r="A10" s="8" t="s">
        <v>148</v>
      </c>
      <c r="B10" s="131">
        <v>7</v>
      </c>
      <c r="C10" s="10"/>
      <c r="D10" s="10"/>
      <c r="E10" s="11">
        <v>300</v>
      </c>
      <c r="F10" s="11">
        <v>100</v>
      </c>
      <c r="G10" s="11">
        <v>2450</v>
      </c>
      <c r="H10" s="11">
        <f t="shared" si="0"/>
        <v>2850</v>
      </c>
      <c r="I10" s="10"/>
    </row>
    <row r="11" spans="1:9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 s="10"/>
    </row>
    <row r="12" spans="1:9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0"/>
    </row>
    <row r="13" spans="1:9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0"/>
    </row>
    <row r="14" spans="1:9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0"/>
    </row>
    <row r="15" spans="1:9" x14ac:dyDescent="0.25">
      <c r="A15" s="8" t="s">
        <v>92</v>
      </c>
      <c r="B15" s="131">
        <v>12</v>
      </c>
      <c r="C15" s="10"/>
      <c r="D15" s="10"/>
      <c r="E15" s="11">
        <v>100</v>
      </c>
      <c r="F15" s="11">
        <v>100</v>
      </c>
      <c r="G15" s="11">
        <v>2450</v>
      </c>
      <c r="H15" s="11">
        <f t="shared" si="0"/>
        <v>2650</v>
      </c>
      <c r="I15" s="10"/>
    </row>
    <row r="16" spans="1:9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0"/>
    </row>
    <row r="17" spans="1:9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0"/>
    </row>
    <row r="18" spans="1:9" x14ac:dyDescent="0.25">
      <c r="A18" s="8" t="s">
        <v>51</v>
      </c>
      <c r="B18" s="131">
        <v>15</v>
      </c>
      <c r="C18" s="10"/>
      <c r="D18" s="10"/>
      <c r="E18" s="11">
        <v>350</v>
      </c>
      <c r="F18" s="11">
        <v>100</v>
      </c>
      <c r="G18" s="11">
        <v>2450</v>
      </c>
      <c r="H18" s="11">
        <f t="shared" si="0"/>
        <v>2900</v>
      </c>
      <c r="I18" s="10"/>
    </row>
    <row r="19" spans="1:9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0"/>
    </row>
    <row r="20" spans="1:9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  <c r="I20" s="10"/>
    </row>
    <row r="21" spans="1:9" x14ac:dyDescent="0.25">
      <c r="A21" s="8" t="s">
        <v>212</v>
      </c>
      <c r="B21" s="131">
        <v>18</v>
      </c>
      <c r="C21" s="10"/>
      <c r="D21" s="10"/>
      <c r="E21" s="11">
        <v>2500</v>
      </c>
      <c r="F21" s="11">
        <v>100</v>
      </c>
      <c r="G21" s="11">
        <v>700</v>
      </c>
      <c r="H21" s="11">
        <f t="shared" si="0"/>
        <v>3300</v>
      </c>
      <c r="I21" s="10"/>
    </row>
    <row r="22" spans="1:9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0"/>
    </row>
    <row r="23" spans="1:9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  <c r="I23" s="10"/>
    </row>
    <row r="24" spans="1:9" x14ac:dyDescent="0.25">
      <c r="A24" s="8" t="s">
        <v>175</v>
      </c>
      <c r="B24" s="131">
        <v>21</v>
      </c>
      <c r="C24" s="10"/>
      <c r="D24" s="10"/>
      <c r="E24" s="11"/>
      <c r="F24" s="11">
        <v>100</v>
      </c>
      <c r="G24" s="11">
        <v>2450</v>
      </c>
      <c r="H24" s="11">
        <f t="shared" si="0"/>
        <v>2550</v>
      </c>
      <c r="I24" s="10"/>
    </row>
    <row r="25" spans="1:9" x14ac:dyDescent="0.25">
      <c r="A25" s="8" t="s">
        <v>142</v>
      </c>
      <c r="B25" s="131">
        <v>22</v>
      </c>
      <c r="C25" s="10"/>
      <c r="D25" s="10"/>
      <c r="E25" s="11">
        <v>100</v>
      </c>
      <c r="F25" s="11">
        <v>100</v>
      </c>
      <c r="G25" s="11">
        <v>3500</v>
      </c>
      <c r="H25" s="11">
        <f t="shared" si="0"/>
        <v>3700</v>
      </c>
      <c r="I25" s="10"/>
    </row>
    <row r="26" spans="1:9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0"/>
    </row>
    <row r="27" spans="1:9" x14ac:dyDescent="0.25">
      <c r="A27" s="8" t="s">
        <v>121</v>
      </c>
      <c r="B27" s="131">
        <v>24</v>
      </c>
      <c r="C27" s="10"/>
      <c r="D27" s="10"/>
      <c r="E27" s="11">
        <v>200</v>
      </c>
      <c r="F27" s="11">
        <v>100</v>
      </c>
      <c r="G27" s="11">
        <v>3500</v>
      </c>
      <c r="H27" s="11">
        <f t="shared" si="0"/>
        <v>3800</v>
      </c>
      <c r="I27" s="10" t="s">
        <v>173</v>
      </c>
    </row>
    <row r="28" spans="1:9" x14ac:dyDescent="0.25">
      <c r="A28" s="8" t="s">
        <v>15</v>
      </c>
      <c r="B28" s="131">
        <v>25</v>
      </c>
      <c r="C28" s="10"/>
      <c r="D28" s="10"/>
      <c r="E28" s="11">
        <v>50</v>
      </c>
      <c r="F28" s="11">
        <v>100</v>
      </c>
      <c r="G28" s="11">
        <v>3150</v>
      </c>
      <c r="H28" s="11">
        <f t="shared" si="0"/>
        <v>3300</v>
      </c>
      <c r="I28" s="10"/>
    </row>
    <row r="29" spans="1:9" x14ac:dyDescent="0.25">
      <c r="A29" s="8" t="s">
        <v>59</v>
      </c>
      <c r="B29" s="132">
        <v>26</v>
      </c>
      <c r="C29" s="10"/>
      <c r="D29" s="10"/>
      <c r="E29" s="97">
        <v>3600</v>
      </c>
      <c r="F29" s="11">
        <v>100</v>
      </c>
      <c r="G29" s="97">
        <v>3150</v>
      </c>
      <c r="H29" s="11">
        <f t="shared" si="0"/>
        <v>6850</v>
      </c>
      <c r="I29" s="10"/>
    </row>
    <row r="30" spans="1:9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10"/>
    </row>
    <row r="31" spans="1:9" x14ac:dyDescent="0.25">
      <c r="A31" s="8" t="s">
        <v>149</v>
      </c>
      <c r="B31" s="131">
        <v>28</v>
      </c>
      <c r="C31" s="10"/>
      <c r="D31" s="10"/>
      <c r="E31" s="11">
        <v>350</v>
      </c>
      <c r="F31" s="11">
        <v>100</v>
      </c>
      <c r="G31" s="11">
        <v>2950</v>
      </c>
      <c r="H31" s="11">
        <f t="shared" si="0"/>
        <v>3400</v>
      </c>
      <c r="I31" s="10"/>
    </row>
    <row r="32" spans="1:9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10"/>
    </row>
    <row r="33" spans="1:12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0"/>
    </row>
    <row r="34" spans="1:12" x14ac:dyDescent="0.25">
      <c r="A34" s="8" t="s">
        <v>7</v>
      </c>
      <c r="B34" s="131">
        <v>31</v>
      </c>
      <c r="C34" s="10"/>
      <c r="D34" s="10"/>
      <c r="E34" s="81">
        <v>100</v>
      </c>
      <c r="F34" s="11">
        <v>100</v>
      </c>
      <c r="G34" s="11">
        <v>3500</v>
      </c>
      <c r="H34" s="11">
        <f t="shared" si="0"/>
        <v>3700</v>
      </c>
      <c r="I34" s="10"/>
    </row>
    <row r="35" spans="1:12" x14ac:dyDescent="0.25">
      <c r="A35" s="8" t="s">
        <v>163</v>
      </c>
      <c r="B35" s="133">
        <v>32</v>
      </c>
      <c r="C35" s="10"/>
      <c r="D35" s="10"/>
      <c r="E35" s="110">
        <v>100</v>
      </c>
      <c r="F35" s="11">
        <v>100</v>
      </c>
      <c r="G35" s="110">
        <v>3500</v>
      </c>
      <c r="H35" s="11">
        <f t="shared" si="0"/>
        <v>3700</v>
      </c>
      <c r="I35" s="10"/>
      <c r="L35">
        <v>800</v>
      </c>
    </row>
    <row r="36" spans="1:12" x14ac:dyDescent="0.25">
      <c r="A36" s="8" t="s">
        <v>172</v>
      </c>
      <c r="B36" s="133">
        <v>33</v>
      </c>
      <c r="C36" s="10"/>
      <c r="D36" s="10"/>
      <c r="E36" s="110">
        <v>2760</v>
      </c>
      <c r="F36" s="11"/>
      <c r="G36" s="110">
        <v>3500</v>
      </c>
      <c r="H36" s="11">
        <f t="shared" si="0"/>
        <v>6260</v>
      </c>
      <c r="I36" s="10"/>
      <c r="L36">
        <v>2800</v>
      </c>
    </row>
    <row r="37" spans="1:12" x14ac:dyDescent="0.25">
      <c r="A37" s="8"/>
      <c r="B37" s="8"/>
      <c r="C37" s="10"/>
      <c r="D37" s="10"/>
      <c r="E37" s="110"/>
      <c r="F37" s="11"/>
      <c r="G37" s="110"/>
      <c r="H37" s="97"/>
      <c r="I37" s="10"/>
      <c r="L37">
        <f>SUM(L35:L36)</f>
        <v>3600</v>
      </c>
    </row>
    <row r="38" spans="1:12" x14ac:dyDescent="0.25">
      <c r="A38" s="119"/>
      <c r="B38" s="119"/>
      <c r="C38" s="119"/>
      <c r="D38" s="119"/>
      <c r="E38" s="119">
        <f>SUM(E4:E36)</f>
        <v>11400</v>
      </c>
      <c r="F38" s="119">
        <f>SUM(F4:F37)</f>
        <v>3000</v>
      </c>
      <c r="G38" s="119">
        <f>SUM(G4:G36)</f>
        <v>87950</v>
      </c>
      <c r="H38" s="119">
        <f>SUM(H4:H37)</f>
        <v>102350</v>
      </c>
      <c r="I38" s="119"/>
    </row>
    <row r="39" spans="1:12" x14ac:dyDescent="0.25">
      <c r="A39" s="84"/>
      <c r="B39" s="12" t="s">
        <v>111</v>
      </c>
      <c r="C39" s="129"/>
      <c r="D39" s="84"/>
      <c r="E39" s="85">
        <f>SUM(G38)</f>
        <v>87950</v>
      </c>
      <c r="F39" s="3"/>
      <c r="G39" s="86">
        <f>SUM(G4:G36)</f>
        <v>87950</v>
      </c>
      <c r="H39" s="3"/>
      <c r="I39" s="87"/>
    </row>
    <row r="40" spans="1:12" x14ac:dyDescent="0.25">
      <c r="A40" s="84"/>
      <c r="B40" s="12" t="s">
        <v>126</v>
      </c>
      <c r="C40" s="129"/>
      <c r="D40" s="84"/>
      <c r="E40" s="85"/>
      <c r="F40" s="3"/>
      <c r="G40" s="104"/>
      <c r="H40" s="3"/>
      <c r="I40" s="87"/>
    </row>
    <row r="41" spans="1:12" ht="6" customHeight="1" x14ac:dyDescent="0.25">
      <c r="A41" s="84"/>
      <c r="B41" s="12"/>
      <c r="C41" s="129"/>
      <c r="D41" s="84"/>
      <c r="E41" s="85"/>
      <c r="F41" s="3"/>
      <c r="H41" s="3"/>
      <c r="I41" s="87"/>
    </row>
    <row r="42" spans="1:12" ht="16.5" x14ac:dyDescent="0.35">
      <c r="A42" s="84"/>
      <c r="B42" s="12" t="s">
        <v>145</v>
      </c>
      <c r="C42" s="129"/>
      <c r="D42" s="130">
        <v>0.08</v>
      </c>
      <c r="E42" s="88">
        <f>E39+E41-E40</f>
        <v>87950</v>
      </c>
      <c r="F42" s="84"/>
      <c r="G42" s="23" t="s">
        <v>135</v>
      </c>
      <c r="H42" s="129"/>
      <c r="I42" s="108">
        <f>SUM(E47:E48)</f>
        <v>77036</v>
      </c>
    </row>
    <row r="43" spans="1:12" ht="15" customHeight="1" x14ac:dyDescent="0.25">
      <c r="A43" s="84"/>
      <c r="B43" s="129"/>
      <c r="C43" s="129"/>
      <c r="D43" s="129"/>
      <c r="E43" s="129"/>
      <c r="F43" s="84"/>
      <c r="G43" s="12" t="s">
        <v>31</v>
      </c>
      <c r="H43" s="129"/>
      <c r="I43" s="20">
        <f>E45-I42</f>
        <v>10914</v>
      </c>
    </row>
    <row r="44" spans="1:12" x14ac:dyDescent="0.25">
      <c r="A44" s="129"/>
      <c r="B44" s="12" t="s">
        <v>164</v>
      </c>
      <c r="C44" s="129"/>
      <c r="D44" s="129"/>
      <c r="E44" s="129"/>
      <c r="F44" s="129"/>
      <c r="G44" s="129" t="s">
        <v>219</v>
      </c>
    </row>
    <row r="45" spans="1:12" x14ac:dyDescent="0.25">
      <c r="A45" s="129"/>
      <c r="B45" s="12" t="s">
        <v>165</v>
      </c>
      <c r="C45" s="129"/>
      <c r="D45" s="84"/>
      <c r="E45" s="88">
        <f>E42+E44-E43</f>
        <v>87950</v>
      </c>
      <c r="F45" s="129"/>
    </row>
    <row r="46" spans="1:12" x14ac:dyDescent="0.25">
      <c r="A46" s="84"/>
      <c r="B46" s="89" t="s">
        <v>26</v>
      </c>
      <c r="C46" s="129"/>
      <c r="D46" s="84"/>
      <c r="E46" s="19"/>
      <c r="F46" s="129"/>
    </row>
    <row r="47" spans="1:12" x14ac:dyDescent="0.25">
      <c r="A47" s="84"/>
      <c r="B47" s="12" t="s">
        <v>79</v>
      </c>
      <c r="C47" s="129"/>
      <c r="D47" s="84"/>
      <c r="E47" s="90">
        <f>D42*E39</f>
        <v>7036</v>
      </c>
      <c r="F47" s="129"/>
      <c r="G47" s="29"/>
      <c r="H47" s="92" t="s">
        <v>112</v>
      </c>
      <c r="I47" s="12" t="s">
        <v>113</v>
      </c>
    </row>
    <row r="48" spans="1:12" x14ac:dyDescent="0.25">
      <c r="A48" s="135">
        <v>42136</v>
      </c>
      <c r="B48" s="12" t="s">
        <v>154</v>
      </c>
      <c r="C48" s="129"/>
      <c r="D48" s="84"/>
      <c r="E48" s="90">
        <v>70000</v>
      </c>
      <c r="G48" s="29"/>
      <c r="H48" s="12"/>
      <c r="I48" s="12"/>
    </row>
    <row r="49" spans="5:9" x14ac:dyDescent="0.25">
      <c r="E49" s="20">
        <f>E42-E47</f>
        <v>80914</v>
      </c>
      <c r="F49" s="129"/>
      <c r="G49" s="29"/>
      <c r="H49" s="12" t="s">
        <v>217</v>
      </c>
      <c r="I49" s="12" t="s">
        <v>116</v>
      </c>
    </row>
    <row r="50" spans="5:9" x14ac:dyDescent="0.25">
      <c r="F50" s="129"/>
      <c r="G50" s="96" t="s">
        <v>40</v>
      </c>
      <c r="H50" s="12" t="s">
        <v>117</v>
      </c>
      <c r="I50" s="12" t="s">
        <v>117</v>
      </c>
    </row>
    <row r="51" spans="5:9" x14ac:dyDescent="0.25">
      <c r="F51" s="12"/>
      <c r="G51" s="12"/>
      <c r="H51" s="12"/>
      <c r="I51" s="129"/>
    </row>
    <row r="52" spans="5:9" x14ac:dyDescent="0.25">
      <c r="F52" s="12"/>
      <c r="G52" s="12"/>
      <c r="H52" s="12"/>
      <c r="I52" s="129"/>
    </row>
    <row r="53" spans="5:9" x14ac:dyDescent="0.25">
      <c r="F53" s="12"/>
      <c r="G53" s="12"/>
      <c r="H53" s="12"/>
      <c r="I53" s="129"/>
    </row>
    <row r="54" spans="5:9" x14ac:dyDescent="0.25">
      <c r="F54" s="12"/>
      <c r="G54" s="12"/>
      <c r="H54" s="12"/>
      <c r="I54" s="129"/>
    </row>
  </sheetData>
  <pageMargins left="0.25" right="0.25" top="0.23" bottom="0.55000000000000004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9" workbookViewId="0">
      <selection activeCell="I53" sqref="I53"/>
    </sheetView>
  </sheetViews>
  <sheetFormatPr defaultRowHeight="15" x14ac:dyDescent="0.25"/>
  <cols>
    <col min="1" max="1" width="15.42578125" customWidth="1"/>
    <col min="2" max="2" width="9" customWidth="1"/>
    <col min="3" max="3" width="6.28515625" customWidth="1"/>
    <col min="4" max="4" width="4.7109375" customWidth="1"/>
    <col min="5" max="5" width="12.140625" customWidth="1"/>
    <col min="6" max="6" width="7" customWidth="1"/>
    <col min="7" max="7" width="9.42578125" customWidth="1"/>
    <col min="9" max="9" width="10.7109375" customWidth="1"/>
  </cols>
  <sheetData>
    <row r="1" spans="1:13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</row>
    <row r="2" spans="1:13" ht="15.75" x14ac:dyDescent="0.25">
      <c r="A2" s="98" t="s">
        <v>105</v>
      </c>
      <c r="B2" s="98"/>
      <c r="C2" s="98"/>
      <c r="D2" s="98"/>
      <c r="E2" s="129"/>
      <c r="F2" s="98" t="s">
        <v>140</v>
      </c>
      <c r="G2" s="98"/>
      <c r="H2" s="98">
        <v>2015</v>
      </c>
      <c r="I2" s="98"/>
    </row>
    <row r="3" spans="1:13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39"/>
    </row>
    <row r="4" spans="1:13" x14ac:dyDescent="0.25">
      <c r="A4" s="8" t="s">
        <v>89</v>
      </c>
      <c r="B4" s="131">
        <v>1</v>
      </c>
      <c r="C4" s="10"/>
      <c r="D4" s="10"/>
      <c r="E4" s="11"/>
      <c r="F4" s="11">
        <v>100</v>
      </c>
      <c r="G4" s="11">
        <v>3450</v>
      </c>
      <c r="H4" s="137">
        <f>E4+F4+G4</f>
        <v>3550</v>
      </c>
      <c r="I4" s="3"/>
    </row>
    <row r="5" spans="1:13" x14ac:dyDescent="0.25">
      <c r="A5" s="8" t="s">
        <v>22</v>
      </c>
      <c r="B5" s="131">
        <v>2</v>
      </c>
      <c r="C5" s="10"/>
      <c r="D5" s="10"/>
      <c r="E5" s="11">
        <v>90</v>
      </c>
      <c r="F5" s="11">
        <v>100</v>
      </c>
      <c r="G5" s="11">
        <v>2450</v>
      </c>
      <c r="H5" s="137">
        <f t="shared" ref="H5:H36" si="0">E5+F5+G5</f>
        <v>2640</v>
      </c>
      <c r="I5" s="3"/>
      <c r="K5">
        <v>3300</v>
      </c>
      <c r="L5">
        <v>3700</v>
      </c>
      <c r="M5">
        <f>L5-K5</f>
        <v>400</v>
      </c>
    </row>
    <row r="6" spans="1:13" ht="10.5" customHeight="1" x14ac:dyDescent="0.25">
      <c r="A6" s="10" t="s">
        <v>64</v>
      </c>
      <c r="B6" s="10"/>
      <c r="C6" s="10"/>
      <c r="D6" s="10"/>
      <c r="E6" s="10"/>
      <c r="F6" s="10"/>
      <c r="G6" s="10"/>
      <c r="H6" s="53"/>
      <c r="I6" s="3"/>
    </row>
    <row r="7" spans="1:13" x14ac:dyDescent="0.25">
      <c r="A7" s="8" t="s">
        <v>44</v>
      </c>
      <c r="B7" s="131">
        <v>4</v>
      </c>
      <c r="C7" s="10"/>
      <c r="D7" s="10"/>
      <c r="E7" s="11">
        <v>800</v>
      </c>
      <c r="F7" s="11">
        <v>100</v>
      </c>
      <c r="G7" s="11">
        <v>3650</v>
      </c>
      <c r="H7" s="137">
        <f t="shared" si="0"/>
        <v>4550</v>
      </c>
      <c r="I7" s="3"/>
    </row>
    <row r="8" spans="1:13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3">
        <v>2650</v>
      </c>
      <c r="H8" s="137">
        <f t="shared" si="0"/>
        <v>2750</v>
      </c>
      <c r="I8" s="3"/>
    </row>
    <row r="9" spans="1:13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 t="shared" si="0"/>
        <v>2750</v>
      </c>
      <c r="I9" s="3"/>
    </row>
    <row r="10" spans="1:13" x14ac:dyDescent="0.25">
      <c r="A10" s="8" t="s">
        <v>64</v>
      </c>
      <c r="B10" s="131"/>
      <c r="C10" s="10"/>
      <c r="D10" s="10"/>
      <c r="E10" s="11"/>
      <c r="F10" s="11"/>
      <c r="G10" s="11"/>
      <c r="H10" s="137"/>
      <c r="I10" s="3"/>
      <c r="K10">
        <v>3700</v>
      </c>
    </row>
    <row r="11" spans="1:13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37">
        <f t="shared" si="0"/>
        <v>2550</v>
      </c>
      <c r="I11" s="3"/>
      <c r="K11">
        <f>SUM(K9:K10)</f>
        <v>3700</v>
      </c>
    </row>
    <row r="12" spans="1:13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37">
        <f t="shared" si="0"/>
        <v>2550</v>
      </c>
      <c r="I12" s="3"/>
    </row>
    <row r="13" spans="1:13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37">
        <f t="shared" si="0"/>
        <v>2550</v>
      </c>
      <c r="I13" s="3"/>
    </row>
    <row r="14" spans="1:13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 t="shared" si="0"/>
        <v>2550</v>
      </c>
      <c r="I14" s="3"/>
    </row>
    <row r="15" spans="1:13" x14ac:dyDescent="0.25">
      <c r="A15" s="8" t="s">
        <v>92</v>
      </c>
      <c r="B15" s="131">
        <v>12</v>
      </c>
      <c r="C15" s="10"/>
      <c r="D15" s="10"/>
      <c r="E15" s="11">
        <v>100</v>
      </c>
      <c r="F15" s="11">
        <v>100</v>
      </c>
      <c r="G15" s="11">
        <v>2450</v>
      </c>
      <c r="H15" s="137">
        <f t="shared" si="0"/>
        <v>2650</v>
      </c>
      <c r="I15" s="3"/>
    </row>
    <row r="16" spans="1:13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 t="shared" si="0"/>
        <v>2550</v>
      </c>
      <c r="I16" s="3"/>
    </row>
    <row r="17" spans="1:9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37">
        <f t="shared" si="0"/>
        <v>2550</v>
      </c>
      <c r="I17" s="3"/>
    </row>
    <row r="18" spans="1:9" x14ac:dyDescent="0.25">
      <c r="A18" s="8" t="s">
        <v>51</v>
      </c>
      <c r="B18" s="131">
        <v>15</v>
      </c>
      <c r="C18" s="10"/>
      <c r="D18" s="10"/>
      <c r="E18" s="11">
        <v>350</v>
      </c>
      <c r="F18" s="11">
        <v>100</v>
      </c>
      <c r="G18" s="11">
        <v>2450</v>
      </c>
      <c r="H18" s="137">
        <f t="shared" si="0"/>
        <v>2900</v>
      </c>
      <c r="I18" s="3"/>
    </row>
    <row r="19" spans="1:9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37">
        <f t="shared" si="0"/>
        <v>2550</v>
      </c>
      <c r="I19" s="3"/>
    </row>
    <row r="20" spans="1:9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 t="shared" si="0"/>
        <v>0</v>
      </c>
      <c r="I20" s="3"/>
    </row>
    <row r="21" spans="1:9" x14ac:dyDescent="0.25">
      <c r="A21" s="8" t="s">
        <v>212</v>
      </c>
      <c r="B21" s="131">
        <v>18</v>
      </c>
      <c r="C21" s="10"/>
      <c r="D21" s="10"/>
      <c r="E21" s="11">
        <v>2500</v>
      </c>
      <c r="F21" s="11">
        <v>100</v>
      </c>
      <c r="G21" s="11">
        <v>2450</v>
      </c>
      <c r="H21" s="137">
        <f t="shared" si="0"/>
        <v>5050</v>
      </c>
      <c r="I21" s="3"/>
    </row>
    <row r="22" spans="1:9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2450</v>
      </c>
      <c r="H22" s="137">
        <f t="shared" si="0"/>
        <v>2550</v>
      </c>
      <c r="I22" s="3"/>
    </row>
    <row r="23" spans="1:9" ht="19.5" customHeight="1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 t="shared" si="0"/>
        <v>0</v>
      </c>
      <c r="I23" s="3"/>
    </row>
    <row r="24" spans="1:9" ht="12" customHeight="1" x14ac:dyDescent="0.25">
      <c r="A24" s="8" t="s">
        <v>64</v>
      </c>
      <c r="B24" s="131">
        <v>21</v>
      </c>
      <c r="C24" s="10"/>
      <c r="D24" s="10"/>
      <c r="E24" s="11"/>
      <c r="F24" s="11"/>
      <c r="G24" s="11"/>
      <c r="H24" s="137">
        <f t="shared" si="0"/>
        <v>0</v>
      </c>
      <c r="I24" s="3"/>
    </row>
    <row r="25" spans="1:9" x14ac:dyDescent="0.25">
      <c r="A25" s="8" t="s">
        <v>142</v>
      </c>
      <c r="B25" s="131">
        <v>22</v>
      </c>
      <c r="C25" s="10"/>
      <c r="D25" s="10"/>
      <c r="E25" s="11">
        <v>100</v>
      </c>
      <c r="F25" s="11">
        <v>100</v>
      </c>
      <c r="G25" s="11">
        <v>3500</v>
      </c>
      <c r="H25" s="137">
        <f t="shared" si="0"/>
        <v>3700</v>
      </c>
      <c r="I25" s="3"/>
    </row>
    <row r="26" spans="1:9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0"/>
        <v>3600</v>
      </c>
      <c r="I26" s="3"/>
    </row>
    <row r="27" spans="1:9" x14ac:dyDescent="0.25">
      <c r="A27" s="8" t="s">
        <v>121</v>
      </c>
      <c r="B27" s="131">
        <v>24</v>
      </c>
      <c r="C27" s="10"/>
      <c r="D27" s="10"/>
      <c r="E27" s="11">
        <v>200</v>
      </c>
      <c r="F27" s="11">
        <v>100</v>
      </c>
      <c r="G27" s="11">
        <v>3500</v>
      </c>
      <c r="H27" s="137">
        <f t="shared" si="0"/>
        <v>3800</v>
      </c>
      <c r="I27" s="3"/>
    </row>
    <row r="28" spans="1:9" x14ac:dyDescent="0.25">
      <c r="A28" s="8" t="s">
        <v>15</v>
      </c>
      <c r="B28" s="131">
        <v>25</v>
      </c>
      <c r="C28" s="10"/>
      <c r="D28" s="10"/>
      <c r="E28" s="11">
        <v>50</v>
      </c>
      <c r="F28" s="11">
        <v>100</v>
      </c>
      <c r="G28" s="11">
        <v>3150</v>
      </c>
      <c r="H28" s="137">
        <f t="shared" si="0"/>
        <v>3300</v>
      </c>
      <c r="I28" s="3"/>
    </row>
    <row r="29" spans="1:9" x14ac:dyDescent="0.25">
      <c r="A29" s="8" t="s">
        <v>59</v>
      </c>
      <c r="B29" s="132">
        <v>26</v>
      </c>
      <c r="C29" s="10"/>
      <c r="D29" s="10"/>
      <c r="E29" s="97">
        <v>3600</v>
      </c>
      <c r="F29" s="11">
        <v>100</v>
      </c>
      <c r="G29" s="97">
        <v>3150</v>
      </c>
      <c r="H29" s="137">
        <f t="shared" si="0"/>
        <v>6850</v>
      </c>
      <c r="I29" s="3"/>
    </row>
    <row r="30" spans="1:9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0"/>
        <v>3250</v>
      </c>
      <c r="I30" s="3"/>
    </row>
    <row r="31" spans="1:9" x14ac:dyDescent="0.25">
      <c r="A31" s="8" t="s">
        <v>149</v>
      </c>
      <c r="B31" s="131">
        <v>28</v>
      </c>
      <c r="C31" s="10"/>
      <c r="D31" s="10"/>
      <c r="E31" s="11">
        <v>350</v>
      </c>
      <c r="F31" s="11">
        <v>100</v>
      </c>
      <c r="G31" s="11">
        <v>2950</v>
      </c>
      <c r="H31" s="137">
        <f t="shared" si="0"/>
        <v>3400</v>
      </c>
      <c r="I31" s="3"/>
    </row>
    <row r="32" spans="1:9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37">
        <f t="shared" si="0"/>
        <v>3100</v>
      </c>
      <c r="I32" s="3"/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37">
        <f t="shared" si="0"/>
        <v>3050</v>
      </c>
      <c r="I33" s="3"/>
    </row>
    <row r="34" spans="1:11" x14ac:dyDescent="0.25">
      <c r="A34" s="8" t="s">
        <v>7</v>
      </c>
      <c r="B34" s="131">
        <v>31</v>
      </c>
      <c r="C34" s="10"/>
      <c r="D34" s="10"/>
      <c r="E34" s="81">
        <v>100</v>
      </c>
      <c r="F34" s="11">
        <v>100</v>
      </c>
      <c r="G34" s="11">
        <v>3500</v>
      </c>
      <c r="H34" s="137">
        <f t="shared" si="0"/>
        <v>3700</v>
      </c>
      <c r="I34" s="3"/>
    </row>
    <row r="35" spans="1:11" x14ac:dyDescent="0.25">
      <c r="A35" s="8" t="s">
        <v>163</v>
      </c>
      <c r="B35" s="133">
        <v>32</v>
      </c>
      <c r="C35" s="10"/>
      <c r="D35" s="10"/>
      <c r="E35" s="110">
        <v>100</v>
      </c>
      <c r="F35" s="11">
        <v>100</v>
      </c>
      <c r="G35" s="110">
        <v>3500</v>
      </c>
      <c r="H35" s="137">
        <f t="shared" si="0"/>
        <v>3700</v>
      </c>
      <c r="I35" s="3"/>
    </row>
    <row r="36" spans="1:11" ht="10.5" customHeight="1" x14ac:dyDescent="0.25">
      <c r="A36" s="8" t="s">
        <v>64</v>
      </c>
      <c r="B36" s="133">
        <v>33</v>
      </c>
      <c r="C36" s="10"/>
      <c r="D36" s="10"/>
      <c r="E36" s="110">
        <v>2760</v>
      </c>
      <c r="F36" s="11"/>
      <c r="G36" s="110"/>
      <c r="H36" s="137">
        <f t="shared" si="0"/>
        <v>2760</v>
      </c>
      <c r="I36" s="3"/>
    </row>
    <row r="37" spans="1:11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1">
        <v>4500</v>
      </c>
      <c r="H37" s="137">
        <f>E37+F37+G37</f>
        <v>4600</v>
      </c>
      <c r="I37" s="3"/>
    </row>
    <row r="38" spans="1:11" ht="14.25" customHeight="1" x14ac:dyDescent="0.25">
      <c r="A38" s="119"/>
      <c r="B38" s="119"/>
      <c r="C38" s="119"/>
      <c r="D38" s="119"/>
      <c r="E38" s="119">
        <f>SUM(E4:E36)</f>
        <v>11100</v>
      </c>
      <c r="F38" s="119">
        <f>SUM(F4:F37)</f>
        <v>2800</v>
      </c>
      <c r="G38" s="119">
        <f>SUM(G4:G37)</f>
        <v>82150</v>
      </c>
      <c r="H38" s="138">
        <f>SUM(H4:H37)</f>
        <v>96050</v>
      </c>
      <c r="I38" s="140"/>
    </row>
    <row r="39" spans="1:11" x14ac:dyDescent="0.25">
      <c r="A39" s="84"/>
      <c r="B39" s="12" t="s">
        <v>111</v>
      </c>
      <c r="C39" s="129"/>
      <c r="D39" s="84"/>
      <c r="E39" s="85">
        <f>G38</f>
        <v>82150</v>
      </c>
      <c r="F39" s="3"/>
      <c r="G39" s="86"/>
      <c r="H39" s="3"/>
      <c r="I39" s="87"/>
    </row>
    <row r="40" spans="1:11" ht="16.5" x14ac:dyDescent="0.35">
      <c r="A40" s="84"/>
      <c r="B40" s="12" t="s">
        <v>145</v>
      </c>
      <c r="C40" s="129"/>
      <c r="D40" s="130"/>
      <c r="E40" s="88">
        <f>E39</f>
        <v>82150</v>
      </c>
      <c r="F40" s="84"/>
      <c r="G40" s="23" t="s">
        <v>135</v>
      </c>
      <c r="H40" s="129"/>
      <c r="I40" s="108"/>
    </row>
    <row r="41" spans="1:11" x14ac:dyDescent="0.25">
      <c r="A41" s="84"/>
      <c r="B41" s="129" t="s">
        <v>220</v>
      </c>
      <c r="C41" s="129"/>
      <c r="E41" s="129">
        <v>5200</v>
      </c>
      <c r="F41" s="84"/>
      <c r="G41" s="12" t="s">
        <v>31</v>
      </c>
      <c r="H41" s="129"/>
      <c r="I41" s="20"/>
    </row>
    <row r="42" spans="1:11" x14ac:dyDescent="0.25">
      <c r="A42" s="129"/>
      <c r="B42" s="12" t="s">
        <v>165</v>
      </c>
      <c r="C42" s="129"/>
      <c r="D42" s="84"/>
      <c r="E42" s="88">
        <f>SUM(E40:E41)</f>
        <v>87350</v>
      </c>
      <c r="F42" s="129"/>
      <c r="G42" s="129"/>
      <c r="H42" s="129"/>
      <c r="I42" s="129"/>
    </row>
    <row r="43" spans="1:11" x14ac:dyDescent="0.25">
      <c r="A43" s="84"/>
      <c r="B43" s="141" t="s">
        <v>26</v>
      </c>
      <c r="C43" s="129"/>
      <c r="D43" s="84"/>
      <c r="E43" s="29"/>
      <c r="F43" s="12" t="s">
        <v>217</v>
      </c>
      <c r="G43" s="12" t="s">
        <v>116</v>
      </c>
      <c r="H43" s="12" t="s">
        <v>113</v>
      </c>
      <c r="K43" s="20"/>
    </row>
    <row r="44" spans="1:11" x14ac:dyDescent="0.25">
      <c r="A44" s="84"/>
      <c r="B44" s="12" t="s">
        <v>79</v>
      </c>
      <c r="C44" s="129"/>
      <c r="D44" s="84"/>
      <c r="E44" s="20">
        <v>6548</v>
      </c>
      <c r="F44" s="96" t="s">
        <v>40</v>
      </c>
      <c r="G44" s="12" t="s">
        <v>117</v>
      </c>
      <c r="H44" s="12" t="s">
        <v>117</v>
      </c>
      <c r="K44" s="129"/>
    </row>
    <row r="45" spans="1:11" x14ac:dyDescent="0.25">
      <c r="A45" s="135"/>
      <c r="B45" s="12" t="s">
        <v>221</v>
      </c>
      <c r="C45" s="129"/>
      <c r="D45" s="84"/>
      <c r="E45">
        <v>6610</v>
      </c>
      <c r="I45" s="12"/>
      <c r="K45" s="129"/>
    </row>
    <row r="46" spans="1:11" x14ac:dyDescent="0.25">
      <c r="A46" s="129"/>
      <c r="B46" s="12" t="s">
        <v>222</v>
      </c>
      <c r="C46" s="129"/>
      <c r="D46" s="129"/>
      <c r="E46">
        <v>22900</v>
      </c>
      <c r="F46" s="129"/>
    </row>
    <row r="47" spans="1:11" x14ac:dyDescent="0.25">
      <c r="A47" s="129"/>
      <c r="B47" s="116" t="s">
        <v>223</v>
      </c>
      <c r="C47" s="107"/>
      <c r="D47" s="129"/>
      <c r="E47" s="20">
        <f>SUM(E44:E46)</f>
        <v>36058</v>
      </c>
      <c r="F47" s="129"/>
    </row>
    <row r="48" spans="1:11" x14ac:dyDescent="0.25">
      <c r="A48" s="129"/>
      <c r="B48" s="116" t="s">
        <v>31</v>
      </c>
      <c r="C48" s="107"/>
      <c r="D48" s="107"/>
      <c r="E48" s="113">
        <f>E42-E47</f>
        <v>51292</v>
      </c>
      <c r="F48" s="12"/>
      <c r="G48" s="12"/>
      <c r="H48" s="12"/>
      <c r="I48" s="129"/>
    </row>
  </sheetData>
  <pageMargins left="0.7" right="0.7" top="0.75" bottom="0.75" header="0.3" footer="0.3"/>
  <pageSetup orientation="portrait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"/>
  <sheetViews>
    <sheetView workbookViewId="0">
      <selection activeCell="A2" sqref="A2:H50"/>
    </sheetView>
  </sheetViews>
  <sheetFormatPr defaultRowHeight="15" x14ac:dyDescent="0.25"/>
  <cols>
    <col min="1" max="1" width="15" customWidth="1"/>
    <col min="5" max="5" width="12.7109375" customWidth="1"/>
  </cols>
  <sheetData>
    <row r="2" spans="1:10" ht="18.75" x14ac:dyDescent="0.3">
      <c r="A2" s="99" t="s">
        <v>107</v>
      </c>
      <c r="B2" s="99"/>
      <c r="C2" s="99"/>
      <c r="D2" s="99"/>
      <c r="E2" s="99"/>
      <c r="F2" s="99"/>
      <c r="G2" s="99"/>
      <c r="H2" s="99"/>
      <c r="I2" s="99"/>
    </row>
    <row r="3" spans="1:10" ht="15.75" x14ac:dyDescent="0.25">
      <c r="A3" s="98" t="s">
        <v>105</v>
      </c>
      <c r="B3" s="98"/>
      <c r="C3" s="98"/>
      <c r="D3" s="98"/>
      <c r="E3" s="129"/>
      <c r="F3" s="98" t="s">
        <v>140</v>
      </c>
      <c r="G3" s="98"/>
      <c r="H3" s="98">
        <v>2015</v>
      </c>
      <c r="I3" s="98"/>
    </row>
    <row r="4" spans="1:10" x14ac:dyDescent="0.25">
      <c r="A4" s="82" t="s">
        <v>110</v>
      </c>
      <c r="B4" s="82" t="s">
        <v>2</v>
      </c>
      <c r="C4" s="82" t="s">
        <v>17</v>
      </c>
      <c r="D4" s="82" t="s">
        <v>108</v>
      </c>
      <c r="E4" s="82" t="s">
        <v>160</v>
      </c>
      <c r="F4" s="82" t="s">
        <v>161</v>
      </c>
      <c r="G4" s="82" t="s">
        <v>5</v>
      </c>
      <c r="H4" s="83" t="s">
        <v>19</v>
      </c>
      <c r="I4" s="139"/>
    </row>
    <row r="5" spans="1:10" x14ac:dyDescent="0.25">
      <c r="A5" s="8" t="s">
        <v>89</v>
      </c>
      <c r="B5" s="131">
        <v>1</v>
      </c>
      <c r="C5" s="10"/>
      <c r="D5" s="10"/>
      <c r="E5" s="11"/>
      <c r="F5" s="11">
        <v>100</v>
      </c>
      <c r="G5" s="11">
        <v>3450</v>
      </c>
      <c r="H5" s="11">
        <f>E5+F5+G5</f>
        <v>3550</v>
      </c>
      <c r="I5" s="3"/>
    </row>
    <row r="6" spans="1:10" x14ac:dyDescent="0.25">
      <c r="A6" s="8" t="s">
        <v>22</v>
      </c>
      <c r="B6" s="131">
        <v>2</v>
      </c>
      <c r="C6" s="10"/>
      <c r="D6" s="10"/>
      <c r="E6" s="11"/>
      <c r="F6" s="11">
        <v>100</v>
      </c>
      <c r="G6" s="11">
        <v>2450</v>
      </c>
      <c r="H6" s="11">
        <f t="shared" ref="H6:H37" si="0">E6+F6+G6</f>
        <v>2550</v>
      </c>
      <c r="I6" s="3"/>
    </row>
    <row r="7" spans="1:10" x14ac:dyDescent="0.25">
      <c r="A7" s="10" t="s">
        <v>64</v>
      </c>
      <c r="B7" s="10">
        <v>3</v>
      </c>
      <c r="C7" s="10"/>
      <c r="D7" s="10"/>
      <c r="E7" s="10"/>
      <c r="F7" s="10"/>
      <c r="G7" s="10"/>
      <c r="H7" s="10"/>
      <c r="I7" s="3"/>
      <c r="J7" s="10"/>
    </row>
    <row r="8" spans="1:10" x14ac:dyDescent="0.25">
      <c r="A8" s="8" t="s">
        <v>44</v>
      </c>
      <c r="B8" s="131">
        <v>4</v>
      </c>
      <c r="C8" s="10"/>
      <c r="D8" s="10"/>
      <c r="E8" s="11"/>
      <c r="F8" s="11">
        <v>100</v>
      </c>
      <c r="G8" s="11">
        <v>3650</v>
      </c>
      <c r="H8" s="11">
        <f t="shared" si="0"/>
        <v>3750</v>
      </c>
      <c r="I8" s="3"/>
    </row>
    <row r="9" spans="1:10" x14ac:dyDescent="0.25">
      <c r="A9" s="32" t="s">
        <v>157</v>
      </c>
      <c r="B9" s="131">
        <v>5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3"/>
    </row>
    <row r="10" spans="1:10" x14ac:dyDescent="0.25">
      <c r="A10" s="8" t="s">
        <v>178</v>
      </c>
      <c r="B10" s="131">
        <v>6</v>
      </c>
      <c r="C10" s="10"/>
      <c r="D10" s="10"/>
      <c r="E10" s="11"/>
      <c r="F10" s="11">
        <v>100</v>
      </c>
      <c r="G10" s="11">
        <v>2650</v>
      </c>
      <c r="H10" s="11">
        <f t="shared" si="0"/>
        <v>2750</v>
      </c>
      <c r="I10" s="3"/>
    </row>
    <row r="11" spans="1:10" x14ac:dyDescent="0.25">
      <c r="A11" s="8" t="s">
        <v>64</v>
      </c>
      <c r="B11" s="131">
        <v>7</v>
      </c>
      <c r="C11" s="10"/>
      <c r="D11" s="10">
        <v>2450</v>
      </c>
      <c r="E11" s="11"/>
      <c r="F11" s="11">
        <v>100</v>
      </c>
      <c r="G11" s="11">
        <v>2450</v>
      </c>
      <c r="H11" s="11">
        <f t="shared" si="0"/>
        <v>2550</v>
      </c>
      <c r="I11" s="3"/>
    </row>
    <row r="12" spans="1:10" x14ac:dyDescent="0.25">
      <c r="A12" s="8" t="s">
        <v>8</v>
      </c>
      <c r="B12" s="131">
        <v>8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3"/>
    </row>
    <row r="13" spans="1:10" x14ac:dyDescent="0.25">
      <c r="A13" s="8" t="s">
        <v>102</v>
      </c>
      <c r="B13" s="131">
        <v>9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3"/>
    </row>
    <row r="14" spans="1:10" x14ac:dyDescent="0.25">
      <c r="A14" s="8" t="s">
        <v>47</v>
      </c>
      <c r="B14" s="131">
        <v>10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3"/>
    </row>
    <row r="15" spans="1:10" x14ac:dyDescent="0.25">
      <c r="A15" s="8" t="s">
        <v>91</v>
      </c>
      <c r="B15" s="131">
        <v>11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  <c r="I15" s="3"/>
    </row>
    <row r="16" spans="1:10" x14ac:dyDescent="0.25">
      <c r="A16" s="8" t="s">
        <v>92</v>
      </c>
      <c r="B16" s="131">
        <v>12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3"/>
    </row>
    <row r="17" spans="1:9" x14ac:dyDescent="0.25">
      <c r="A17" s="8" t="s">
        <v>93</v>
      </c>
      <c r="B17" s="131">
        <v>13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3"/>
    </row>
    <row r="18" spans="1:9" x14ac:dyDescent="0.25">
      <c r="A18" s="8" t="s">
        <v>9</v>
      </c>
      <c r="B18" s="131">
        <v>14</v>
      </c>
      <c r="C18" s="10"/>
      <c r="D18" s="10"/>
      <c r="E18" s="11"/>
      <c r="F18" s="11">
        <v>100</v>
      </c>
      <c r="G18" s="11">
        <v>2450</v>
      </c>
      <c r="H18" s="11">
        <f t="shared" si="0"/>
        <v>2550</v>
      </c>
      <c r="I18" s="3"/>
    </row>
    <row r="19" spans="1:9" x14ac:dyDescent="0.25">
      <c r="A19" s="8" t="s">
        <v>51</v>
      </c>
      <c r="B19" s="131">
        <v>15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3"/>
    </row>
    <row r="20" spans="1:9" x14ac:dyDescent="0.25">
      <c r="A20" s="8" t="s">
        <v>94</v>
      </c>
      <c r="B20" s="131">
        <v>16</v>
      </c>
      <c r="C20" s="10"/>
      <c r="D20" s="10"/>
      <c r="E20" s="11"/>
      <c r="F20" s="11">
        <v>100</v>
      </c>
      <c r="G20" s="11">
        <v>2450</v>
      </c>
      <c r="H20" s="11">
        <f t="shared" si="0"/>
        <v>2550</v>
      </c>
      <c r="I20" s="3"/>
    </row>
    <row r="21" spans="1:9" x14ac:dyDescent="0.25">
      <c r="A21" s="8" t="s">
        <v>10</v>
      </c>
      <c r="B21" s="131">
        <v>17</v>
      </c>
      <c r="C21" s="10"/>
      <c r="D21" s="10"/>
      <c r="E21" s="11"/>
      <c r="F21" s="11"/>
      <c r="G21" s="11"/>
      <c r="H21" s="11">
        <f t="shared" si="0"/>
        <v>0</v>
      </c>
      <c r="I21" s="3"/>
    </row>
    <row r="22" spans="1:9" x14ac:dyDescent="0.25">
      <c r="A22" s="8" t="s">
        <v>212</v>
      </c>
      <c r="B22" s="131">
        <v>18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3"/>
    </row>
    <row r="23" spans="1:9" x14ac:dyDescent="0.25">
      <c r="A23" s="8" t="s">
        <v>53</v>
      </c>
      <c r="B23" s="131">
        <v>19</v>
      </c>
      <c r="C23" s="10"/>
      <c r="D23" s="10"/>
      <c r="E23" s="11"/>
      <c r="F23" s="11">
        <v>100</v>
      </c>
      <c r="G23" s="11">
        <v>2450</v>
      </c>
      <c r="H23" s="11">
        <f t="shared" si="0"/>
        <v>2550</v>
      </c>
      <c r="I23" s="3"/>
    </row>
    <row r="24" spans="1:9" x14ac:dyDescent="0.25">
      <c r="A24" s="8" t="s">
        <v>10</v>
      </c>
      <c r="B24" s="131">
        <v>20</v>
      </c>
      <c r="C24" s="10"/>
      <c r="D24" s="10"/>
      <c r="E24" s="11"/>
      <c r="F24" s="11"/>
      <c r="G24" s="11"/>
      <c r="H24" s="11">
        <f t="shared" si="0"/>
        <v>0</v>
      </c>
      <c r="I24" s="3"/>
    </row>
    <row r="25" spans="1:9" x14ac:dyDescent="0.25">
      <c r="A25" s="8" t="s">
        <v>64</v>
      </c>
      <c r="B25" s="131">
        <v>21</v>
      </c>
      <c r="C25" s="10"/>
      <c r="D25" s="10"/>
      <c r="E25" s="11"/>
      <c r="F25" s="11"/>
      <c r="G25" s="11"/>
      <c r="H25" s="11">
        <f t="shared" si="0"/>
        <v>0</v>
      </c>
      <c r="I25" s="3"/>
    </row>
    <row r="26" spans="1:9" x14ac:dyDescent="0.25">
      <c r="A26" s="8" t="s">
        <v>142</v>
      </c>
      <c r="B26" s="131">
        <v>22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3"/>
    </row>
    <row r="27" spans="1:9" x14ac:dyDescent="0.25">
      <c r="A27" s="8" t="s">
        <v>162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  <c r="I27" s="3"/>
    </row>
    <row r="28" spans="1:9" x14ac:dyDescent="0.25">
      <c r="A28" s="8" t="s">
        <v>121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1">
        <f t="shared" si="0"/>
        <v>3600</v>
      </c>
      <c r="I28" s="3"/>
    </row>
    <row r="29" spans="1:9" x14ac:dyDescent="0.25">
      <c r="A29" s="8" t="s">
        <v>15</v>
      </c>
      <c r="B29" s="131">
        <v>25</v>
      </c>
      <c r="C29" s="10"/>
      <c r="D29" s="10"/>
      <c r="E29" s="11"/>
      <c r="F29" s="11">
        <v>100</v>
      </c>
      <c r="G29" s="11">
        <v>3150</v>
      </c>
      <c r="H29" s="11">
        <f t="shared" si="0"/>
        <v>3250</v>
      </c>
      <c r="I29" s="3"/>
    </row>
    <row r="30" spans="1:9" x14ac:dyDescent="0.25">
      <c r="A30" s="8" t="s">
        <v>59</v>
      </c>
      <c r="B30" s="132">
        <v>26</v>
      </c>
      <c r="C30" s="10"/>
      <c r="D30" s="10"/>
      <c r="E30" s="97"/>
      <c r="F30" s="11">
        <v>100</v>
      </c>
      <c r="G30" s="97">
        <v>3150</v>
      </c>
      <c r="H30" s="11">
        <f t="shared" si="0"/>
        <v>3250</v>
      </c>
      <c r="I30" s="3"/>
    </row>
    <row r="31" spans="1:9" x14ac:dyDescent="0.25">
      <c r="A31" s="8" t="s">
        <v>78</v>
      </c>
      <c r="B31" s="131">
        <v>27</v>
      </c>
      <c r="C31" s="10"/>
      <c r="D31" s="10"/>
      <c r="E31" s="11"/>
      <c r="F31" s="11">
        <v>100</v>
      </c>
      <c r="G31" s="11">
        <v>3150</v>
      </c>
      <c r="H31" s="11">
        <f t="shared" si="0"/>
        <v>3250</v>
      </c>
      <c r="I31" s="3"/>
    </row>
    <row r="32" spans="1:9" x14ac:dyDescent="0.25">
      <c r="A32" s="8" t="s">
        <v>149</v>
      </c>
      <c r="B32" s="131">
        <v>28</v>
      </c>
      <c r="C32" s="10"/>
      <c r="D32" s="10"/>
      <c r="E32" s="11"/>
      <c r="F32" s="11">
        <v>100</v>
      </c>
      <c r="G32" s="11">
        <v>2950</v>
      </c>
      <c r="H32" s="11">
        <f t="shared" si="0"/>
        <v>3050</v>
      </c>
      <c r="I32" s="3"/>
    </row>
    <row r="33" spans="1:10" x14ac:dyDescent="0.25">
      <c r="A33" s="32" t="s">
        <v>213</v>
      </c>
      <c r="B33" s="131">
        <v>29</v>
      </c>
      <c r="C33" s="10"/>
      <c r="D33" s="10"/>
      <c r="E33" s="11"/>
      <c r="F33" s="11">
        <v>100</v>
      </c>
      <c r="G33" s="11">
        <v>3000</v>
      </c>
      <c r="H33" s="11">
        <f t="shared" si="0"/>
        <v>3100</v>
      </c>
      <c r="I33" s="3"/>
    </row>
    <row r="34" spans="1:10" x14ac:dyDescent="0.25">
      <c r="A34" s="8" t="s">
        <v>100</v>
      </c>
      <c r="B34" s="131">
        <v>30</v>
      </c>
      <c r="C34" s="10"/>
      <c r="D34" s="10"/>
      <c r="E34" s="11"/>
      <c r="F34" s="11">
        <v>100</v>
      </c>
      <c r="G34" s="11">
        <v>2950</v>
      </c>
      <c r="H34" s="11">
        <f t="shared" si="0"/>
        <v>3050</v>
      </c>
      <c r="I34" s="3"/>
    </row>
    <row r="35" spans="1:10" x14ac:dyDescent="0.25">
      <c r="A35" s="8" t="s">
        <v>7</v>
      </c>
      <c r="B35" s="131">
        <v>31</v>
      </c>
      <c r="C35" s="10"/>
      <c r="D35" s="10"/>
      <c r="E35" s="81"/>
      <c r="F35" s="11">
        <v>100</v>
      </c>
      <c r="G35" s="11">
        <v>3500</v>
      </c>
      <c r="H35" s="11">
        <f t="shared" si="0"/>
        <v>3600</v>
      </c>
      <c r="I35" s="3"/>
    </row>
    <row r="36" spans="1:10" x14ac:dyDescent="0.25">
      <c r="A36" s="8" t="s">
        <v>163</v>
      </c>
      <c r="B36" s="133">
        <v>32</v>
      </c>
      <c r="C36" s="10"/>
      <c r="D36" s="10"/>
      <c r="E36" s="110"/>
      <c r="F36" s="11">
        <v>100</v>
      </c>
      <c r="G36" s="110">
        <v>3500</v>
      </c>
      <c r="H36" s="11">
        <f t="shared" si="0"/>
        <v>3600</v>
      </c>
      <c r="I36" s="3"/>
    </row>
    <row r="37" spans="1:10" x14ac:dyDescent="0.25">
      <c r="A37" s="142" t="s">
        <v>224</v>
      </c>
      <c r="B37" s="133">
        <v>33</v>
      </c>
      <c r="C37" s="10"/>
      <c r="D37" s="10">
        <v>3500</v>
      </c>
      <c r="E37" s="110"/>
      <c r="F37" s="11"/>
      <c r="G37" s="110">
        <v>3500</v>
      </c>
      <c r="H37" s="11">
        <f t="shared" si="0"/>
        <v>3500</v>
      </c>
      <c r="I37" s="3"/>
    </row>
    <row r="38" spans="1:10" x14ac:dyDescent="0.25">
      <c r="A38" s="8" t="s">
        <v>6</v>
      </c>
      <c r="B38" s="131">
        <v>34</v>
      </c>
      <c r="C38" s="10"/>
      <c r="D38" s="10"/>
      <c r="E38" s="11"/>
      <c r="F38" s="11">
        <v>100</v>
      </c>
      <c r="G38" s="11">
        <v>4500</v>
      </c>
      <c r="H38" s="11">
        <f>E38+F38+G38</f>
        <v>4600</v>
      </c>
      <c r="I38" s="3"/>
    </row>
    <row r="39" spans="1:10" x14ac:dyDescent="0.25">
      <c r="A39" s="119"/>
      <c r="B39" s="119"/>
      <c r="C39" s="119"/>
      <c r="D39" s="119"/>
      <c r="E39" s="119">
        <f>SUM(E5:E37)</f>
        <v>0</v>
      </c>
      <c r="F39" s="119">
        <f>SUM(F5:F38)</f>
        <v>2900</v>
      </c>
      <c r="G39" s="119">
        <f>SUM(G5:G38)</f>
        <v>88100</v>
      </c>
      <c r="H39" s="119">
        <f>SUM(H5:H38)</f>
        <v>91000</v>
      </c>
      <c r="I39" s="140"/>
    </row>
    <row r="40" spans="1:10" x14ac:dyDescent="0.25">
      <c r="A40" s="84"/>
      <c r="B40" s="12" t="s">
        <v>111</v>
      </c>
      <c r="C40" s="129"/>
      <c r="D40" s="84"/>
      <c r="E40" s="85">
        <f>G39</f>
        <v>88100</v>
      </c>
      <c r="F40" s="3"/>
      <c r="G40" s="86"/>
      <c r="H40" s="3"/>
      <c r="I40" s="87"/>
      <c r="J40">
        <v>85000</v>
      </c>
    </row>
    <row r="41" spans="1:10" ht="16.5" x14ac:dyDescent="0.35">
      <c r="A41" s="84"/>
      <c r="B41" s="12"/>
      <c r="C41" s="129"/>
      <c r="D41" s="130"/>
      <c r="E41" s="88"/>
      <c r="F41" s="84"/>
      <c r="G41" s="23" t="s">
        <v>135</v>
      </c>
      <c r="H41" s="129"/>
      <c r="I41" s="108"/>
      <c r="J41">
        <v>34000</v>
      </c>
    </row>
    <row r="42" spans="1:10" x14ac:dyDescent="0.25">
      <c r="A42" s="84"/>
      <c r="B42" s="129" t="s">
        <v>225</v>
      </c>
      <c r="C42" s="129" t="s">
        <v>224</v>
      </c>
      <c r="D42" s="129"/>
      <c r="E42" s="129">
        <v>3000</v>
      </c>
      <c r="F42" s="84"/>
      <c r="G42" s="12" t="s">
        <v>31</v>
      </c>
      <c r="H42" s="129"/>
      <c r="I42" s="20"/>
      <c r="J42">
        <f>J40-J41</f>
        <v>51000</v>
      </c>
    </row>
    <row r="43" spans="1:10" x14ac:dyDescent="0.25">
      <c r="A43" s="129"/>
      <c r="B43" s="12"/>
      <c r="C43" s="129"/>
      <c r="D43" s="84"/>
      <c r="E43" s="88">
        <f>SUM(E40:E42)</f>
        <v>91100</v>
      </c>
      <c r="F43" s="129"/>
      <c r="G43" s="129"/>
      <c r="H43" s="129"/>
      <c r="I43" s="129"/>
    </row>
    <row r="44" spans="1:10" x14ac:dyDescent="0.25">
      <c r="A44" s="84"/>
      <c r="B44" s="141" t="s">
        <v>26</v>
      </c>
      <c r="C44" s="129"/>
      <c r="E44" s="134">
        <v>0.08</v>
      </c>
      <c r="F44" s="12" t="s">
        <v>217</v>
      </c>
      <c r="G44" s="12" t="s">
        <v>116</v>
      </c>
      <c r="H44" s="12" t="s">
        <v>113</v>
      </c>
      <c r="I44" s="129"/>
    </row>
    <row r="45" spans="1:10" x14ac:dyDescent="0.25">
      <c r="A45" s="84"/>
      <c r="B45" s="12" t="s">
        <v>79</v>
      </c>
      <c r="C45" s="129"/>
      <c r="D45" s="84"/>
      <c r="E45" s="143">
        <f>E40*E44</f>
        <v>7048</v>
      </c>
      <c r="F45" s="96" t="s">
        <v>40</v>
      </c>
      <c r="G45" s="12" t="s">
        <v>117</v>
      </c>
      <c r="H45" s="12" t="s">
        <v>117</v>
      </c>
      <c r="I45" s="129"/>
    </row>
    <row r="46" spans="1:10" x14ac:dyDescent="0.25">
      <c r="A46" s="135"/>
      <c r="B46" s="12" t="s">
        <v>226</v>
      </c>
      <c r="C46" s="129"/>
      <c r="D46" s="84"/>
      <c r="E46" s="129">
        <v>2800</v>
      </c>
      <c r="F46" s="129"/>
      <c r="G46" s="129"/>
      <c r="H46" s="129"/>
      <c r="I46" s="12"/>
    </row>
    <row r="47" spans="1:10" x14ac:dyDescent="0.25">
      <c r="A47" s="129"/>
      <c r="B47" s="12" t="s">
        <v>222</v>
      </c>
      <c r="C47" s="129"/>
      <c r="D47" s="129"/>
      <c r="E47" s="129">
        <v>22900</v>
      </c>
      <c r="F47" s="129"/>
      <c r="G47" s="129"/>
      <c r="H47" s="129"/>
      <c r="I47" s="129"/>
    </row>
    <row r="48" spans="1:10" x14ac:dyDescent="0.25">
      <c r="A48" s="129"/>
      <c r="B48" s="116" t="s">
        <v>29</v>
      </c>
      <c r="C48" s="107"/>
      <c r="D48" s="129"/>
      <c r="E48" s="20">
        <f>SUM(E45:E47)</f>
        <v>32748</v>
      </c>
      <c r="F48" s="129"/>
      <c r="G48" s="129"/>
      <c r="H48" s="129"/>
      <c r="I48" s="129"/>
    </row>
    <row r="49" spans="1:9" x14ac:dyDescent="0.25">
      <c r="A49" s="129"/>
      <c r="B49" s="116" t="s">
        <v>227</v>
      </c>
      <c r="C49" s="107"/>
      <c r="D49" s="107"/>
      <c r="E49" s="113">
        <f>E43-E48</f>
        <v>58352</v>
      </c>
      <c r="F49" s="12"/>
      <c r="G49" s="12"/>
      <c r="H49" s="12"/>
      <c r="I49" s="129"/>
    </row>
  </sheetData>
  <pageMargins left="0.7" right="0.7" top="0.75" bottom="0.75" header="0.3" footer="0.3"/>
  <pageSetup orientation="portrait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sqref="A1:H47"/>
    </sheetView>
  </sheetViews>
  <sheetFormatPr defaultRowHeight="15" x14ac:dyDescent="0.25"/>
  <cols>
    <col min="1" max="1" width="20" customWidth="1"/>
    <col min="5" max="5" width="12.5703125" customWidth="1"/>
    <col min="11" max="11" width="10" bestFit="1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11" ht="15.75" x14ac:dyDescent="0.25">
      <c r="A2" s="98" t="s">
        <v>228</v>
      </c>
      <c r="B2" s="98"/>
      <c r="C2" s="98"/>
      <c r="D2" s="98"/>
      <c r="E2" s="129"/>
      <c r="F2" s="98"/>
      <c r="G2" s="98"/>
      <c r="H2" s="98">
        <v>2015</v>
      </c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11" x14ac:dyDescent="0.25">
      <c r="A4" s="129" t="s">
        <v>64</v>
      </c>
      <c r="B4">
        <v>1</v>
      </c>
    </row>
    <row r="5" spans="1:11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1">
        <v>2450</v>
      </c>
      <c r="H5" s="11">
        <f t="shared" ref="H5:H36" si="0">E5+F5+G5</f>
        <v>2550</v>
      </c>
    </row>
    <row r="6" spans="1:11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1">
        <v>3700</v>
      </c>
      <c r="H6" s="11">
        <f>E6+F6+G6</f>
        <v>3800</v>
      </c>
    </row>
    <row r="7" spans="1:11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1">
        <v>3650</v>
      </c>
      <c r="H7" s="11">
        <f t="shared" si="0"/>
        <v>3750</v>
      </c>
      <c r="K7">
        <v>722854597</v>
      </c>
    </row>
    <row r="8" spans="1:11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</row>
    <row r="9" spans="1:11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</row>
    <row r="10" spans="1:11" x14ac:dyDescent="0.25">
      <c r="A10" s="8" t="s">
        <v>64</v>
      </c>
      <c r="B10" s="131">
        <v>7</v>
      </c>
      <c r="C10" s="10"/>
      <c r="D10" s="10">
        <v>2450</v>
      </c>
      <c r="E10" s="11"/>
      <c r="F10" s="11">
        <v>100</v>
      </c>
      <c r="G10" s="11">
        <v>2500</v>
      </c>
      <c r="H10" s="11">
        <f t="shared" si="0"/>
        <v>2600</v>
      </c>
      <c r="I10" s="81">
        <v>1</v>
      </c>
      <c r="J10">
        <v>2450</v>
      </c>
    </row>
    <row r="11" spans="1:11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>
        <v>2</v>
      </c>
      <c r="J11" s="129">
        <v>2450</v>
      </c>
    </row>
    <row r="12" spans="1:11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81">
        <v>3</v>
      </c>
      <c r="J12" s="129">
        <v>2450</v>
      </c>
    </row>
    <row r="13" spans="1:11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29">
        <v>4</v>
      </c>
      <c r="J13" s="129">
        <v>2450</v>
      </c>
    </row>
    <row r="14" spans="1:11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81">
        <v>5</v>
      </c>
      <c r="J14" s="129">
        <v>2450</v>
      </c>
    </row>
    <row r="15" spans="1:11" x14ac:dyDescent="0.25">
      <c r="A15" s="8" t="s">
        <v>92</v>
      </c>
      <c r="B15" s="131">
        <v>12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  <c r="I15" s="129">
        <v>6</v>
      </c>
      <c r="J15" s="129">
        <v>2450</v>
      </c>
    </row>
    <row r="16" spans="1:11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>E16+F16+G16</f>
        <v>2550</v>
      </c>
      <c r="I16" s="81">
        <v>7</v>
      </c>
      <c r="J16" s="129">
        <v>2450</v>
      </c>
    </row>
    <row r="17" spans="1:12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29">
        <v>8</v>
      </c>
      <c r="J17" s="129">
        <v>2450</v>
      </c>
    </row>
    <row r="18" spans="1:12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1">
        <f t="shared" si="0"/>
        <v>2550</v>
      </c>
      <c r="I18" s="81">
        <v>9</v>
      </c>
      <c r="J18" s="129">
        <v>2450</v>
      </c>
    </row>
    <row r="19" spans="1:12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29">
        <v>10</v>
      </c>
      <c r="J19" s="129">
        <v>2450</v>
      </c>
    </row>
    <row r="20" spans="1:12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  <c r="I20" s="81">
        <v>11</v>
      </c>
      <c r="J20" s="129">
        <v>2450</v>
      </c>
      <c r="K20">
        <f>J10+J11+J12+J13+J14+J15+J16+J17+J18+J19+J20</f>
        <v>26950</v>
      </c>
    </row>
    <row r="21" spans="1:12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1">
        <f t="shared" si="0"/>
        <v>2550</v>
      </c>
      <c r="I21" s="129">
        <v>12</v>
      </c>
      <c r="J21" s="129">
        <v>2500</v>
      </c>
    </row>
    <row r="22" spans="1:12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2500</v>
      </c>
      <c r="H22" s="11">
        <f t="shared" si="0"/>
        <v>2600</v>
      </c>
      <c r="I22" s="81">
        <v>13</v>
      </c>
      <c r="J22" s="129">
        <v>2500</v>
      </c>
    </row>
    <row r="23" spans="1:12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  <c r="I23" s="129">
        <v>14</v>
      </c>
      <c r="J23" s="129">
        <v>2500</v>
      </c>
      <c r="K23">
        <f>J21+J22+J23</f>
        <v>7500</v>
      </c>
    </row>
    <row r="24" spans="1:12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1">
        <f t="shared" si="0"/>
        <v>2600</v>
      </c>
      <c r="I24" s="81">
        <v>15</v>
      </c>
      <c r="J24">
        <v>3500</v>
      </c>
    </row>
    <row r="25" spans="1:12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1">
        <f t="shared" si="0"/>
        <v>3600</v>
      </c>
      <c r="I25" s="129">
        <v>16</v>
      </c>
      <c r="J25" s="129">
        <v>3500</v>
      </c>
    </row>
    <row r="26" spans="1:12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81">
        <v>17</v>
      </c>
      <c r="J26" s="129">
        <v>3500</v>
      </c>
    </row>
    <row r="27" spans="1:12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  <c r="I27" s="129">
        <v>18</v>
      </c>
      <c r="J27" s="129">
        <v>3500</v>
      </c>
    </row>
    <row r="28" spans="1:12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1">
        <v>3150</v>
      </c>
      <c r="H28" s="11">
        <f t="shared" si="0"/>
        <v>3250</v>
      </c>
      <c r="I28" s="81">
        <v>19</v>
      </c>
      <c r="J28" s="129">
        <v>3500</v>
      </c>
    </row>
    <row r="29" spans="1:12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1">
        <f t="shared" si="0"/>
        <v>3250</v>
      </c>
      <c r="I29" s="129">
        <v>20</v>
      </c>
      <c r="J29" s="129">
        <v>3500</v>
      </c>
      <c r="K29">
        <f>J24+J25+J26+J27+J28+J29</f>
        <v>21000</v>
      </c>
      <c r="L29">
        <v>3100</v>
      </c>
    </row>
    <row r="30" spans="1:12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81">
        <v>21</v>
      </c>
      <c r="J30">
        <v>3150</v>
      </c>
      <c r="L30" s="144">
        <v>1600</v>
      </c>
    </row>
    <row r="31" spans="1:12" x14ac:dyDescent="0.25">
      <c r="A31" s="8" t="s">
        <v>149</v>
      </c>
      <c r="B31" s="131">
        <v>28</v>
      </c>
      <c r="C31" s="10"/>
      <c r="D31" s="10"/>
      <c r="E31" s="11"/>
      <c r="F31" s="11">
        <v>100</v>
      </c>
      <c r="G31" s="11">
        <v>2950</v>
      </c>
      <c r="H31" s="11">
        <f t="shared" si="0"/>
        <v>3050</v>
      </c>
      <c r="I31" s="129">
        <v>22</v>
      </c>
      <c r="J31" s="129">
        <v>3150</v>
      </c>
      <c r="L31">
        <v>1500</v>
      </c>
    </row>
    <row r="32" spans="1:12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81">
        <v>23</v>
      </c>
      <c r="J32" s="129">
        <v>3150</v>
      </c>
      <c r="K32">
        <f>J30+J31+J32</f>
        <v>9450</v>
      </c>
      <c r="L32">
        <f>SUM(L29:L31)</f>
        <v>6200</v>
      </c>
    </row>
    <row r="33" spans="1:12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29">
        <v>24</v>
      </c>
      <c r="J33">
        <v>2650</v>
      </c>
      <c r="L33">
        <v>0</v>
      </c>
    </row>
    <row r="34" spans="1:12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1">
        <f t="shared" si="0"/>
        <v>3600</v>
      </c>
      <c r="I34" s="81">
        <v>25</v>
      </c>
      <c r="J34" s="129">
        <v>2650</v>
      </c>
      <c r="K34">
        <f>J33+J34</f>
        <v>5300</v>
      </c>
    </row>
    <row r="35" spans="1:12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0">
        <v>3500</v>
      </c>
      <c r="H35" s="11">
        <f t="shared" si="0"/>
        <v>3600</v>
      </c>
      <c r="I35" s="129">
        <v>26</v>
      </c>
      <c r="J35">
        <v>2950</v>
      </c>
    </row>
    <row r="36" spans="1:12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1">
        <f t="shared" si="0"/>
        <v>3600</v>
      </c>
      <c r="I36" s="81">
        <v>27</v>
      </c>
      <c r="J36" s="129">
        <v>2950</v>
      </c>
      <c r="K36">
        <f>J35+J36</f>
        <v>5900</v>
      </c>
    </row>
    <row r="37" spans="1:12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1">
        <v>4500</v>
      </c>
      <c r="H37" s="11">
        <f>E37+F37+G37</f>
        <v>4600</v>
      </c>
      <c r="I37" s="129">
        <v>28</v>
      </c>
      <c r="J37">
        <v>3650</v>
      </c>
      <c r="K37" s="144">
        <v>3650</v>
      </c>
    </row>
    <row r="38" spans="1:12" x14ac:dyDescent="0.25">
      <c r="A38" s="119"/>
      <c r="B38" s="119"/>
      <c r="C38" s="119"/>
      <c r="D38" s="119"/>
      <c r="E38" s="119">
        <f>SUM(E5:E36)</f>
        <v>0</v>
      </c>
      <c r="F38" s="119">
        <f>SUM(F5:F37)</f>
        <v>3100</v>
      </c>
      <c r="G38" s="119">
        <f>SUM(G5:G37)</f>
        <v>90950</v>
      </c>
      <c r="H38" s="119">
        <f>SUM(H5:H37)</f>
        <v>94050</v>
      </c>
      <c r="I38" s="81">
        <v>29</v>
      </c>
      <c r="J38">
        <v>3700</v>
      </c>
      <c r="K38">
        <v>3700</v>
      </c>
    </row>
    <row r="39" spans="1:12" x14ac:dyDescent="0.25">
      <c r="A39" s="84"/>
      <c r="B39" s="12" t="s">
        <v>111</v>
      </c>
      <c r="C39" s="129"/>
      <c r="D39" s="84"/>
      <c r="E39" s="85">
        <f>G38</f>
        <v>90950</v>
      </c>
      <c r="F39" s="3"/>
      <c r="G39" s="86"/>
      <c r="H39" s="3"/>
      <c r="I39" s="129">
        <v>30</v>
      </c>
      <c r="J39">
        <v>4500</v>
      </c>
      <c r="K39">
        <v>4500</v>
      </c>
    </row>
    <row r="40" spans="1:12" x14ac:dyDescent="0.25">
      <c r="A40" s="84"/>
      <c r="B40" s="129" t="s">
        <v>225</v>
      </c>
      <c r="C40" s="129"/>
      <c r="D40" s="129"/>
      <c r="E40" s="129"/>
      <c r="F40" s="84"/>
      <c r="G40" s="23" t="s">
        <v>135</v>
      </c>
      <c r="H40" s="129"/>
      <c r="J40">
        <f>SUM(J10:J39)</f>
        <v>87950</v>
      </c>
      <c r="K40">
        <f>SUM(K10:K39)</f>
        <v>87950</v>
      </c>
    </row>
    <row r="41" spans="1:12" x14ac:dyDescent="0.25">
      <c r="A41" s="129"/>
      <c r="B41" s="12"/>
      <c r="C41" s="129"/>
      <c r="D41" s="84"/>
      <c r="E41" s="88">
        <f>SUM(E39:E40)</f>
        <v>90950</v>
      </c>
      <c r="F41" s="129"/>
      <c r="G41" s="12" t="s">
        <v>31</v>
      </c>
      <c r="H41" s="129"/>
    </row>
    <row r="42" spans="1:12" x14ac:dyDescent="0.25">
      <c r="A42" s="84"/>
      <c r="B42" s="141" t="s">
        <v>26</v>
      </c>
      <c r="C42" s="129"/>
      <c r="D42" s="129"/>
      <c r="E42" s="134">
        <v>0.08</v>
      </c>
      <c r="F42" s="12" t="s">
        <v>217</v>
      </c>
      <c r="G42" s="12" t="s">
        <v>116</v>
      </c>
      <c r="H42" s="12" t="s">
        <v>113</v>
      </c>
    </row>
    <row r="43" spans="1:12" x14ac:dyDescent="0.25">
      <c r="A43" s="84"/>
      <c r="B43" s="12" t="s">
        <v>79</v>
      </c>
      <c r="C43" s="129"/>
      <c r="D43" s="84"/>
      <c r="E43" s="143">
        <f>E39*E42</f>
        <v>7276</v>
      </c>
      <c r="F43" s="96" t="s">
        <v>40</v>
      </c>
      <c r="G43" s="12" t="s">
        <v>117</v>
      </c>
      <c r="H43" s="12" t="s">
        <v>117</v>
      </c>
    </row>
    <row r="44" spans="1:12" x14ac:dyDescent="0.25">
      <c r="A44" s="135"/>
      <c r="B44" s="12" t="s">
        <v>221</v>
      </c>
      <c r="C44" s="129"/>
      <c r="D44" s="84"/>
      <c r="E44" s="129">
        <v>1500</v>
      </c>
      <c r="F44" s="129"/>
      <c r="G44" s="129"/>
      <c r="H44" s="129"/>
    </row>
    <row r="45" spans="1:12" x14ac:dyDescent="0.25">
      <c r="A45" s="129"/>
      <c r="B45" s="12" t="s">
        <v>222</v>
      </c>
      <c r="C45" s="129"/>
      <c r="D45" s="129"/>
      <c r="E45" s="129">
        <v>22900</v>
      </c>
      <c r="F45" s="129"/>
      <c r="G45" s="129"/>
      <c r="H45" s="129"/>
    </row>
    <row r="46" spans="1:12" x14ac:dyDescent="0.25">
      <c r="A46" s="129"/>
      <c r="B46" s="116" t="s">
        <v>29</v>
      </c>
      <c r="C46" s="107"/>
      <c r="D46" s="129"/>
      <c r="E46" s="20">
        <f>SUM(E43:E45)</f>
        <v>31676</v>
      </c>
      <c r="F46" s="129"/>
      <c r="G46" s="129"/>
      <c r="H46" s="129"/>
    </row>
    <row r="47" spans="1:12" x14ac:dyDescent="0.25">
      <c r="A47" s="129"/>
      <c r="B47" s="116" t="s">
        <v>227</v>
      </c>
      <c r="C47" s="107"/>
      <c r="D47" s="107"/>
      <c r="E47" s="113">
        <f>E41-E46</f>
        <v>59274</v>
      </c>
      <c r="F47" s="12"/>
      <c r="G47" s="12"/>
      <c r="H47" s="12"/>
    </row>
    <row r="48" spans="1:12" x14ac:dyDescent="0.25">
      <c r="A48" s="129"/>
      <c r="B48" s="129"/>
      <c r="C48" s="129"/>
      <c r="D48" s="129"/>
      <c r="E48" s="129"/>
      <c r="F48" s="129"/>
      <c r="G48" s="129"/>
      <c r="H48" s="129"/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I51"/>
    </sheetView>
  </sheetViews>
  <sheetFormatPr defaultRowHeight="15" x14ac:dyDescent="0.25"/>
  <cols>
    <col min="1" max="1" width="16.5703125" customWidth="1"/>
    <col min="5" max="5" width="10.42578125" customWidth="1"/>
    <col min="6" max="6" width="10.5703125" bestFit="1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233</v>
      </c>
      <c r="B2" s="98"/>
      <c r="C2" s="98"/>
      <c r="D2" s="98"/>
      <c r="E2" s="129"/>
      <c r="F2" s="98"/>
      <c r="G2" s="98"/>
      <c r="H2" s="98">
        <v>2015</v>
      </c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29" t="s">
        <v>64</v>
      </c>
      <c r="B4" s="129">
        <v>1</v>
      </c>
      <c r="C4" s="129"/>
      <c r="D4" s="129"/>
      <c r="E4" s="129"/>
      <c r="F4" s="129"/>
      <c r="G4" s="129"/>
      <c r="H4" s="129"/>
    </row>
    <row r="5" spans="1:8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1">
        <v>2450</v>
      </c>
      <c r="H5" s="11">
        <f t="shared" ref="H5:H36" si="0">E5+F5+G5</f>
        <v>2550</v>
      </c>
    </row>
    <row r="6" spans="1:8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1">
        <v>3700</v>
      </c>
      <c r="H6" s="11">
        <f>E6+F6+G6</f>
        <v>3800</v>
      </c>
    </row>
    <row r="7" spans="1:8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1">
        <v>3650</v>
      </c>
      <c r="H7" s="11">
        <f t="shared" si="0"/>
        <v>3750</v>
      </c>
    </row>
    <row r="8" spans="1:8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</row>
    <row r="9" spans="1:8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</row>
    <row r="10" spans="1:8" x14ac:dyDescent="0.25">
      <c r="A10" s="8" t="s">
        <v>230</v>
      </c>
      <c r="B10" s="131">
        <v>7</v>
      </c>
      <c r="C10" s="10"/>
      <c r="D10" s="10">
        <v>2450</v>
      </c>
      <c r="E10" s="11"/>
      <c r="F10" s="11">
        <v>100</v>
      </c>
      <c r="G10" s="11">
        <v>2500</v>
      </c>
      <c r="H10" s="11">
        <f t="shared" si="0"/>
        <v>2600</v>
      </c>
    </row>
    <row r="11" spans="1:8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</row>
    <row r="12" spans="1:8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</row>
    <row r="13" spans="1:8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</row>
    <row r="14" spans="1:8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</row>
    <row r="15" spans="1:8" x14ac:dyDescent="0.25">
      <c r="A15" s="8" t="s">
        <v>92</v>
      </c>
      <c r="B15" s="131">
        <v>12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</row>
    <row r="16" spans="1:8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>E16+F16+G16</f>
        <v>2550</v>
      </c>
    </row>
    <row r="17" spans="1:8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1">
        <f t="shared" si="0"/>
        <v>2600</v>
      </c>
    </row>
    <row r="18" spans="1:8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1">
        <f t="shared" si="0"/>
        <v>2550</v>
      </c>
    </row>
    <row r="19" spans="1:8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</row>
    <row r="20" spans="1:8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</row>
    <row r="21" spans="1:8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1">
        <f t="shared" si="0"/>
        <v>2550</v>
      </c>
    </row>
    <row r="22" spans="1:8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2500</v>
      </c>
      <c r="H22" s="11">
        <f t="shared" si="0"/>
        <v>2600</v>
      </c>
    </row>
    <row r="23" spans="1:8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</row>
    <row r="24" spans="1:8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1">
        <f t="shared" si="0"/>
        <v>2600</v>
      </c>
    </row>
    <row r="25" spans="1:8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1">
        <f t="shared" si="0"/>
        <v>3600</v>
      </c>
    </row>
    <row r="26" spans="1:8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</row>
    <row r="27" spans="1:8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</row>
    <row r="28" spans="1:8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1">
        <v>3150</v>
      </c>
      <c r="H28" s="11">
        <f t="shared" si="0"/>
        <v>3250</v>
      </c>
    </row>
    <row r="29" spans="1:8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1">
        <f t="shared" si="0"/>
        <v>3250</v>
      </c>
    </row>
    <row r="30" spans="1:8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</row>
    <row r="31" spans="1:8" x14ac:dyDescent="0.25">
      <c r="A31" s="8" t="s">
        <v>149</v>
      </c>
      <c r="B31" s="131">
        <v>28</v>
      </c>
      <c r="C31" s="10"/>
      <c r="D31" s="10"/>
      <c r="E31" s="11"/>
      <c r="F31" s="11">
        <v>100</v>
      </c>
      <c r="G31" s="11">
        <v>2950</v>
      </c>
      <c r="H31" s="11">
        <f t="shared" si="0"/>
        <v>3050</v>
      </c>
    </row>
    <row r="32" spans="1:8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</row>
    <row r="34" spans="1:11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1">
        <f t="shared" si="0"/>
        <v>3600</v>
      </c>
    </row>
    <row r="35" spans="1:11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0">
        <v>3500</v>
      </c>
      <c r="H35" s="11">
        <f t="shared" si="0"/>
        <v>3600</v>
      </c>
    </row>
    <row r="36" spans="1:11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1">
        <f t="shared" si="0"/>
        <v>3600</v>
      </c>
    </row>
    <row r="37" spans="1:11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1">
        <v>4500</v>
      </c>
      <c r="H37" s="11">
        <f>E37+F37+G37</f>
        <v>4600</v>
      </c>
    </row>
    <row r="38" spans="1:11" s="129" customFormat="1" x14ac:dyDescent="0.25">
      <c r="A38" s="8" t="s">
        <v>9</v>
      </c>
      <c r="B38" s="131"/>
      <c r="C38" s="10"/>
      <c r="D38" s="10"/>
      <c r="E38" s="11"/>
      <c r="F38" s="11">
        <v>100</v>
      </c>
      <c r="G38" s="11">
        <v>3500</v>
      </c>
      <c r="H38" s="11">
        <f>E38+F38+G38</f>
        <v>3600</v>
      </c>
    </row>
    <row r="39" spans="1:11" x14ac:dyDescent="0.25">
      <c r="A39" s="119"/>
      <c r="B39" s="119"/>
      <c r="C39" s="119"/>
      <c r="D39" s="119"/>
      <c r="E39" s="119">
        <f>SUM(E5:E36)</f>
        <v>0</v>
      </c>
      <c r="F39" s="119">
        <f>SUM(F5:F38)</f>
        <v>3200</v>
      </c>
      <c r="G39" s="119">
        <f>SUM(G5:G38)</f>
        <v>94500</v>
      </c>
      <c r="H39" s="119">
        <f>SUM(H5:H38)</f>
        <v>97700</v>
      </c>
      <c r="K39">
        <v>3200</v>
      </c>
    </row>
    <row r="40" spans="1:11" x14ac:dyDescent="0.25">
      <c r="A40" s="84"/>
      <c r="B40" s="12" t="s">
        <v>111</v>
      </c>
      <c r="C40" s="129"/>
      <c r="D40" s="84"/>
      <c r="E40" s="85">
        <f>G39</f>
        <v>94500</v>
      </c>
      <c r="F40" s="3"/>
      <c r="G40" s="86"/>
      <c r="H40" s="3"/>
      <c r="K40">
        <v>1600</v>
      </c>
    </row>
    <row r="41" spans="1:11" x14ac:dyDescent="0.25">
      <c r="A41" s="84"/>
      <c r="B41" s="129" t="s">
        <v>225</v>
      </c>
      <c r="C41" s="129"/>
      <c r="D41" s="129"/>
      <c r="E41" s="129">
        <v>3500</v>
      </c>
      <c r="F41" s="84"/>
      <c r="G41" s="23" t="s">
        <v>135</v>
      </c>
      <c r="H41" s="129"/>
      <c r="K41">
        <v>1800</v>
      </c>
    </row>
    <row r="42" spans="1:11" x14ac:dyDescent="0.25">
      <c r="A42" s="129"/>
      <c r="B42" s="12"/>
      <c r="C42" s="129"/>
      <c r="D42" s="84"/>
      <c r="E42" s="88">
        <f>SUM(E40:E41)</f>
        <v>98000</v>
      </c>
      <c r="F42" s="129"/>
      <c r="G42" s="12" t="s">
        <v>31</v>
      </c>
      <c r="H42" s="129"/>
      <c r="K42">
        <f>SUM(K39:K41)</f>
        <v>6600</v>
      </c>
    </row>
    <row r="43" spans="1:11" x14ac:dyDescent="0.25">
      <c r="A43" s="84"/>
      <c r="B43" s="141" t="s">
        <v>26</v>
      </c>
      <c r="C43" s="129"/>
      <c r="D43" s="129"/>
      <c r="E43" s="134">
        <v>0.08</v>
      </c>
      <c r="F43" s="12" t="s">
        <v>217</v>
      </c>
      <c r="G43" s="12" t="s">
        <v>116</v>
      </c>
      <c r="H43" s="12" t="s">
        <v>113</v>
      </c>
    </row>
    <row r="44" spans="1:11" x14ac:dyDescent="0.25">
      <c r="A44" s="84"/>
      <c r="B44" s="12" t="s">
        <v>79</v>
      </c>
      <c r="C44" s="129"/>
      <c r="D44" s="84"/>
      <c r="E44" s="143">
        <f>E40*E43</f>
        <v>7560</v>
      </c>
      <c r="F44" s="96" t="s">
        <v>40</v>
      </c>
      <c r="G44" s="12" t="s">
        <v>117</v>
      </c>
      <c r="H44" s="12" t="s">
        <v>117</v>
      </c>
    </row>
    <row r="45" spans="1:11" x14ac:dyDescent="0.25">
      <c r="A45" s="135"/>
      <c r="B45" s="12" t="s">
        <v>221</v>
      </c>
      <c r="E45">
        <v>1000</v>
      </c>
      <c r="F45" s="20"/>
      <c r="G45" s="129"/>
      <c r="H45" s="129"/>
    </row>
    <row r="46" spans="1:11" x14ac:dyDescent="0.25">
      <c r="A46" s="129"/>
      <c r="B46" s="145" t="s">
        <v>231</v>
      </c>
      <c r="C46" s="129"/>
      <c r="D46" s="84"/>
      <c r="E46" s="129">
        <v>7000</v>
      </c>
      <c r="F46" s="20"/>
      <c r="G46" s="129"/>
      <c r="H46" s="129"/>
    </row>
    <row r="47" spans="1:11" x14ac:dyDescent="0.25">
      <c r="A47" s="129"/>
      <c r="B47" s="12" t="s">
        <v>222</v>
      </c>
      <c r="C47" s="129"/>
      <c r="D47" s="129"/>
      <c r="E47" s="146">
        <v>22900</v>
      </c>
      <c r="F47" s="20"/>
      <c r="G47" s="129"/>
      <c r="H47" s="129"/>
    </row>
    <row r="48" spans="1:11" x14ac:dyDescent="0.25">
      <c r="A48" s="129"/>
      <c r="B48" s="116" t="s">
        <v>29</v>
      </c>
      <c r="C48" s="107"/>
      <c r="D48" s="129"/>
      <c r="E48" s="20">
        <f>SUM(E44:E47)</f>
        <v>38460</v>
      </c>
      <c r="F48" s="12"/>
      <c r="G48" s="12"/>
      <c r="H48" s="12"/>
    </row>
    <row r="49" spans="2:5" x14ac:dyDescent="0.25">
      <c r="B49" s="116" t="s">
        <v>232</v>
      </c>
      <c r="C49" s="107"/>
      <c r="D49" s="107"/>
      <c r="E49" s="113">
        <f>E42-E48</f>
        <v>59540</v>
      </c>
    </row>
  </sheetData>
  <pageMargins left="0.7" right="0.7" top="0.25" bottom="0.34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2" sqref="A2:H50"/>
    </sheetView>
  </sheetViews>
  <sheetFormatPr defaultRowHeight="15" x14ac:dyDescent="0.25"/>
  <cols>
    <col min="5" max="5" width="10.28515625" customWidth="1"/>
    <col min="7" max="7" width="10.5703125" bestFit="1" customWidth="1"/>
  </cols>
  <sheetData>
    <row r="1" spans="1:9" x14ac:dyDescent="0.25">
      <c r="A1" s="129"/>
    </row>
    <row r="2" spans="1:9" ht="18.75" x14ac:dyDescent="0.3">
      <c r="A2" s="99" t="s">
        <v>107</v>
      </c>
      <c r="B2" s="99"/>
      <c r="C2" s="99"/>
      <c r="D2" s="99"/>
      <c r="E2" s="99"/>
      <c r="F2" s="99"/>
      <c r="G2" s="99"/>
      <c r="H2" s="99"/>
      <c r="I2" s="129"/>
    </row>
    <row r="3" spans="1:9" ht="15.75" x14ac:dyDescent="0.25">
      <c r="A3" s="98" t="s">
        <v>233</v>
      </c>
      <c r="B3" s="98"/>
      <c r="C3" s="98"/>
      <c r="D3" s="98"/>
      <c r="E3" s="129"/>
      <c r="F3" s="98"/>
      <c r="G3" s="98"/>
      <c r="H3" s="98">
        <v>2015</v>
      </c>
      <c r="I3" s="129"/>
    </row>
    <row r="4" spans="1:9" x14ac:dyDescent="0.25">
      <c r="A4" s="82" t="s">
        <v>110</v>
      </c>
      <c r="B4" s="82" t="s">
        <v>2</v>
      </c>
      <c r="C4" s="82" t="s">
        <v>17</v>
      </c>
      <c r="D4" s="82" t="s">
        <v>108</v>
      </c>
      <c r="E4" s="82" t="s">
        <v>160</v>
      </c>
      <c r="F4" s="82" t="s">
        <v>161</v>
      </c>
      <c r="G4" s="82" t="s">
        <v>5</v>
      </c>
      <c r="H4" s="83" t="s">
        <v>19</v>
      </c>
      <c r="I4" s="129"/>
    </row>
    <row r="5" spans="1:9" x14ac:dyDescent="0.25">
      <c r="A5" s="129" t="s">
        <v>64</v>
      </c>
      <c r="B5" s="129">
        <v>1</v>
      </c>
      <c r="C5" s="129"/>
      <c r="D5" s="129"/>
      <c r="E5" s="129"/>
      <c r="F5" s="129"/>
      <c r="G5" s="129"/>
      <c r="H5" s="129"/>
      <c r="I5" s="129"/>
    </row>
    <row r="6" spans="1:9" x14ac:dyDescent="0.25">
      <c r="A6" s="8" t="s">
        <v>22</v>
      </c>
      <c r="B6" s="131">
        <v>2</v>
      </c>
      <c r="C6" s="10"/>
      <c r="D6" s="10"/>
      <c r="E6" s="11"/>
      <c r="F6" s="11">
        <v>100</v>
      </c>
      <c r="G6" s="11">
        <v>2450</v>
      </c>
      <c r="H6" s="11">
        <f t="shared" ref="H6:H37" si="0">E6+F6+G6</f>
        <v>2550</v>
      </c>
      <c r="I6" s="129"/>
    </row>
    <row r="7" spans="1:9" x14ac:dyDescent="0.25">
      <c r="A7" s="8" t="s">
        <v>89</v>
      </c>
      <c r="B7" s="131">
        <v>3</v>
      </c>
      <c r="C7" s="10"/>
      <c r="D7" s="10"/>
      <c r="E7" s="11"/>
      <c r="F7" s="11">
        <v>100</v>
      </c>
      <c r="G7" s="11">
        <v>3700</v>
      </c>
      <c r="H7" s="11">
        <f>E7+F7+G7</f>
        <v>3800</v>
      </c>
      <c r="I7" s="129"/>
    </row>
    <row r="8" spans="1:9" x14ac:dyDescent="0.25">
      <c r="A8" s="8" t="s">
        <v>44</v>
      </c>
      <c r="B8" s="131">
        <v>4</v>
      </c>
      <c r="C8" s="10"/>
      <c r="D8" s="10"/>
      <c r="E8" s="11"/>
      <c r="F8" s="11">
        <v>100</v>
      </c>
      <c r="G8" s="11">
        <v>3650</v>
      </c>
      <c r="H8" s="11">
        <f t="shared" si="0"/>
        <v>3750</v>
      </c>
      <c r="I8" s="129"/>
    </row>
    <row r="9" spans="1:9" x14ac:dyDescent="0.25">
      <c r="A9" s="32" t="s">
        <v>157</v>
      </c>
      <c r="B9" s="131">
        <v>5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29"/>
    </row>
    <row r="10" spans="1:9" x14ac:dyDescent="0.25">
      <c r="A10" s="8" t="s">
        <v>178</v>
      </c>
      <c r="B10" s="131">
        <v>6</v>
      </c>
      <c r="C10" s="10"/>
      <c r="D10" s="10"/>
      <c r="E10" s="11"/>
      <c r="F10" s="11">
        <v>100</v>
      </c>
      <c r="G10" s="11">
        <v>2650</v>
      </c>
      <c r="H10" s="11">
        <f t="shared" si="0"/>
        <v>2750</v>
      </c>
      <c r="I10" s="129"/>
    </row>
    <row r="11" spans="1:9" x14ac:dyDescent="0.25">
      <c r="A11" s="8" t="s">
        <v>230</v>
      </c>
      <c r="B11" s="131">
        <v>7</v>
      </c>
      <c r="C11" s="10"/>
      <c r="D11" s="10">
        <v>2450</v>
      </c>
      <c r="E11" s="11"/>
      <c r="F11" s="11">
        <v>100</v>
      </c>
      <c r="G11" s="11">
        <v>2500</v>
      </c>
      <c r="H11" s="11">
        <f t="shared" si="0"/>
        <v>2600</v>
      </c>
      <c r="I11" s="129"/>
    </row>
    <row r="12" spans="1:9" x14ac:dyDescent="0.25">
      <c r="A12" s="8" t="s">
        <v>8</v>
      </c>
      <c r="B12" s="131">
        <v>8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29"/>
    </row>
    <row r="13" spans="1:9" x14ac:dyDescent="0.25">
      <c r="A13" s="8" t="s">
        <v>102</v>
      </c>
      <c r="B13" s="131">
        <v>9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29"/>
    </row>
    <row r="14" spans="1:9" x14ac:dyDescent="0.25">
      <c r="A14" s="8" t="s">
        <v>47</v>
      </c>
      <c r="B14" s="131">
        <v>10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29"/>
    </row>
    <row r="15" spans="1:9" x14ac:dyDescent="0.25">
      <c r="A15" s="8" t="s">
        <v>91</v>
      </c>
      <c r="B15" s="131">
        <v>11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  <c r="I15" s="129"/>
    </row>
    <row r="16" spans="1:9" x14ac:dyDescent="0.25">
      <c r="A16" s="8" t="s">
        <v>92</v>
      </c>
      <c r="B16" s="131">
        <v>12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29"/>
    </row>
    <row r="17" spans="1:9" x14ac:dyDescent="0.25">
      <c r="A17" s="8" t="s">
        <v>93</v>
      </c>
      <c r="B17" s="131">
        <v>13</v>
      </c>
      <c r="C17" s="10"/>
      <c r="D17" s="10"/>
      <c r="E17" s="11"/>
      <c r="F17" s="11">
        <v>100</v>
      </c>
      <c r="G17" s="11">
        <v>2450</v>
      </c>
      <c r="H17" s="11">
        <f>E17+F17+G17</f>
        <v>2550</v>
      </c>
      <c r="I17" s="129"/>
    </row>
    <row r="18" spans="1:9" x14ac:dyDescent="0.25">
      <c r="A18" s="32" t="s">
        <v>229</v>
      </c>
      <c r="B18" s="131">
        <v>14</v>
      </c>
      <c r="C18" s="10"/>
      <c r="D18" s="10"/>
      <c r="E18" s="11"/>
      <c r="F18" s="11">
        <v>100</v>
      </c>
      <c r="G18" s="11">
        <v>2500</v>
      </c>
      <c r="H18" s="11">
        <f t="shared" si="0"/>
        <v>2600</v>
      </c>
      <c r="I18" s="129"/>
    </row>
    <row r="19" spans="1:9" x14ac:dyDescent="0.25">
      <c r="A19" s="8" t="s">
        <v>51</v>
      </c>
      <c r="B19" s="131">
        <v>15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29"/>
    </row>
    <row r="20" spans="1:9" x14ac:dyDescent="0.25">
      <c r="A20" s="8" t="s">
        <v>94</v>
      </c>
      <c r="B20" s="131">
        <v>16</v>
      </c>
      <c r="C20" s="10"/>
      <c r="D20" s="10"/>
      <c r="E20" s="11"/>
      <c r="F20" s="11">
        <v>100</v>
      </c>
      <c r="G20" s="11">
        <v>2450</v>
      </c>
      <c r="H20" s="11">
        <f t="shared" si="0"/>
        <v>2550</v>
      </c>
      <c r="I20" s="129"/>
    </row>
    <row r="21" spans="1:9" x14ac:dyDescent="0.25">
      <c r="A21" s="8" t="s">
        <v>10</v>
      </c>
      <c r="B21" s="131">
        <v>17</v>
      </c>
      <c r="C21" s="10"/>
      <c r="D21" s="10"/>
      <c r="E21" s="11"/>
      <c r="F21" s="11"/>
      <c r="G21" s="11"/>
      <c r="H21" s="11">
        <f t="shared" si="0"/>
        <v>0</v>
      </c>
      <c r="I21" s="129"/>
    </row>
    <row r="22" spans="1:9" x14ac:dyDescent="0.25">
      <c r="A22" s="8" t="s">
        <v>212</v>
      </c>
      <c r="B22" s="131">
        <v>18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29"/>
    </row>
    <row r="23" spans="1:9" x14ac:dyDescent="0.25">
      <c r="A23" s="8" t="s">
        <v>53</v>
      </c>
      <c r="B23" s="131">
        <v>19</v>
      </c>
      <c r="C23" s="10"/>
      <c r="D23" s="10"/>
      <c r="E23" s="11"/>
      <c r="F23" s="11">
        <v>100</v>
      </c>
      <c r="G23" s="11">
        <v>2500</v>
      </c>
      <c r="H23" s="11">
        <f t="shared" si="0"/>
        <v>2600</v>
      </c>
      <c r="I23" s="129"/>
    </row>
    <row r="24" spans="1:9" x14ac:dyDescent="0.25">
      <c r="A24" s="8" t="s">
        <v>10</v>
      </c>
      <c r="B24" s="131">
        <v>20</v>
      </c>
      <c r="C24" s="10"/>
      <c r="D24" s="10"/>
      <c r="E24" s="11"/>
      <c r="F24" s="11"/>
      <c r="G24" s="11"/>
      <c r="H24" s="11">
        <f t="shared" si="0"/>
        <v>0</v>
      </c>
      <c r="I24" s="129"/>
    </row>
    <row r="25" spans="1:9" x14ac:dyDescent="0.25">
      <c r="A25" s="8" t="s">
        <v>64</v>
      </c>
      <c r="B25" s="131">
        <v>21</v>
      </c>
      <c r="C25" s="10"/>
      <c r="D25" s="10"/>
      <c r="E25" s="11"/>
      <c r="F25" s="11">
        <v>100</v>
      </c>
      <c r="G25" s="11">
        <v>2500</v>
      </c>
      <c r="H25" s="11">
        <f t="shared" si="0"/>
        <v>2600</v>
      </c>
      <c r="I25" s="129"/>
    </row>
    <row r="26" spans="1:9" x14ac:dyDescent="0.25">
      <c r="A26" s="8" t="s">
        <v>142</v>
      </c>
      <c r="B26" s="131">
        <v>22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29"/>
    </row>
    <row r="27" spans="1:9" x14ac:dyDescent="0.25">
      <c r="A27" s="8" t="s">
        <v>162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  <c r="I27" s="129"/>
    </row>
    <row r="28" spans="1:9" x14ac:dyDescent="0.25">
      <c r="A28" s="8" t="s">
        <v>121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1">
        <f t="shared" si="0"/>
        <v>3600</v>
      </c>
      <c r="I28" s="129"/>
    </row>
    <row r="29" spans="1:9" x14ac:dyDescent="0.25">
      <c r="A29" s="8" t="s">
        <v>15</v>
      </c>
      <c r="B29" s="131">
        <v>25</v>
      </c>
      <c r="C29" s="10"/>
      <c r="D29" s="10"/>
      <c r="E29" s="11"/>
      <c r="F29" s="11">
        <v>100</v>
      </c>
      <c r="G29" s="11">
        <v>3150</v>
      </c>
      <c r="H29" s="11">
        <f t="shared" si="0"/>
        <v>3250</v>
      </c>
      <c r="I29" s="129"/>
    </row>
    <row r="30" spans="1:9" x14ac:dyDescent="0.25">
      <c r="A30" s="8" t="s">
        <v>59</v>
      </c>
      <c r="B30" s="132">
        <v>26</v>
      </c>
      <c r="C30" s="10"/>
      <c r="D30" s="10"/>
      <c r="E30" s="97"/>
      <c r="F30" s="11">
        <v>100</v>
      </c>
      <c r="G30" s="97">
        <v>3150</v>
      </c>
      <c r="H30" s="11">
        <f t="shared" si="0"/>
        <v>3250</v>
      </c>
      <c r="I30" s="129"/>
    </row>
    <row r="31" spans="1:9" x14ac:dyDescent="0.25">
      <c r="A31" s="8" t="s">
        <v>78</v>
      </c>
      <c r="B31" s="131">
        <v>27</v>
      </c>
      <c r="C31" s="10"/>
      <c r="D31" s="10"/>
      <c r="E31" s="11"/>
      <c r="F31" s="11">
        <v>100</v>
      </c>
      <c r="G31" s="11">
        <v>3150</v>
      </c>
      <c r="H31" s="11">
        <f t="shared" si="0"/>
        <v>3250</v>
      </c>
      <c r="I31" s="129"/>
    </row>
    <row r="32" spans="1:9" x14ac:dyDescent="0.25">
      <c r="A32" s="8" t="s">
        <v>149</v>
      </c>
      <c r="B32" s="131">
        <v>28</v>
      </c>
      <c r="C32" s="10"/>
      <c r="D32" s="10"/>
      <c r="E32" s="11"/>
      <c r="F32" s="11">
        <v>100</v>
      </c>
      <c r="G32" s="11">
        <v>2950</v>
      </c>
      <c r="H32" s="11">
        <f t="shared" si="0"/>
        <v>3050</v>
      </c>
      <c r="I32" s="129"/>
    </row>
    <row r="33" spans="1:9" x14ac:dyDescent="0.25">
      <c r="A33" s="32" t="s">
        <v>213</v>
      </c>
      <c r="B33" s="131">
        <v>29</v>
      </c>
      <c r="C33" s="10"/>
      <c r="D33" s="10"/>
      <c r="E33" s="11"/>
      <c r="F33" s="11">
        <v>100</v>
      </c>
      <c r="G33" s="11">
        <v>3000</v>
      </c>
      <c r="H33" s="11">
        <f t="shared" si="0"/>
        <v>3100</v>
      </c>
      <c r="I33" s="129"/>
    </row>
    <row r="34" spans="1:9" x14ac:dyDescent="0.25">
      <c r="A34" s="8" t="s">
        <v>100</v>
      </c>
      <c r="B34" s="131">
        <v>30</v>
      </c>
      <c r="C34" s="10"/>
      <c r="D34" s="10"/>
      <c r="E34" s="11"/>
      <c r="F34" s="11">
        <v>100</v>
      </c>
      <c r="G34" s="11">
        <v>2950</v>
      </c>
      <c r="H34" s="11">
        <f t="shared" si="0"/>
        <v>3050</v>
      </c>
      <c r="I34" s="129"/>
    </row>
    <row r="35" spans="1:9" x14ac:dyDescent="0.25">
      <c r="A35" s="8" t="s">
        <v>7</v>
      </c>
      <c r="B35" s="131">
        <v>31</v>
      </c>
      <c r="C35" s="10"/>
      <c r="D35" s="10"/>
      <c r="E35" s="81"/>
      <c r="F35" s="11">
        <v>100</v>
      </c>
      <c r="G35" s="11">
        <v>3500</v>
      </c>
      <c r="H35" s="11">
        <f t="shared" si="0"/>
        <v>3600</v>
      </c>
      <c r="I35" s="129"/>
    </row>
    <row r="36" spans="1:9" x14ac:dyDescent="0.25">
      <c r="A36" s="8" t="s">
        <v>163</v>
      </c>
      <c r="B36" s="133">
        <v>32</v>
      </c>
      <c r="C36" s="10"/>
      <c r="D36" s="10"/>
      <c r="E36" s="110"/>
      <c r="F36" s="11">
        <v>100</v>
      </c>
      <c r="G36" s="110">
        <v>3500</v>
      </c>
      <c r="H36" s="11">
        <f t="shared" si="0"/>
        <v>3600</v>
      </c>
      <c r="I36" s="129"/>
    </row>
    <row r="37" spans="1:9" x14ac:dyDescent="0.25">
      <c r="A37" s="142" t="s">
        <v>224</v>
      </c>
      <c r="B37" s="133">
        <v>33</v>
      </c>
      <c r="C37" s="10"/>
      <c r="D37" s="10">
        <v>3500</v>
      </c>
      <c r="E37" s="110"/>
      <c r="F37" s="11">
        <v>100</v>
      </c>
      <c r="G37" s="110">
        <v>3500</v>
      </c>
      <c r="H37" s="11">
        <f t="shared" si="0"/>
        <v>3600</v>
      </c>
      <c r="I37" s="129"/>
    </row>
    <row r="38" spans="1:9" x14ac:dyDescent="0.25">
      <c r="A38" s="8" t="s">
        <v>6</v>
      </c>
      <c r="B38" s="131">
        <v>34</v>
      </c>
      <c r="C38" s="10"/>
      <c r="D38" s="10"/>
      <c r="E38" s="11"/>
      <c r="F38" s="11">
        <v>100</v>
      </c>
      <c r="G38" s="11">
        <v>4500</v>
      </c>
      <c r="H38" s="11">
        <f>E38+F38+G38</f>
        <v>4600</v>
      </c>
      <c r="I38" s="129"/>
    </row>
    <row r="39" spans="1:9" x14ac:dyDescent="0.25">
      <c r="A39" s="8" t="s">
        <v>9</v>
      </c>
      <c r="B39" s="131"/>
      <c r="C39" s="10"/>
      <c r="D39" s="10"/>
      <c r="E39" s="11"/>
      <c r="F39" s="11">
        <v>100</v>
      </c>
      <c r="G39" s="11">
        <v>3500</v>
      </c>
      <c r="H39" s="11">
        <f>E39+F39+G39</f>
        <v>3600</v>
      </c>
      <c r="I39" s="129"/>
    </row>
    <row r="40" spans="1:9" x14ac:dyDescent="0.25">
      <c r="A40" s="119"/>
      <c r="B40" s="119"/>
      <c r="C40" s="119"/>
      <c r="D40" s="119"/>
      <c r="E40" s="119">
        <f>SUM(E6:E37)</f>
        <v>0</v>
      </c>
      <c r="F40" s="119">
        <f>SUM(F6:F39)</f>
        <v>3200</v>
      </c>
      <c r="G40" s="119">
        <f>SUM(G6:G39)</f>
        <v>94500</v>
      </c>
      <c r="H40" s="119">
        <f>SUM(H6:H39)</f>
        <v>97700</v>
      </c>
      <c r="I40" s="129"/>
    </row>
    <row r="41" spans="1:9" x14ac:dyDescent="0.25">
      <c r="A41" s="84"/>
      <c r="B41" s="12" t="s">
        <v>111</v>
      </c>
      <c r="C41" s="129"/>
      <c r="D41" s="84"/>
      <c r="E41" s="85">
        <f>G40</f>
        <v>94500</v>
      </c>
      <c r="F41" s="3"/>
      <c r="G41" s="86"/>
      <c r="H41" s="3"/>
      <c r="I41" s="129"/>
    </row>
    <row r="42" spans="1:9" x14ac:dyDescent="0.25">
      <c r="A42" s="84"/>
      <c r="B42" s="129" t="s">
        <v>225</v>
      </c>
      <c r="C42" s="129"/>
      <c r="D42" s="129"/>
      <c r="E42" s="129">
        <v>3500</v>
      </c>
      <c r="F42" s="84"/>
      <c r="G42" s="23" t="s">
        <v>135</v>
      </c>
      <c r="H42" s="129"/>
      <c r="I42" s="129"/>
    </row>
    <row r="43" spans="1:9" x14ac:dyDescent="0.25">
      <c r="A43" s="129"/>
      <c r="B43" s="12"/>
      <c r="C43" s="129"/>
      <c r="D43" s="84"/>
      <c r="E43" s="88">
        <f>SUM(E41:E42)</f>
        <v>98000</v>
      </c>
      <c r="F43" s="129"/>
      <c r="G43" s="12" t="s">
        <v>31</v>
      </c>
      <c r="H43" s="129"/>
      <c r="I43" s="129"/>
    </row>
    <row r="44" spans="1:9" x14ac:dyDescent="0.25">
      <c r="A44" s="84"/>
      <c r="B44" s="141" t="s">
        <v>26</v>
      </c>
      <c r="C44" s="129"/>
      <c r="D44" s="129"/>
      <c r="E44" s="134">
        <v>0.08</v>
      </c>
      <c r="F44" s="12" t="s">
        <v>217</v>
      </c>
      <c r="G44" s="12" t="s">
        <v>116</v>
      </c>
      <c r="H44" s="12" t="s">
        <v>113</v>
      </c>
      <c r="I44" s="129"/>
    </row>
    <row r="45" spans="1:9" x14ac:dyDescent="0.25">
      <c r="A45" s="84"/>
      <c r="B45" s="12" t="s">
        <v>79</v>
      </c>
      <c r="C45" s="129"/>
      <c r="D45" s="84"/>
      <c r="E45" s="143">
        <f>E41*E44</f>
        <v>7560</v>
      </c>
      <c r="F45" s="96" t="s">
        <v>40</v>
      </c>
      <c r="G45" s="12" t="s">
        <v>117</v>
      </c>
      <c r="H45" s="12" t="s">
        <v>117</v>
      </c>
      <c r="I45" s="129"/>
    </row>
    <row r="46" spans="1:9" x14ac:dyDescent="0.25">
      <c r="A46" s="135"/>
      <c r="B46" s="12"/>
      <c r="C46" s="129"/>
      <c r="D46" s="129"/>
      <c r="E46" s="129">
        <v>5450</v>
      </c>
      <c r="F46" s="20"/>
      <c r="G46" s="129"/>
      <c r="H46" s="129"/>
      <c r="I46" s="129"/>
    </row>
    <row r="47" spans="1:9" x14ac:dyDescent="0.25">
      <c r="A47" s="129"/>
      <c r="B47" s="145"/>
      <c r="C47" s="129"/>
      <c r="D47" s="84"/>
      <c r="E47" s="129"/>
      <c r="F47" s="20"/>
      <c r="G47" s="129"/>
      <c r="H47" s="129"/>
      <c r="I47" s="129"/>
    </row>
    <row r="48" spans="1:9" x14ac:dyDescent="0.25">
      <c r="A48" s="129"/>
      <c r="B48" s="12" t="s">
        <v>222</v>
      </c>
      <c r="C48" s="129"/>
      <c r="D48" s="129"/>
      <c r="E48" s="146">
        <v>22900</v>
      </c>
      <c r="F48" s="20"/>
      <c r="G48" s="20">
        <f>E41-E45</f>
        <v>86940</v>
      </c>
      <c r="H48" s="129"/>
      <c r="I48" s="129"/>
    </row>
    <row r="49" spans="1:9" x14ac:dyDescent="0.25">
      <c r="A49" s="129"/>
      <c r="B49" s="116" t="s">
        <v>29</v>
      </c>
      <c r="C49" s="107"/>
      <c r="D49" s="129"/>
      <c r="E49" s="20">
        <f>SUM(E45:E48)</f>
        <v>35910</v>
      </c>
      <c r="F49" s="12"/>
      <c r="G49" s="12"/>
      <c r="H49" s="12"/>
      <c r="I49" s="129"/>
    </row>
    <row r="50" spans="1:9" x14ac:dyDescent="0.25">
      <c r="A50" s="129"/>
      <c r="B50" s="116" t="s">
        <v>232</v>
      </c>
      <c r="C50" s="107"/>
      <c r="D50" s="107"/>
      <c r="E50" s="113">
        <f>E43-E49</f>
        <v>62090</v>
      </c>
      <c r="F50" s="129"/>
      <c r="G50" s="129"/>
      <c r="H50" s="129"/>
      <c r="I50" s="129"/>
    </row>
    <row r="51" spans="1:9" x14ac:dyDescent="0.25">
      <c r="A51" s="129"/>
      <c r="B51" s="129"/>
      <c r="C51" s="129"/>
      <c r="D51" s="129"/>
      <c r="E51" s="129"/>
      <c r="F51" s="129"/>
      <c r="G51" s="129"/>
      <c r="H51" s="129"/>
      <c r="I51" s="129"/>
    </row>
    <row r="52" spans="1:9" x14ac:dyDescent="0.25">
      <c r="A52" s="129"/>
      <c r="B52" s="129"/>
      <c r="C52" s="129"/>
      <c r="D52" s="129"/>
      <c r="E52" s="129"/>
      <c r="F52" s="129"/>
      <c r="G52" s="129"/>
      <c r="H52" s="129"/>
      <c r="I52" s="12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sqref="A1:J51"/>
    </sheetView>
  </sheetViews>
  <sheetFormatPr defaultRowHeight="15" x14ac:dyDescent="0.25"/>
  <cols>
    <col min="1" max="1" width="14.7109375" customWidth="1"/>
    <col min="3" max="3" width="6.85546875" customWidth="1"/>
    <col min="4" max="4" width="5" customWidth="1"/>
    <col min="5" max="5" width="11.42578125" customWidth="1"/>
    <col min="6" max="6" width="9.5703125" bestFit="1" customWidth="1"/>
    <col min="7" max="7" width="10.42578125" customWidth="1"/>
    <col min="9" max="9" width="8.28515625" customWidth="1"/>
    <col min="10" max="10" width="8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10" ht="15.75" x14ac:dyDescent="0.25">
      <c r="A2" s="98" t="s">
        <v>242</v>
      </c>
      <c r="B2" s="98"/>
      <c r="C2" s="98"/>
      <c r="D2" s="98"/>
      <c r="E2" s="129"/>
      <c r="F2" s="98"/>
      <c r="G2" s="98"/>
      <c r="H2" s="98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2550</v>
      </c>
      <c r="J5" s="10">
        <f>H5-I5</f>
        <v>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3800</v>
      </c>
      <c r="J6" s="10">
        <f t="shared" ref="J6:J38" si="0">H6-I6</f>
        <v>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3750</v>
      </c>
      <c r="J7" s="10">
        <f t="shared" si="0"/>
        <v>0</v>
      </c>
    </row>
    <row r="8" spans="1:10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3">
        <v>2650</v>
      </c>
      <c r="H8" s="137">
        <f>E8+F8+G8</f>
        <v>2750</v>
      </c>
      <c r="I8" s="137">
        <v>2650</v>
      </c>
      <c r="J8" s="10">
        <f t="shared" si="0"/>
        <v>100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2650</v>
      </c>
      <c r="J9" s="10">
        <f t="shared" si="0"/>
        <v>100</v>
      </c>
    </row>
    <row r="10" spans="1:10" x14ac:dyDescent="0.25">
      <c r="A10" s="8" t="s">
        <v>64</v>
      </c>
      <c r="B10" s="131"/>
      <c r="C10" s="10"/>
      <c r="D10" s="10"/>
      <c r="E10" s="11"/>
      <c r="F10" s="11"/>
      <c r="G10" s="13"/>
      <c r="H10" s="137"/>
      <c r="I10" s="137"/>
      <c r="J10" s="10"/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2550</v>
      </c>
      <c r="J11" s="10">
        <f t="shared" si="0"/>
        <v>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2550</v>
      </c>
      <c r="J12" s="10">
        <f t="shared" si="0"/>
        <v>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2550</v>
      </c>
      <c r="J13" s="10">
        <f t="shared" si="0"/>
        <v>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53"/>
      <c r="J14" s="10">
        <f t="shared" si="0"/>
        <v>2550</v>
      </c>
    </row>
    <row r="15" spans="1:10" x14ac:dyDescent="0.25">
      <c r="A15" s="142" t="s">
        <v>92</v>
      </c>
      <c r="B15" s="149">
        <v>12</v>
      </c>
      <c r="C15" s="105"/>
      <c r="D15" s="105"/>
      <c r="E15" s="13"/>
      <c r="F15" s="13">
        <v>100</v>
      </c>
      <c r="G15" s="13">
        <v>2450</v>
      </c>
      <c r="H15" s="147"/>
      <c r="I15" s="150"/>
      <c r="J15" s="105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53"/>
      <c r="J16" s="10">
        <f t="shared" si="0"/>
        <v>2550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53"/>
      <c r="J17" s="10">
        <f t="shared" si="0"/>
        <v>2600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53"/>
      <c r="J18" s="10">
        <f t="shared" si="0"/>
        <v>2550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/>
      <c r="J19" s="10">
        <f t="shared" si="0"/>
        <v>2550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53"/>
      <c r="J20" s="10">
        <f t="shared" si="0"/>
        <v>0</v>
      </c>
    </row>
    <row r="21" spans="1:10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37">
        <v>3000</v>
      </c>
      <c r="I21" s="53"/>
      <c r="J21" s="10">
        <f t="shared" si="0"/>
        <v>3000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2500</v>
      </c>
      <c r="J22" s="10">
        <f t="shared" si="0"/>
        <v>100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53"/>
      <c r="J23" s="10">
        <f t="shared" si="0"/>
        <v>0</v>
      </c>
    </row>
    <row r="24" spans="1:10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53"/>
      <c r="J24" s="10"/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53"/>
      <c r="J25" s="10">
        <f t="shared" si="0"/>
        <v>3600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53"/>
      <c r="J26" s="10">
        <f t="shared" si="0"/>
        <v>3600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53"/>
      <c r="J27" s="10">
        <f t="shared" si="0"/>
        <v>3600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3150</v>
      </c>
      <c r="J28" s="10">
        <f t="shared" si="0"/>
        <v>100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53"/>
      <c r="J29" s="10">
        <f t="shared" si="0"/>
        <v>3250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53"/>
      <c r="J30" s="10">
        <f t="shared" si="0"/>
        <v>3250</v>
      </c>
    </row>
    <row r="31" spans="1:10" x14ac:dyDescent="0.25">
      <c r="A31" s="8" t="s">
        <v>64</v>
      </c>
      <c r="B31" s="131">
        <v>28</v>
      </c>
      <c r="C31" s="10"/>
      <c r="D31" s="10"/>
      <c r="E31" s="11"/>
      <c r="F31" s="11"/>
      <c r="G31" s="11"/>
      <c r="H31" s="137"/>
      <c r="I31" s="53"/>
      <c r="J31" s="10"/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8" si="2">E32+F32+G32</f>
        <v>3100</v>
      </c>
      <c r="I32" s="137">
        <v>3100</v>
      </c>
      <c r="J32" s="10">
        <f t="shared" si="0"/>
        <v>0</v>
      </c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3">
        <v>2950</v>
      </c>
      <c r="H33" s="137">
        <f t="shared" si="2"/>
        <v>3050</v>
      </c>
      <c r="I33" s="137">
        <v>3050</v>
      </c>
      <c r="J33" s="10">
        <f t="shared" si="0"/>
        <v>0</v>
      </c>
    </row>
    <row r="34" spans="1:11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37">
        <f t="shared" si="2"/>
        <v>3600</v>
      </c>
      <c r="I34" s="53"/>
      <c r="J34" s="10">
        <f t="shared" si="0"/>
        <v>3600</v>
      </c>
    </row>
    <row r="35" spans="1:11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3600</v>
      </c>
      <c r="J35" s="10">
        <f t="shared" si="0"/>
        <v>0</v>
      </c>
    </row>
    <row r="36" spans="1:11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53"/>
      <c r="J36" s="10">
        <f t="shared" si="0"/>
        <v>3600</v>
      </c>
    </row>
    <row r="37" spans="1:11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4600</v>
      </c>
      <c r="J37" s="10">
        <f t="shared" si="0"/>
        <v>0</v>
      </c>
    </row>
    <row r="38" spans="1:11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 t="shared" si="2"/>
        <v>3600</v>
      </c>
      <c r="I38" s="137">
        <v>3600</v>
      </c>
      <c r="J38" s="10">
        <f t="shared" si="0"/>
        <v>0</v>
      </c>
    </row>
    <row r="39" spans="1:11" x14ac:dyDescent="0.25">
      <c r="A39" s="119"/>
      <c r="B39" s="119"/>
      <c r="C39" s="119"/>
      <c r="D39" s="119"/>
      <c r="E39" s="119">
        <f>SUM(E5:E36)</f>
        <v>0</v>
      </c>
      <c r="F39" s="119">
        <f>SUM(F5:F38)</f>
        <v>3000</v>
      </c>
      <c r="G39" s="119">
        <f>SUM(G5:G38)</f>
        <v>89050</v>
      </c>
      <c r="H39" s="138">
        <f>SUM(H5:H38)</f>
        <v>87350</v>
      </c>
      <c r="I39" s="53">
        <f>SUM(I4:I38)</f>
        <v>46650</v>
      </c>
      <c r="J39" s="10">
        <f>SUM(J4:J38)</f>
        <v>40700</v>
      </c>
      <c r="K39">
        <f>H39-I39</f>
        <v>40700</v>
      </c>
    </row>
    <row r="40" spans="1:11" x14ac:dyDescent="0.25">
      <c r="A40" s="84"/>
      <c r="B40" s="12" t="s">
        <v>236</v>
      </c>
      <c r="C40" s="129"/>
      <c r="D40" s="84"/>
      <c r="E40" s="85">
        <f>I39</f>
        <v>46650</v>
      </c>
      <c r="F40" s="3"/>
      <c r="G40" s="86"/>
      <c r="H40" s="3"/>
    </row>
    <row r="41" spans="1:11" x14ac:dyDescent="0.25">
      <c r="A41" s="84"/>
      <c r="B41" s="129"/>
      <c r="C41" s="129"/>
      <c r="D41" s="129"/>
      <c r="E41" s="129"/>
      <c r="F41" s="84"/>
      <c r="G41" s="23" t="s">
        <v>135</v>
      </c>
      <c r="H41" s="129"/>
    </row>
    <row r="42" spans="1:11" x14ac:dyDescent="0.25">
      <c r="A42" s="129"/>
      <c r="B42" s="12"/>
      <c r="C42" s="129"/>
      <c r="D42" s="84"/>
      <c r="E42" s="88">
        <f>SUM(E40:E41)</f>
        <v>46650</v>
      </c>
      <c r="F42" s="129"/>
      <c r="G42" s="12" t="s">
        <v>31</v>
      </c>
      <c r="H42" s="129"/>
    </row>
    <row r="43" spans="1:11" x14ac:dyDescent="0.25">
      <c r="A43" s="84"/>
      <c r="B43" s="141" t="s">
        <v>26</v>
      </c>
      <c r="C43" s="129"/>
      <c r="D43" s="129"/>
      <c r="E43" s="134">
        <v>0.08</v>
      </c>
      <c r="F43" s="12" t="s">
        <v>217</v>
      </c>
      <c r="G43" s="12" t="s">
        <v>116</v>
      </c>
      <c r="H43" s="12" t="s">
        <v>113</v>
      </c>
    </row>
    <row r="44" spans="1:11" x14ac:dyDescent="0.25">
      <c r="A44" s="84"/>
      <c r="B44" s="12" t="s">
        <v>79</v>
      </c>
      <c r="C44" s="129"/>
      <c r="D44" s="84"/>
      <c r="E44" s="143">
        <f>E40*E43</f>
        <v>3732</v>
      </c>
      <c r="F44" s="96" t="s">
        <v>40</v>
      </c>
      <c r="G44" s="12" t="s">
        <v>117</v>
      </c>
      <c r="H44" s="12" t="s">
        <v>117</v>
      </c>
    </row>
    <row r="45" spans="1:11" x14ac:dyDescent="0.25">
      <c r="A45" s="135"/>
      <c r="B45" s="12" t="s">
        <v>238</v>
      </c>
      <c r="C45" s="129"/>
      <c r="D45" s="129"/>
      <c r="E45" s="129">
        <v>3000</v>
      </c>
      <c r="F45" s="20"/>
      <c r="G45" s="129"/>
      <c r="H45" s="129"/>
    </row>
    <row r="46" spans="1:11" x14ac:dyDescent="0.25">
      <c r="A46" s="129"/>
      <c r="B46" s="12" t="s">
        <v>239</v>
      </c>
      <c r="E46">
        <v>2950</v>
      </c>
      <c r="F46" s="20"/>
      <c r="G46" s="129"/>
      <c r="H46" s="129"/>
    </row>
    <row r="47" spans="1:11" x14ac:dyDescent="0.25">
      <c r="A47" s="129"/>
      <c r="B47" s="12" t="s">
        <v>240</v>
      </c>
      <c r="E47">
        <v>44918</v>
      </c>
      <c r="F47" s="20"/>
      <c r="G47" s="20">
        <f>E42-E44</f>
        <v>42918</v>
      </c>
      <c r="H47" s="129"/>
      <c r="I47" s="20"/>
    </row>
    <row r="48" spans="1:11" x14ac:dyDescent="0.25">
      <c r="A48" s="129"/>
      <c r="B48" s="12" t="s">
        <v>241</v>
      </c>
      <c r="E48">
        <v>22900</v>
      </c>
      <c r="F48" s="12"/>
      <c r="G48" s="12"/>
      <c r="H48" s="12"/>
    </row>
    <row r="49" spans="1:8" s="129" customFormat="1" x14ac:dyDescent="0.25">
      <c r="B49" s="12"/>
      <c r="F49" s="12"/>
      <c r="G49" s="12"/>
      <c r="H49" s="12"/>
    </row>
    <row r="50" spans="1:8" x14ac:dyDescent="0.25">
      <c r="A50" s="129"/>
      <c r="B50" s="145" t="s">
        <v>29</v>
      </c>
      <c r="C50" s="129"/>
      <c r="D50" s="84"/>
      <c r="E50" s="20">
        <f>SUM(E44:E48)</f>
        <v>77500</v>
      </c>
      <c r="F50" s="20"/>
      <c r="G50" s="129"/>
      <c r="H50" s="129"/>
    </row>
    <row r="51" spans="1:8" x14ac:dyDescent="0.25">
      <c r="B51" s="12"/>
      <c r="E51" s="20"/>
    </row>
    <row r="52" spans="1:8" x14ac:dyDescent="0.25">
      <c r="B52" s="12" t="s">
        <v>31</v>
      </c>
      <c r="C52" s="129"/>
      <c r="D52" s="129"/>
      <c r="E52" s="20">
        <f>H39-E50</f>
        <v>9850</v>
      </c>
    </row>
    <row r="53" spans="1:8" x14ac:dyDescent="0.25">
      <c r="B53" s="116"/>
      <c r="C53" s="107"/>
      <c r="D53" s="129"/>
      <c r="E53" s="20"/>
    </row>
    <row r="54" spans="1:8" x14ac:dyDescent="0.25">
      <c r="B54" s="116"/>
      <c r="C54" s="107"/>
      <c r="D54" s="107"/>
    </row>
  </sheetData>
  <pageMargins left="0.7" right="0.7" top="0.25" bottom="0.3" header="0.12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3" workbookViewId="0">
      <selection activeCell="A33" sqref="A33:J33"/>
    </sheetView>
  </sheetViews>
  <sheetFormatPr defaultRowHeight="15" x14ac:dyDescent="0.25"/>
  <cols>
    <col min="1" max="1" width="15.7109375" customWidth="1"/>
    <col min="3" max="3" width="8.140625" customWidth="1"/>
    <col min="4" max="4" width="6.7109375" customWidth="1"/>
    <col min="5" max="5" width="11.140625" customWidth="1"/>
    <col min="6" max="6" width="7.85546875" customWidth="1"/>
    <col min="7" max="7" width="11.7109375" customWidth="1"/>
    <col min="8" max="8" width="7.42578125" customWidth="1"/>
  </cols>
  <sheetData>
    <row r="1" spans="1:10" ht="18.75" x14ac:dyDescent="0.3">
      <c r="A1" s="99" t="s">
        <v>259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260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2550</v>
      </c>
      <c r="J5" s="10">
        <f>H5-I5</f>
        <v>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3800</v>
      </c>
      <c r="J6" s="10">
        <f t="shared" ref="J6:J38" si="0">H6-I6</f>
        <v>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3750</v>
      </c>
      <c r="J7" s="10">
        <f t="shared" si="0"/>
        <v>0</v>
      </c>
    </row>
    <row r="8" spans="1:10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3">
        <v>2650</v>
      </c>
      <c r="H8" s="137">
        <f>E8+F8+G8</f>
        <v>2750</v>
      </c>
      <c r="I8" s="137">
        <v>2650</v>
      </c>
      <c r="J8" s="10">
        <f t="shared" si="0"/>
        <v>100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2650</v>
      </c>
      <c r="J9" s="10">
        <f t="shared" si="0"/>
        <v>100</v>
      </c>
    </row>
    <row r="10" spans="1:10" x14ac:dyDescent="0.25">
      <c r="A10" s="8" t="s">
        <v>64</v>
      </c>
      <c r="B10" s="131">
        <v>7</v>
      </c>
      <c r="C10" s="10"/>
      <c r="D10" s="10"/>
      <c r="E10" s="11"/>
      <c r="F10" s="11"/>
      <c r="G10" s="13"/>
      <c r="H10" s="137"/>
      <c r="I10" s="137"/>
      <c r="J10" s="10"/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2550</v>
      </c>
      <c r="J11" s="10">
        <f t="shared" si="0"/>
        <v>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2550</v>
      </c>
      <c r="J12" s="10">
        <f t="shared" si="0"/>
        <v>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2550</v>
      </c>
      <c r="J13" s="10">
        <f t="shared" si="0"/>
        <v>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53"/>
      <c r="J14" s="10">
        <f t="shared" si="0"/>
        <v>2550</v>
      </c>
    </row>
    <row r="15" spans="1:10" x14ac:dyDescent="0.25">
      <c r="A15" s="142" t="s">
        <v>92</v>
      </c>
      <c r="B15" s="149">
        <v>12</v>
      </c>
      <c r="C15" s="105"/>
      <c r="D15" s="105"/>
      <c r="E15" s="13"/>
      <c r="F15" s="13">
        <v>100</v>
      </c>
      <c r="G15" s="13">
        <v>2450</v>
      </c>
      <c r="H15" s="147"/>
      <c r="I15" s="150"/>
      <c r="J15" s="105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53"/>
      <c r="J16" s="10">
        <f t="shared" si="0"/>
        <v>2550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53"/>
      <c r="J17" s="10">
        <f t="shared" si="0"/>
        <v>2600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53"/>
      <c r="J18" s="10">
        <f t="shared" si="0"/>
        <v>2550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/>
      <c r="J19" s="10">
        <f t="shared" si="0"/>
        <v>2550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53"/>
      <c r="J20" s="10">
        <f t="shared" si="0"/>
        <v>0</v>
      </c>
    </row>
    <row r="21" spans="1:10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37">
        <v>3000</v>
      </c>
      <c r="I21" s="53"/>
      <c r="J21" s="10">
        <f t="shared" si="0"/>
        <v>3000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2500</v>
      </c>
      <c r="J22" s="10">
        <f t="shared" si="0"/>
        <v>100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53"/>
      <c r="J23" s="10">
        <f t="shared" si="0"/>
        <v>0</v>
      </c>
    </row>
    <row r="24" spans="1:10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53"/>
      <c r="J24" s="10"/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53"/>
      <c r="J25" s="10">
        <f t="shared" si="0"/>
        <v>3600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53"/>
      <c r="J26" s="10">
        <f t="shared" si="0"/>
        <v>3600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53"/>
      <c r="J27" s="10">
        <f t="shared" si="0"/>
        <v>3600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3150</v>
      </c>
      <c r="J28" s="10">
        <f t="shared" si="0"/>
        <v>100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53"/>
      <c r="J29" s="10">
        <f t="shared" si="0"/>
        <v>3250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53"/>
      <c r="J30" s="10">
        <f t="shared" si="0"/>
        <v>3250</v>
      </c>
    </row>
    <row r="31" spans="1:10" x14ac:dyDescent="0.25">
      <c r="A31" s="8" t="s">
        <v>64</v>
      </c>
      <c r="B31" s="131">
        <v>28</v>
      </c>
      <c r="C31" s="10"/>
      <c r="D31" s="10"/>
      <c r="E31" s="11"/>
      <c r="F31" s="11"/>
      <c r="G31" s="11"/>
      <c r="H31" s="137"/>
      <c r="I31" s="53"/>
      <c r="J31" s="10"/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8" si="2">E32+F32+G32</f>
        <v>3100</v>
      </c>
      <c r="I32" s="137">
        <v>3100</v>
      </c>
      <c r="J32" s="10">
        <f t="shared" si="0"/>
        <v>0</v>
      </c>
    </row>
    <row r="33" spans="1:10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3">
        <v>2950</v>
      </c>
      <c r="H33" s="137">
        <f t="shared" si="2"/>
        <v>3050</v>
      </c>
      <c r="I33" s="137">
        <v>3050</v>
      </c>
      <c r="J33" s="10">
        <f t="shared" si="0"/>
        <v>0</v>
      </c>
    </row>
    <row r="34" spans="1:10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37">
        <f t="shared" si="2"/>
        <v>3600</v>
      </c>
      <c r="I34" s="53"/>
      <c r="J34" s="10">
        <f t="shared" si="0"/>
        <v>3600</v>
      </c>
    </row>
    <row r="35" spans="1:10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3600</v>
      </c>
      <c r="J35" s="10">
        <f t="shared" si="0"/>
        <v>0</v>
      </c>
    </row>
    <row r="36" spans="1:10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53"/>
      <c r="J36" s="10">
        <f t="shared" si="0"/>
        <v>3600</v>
      </c>
    </row>
    <row r="37" spans="1:10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4600</v>
      </c>
      <c r="J37" s="10">
        <f t="shared" si="0"/>
        <v>0</v>
      </c>
    </row>
    <row r="38" spans="1:10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 t="shared" si="2"/>
        <v>3600</v>
      </c>
      <c r="I38" s="137">
        <v>3600</v>
      </c>
      <c r="J38" s="10">
        <f t="shared" si="0"/>
        <v>0</v>
      </c>
    </row>
    <row r="39" spans="1:10" x14ac:dyDescent="0.25">
      <c r="A39" s="119"/>
      <c r="B39" s="119"/>
      <c r="C39" s="119"/>
      <c r="D39" s="119"/>
      <c r="E39" s="119">
        <f>SUM(E5:E36)</f>
        <v>0</v>
      </c>
      <c r="F39" s="119">
        <f>SUM(F5:F38)</f>
        <v>3000</v>
      </c>
      <c r="G39" s="119">
        <f>SUM(G4:G38)</f>
        <v>89050</v>
      </c>
      <c r="H39" s="138">
        <f>SUM(H5:H38)</f>
        <v>87350</v>
      </c>
      <c r="I39" s="53">
        <f>SUM(I4:I38)</f>
        <v>46650</v>
      </c>
      <c r="J39" s="10">
        <f>SUM(J4:J38)</f>
        <v>40700</v>
      </c>
    </row>
    <row r="40" spans="1:10" x14ac:dyDescent="0.25">
      <c r="A40" s="84"/>
      <c r="B40" s="12" t="s">
        <v>236</v>
      </c>
      <c r="C40" s="129"/>
      <c r="D40" s="84"/>
      <c r="E40" s="85">
        <v>89050</v>
      </c>
      <c r="F40" s="3"/>
      <c r="G40" s="86"/>
      <c r="H40" s="3"/>
      <c r="I40" s="129"/>
      <c r="J40" s="129"/>
    </row>
    <row r="41" spans="1:10" x14ac:dyDescent="0.25">
      <c r="A41" s="84"/>
      <c r="B41" s="129"/>
      <c r="C41" s="129"/>
      <c r="D41" s="129"/>
      <c r="E41" s="129"/>
      <c r="F41" s="84"/>
      <c r="G41" s="23" t="s">
        <v>135</v>
      </c>
      <c r="H41" s="129"/>
      <c r="I41" s="129"/>
      <c r="J41" s="129"/>
    </row>
    <row r="42" spans="1:10" x14ac:dyDescent="0.25">
      <c r="A42" s="129"/>
      <c r="B42" s="12"/>
      <c r="C42" s="129"/>
      <c r="D42" s="84"/>
      <c r="E42" s="88">
        <f>SUM(E40:E41)</f>
        <v>89050</v>
      </c>
      <c r="F42" s="129"/>
      <c r="G42" s="12" t="s">
        <v>31</v>
      </c>
      <c r="H42" s="129"/>
      <c r="I42" s="129"/>
      <c r="J42" s="129"/>
    </row>
    <row r="43" spans="1:10" x14ac:dyDescent="0.25">
      <c r="A43" s="84"/>
      <c r="B43" s="141" t="s">
        <v>26</v>
      </c>
      <c r="C43" s="129"/>
      <c r="D43" s="129"/>
      <c r="E43" s="134">
        <v>0.08</v>
      </c>
      <c r="F43" s="12" t="s">
        <v>217</v>
      </c>
      <c r="G43" s="12" t="s">
        <v>116</v>
      </c>
      <c r="H43" s="12" t="s">
        <v>113</v>
      </c>
      <c r="I43" s="129"/>
      <c r="J43" s="129"/>
    </row>
    <row r="44" spans="1:10" x14ac:dyDescent="0.25">
      <c r="A44" s="84"/>
      <c r="B44" s="12" t="s">
        <v>79</v>
      </c>
      <c r="C44" s="129"/>
      <c r="D44" s="84"/>
      <c r="E44" s="143">
        <f>E40*E43</f>
        <v>7124</v>
      </c>
      <c r="F44" s="96" t="s">
        <v>40</v>
      </c>
      <c r="G44" s="12" t="s">
        <v>117</v>
      </c>
      <c r="H44" s="12" t="s">
        <v>117</v>
      </c>
      <c r="I44" s="129"/>
      <c r="J44" s="129"/>
    </row>
    <row r="45" spans="1:10" x14ac:dyDescent="0.25">
      <c r="A45" s="135"/>
      <c r="B45" s="12" t="s">
        <v>238</v>
      </c>
      <c r="C45" s="129"/>
      <c r="D45" s="129"/>
      <c r="E45" s="129">
        <v>3000</v>
      </c>
      <c r="F45" s="20"/>
      <c r="G45" s="129"/>
      <c r="H45" s="129"/>
      <c r="I45" s="129"/>
      <c r="J45" s="129"/>
    </row>
    <row r="46" spans="1:10" x14ac:dyDescent="0.25">
      <c r="A46" s="129"/>
      <c r="B46" s="12" t="s">
        <v>239</v>
      </c>
      <c r="C46" s="129"/>
      <c r="D46" s="129"/>
      <c r="E46" s="129">
        <v>2950</v>
      </c>
      <c r="F46" s="20"/>
      <c r="G46" s="129"/>
      <c r="H46" s="129"/>
      <c r="I46" s="129"/>
      <c r="J46" s="129"/>
    </row>
    <row r="47" spans="1:10" x14ac:dyDescent="0.25">
      <c r="A47" s="129"/>
      <c r="B47" s="12" t="s">
        <v>240</v>
      </c>
      <c r="C47" s="129"/>
      <c r="D47" s="129"/>
      <c r="E47" s="129">
        <v>44918</v>
      </c>
      <c r="F47" s="20"/>
      <c r="G47" s="20">
        <f>E42-E44</f>
        <v>81926</v>
      </c>
      <c r="H47" s="129"/>
      <c r="I47" s="20"/>
      <c r="J47" s="129"/>
    </row>
    <row r="48" spans="1:10" x14ac:dyDescent="0.25">
      <c r="A48" s="129"/>
      <c r="B48" s="12" t="s">
        <v>241</v>
      </c>
      <c r="C48" s="129"/>
      <c r="D48" s="129"/>
      <c r="E48" s="129">
        <v>22900</v>
      </c>
      <c r="F48" s="12"/>
      <c r="G48" s="12"/>
      <c r="H48" s="12"/>
      <c r="I48" s="129"/>
      <c r="J48" s="129"/>
    </row>
    <row r="49" spans="1:10" x14ac:dyDescent="0.25">
      <c r="A49" s="129"/>
      <c r="B49" s="12" t="s">
        <v>243</v>
      </c>
      <c r="C49" s="129"/>
      <c r="D49" s="129"/>
      <c r="E49" s="129">
        <v>3500</v>
      </c>
      <c r="F49" s="12"/>
      <c r="G49" s="12"/>
      <c r="H49" s="12"/>
      <c r="I49" s="129"/>
      <c r="J49" s="129"/>
    </row>
    <row r="50" spans="1:10" x14ac:dyDescent="0.25">
      <c r="A50" s="129"/>
      <c r="B50" s="145" t="s">
        <v>29</v>
      </c>
      <c r="C50" s="129"/>
      <c r="D50" s="84"/>
      <c r="E50" s="20">
        <f>SUM(E44:E49)</f>
        <v>84392</v>
      </c>
      <c r="F50" s="20"/>
      <c r="G50" s="129"/>
      <c r="H50" s="129"/>
      <c r="I50" s="129"/>
      <c r="J50" s="129"/>
    </row>
    <row r="51" spans="1:10" x14ac:dyDescent="0.25">
      <c r="A51" s="129"/>
      <c r="B51" s="12" t="s">
        <v>31</v>
      </c>
      <c r="C51" s="129"/>
      <c r="D51" s="129"/>
      <c r="E51" s="20">
        <f>E42-E50</f>
        <v>4658</v>
      </c>
      <c r="F51" s="129"/>
      <c r="G51" s="129"/>
      <c r="H51" s="129"/>
      <c r="I51" s="129"/>
      <c r="J51" s="129"/>
    </row>
  </sheetData>
  <pageMargins left="0.7" right="0.7" top="0.12" bottom="0.16" header="0.12" footer="0.12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B18" sqref="B18"/>
    </sheetView>
  </sheetViews>
  <sheetFormatPr defaultRowHeight="15" x14ac:dyDescent="0.25"/>
  <cols>
    <col min="1" max="1" width="12.85546875" customWidth="1"/>
    <col min="2" max="2" width="4.5703125" customWidth="1"/>
    <col min="3" max="3" width="6" customWidth="1"/>
    <col min="4" max="4" width="5" customWidth="1"/>
    <col min="5" max="5" width="6" customWidth="1"/>
    <col min="6" max="6" width="8.140625" customWidth="1"/>
  </cols>
  <sheetData>
    <row r="1" spans="1:12" ht="18.75" x14ac:dyDescent="0.3">
      <c r="A1" s="99" t="s">
        <v>107</v>
      </c>
      <c r="B1" s="99"/>
      <c r="C1" s="99"/>
      <c r="D1" s="99"/>
      <c r="E1" s="99"/>
      <c r="F1" s="129"/>
      <c r="G1" s="129"/>
      <c r="H1" s="129"/>
    </row>
    <row r="2" spans="1:12" ht="15.75" x14ac:dyDescent="0.25">
      <c r="A2" s="98" t="s">
        <v>244</v>
      </c>
      <c r="B2" s="98"/>
      <c r="C2" s="98"/>
      <c r="D2" s="98"/>
      <c r="E2" s="98"/>
      <c r="F2" s="129"/>
      <c r="G2" s="129"/>
      <c r="H2" s="129"/>
    </row>
    <row r="3" spans="1:12" x14ac:dyDescent="0.25">
      <c r="A3" s="82" t="s">
        <v>110</v>
      </c>
      <c r="B3" s="82" t="s">
        <v>2</v>
      </c>
      <c r="C3" s="82" t="s">
        <v>161</v>
      </c>
      <c r="D3" s="82" t="s">
        <v>5</v>
      </c>
      <c r="E3" s="136"/>
      <c r="F3" s="10" t="s">
        <v>4</v>
      </c>
      <c r="G3" s="148" t="s">
        <v>245</v>
      </c>
      <c r="H3" s="83" t="s">
        <v>246</v>
      </c>
      <c r="I3" s="83" t="s">
        <v>247</v>
      </c>
      <c r="J3" s="83" t="s">
        <v>248</v>
      </c>
      <c r="K3" s="83" t="s">
        <v>130</v>
      </c>
      <c r="L3" s="83" t="s">
        <v>249</v>
      </c>
    </row>
    <row r="4" spans="1:12" x14ac:dyDescent="0.25">
      <c r="A4" s="107" t="s">
        <v>64</v>
      </c>
      <c r="B4" s="129">
        <v>1</v>
      </c>
      <c r="C4" s="129"/>
      <c r="D4" s="129"/>
      <c r="E4" s="129">
        <v>0</v>
      </c>
      <c r="F4" s="53">
        <f>C4+D4+E4</f>
        <v>0</v>
      </c>
      <c r="G4" s="10">
        <v>0</v>
      </c>
      <c r="H4" s="10"/>
      <c r="I4" s="10"/>
      <c r="J4" s="10"/>
      <c r="K4" s="10"/>
      <c r="L4" s="10"/>
    </row>
    <row r="5" spans="1:12" x14ac:dyDescent="0.25">
      <c r="A5" s="8" t="s">
        <v>22</v>
      </c>
      <c r="B5" s="131">
        <v>2</v>
      </c>
      <c r="C5" s="11">
        <v>100</v>
      </c>
      <c r="D5" s="13">
        <v>2450</v>
      </c>
      <c r="E5" s="137">
        <v>250</v>
      </c>
      <c r="F5" s="53">
        <f t="shared" ref="F5:F38" si="0">C5+D5+E5</f>
        <v>2800</v>
      </c>
      <c r="G5" s="10"/>
      <c r="H5" s="10"/>
      <c r="I5" s="10"/>
      <c r="J5" s="10"/>
      <c r="K5" s="10"/>
      <c r="L5" s="10"/>
    </row>
    <row r="6" spans="1:12" x14ac:dyDescent="0.25">
      <c r="A6" s="8" t="s">
        <v>89</v>
      </c>
      <c r="B6" s="131">
        <v>3</v>
      </c>
      <c r="C6" s="11">
        <v>100</v>
      </c>
      <c r="D6" s="13">
        <v>3700</v>
      </c>
      <c r="E6" s="137">
        <v>250</v>
      </c>
      <c r="F6" s="53">
        <f t="shared" si="0"/>
        <v>4050</v>
      </c>
      <c r="G6" s="10"/>
      <c r="H6" s="10"/>
      <c r="I6" s="10"/>
      <c r="J6" s="10"/>
      <c r="K6" s="10"/>
      <c r="L6" s="10"/>
    </row>
    <row r="7" spans="1:12" x14ac:dyDescent="0.25">
      <c r="A7" s="8" t="s">
        <v>44</v>
      </c>
      <c r="B7" s="131">
        <v>4</v>
      </c>
      <c r="C7" s="11">
        <v>100</v>
      </c>
      <c r="D7" s="13">
        <v>3650</v>
      </c>
      <c r="E7" s="137">
        <v>250</v>
      </c>
      <c r="F7" s="53">
        <f t="shared" si="0"/>
        <v>4000</v>
      </c>
      <c r="G7" s="10"/>
      <c r="H7" s="10"/>
      <c r="I7" s="10"/>
      <c r="J7" s="10"/>
      <c r="K7" s="10"/>
      <c r="L7" s="10"/>
    </row>
    <row r="8" spans="1:12" x14ac:dyDescent="0.25">
      <c r="A8" s="32" t="s">
        <v>157</v>
      </c>
      <c r="B8" s="131">
        <v>5</v>
      </c>
      <c r="C8" s="11">
        <v>100</v>
      </c>
      <c r="D8" s="13">
        <v>2650</v>
      </c>
      <c r="E8" s="137">
        <v>250</v>
      </c>
      <c r="F8" s="53">
        <f t="shared" si="0"/>
        <v>3000</v>
      </c>
      <c r="G8" s="10"/>
      <c r="H8" s="10"/>
      <c r="I8" s="10"/>
      <c r="J8" s="10"/>
      <c r="K8" s="10"/>
      <c r="L8" s="10"/>
    </row>
    <row r="9" spans="1:12" x14ac:dyDescent="0.25">
      <c r="A9" s="8" t="s">
        <v>178</v>
      </c>
      <c r="B9" s="131">
        <v>6</v>
      </c>
      <c r="C9" s="11">
        <v>100</v>
      </c>
      <c r="D9" s="13">
        <v>2650</v>
      </c>
      <c r="E9" s="137">
        <v>250</v>
      </c>
      <c r="F9" s="53">
        <f t="shared" si="0"/>
        <v>3000</v>
      </c>
      <c r="G9" s="10"/>
      <c r="H9" s="10"/>
      <c r="I9" s="10"/>
      <c r="J9" s="10"/>
      <c r="K9" s="10"/>
      <c r="L9" s="10"/>
    </row>
    <row r="10" spans="1:12" x14ac:dyDescent="0.25">
      <c r="A10" s="8" t="s">
        <v>64</v>
      </c>
      <c r="B10" s="131"/>
      <c r="C10" s="11"/>
      <c r="D10" s="13"/>
      <c r="E10" s="137">
        <v>250</v>
      </c>
      <c r="F10" s="53">
        <f t="shared" si="0"/>
        <v>250</v>
      </c>
      <c r="G10" s="10"/>
      <c r="H10" s="10"/>
      <c r="I10" s="10"/>
      <c r="J10" s="10"/>
      <c r="K10" s="10"/>
      <c r="L10" s="10"/>
    </row>
    <row r="11" spans="1:12" x14ac:dyDescent="0.25">
      <c r="A11" s="8" t="s">
        <v>8</v>
      </c>
      <c r="B11" s="131">
        <v>8</v>
      </c>
      <c r="C11" s="11">
        <v>100</v>
      </c>
      <c r="D11" s="13">
        <v>2450</v>
      </c>
      <c r="E11" s="137">
        <v>250</v>
      </c>
      <c r="F11" s="53">
        <f t="shared" si="0"/>
        <v>2800</v>
      </c>
      <c r="G11" s="10"/>
      <c r="H11" s="10"/>
      <c r="I11" s="10"/>
      <c r="J11" s="10"/>
      <c r="K11" s="10"/>
      <c r="L11" s="10"/>
    </row>
    <row r="12" spans="1:12" x14ac:dyDescent="0.25">
      <c r="A12" s="8" t="s">
        <v>102</v>
      </c>
      <c r="B12" s="131">
        <v>9</v>
      </c>
      <c r="C12" s="11">
        <v>100</v>
      </c>
      <c r="D12" s="13">
        <v>2450</v>
      </c>
      <c r="E12" s="137">
        <v>250</v>
      </c>
      <c r="F12" s="53">
        <f t="shared" si="0"/>
        <v>2800</v>
      </c>
      <c r="G12" s="10"/>
      <c r="H12" s="10"/>
      <c r="I12" s="10"/>
      <c r="J12" s="10"/>
      <c r="K12" s="10"/>
      <c r="L12" s="10"/>
    </row>
    <row r="13" spans="1:12" x14ac:dyDescent="0.25">
      <c r="A13" s="8" t="s">
        <v>47</v>
      </c>
      <c r="B13" s="131">
        <v>10</v>
      </c>
      <c r="C13" s="11">
        <v>100</v>
      </c>
      <c r="D13" s="13">
        <v>2450</v>
      </c>
      <c r="E13" s="137">
        <v>250</v>
      </c>
      <c r="F13" s="53">
        <f t="shared" si="0"/>
        <v>2800</v>
      </c>
      <c r="G13" s="10"/>
      <c r="H13" s="10"/>
      <c r="I13" s="10"/>
      <c r="J13" s="10"/>
      <c r="K13" s="10"/>
      <c r="L13" s="10"/>
    </row>
    <row r="14" spans="1:12" x14ac:dyDescent="0.25">
      <c r="A14" s="8" t="s">
        <v>91</v>
      </c>
      <c r="B14" s="131">
        <v>11</v>
      </c>
      <c r="C14" s="11">
        <v>100</v>
      </c>
      <c r="D14" s="11">
        <v>2450</v>
      </c>
      <c r="E14" s="137">
        <v>250</v>
      </c>
      <c r="F14" s="53">
        <f t="shared" si="0"/>
        <v>2800</v>
      </c>
      <c r="G14" s="10"/>
      <c r="H14" s="10"/>
      <c r="I14" s="10"/>
      <c r="J14" s="10"/>
      <c r="K14" s="10"/>
      <c r="L14" s="10"/>
    </row>
    <row r="15" spans="1:12" x14ac:dyDescent="0.25">
      <c r="A15" s="142" t="s">
        <v>92</v>
      </c>
      <c r="B15" s="149">
        <v>12</v>
      </c>
      <c r="C15" s="13">
        <v>100</v>
      </c>
      <c r="D15" s="13">
        <v>2450</v>
      </c>
      <c r="E15" s="137">
        <v>250</v>
      </c>
      <c r="F15" s="53">
        <f t="shared" si="0"/>
        <v>2800</v>
      </c>
      <c r="G15" s="105"/>
      <c r="H15" s="10"/>
      <c r="I15" s="10"/>
      <c r="J15" s="10"/>
      <c r="K15" s="10"/>
      <c r="L15" s="10"/>
    </row>
    <row r="16" spans="1:12" x14ac:dyDescent="0.25">
      <c r="A16" s="8" t="s">
        <v>93</v>
      </c>
      <c r="B16" s="131">
        <v>13</v>
      </c>
      <c r="C16" s="11">
        <v>100</v>
      </c>
      <c r="D16" s="11">
        <v>2450</v>
      </c>
      <c r="E16" s="137">
        <v>250</v>
      </c>
      <c r="F16" s="53">
        <f t="shared" si="0"/>
        <v>2800</v>
      </c>
      <c r="G16" s="10"/>
      <c r="H16" s="10"/>
      <c r="I16" s="10"/>
      <c r="J16" s="10"/>
      <c r="K16" s="10"/>
      <c r="L16" s="10"/>
    </row>
    <row r="17" spans="1:12" x14ac:dyDescent="0.25">
      <c r="A17" s="32" t="s">
        <v>229</v>
      </c>
      <c r="B17" s="131">
        <v>14</v>
      </c>
      <c r="C17" s="11">
        <v>100</v>
      </c>
      <c r="D17" s="11">
        <v>2500</v>
      </c>
      <c r="E17" s="137">
        <v>250</v>
      </c>
      <c r="F17" s="53">
        <f t="shared" si="0"/>
        <v>2850</v>
      </c>
      <c r="G17" s="10"/>
      <c r="H17" s="10"/>
      <c r="I17" s="10"/>
      <c r="J17" s="10"/>
      <c r="K17" s="10"/>
      <c r="L17" s="10"/>
    </row>
    <row r="18" spans="1:12" x14ac:dyDescent="0.25">
      <c r="A18" s="8" t="s">
        <v>51</v>
      </c>
      <c r="B18" s="131">
        <v>15</v>
      </c>
      <c r="C18" s="11">
        <v>100</v>
      </c>
      <c r="D18" s="11">
        <v>2450</v>
      </c>
      <c r="E18" s="137">
        <v>250</v>
      </c>
      <c r="F18" s="53">
        <f t="shared" si="0"/>
        <v>2800</v>
      </c>
      <c r="G18" s="10"/>
      <c r="H18" s="10"/>
      <c r="I18" s="10"/>
      <c r="J18" s="10"/>
      <c r="K18" s="10"/>
      <c r="L18" s="10"/>
    </row>
    <row r="19" spans="1:12" x14ac:dyDescent="0.25">
      <c r="E19" s="137"/>
      <c r="F19" s="53">
        <f t="shared" si="0"/>
        <v>0</v>
      </c>
      <c r="G19" s="10"/>
      <c r="H19" s="10"/>
      <c r="I19" s="10"/>
      <c r="J19" s="10"/>
      <c r="K19" s="10"/>
      <c r="L19" s="10"/>
    </row>
    <row r="20" spans="1:12" x14ac:dyDescent="0.25">
      <c r="A20" s="8" t="s">
        <v>10</v>
      </c>
      <c r="B20" s="131">
        <v>17</v>
      </c>
      <c r="C20" s="11"/>
      <c r="D20" s="11"/>
      <c r="E20" s="137"/>
      <c r="F20" s="53">
        <f t="shared" si="0"/>
        <v>0</v>
      </c>
      <c r="G20" s="10"/>
      <c r="H20" s="10"/>
      <c r="I20" s="10"/>
      <c r="J20" s="10"/>
      <c r="K20" s="10"/>
      <c r="L20" s="10"/>
    </row>
    <row r="21" spans="1:12" x14ac:dyDescent="0.25">
      <c r="A21" s="8" t="s">
        <v>237</v>
      </c>
      <c r="B21" s="131">
        <v>16</v>
      </c>
      <c r="C21" s="11">
        <v>100</v>
      </c>
      <c r="D21" s="13">
        <v>2450</v>
      </c>
      <c r="E21" s="137"/>
      <c r="F21" s="53">
        <f t="shared" si="0"/>
        <v>2550</v>
      </c>
      <c r="G21" s="10"/>
      <c r="H21" s="10"/>
      <c r="I21" s="10"/>
      <c r="J21" s="10"/>
      <c r="K21" s="10"/>
      <c r="L21" s="10"/>
    </row>
    <row r="22" spans="1:12" x14ac:dyDescent="0.25">
      <c r="A22" s="8" t="s">
        <v>234</v>
      </c>
      <c r="B22" s="131">
        <v>19</v>
      </c>
      <c r="C22" s="11">
        <v>100</v>
      </c>
      <c r="D22" s="13">
        <v>2500</v>
      </c>
      <c r="E22" s="137">
        <v>250</v>
      </c>
      <c r="F22" s="53">
        <f t="shared" si="0"/>
        <v>2850</v>
      </c>
      <c r="G22" s="10"/>
      <c r="H22" s="10"/>
      <c r="I22" s="10"/>
      <c r="J22" s="10"/>
      <c r="K22" s="10"/>
      <c r="L22" s="10"/>
    </row>
    <row r="23" spans="1:12" x14ac:dyDescent="0.25">
      <c r="A23" s="8" t="s">
        <v>10</v>
      </c>
      <c r="B23" s="131">
        <v>20</v>
      </c>
      <c r="C23" s="11"/>
      <c r="D23" s="11"/>
      <c r="E23" s="137"/>
      <c r="F23" s="53">
        <f t="shared" si="0"/>
        <v>0</v>
      </c>
      <c r="G23" s="10"/>
      <c r="H23" s="10"/>
      <c r="I23" s="10"/>
      <c r="J23" s="10"/>
      <c r="K23" s="10"/>
      <c r="L23" s="10"/>
    </row>
    <row r="24" spans="1:12" x14ac:dyDescent="0.25">
      <c r="A24" s="8" t="s">
        <v>64</v>
      </c>
      <c r="B24" s="131">
        <v>21</v>
      </c>
      <c r="C24" s="11">
        <v>100</v>
      </c>
      <c r="D24" s="11">
        <v>2500</v>
      </c>
      <c r="E24" s="137">
        <v>2500</v>
      </c>
      <c r="F24" s="53">
        <f t="shared" si="0"/>
        <v>5100</v>
      </c>
      <c r="G24" s="10"/>
      <c r="H24" s="10"/>
      <c r="I24" s="10"/>
      <c r="J24" s="10"/>
      <c r="K24" s="10"/>
      <c r="L24" s="10"/>
    </row>
    <row r="25" spans="1:12" x14ac:dyDescent="0.25">
      <c r="A25" s="8" t="s">
        <v>142</v>
      </c>
      <c r="B25" s="131">
        <v>22</v>
      </c>
      <c r="C25" s="11">
        <v>100</v>
      </c>
      <c r="D25" s="11">
        <v>3500</v>
      </c>
      <c r="E25" s="137">
        <v>2500</v>
      </c>
      <c r="F25" s="53">
        <f t="shared" si="0"/>
        <v>6100</v>
      </c>
      <c r="G25" s="10"/>
      <c r="H25" s="10"/>
      <c r="I25" s="10"/>
      <c r="J25" s="10"/>
      <c r="K25" s="10"/>
      <c r="L25" s="10"/>
    </row>
    <row r="26" spans="1:12" x14ac:dyDescent="0.25">
      <c r="A26" s="8" t="s">
        <v>162</v>
      </c>
      <c r="B26" s="131">
        <v>23</v>
      </c>
      <c r="C26" s="11">
        <v>100</v>
      </c>
      <c r="D26" s="11">
        <v>3500</v>
      </c>
      <c r="E26" s="137">
        <v>2500</v>
      </c>
      <c r="F26" s="53">
        <f t="shared" si="0"/>
        <v>6100</v>
      </c>
      <c r="G26" s="10"/>
      <c r="H26" s="10"/>
      <c r="I26" s="10"/>
      <c r="J26" s="10"/>
      <c r="K26" s="10"/>
      <c r="L26" s="10"/>
    </row>
    <row r="27" spans="1:12" x14ac:dyDescent="0.25">
      <c r="A27" s="8" t="s">
        <v>121</v>
      </c>
      <c r="B27" s="131">
        <v>24</v>
      </c>
      <c r="C27" s="11">
        <v>100</v>
      </c>
      <c r="D27" s="11">
        <v>3500</v>
      </c>
      <c r="E27" s="137">
        <v>2500</v>
      </c>
      <c r="F27" s="53">
        <f t="shared" si="0"/>
        <v>6100</v>
      </c>
      <c r="G27" s="10"/>
      <c r="H27" s="10"/>
      <c r="I27" s="10"/>
      <c r="J27" s="10"/>
      <c r="K27" s="10"/>
      <c r="L27" s="10"/>
    </row>
    <row r="28" spans="1:12" x14ac:dyDescent="0.25">
      <c r="A28" s="8" t="s">
        <v>15</v>
      </c>
      <c r="B28" s="131">
        <v>25</v>
      </c>
      <c r="C28" s="11">
        <v>100</v>
      </c>
      <c r="D28" s="13">
        <v>3150</v>
      </c>
      <c r="E28" s="137">
        <v>2500</v>
      </c>
      <c r="F28" s="53">
        <f t="shared" si="0"/>
        <v>5750</v>
      </c>
      <c r="G28" s="10"/>
      <c r="H28" s="10"/>
      <c r="I28" s="10"/>
      <c r="J28" s="10"/>
      <c r="K28" s="10"/>
      <c r="L28" s="10"/>
    </row>
    <row r="29" spans="1:12" x14ac:dyDescent="0.25">
      <c r="A29" s="8" t="s">
        <v>59</v>
      </c>
      <c r="B29" s="132">
        <v>26</v>
      </c>
      <c r="C29" s="11">
        <v>100</v>
      </c>
      <c r="D29" s="97">
        <v>3150</v>
      </c>
      <c r="E29" s="137">
        <v>2500</v>
      </c>
      <c r="F29" s="53">
        <f t="shared" si="0"/>
        <v>5750</v>
      </c>
      <c r="G29" s="10"/>
      <c r="H29" s="10"/>
      <c r="I29" s="10"/>
      <c r="J29" s="10"/>
      <c r="K29" s="10"/>
      <c r="L29" s="10"/>
    </row>
    <row r="30" spans="1:12" x14ac:dyDescent="0.25">
      <c r="A30" s="8" t="s">
        <v>78</v>
      </c>
      <c r="B30" s="131">
        <v>27</v>
      </c>
      <c r="C30" s="11">
        <v>100</v>
      </c>
      <c r="D30" s="11">
        <v>3150</v>
      </c>
      <c r="E30" s="137">
        <v>2500</v>
      </c>
      <c r="F30" s="53">
        <f t="shared" si="0"/>
        <v>5750</v>
      </c>
      <c r="G30" s="10"/>
      <c r="H30" s="10"/>
      <c r="I30" s="10"/>
      <c r="J30" s="10"/>
      <c r="K30" s="10"/>
      <c r="L30" s="10"/>
    </row>
    <row r="31" spans="1:12" x14ac:dyDescent="0.25">
      <c r="A31" s="8" t="s">
        <v>64</v>
      </c>
      <c r="B31" s="131">
        <v>28</v>
      </c>
      <c r="C31" s="11"/>
      <c r="D31" s="11"/>
      <c r="E31" s="137"/>
      <c r="F31" s="53">
        <f t="shared" si="0"/>
        <v>0</v>
      </c>
      <c r="G31" s="10"/>
      <c r="H31" s="10"/>
      <c r="I31" s="10"/>
      <c r="J31" s="10"/>
      <c r="K31" s="10"/>
      <c r="L31" s="10"/>
    </row>
    <row r="32" spans="1:12" x14ac:dyDescent="0.25">
      <c r="A32" s="32" t="s">
        <v>213</v>
      </c>
      <c r="B32" s="131">
        <v>29</v>
      </c>
      <c r="C32" s="11">
        <v>100</v>
      </c>
      <c r="D32" s="13">
        <v>3000</v>
      </c>
      <c r="E32" s="137">
        <v>250</v>
      </c>
      <c r="F32" s="53">
        <f t="shared" si="0"/>
        <v>3350</v>
      </c>
      <c r="G32" s="10"/>
      <c r="H32" s="10"/>
      <c r="I32" s="10"/>
      <c r="J32" s="10"/>
      <c r="K32" s="10"/>
      <c r="L32" s="10"/>
    </row>
    <row r="33" spans="1:12" x14ac:dyDescent="0.25">
      <c r="A33" s="8" t="s">
        <v>100</v>
      </c>
      <c r="B33" s="131">
        <v>30</v>
      </c>
      <c r="C33" s="11">
        <v>100</v>
      </c>
      <c r="D33" s="13">
        <v>2950</v>
      </c>
      <c r="E33" s="137">
        <v>250</v>
      </c>
      <c r="F33" s="53">
        <f t="shared" si="0"/>
        <v>3300</v>
      </c>
      <c r="G33" s="10"/>
      <c r="H33" s="10"/>
      <c r="I33" s="10"/>
      <c r="J33" s="10"/>
      <c r="K33" s="10"/>
      <c r="L33" s="10"/>
    </row>
    <row r="34" spans="1:12" x14ac:dyDescent="0.25">
      <c r="A34" s="8" t="s">
        <v>7</v>
      </c>
      <c r="B34" s="131">
        <v>31</v>
      </c>
      <c r="C34" s="11">
        <v>100</v>
      </c>
      <c r="D34" s="11">
        <v>3500</v>
      </c>
      <c r="E34" s="137">
        <v>250</v>
      </c>
      <c r="F34" s="53">
        <f t="shared" si="0"/>
        <v>3850</v>
      </c>
      <c r="G34" s="10"/>
      <c r="H34" s="10"/>
      <c r="I34" s="10"/>
      <c r="J34" s="10"/>
      <c r="K34" s="10"/>
      <c r="L34" s="10"/>
    </row>
    <row r="35" spans="1:12" x14ac:dyDescent="0.25">
      <c r="A35" s="8" t="s">
        <v>163</v>
      </c>
      <c r="B35" s="133">
        <v>32</v>
      </c>
      <c r="C35" s="11">
        <v>100</v>
      </c>
      <c r="D35" s="119">
        <v>3500</v>
      </c>
      <c r="E35" s="137">
        <v>250</v>
      </c>
      <c r="F35" s="53">
        <f t="shared" si="0"/>
        <v>3850</v>
      </c>
      <c r="G35" s="10"/>
      <c r="H35" s="10"/>
      <c r="I35" s="10"/>
      <c r="J35" s="10"/>
      <c r="K35" s="10"/>
      <c r="L35" s="10"/>
    </row>
    <row r="36" spans="1:12" x14ac:dyDescent="0.25">
      <c r="A36" s="142" t="s">
        <v>224</v>
      </c>
      <c r="B36" s="133">
        <v>33</v>
      </c>
      <c r="C36" s="11">
        <v>100</v>
      </c>
      <c r="D36" s="110">
        <v>3500</v>
      </c>
      <c r="E36" s="137">
        <v>250</v>
      </c>
      <c r="F36" s="53">
        <f t="shared" si="0"/>
        <v>3850</v>
      </c>
      <c r="G36" s="10"/>
      <c r="H36" s="10"/>
      <c r="I36" s="10"/>
      <c r="J36" s="10"/>
      <c r="K36" s="10"/>
      <c r="L36" s="10"/>
    </row>
    <row r="37" spans="1:12" x14ac:dyDescent="0.25">
      <c r="A37" s="8" t="s">
        <v>6</v>
      </c>
      <c r="B37" s="131">
        <v>34</v>
      </c>
      <c r="C37" s="11">
        <v>100</v>
      </c>
      <c r="D37" s="13">
        <v>4500</v>
      </c>
      <c r="E37" s="137">
        <v>250</v>
      </c>
      <c r="F37" s="53">
        <f t="shared" si="0"/>
        <v>4850</v>
      </c>
      <c r="G37" s="10"/>
      <c r="H37" s="10"/>
      <c r="I37" s="10"/>
      <c r="J37" s="10"/>
      <c r="K37" s="10"/>
      <c r="L37" s="10"/>
    </row>
    <row r="38" spans="1:12" x14ac:dyDescent="0.25">
      <c r="A38" s="8" t="s">
        <v>9</v>
      </c>
      <c r="B38" s="131"/>
      <c r="C38" s="11">
        <v>100</v>
      </c>
      <c r="D38" s="13">
        <v>3500</v>
      </c>
      <c r="E38" s="137">
        <v>250</v>
      </c>
      <c r="F38" s="53">
        <f t="shared" si="0"/>
        <v>3850</v>
      </c>
      <c r="G38" s="10"/>
      <c r="H38" s="10"/>
      <c r="I38" s="10"/>
      <c r="J38" s="10"/>
      <c r="K38" s="10"/>
      <c r="L38" s="10"/>
    </row>
    <row r="39" spans="1:12" x14ac:dyDescent="0.25">
      <c r="A39" s="119"/>
      <c r="B39" s="119"/>
      <c r="C39" s="119">
        <f>SUM(C5:C38)</f>
        <v>2900</v>
      </c>
      <c r="D39" s="119">
        <f>SUM(D4:D38)</f>
        <v>86600</v>
      </c>
      <c r="E39" s="138"/>
      <c r="F39" s="53">
        <f>SUM(F4:F38)</f>
        <v>112500</v>
      </c>
      <c r="G39" s="10"/>
      <c r="H39" s="10"/>
      <c r="I39" s="10"/>
      <c r="J39" s="10"/>
      <c r="K39" s="10"/>
      <c r="L39" s="10"/>
    </row>
  </sheetData>
  <pageMargins left="0.28999999999999998" right="0.11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A3" sqref="A3:J39"/>
    </sheetView>
  </sheetViews>
  <sheetFormatPr defaultRowHeight="15" x14ac:dyDescent="0.25"/>
  <cols>
    <col min="1" max="1" width="13.85546875" customWidth="1"/>
    <col min="3" max="3" width="7.42578125" customWidth="1"/>
    <col min="4" max="4" width="7.7109375" customWidth="1"/>
    <col min="5" max="5" width="11.28515625" customWidth="1"/>
    <col min="6" max="6" width="6.7109375" customWidth="1"/>
    <col min="7" max="7" width="11.710937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256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250</v>
      </c>
      <c r="J5" s="10">
        <f>F5+G5+I5</f>
        <v>2800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250</v>
      </c>
      <c r="J6" s="10">
        <f>F6+G6+I6</f>
        <v>4050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250</v>
      </c>
      <c r="J7" s="10">
        <f t="shared" ref="J7:J37" si="0">F7+G7+I7</f>
        <v>4000</v>
      </c>
    </row>
    <row r="8" spans="1:10" x14ac:dyDescent="0.25">
      <c r="A8" s="151" t="s">
        <v>64</v>
      </c>
      <c r="B8" s="131">
        <v>5</v>
      </c>
      <c r="C8" s="10"/>
      <c r="D8" s="10"/>
      <c r="E8" s="11"/>
      <c r="F8" s="11"/>
      <c r="G8" s="13"/>
      <c r="H8" s="137"/>
      <c r="I8" s="137"/>
      <c r="J8" s="10"/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250</v>
      </c>
      <c r="J9" s="10">
        <f t="shared" si="0"/>
        <v>3000</v>
      </c>
    </row>
    <row r="10" spans="1:10" x14ac:dyDescent="0.25">
      <c r="A10" s="142" t="s">
        <v>64</v>
      </c>
      <c r="B10" s="131"/>
      <c r="C10" s="10"/>
      <c r="D10" s="10"/>
      <c r="E10" s="11"/>
      <c r="F10" s="11"/>
      <c r="G10" s="13"/>
      <c r="H10" s="137"/>
      <c r="I10" s="137">
        <v>250</v>
      </c>
      <c r="J10" s="10"/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250</v>
      </c>
      <c r="J11" s="10">
        <f t="shared" si="0"/>
        <v>2800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2800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2800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137">
        <v>250</v>
      </c>
      <c r="J14" s="10">
        <f t="shared" si="0"/>
        <v>2800</v>
      </c>
    </row>
    <row r="15" spans="1:10" x14ac:dyDescent="0.25">
      <c r="A15" s="142" t="s">
        <v>64</v>
      </c>
      <c r="B15" s="131">
        <v>11</v>
      </c>
      <c r="C15" s="105"/>
      <c r="D15" s="105"/>
      <c r="E15" s="13"/>
      <c r="F15" s="13"/>
      <c r="G15" s="13"/>
      <c r="H15" s="147"/>
      <c r="I15" s="137"/>
      <c r="J15" s="10"/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137">
        <v>250</v>
      </c>
      <c r="J16" s="10">
        <f t="shared" si="0"/>
        <v>2800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137">
        <v>250</v>
      </c>
      <c r="J17" s="10">
        <f t="shared" si="0"/>
        <v>2850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137">
        <v>250</v>
      </c>
      <c r="J18" s="10">
        <f t="shared" si="0"/>
        <v>2800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>
        <v>250</v>
      </c>
      <c r="J19" s="10">
        <f t="shared" si="0"/>
        <v>2800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137"/>
      <c r="J20" s="10"/>
    </row>
    <row r="21" spans="1:10" x14ac:dyDescent="0.25">
      <c r="A21" s="142" t="s">
        <v>64</v>
      </c>
      <c r="B21" s="131">
        <v>18</v>
      </c>
      <c r="C21" s="10"/>
      <c r="D21" s="10"/>
      <c r="E21" s="11"/>
      <c r="F21" s="11"/>
      <c r="G21" s="11"/>
      <c r="H21" s="137"/>
      <c r="I21" s="137"/>
      <c r="J21" s="10"/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</v>
      </c>
      <c r="J22" s="10">
        <f t="shared" si="0"/>
        <v>2850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137">
        <v>250</v>
      </c>
      <c r="J23" s="10"/>
    </row>
    <row r="24" spans="1:10" x14ac:dyDescent="0.25">
      <c r="A24" s="142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137">
        <v>250</v>
      </c>
      <c r="J24" s="10">
        <f t="shared" si="0"/>
        <v>2850</v>
      </c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137">
        <v>250</v>
      </c>
      <c r="J25" s="10">
        <f t="shared" si="0"/>
        <v>3850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137">
        <v>250</v>
      </c>
      <c r="J26" s="10">
        <f t="shared" si="0"/>
        <v>3850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137">
        <v>250</v>
      </c>
      <c r="J27" s="10">
        <f t="shared" si="0"/>
        <v>3850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250</v>
      </c>
      <c r="J28" s="10">
        <f t="shared" si="0"/>
        <v>3500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137">
        <v>250</v>
      </c>
      <c r="J29" s="10">
        <f t="shared" si="0"/>
        <v>3500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137">
        <v>250</v>
      </c>
      <c r="J30" s="10">
        <f t="shared" si="0"/>
        <v>3500</v>
      </c>
    </row>
    <row r="31" spans="1:10" x14ac:dyDescent="0.25">
      <c r="A31" s="142" t="s">
        <v>64</v>
      </c>
      <c r="B31" s="131">
        <v>28</v>
      </c>
      <c r="C31" s="10"/>
      <c r="D31" s="10"/>
      <c r="E31" s="11"/>
      <c r="F31" s="11"/>
      <c r="G31" s="11"/>
      <c r="H31" s="137"/>
      <c r="I31" s="137">
        <v>250</v>
      </c>
      <c r="J31" s="10"/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8" si="2">E32+F32+G32</f>
        <v>3100</v>
      </c>
      <c r="I32" s="137">
        <v>250</v>
      </c>
      <c r="J32" s="10">
        <f t="shared" si="0"/>
        <v>3350</v>
      </c>
    </row>
    <row r="33" spans="1:13" x14ac:dyDescent="0.25">
      <c r="A33" s="142" t="s">
        <v>64</v>
      </c>
      <c r="B33" s="131">
        <v>30</v>
      </c>
      <c r="C33" s="10"/>
      <c r="D33" s="10"/>
      <c r="E33" s="11"/>
      <c r="F33" s="11"/>
      <c r="G33" s="13"/>
      <c r="H33" s="137"/>
      <c r="I33" s="137"/>
      <c r="J33" s="10"/>
    </row>
    <row r="34" spans="1:13" x14ac:dyDescent="0.25">
      <c r="A34" s="142" t="s">
        <v>64</v>
      </c>
      <c r="B34" s="131">
        <v>31</v>
      </c>
      <c r="C34" s="10"/>
      <c r="D34" s="10"/>
      <c r="E34" s="81"/>
      <c r="F34" s="11"/>
      <c r="G34" s="11"/>
      <c r="H34" s="137"/>
      <c r="I34" s="137"/>
      <c r="J34" s="10"/>
    </row>
    <row r="35" spans="1:13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250</v>
      </c>
      <c r="J35" s="10">
        <f t="shared" si="0"/>
        <v>3850</v>
      </c>
    </row>
    <row r="36" spans="1:13" x14ac:dyDescent="0.25">
      <c r="A36" s="142" t="s">
        <v>250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137"/>
      <c r="J36" s="10"/>
    </row>
    <row r="37" spans="1:13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250</v>
      </c>
      <c r="J37" s="10">
        <f t="shared" si="0"/>
        <v>4850</v>
      </c>
    </row>
    <row r="38" spans="1:13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 t="shared" si="2"/>
        <v>3600</v>
      </c>
      <c r="I38" s="137">
        <v>250</v>
      </c>
      <c r="J38" s="10">
        <f>F38+G38+I38</f>
        <v>3850</v>
      </c>
    </row>
    <row r="39" spans="1:13" x14ac:dyDescent="0.25">
      <c r="A39" s="119"/>
      <c r="B39" s="119"/>
      <c r="C39" s="119"/>
      <c r="D39" s="119"/>
      <c r="E39" s="119">
        <f>SUM(E5:E36)</f>
        <v>0</v>
      </c>
      <c r="F39" s="119">
        <f>SUM(F5:F38)</f>
        <v>2500</v>
      </c>
      <c r="G39" s="119">
        <f>SUM(G4:G38)</f>
        <v>75050</v>
      </c>
      <c r="H39" s="138">
        <f>SUM(H5:H38)</f>
        <v>74950</v>
      </c>
      <c r="I39" s="53"/>
      <c r="J39" s="10">
        <f>SUM(J4:J38)</f>
        <v>79950</v>
      </c>
      <c r="L39">
        <v>1800</v>
      </c>
      <c r="M39">
        <v>1000</v>
      </c>
    </row>
    <row r="40" spans="1:13" x14ac:dyDescent="0.25">
      <c r="A40" s="84"/>
      <c r="B40" s="12" t="s">
        <v>236</v>
      </c>
      <c r="C40" s="129"/>
      <c r="D40" s="84"/>
      <c r="E40" s="85">
        <f>J39</f>
        <v>79950</v>
      </c>
      <c r="F40" s="3"/>
      <c r="G40" s="86"/>
      <c r="H40" s="3"/>
      <c r="I40" s="129"/>
      <c r="J40" s="129"/>
      <c r="L40">
        <v>1200</v>
      </c>
      <c r="M40">
        <v>600</v>
      </c>
    </row>
    <row r="41" spans="1:13" x14ac:dyDescent="0.25">
      <c r="A41" s="84"/>
      <c r="B41" s="12"/>
      <c r="C41" s="129"/>
      <c r="D41" s="84"/>
      <c r="E41" s="88">
        <f>SUM(E40:E40)</f>
        <v>79950</v>
      </c>
      <c r="F41" s="129"/>
      <c r="G41" s="23"/>
      <c r="H41" s="129"/>
      <c r="I41" s="129"/>
      <c r="J41" s="129"/>
      <c r="L41">
        <v>1600</v>
      </c>
    </row>
    <row r="42" spans="1:13" x14ac:dyDescent="0.25">
      <c r="A42" s="129"/>
      <c r="B42" s="141" t="s">
        <v>26</v>
      </c>
      <c r="C42" s="129"/>
      <c r="D42" s="129"/>
      <c r="E42" s="134">
        <v>0.08</v>
      </c>
      <c r="G42" s="12"/>
      <c r="H42" s="129"/>
      <c r="I42" s="129"/>
      <c r="J42" s="129"/>
      <c r="L42">
        <f>SUM(L39:L41)</f>
        <v>4600</v>
      </c>
    </row>
    <row r="43" spans="1:13" x14ac:dyDescent="0.25">
      <c r="A43" s="84"/>
      <c r="B43" s="12" t="s">
        <v>79</v>
      </c>
      <c r="C43" s="129"/>
      <c r="D43" s="84"/>
      <c r="E43" s="143">
        <f>E40*E42</f>
        <v>6396</v>
      </c>
      <c r="I43" s="129"/>
      <c r="J43" s="129"/>
    </row>
    <row r="44" spans="1:13" x14ac:dyDescent="0.25">
      <c r="A44" s="84"/>
      <c r="B44" s="12" t="s">
        <v>221</v>
      </c>
      <c r="C44" s="129"/>
      <c r="D44" s="129"/>
      <c r="E44" s="129">
        <v>1000</v>
      </c>
      <c r="F44" s="20"/>
      <c r="I44" s="129"/>
      <c r="J44" s="129"/>
    </row>
    <row r="45" spans="1:13" x14ac:dyDescent="0.25">
      <c r="A45" s="135"/>
      <c r="B45" s="12" t="s">
        <v>252</v>
      </c>
      <c r="C45" s="129"/>
      <c r="D45" s="129"/>
      <c r="E45" s="129">
        <v>22900</v>
      </c>
      <c r="F45" s="20"/>
      <c r="G45" s="129"/>
      <c r="H45" s="129"/>
      <c r="I45" s="129"/>
      <c r="J45" s="129"/>
    </row>
    <row r="46" spans="1:13" x14ac:dyDescent="0.25">
      <c r="A46" s="129"/>
      <c r="B46" s="116" t="s">
        <v>253</v>
      </c>
      <c r="C46" s="107"/>
      <c r="D46" s="107"/>
      <c r="E46" s="113">
        <f>SUM(E43:E45)</f>
        <v>30296</v>
      </c>
      <c r="F46" s="20"/>
      <c r="G46" s="129"/>
      <c r="H46" s="129"/>
      <c r="I46" s="129"/>
      <c r="J46" s="129"/>
    </row>
    <row r="47" spans="1:13" x14ac:dyDescent="0.25">
      <c r="A47" s="129"/>
      <c r="B47" s="12" t="s">
        <v>254</v>
      </c>
      <c r="E47" s="20">
        <f>E41-E46</f>
        <v>49654</v>
      </c>
      <c r="F47" s="12"/>
      <c r="G47" s="20"/>
      <c r="H47" s="129"/>
      <c r="I47" s="20"/>
      <c r="J47" s="129"/>
    </row>
    <row r="48" spans="1:13" x14ac:dyDescent="0.25">
      <c r="A48" s="129"/>
      <c r="B48" s="12" t="s">
        <v>255</v>
      </c>
      <c r="C48" s="129"/>
      <c r="D48" s="129"/>
      <c r="E48" s="15">
        <v>49654</v>
      </c>
      <c r="F48" s="12"/>
      <c r="G48" s="12"/>
      <c r="H48" s="12"/>
      <c r="I48" s="129"/>
      <c r="J48" s="129"/>
    </row>
    <row r="49" spans="1:10" x14ac:dyDescent="0.25">
      <c r="A49" s="129"/>
      <c r="B49" s="12"/>
      <c r="C49" s="12" t="s">
        <v>116</v>
      </c>
      <c r="D49" s="12" t="s">
        <v>113</v>
      </c>
      <c r="E49" s="20" t="s">
        <v>217</v>
      </c>
      <c r="G49" s="12"/>
      <c r="H49" s="12"/>
      <c r="I49" s="129"/>
      <c r="J49" s="129"/>
    </row>
    <row r="50" spans="1:10" x14ac:dyDescent="0.25">
      <c r="A50" s="129"/>
      <c r="B50" s="96" t="s">
        <v>40</v>
      </c>
      <c r="C50" s="12" t="s">
        <v>117</v>
      </c>
      <c r="D50" s="12" t="s">
        <v>117</v>
      </c>
      <c r="E50" s="20" t="s">
        <v>251</v>
      </c>
      <c r="G50" s="129"/>
      <c r="H50" s="129"/>
      <c r="I50" s="129"/>
      <c r="J50" s="129"/>
    </row>
    <row r="51" spans="1:10" x14ac:dyDescent="0.25">
      <c r="A51" s="129"/>
      <c r="G51" s="129"/>
      <c r="H51" s="129"/>
      <c r="I51" s="129"/>
      <c r="J51" s="129"/>
    </row>
  </sheetData>
  <pageMargins left="0.22" right="0.15" top="0.39" bottom="0.2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0" workbookViewId="0">
      <selection activeCell="K37" sqref="K37"/>
    </sheetView>
  </sheetViews>
  <sheetFormatPr defaultRowHeight="15" x14ac:dyDescent="0.25"/>
  <cols>
    <col min="1" max="1" width="16" customWidth="1"/>
    <col min="5" max="5" width="13.425781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256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250</v>
      </c>
      <c r="J5" s="10">
        <f>G5+I5</f>
        <v>2700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250</v>
      </c>
      <c r="J6" s="10">
        <f t="shared" ref="J6:J37" si="0">G6+I6</f>
        <v>3950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250</v>
      </c>
      <c r="J7" s="10">
        <f t="shared" si="0"/>
        <v>3900</v>
      </c>
    </row>
    <row r="8" spans="1:10" x14ac:dyDescent="0.25">
      <c r="A8" s="151" t="s">
        <v>64</v>
      </c>
      <c r="B8" s="131">
        <v>5</v>
      </c>
      <c r="C8" s="10"/>
      <c r="D8" s="10"/>
      <c r="E8" s="11"/>
      <c r="F8" s="11"/>
      <c r="G8" s="13"/>
      <c r="H8" s="137"/>
      <c r="I8" s="137"/>
      <c r="J8" s="10">
        <f t="shared" si="0"/>
        <v>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250</v>
      </c>
      <c r="J9" s="10">
        <f t="shared" si="0"/>
        <v>2900</v>
      </c>
    </row>
    <row r="10" spans="1:10" x14ac:dyDescent="0.25">
      <c r="A10" s="142" t="s">
        <v>64</v>
      </c>
      <c r="B10" s="131">
        <v>7</v>
      </c>
      <c r="C10" s="10"/>
      <c r="D10" s="10"/>
      <c r="E10" s="11"/>
      <c r="F10" s="11"/>
      <c r="G10" s="13"/>
      <c r="H10" s="137"/>
      <c r="I10" s="137"/>
      <c r="J10" s="10">
        <f t="shared" si="0"/>
        <v>0</v>
      </c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250</v>
      </c>
      <c r="J11" s="10">
        <f t="shared" si="0"/>
        <v>2700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2700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2700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137">
        <v>250</v>
      </c>
      <c r="J14" s="10">
        <f t="shared" si="0"/>
        <v>2700</v>
      </c>
    </row>
    <row r="15" spans="1:10" x14ac:dyDescent="0.25">
      <c r="A15" s="142" t="s">
        <v>64</v>
      </c>
      <c r="B15" s="131">
        <v>11</v>
      </c>
      <c r="C15" s="105"/>
      <c r="D15" s="105"/>
      <c r="E15" s="13"/>
      <c r="F15" s="13"/>
      <c r="G15" s="13"/>
      <c r="H15" s="147"/>
      <c r="I15" s="137"/>
      <c r="J15" s="10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137">
        <v>250</v>
      </c>
      <c r="J16" s="10">
        <f t="shared" si="0"/>
        <v>2700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137">
        <v>250</v>
      </c>
      <c r="J17" s="10">
        <f t="shared" si="0"/>
        <v>2750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137">
        <v>250</v>
      </c>
      <c r="J18" s="10">
        <f t="shared" si="0"/>
        <v>2700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>
        <v>250</v>
      </c>
      <c r="J19" s="10">
        <f t="shared" si="0"/>
        <v>2700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137"/>
      <c r="J20" s="10">
        <f t="shared" si="0"/>
        <v>0</v>
      </c>
    </row>
    <row r="21" spans="1:10" x14ac:dyDescent="0.25">
      <c r="A21" s="142" t="s">
        <v>64</v>
      </c>
      <c r="B21" s="131">
        <v>18</v>
      </c>
      <c r="C21" s="10"/>
      <c r="D21" s="10"/>
      <c r="E21" s="11"/>
      <c r="F21" s="11"/>
      <c r="G21" s="11"/>
      <c r="H21" s="137"/>
      <c r="I21" s="137"/>
      <c r="J21" s="10">
        <f t="shared" si="0"/>
        <v>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</v>
      </c>
      <c r="J22" s="10">
        <f t="shared" si="0"/>
        <v>2750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137"/>
      <c r="J23" s="10">
        <f t="shared" si="0"/>
        <v>0</v>
      </c>
    </row>
    <row r="24" spans="1:10" x14ac:dyDescent="0.25">
      <c r="A24" s="142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137">
        <v>250</v>
      </c>
      <c r="J24" s="10">
        <f t="shared" si="0"/>
        <v>2750</v>
      </c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137">
        <v>250</v>
      </c>
      <c r="J25" s="10">
        <f t="shared" si="0"/>
        <v>3750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137">
        <v>250</v>
      </c>
      <c r="J26" s="10">
        <f t="shared" si="0"/>
        <v>3750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137">
        <v>250</v>
      </c>
      <c r="J27" s="10">
        <f t="shared" si="0"/>
        <v>3750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250</v>
      </c>
      <c r="J28" s="10">
        <f t="shared" si="0"/>
        <v>3400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137">
        <v>250</v>
      </c>
      <c r="J29" s="10">
        <f t="shared" si="0"/>
        <v>3400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137">
        <v>250</v>
      </c>
      <c r="J30" s="10">
        <f t="shared" si="0"/>
        <v>3400</v>
      </c>
    </row>
    <row r="31" spans="1:10" x14ac:dyDescent="0.25">
      <c r="A31" s="142" t="s">
        <v>64</v>
      </c>
      <c r="B31" s="131">
        <v>28</v>
      </c>
      <c r="C31" s="10"/>
      <c r="D31" s="10"/>
      <c r="E31" s="11"/>
      <c r="F31" s="11"/>
      <c r="G31" s="11"/>
      <c r="H31" s="137"/>
      <c r="I31" s="137"/>
      <c r="J31" s="10">
        <f t="shared" si="0"/>
        <v>0</v>
      </c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7" si="2">E32+F32+G32</f>
        <v>3100</v>
      </c>
      <c r="I32" s="137">
        <v>250</v>
      </c>
      <c r="J32" s="10">
        <f t="shared" si="0"/>
        <v>3250</v>
      </c>
    </row>
    <row r="33" spans="1:10" x14ac:dyDescent="0.25">
      <c r="A33" s="142" t="s">
        <v>64</v>
      </c>
      <c r="B33" s="131">
        <v>30</v>
      </c>
      <c r="C33" s="10"/>
      <c r="D33" s="10"/>
      <c r="E33" s="11"/>
      <c r="F33" s="11"/>
      <c r="G33" s="13"/>
      <c r="H33" s="137"/>
      <c r="I33" s="137"/>
      <c r="J33" s="10">
        <f t="shared" si="0"/>
        <v>0</v>
      </c>
    </row>
    <row r="34" spans="1:10" x14ac:dyDescent="0.25">
      <c r="A34" s="152" t="s">
        <v>261</v>
      </c>
      <c r="B34" s="131">
        <v>31</v>
      </c>
      <c r="C34" s="10"/>
      <c r="D34" s="10"/>
      <c r="E34" s="81"/>
      <c r="F34" s="11"/>
      <c r="H34" s="11">
        <v>3500</v>
      </c>
      <c r="I34" s="137">
        <v>250</v>
      </c>
      <c r="J34" s="10">
        <f t="shared" si="0"/>
        <v>250</v>
      </c>
    </row>
    <row r="35" spans="1:10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250</v>
      </c>
      <c r="J35" s="10">
        <f t="shared" si="0"/>
        <v>3750</v>
      </c>
    </row>
    <row r="36" spans="1:10" x14ac:dyDescent="0.25">
      <c r="A36" s="152" t="s">
        <v>262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137"/>
      <c r="J36" s="10">
        <f t="shared" si="0"/>
        <v>3500</v>
      </c>
    </row>
    <row r="37" spans="1:10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250</v>
      </c>
      <c r="J37" s="10">
        <f t="shared" si="0"/>
        <v>4750</v>
      </c>
    </row>
    <row r="38" spans="1:10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>E38+F38+G38</f>
        <v>3600</v>
      </c>
      <c r="I38" s="137">
        <v>250</v>
      </c>
      <c r="J38" s="10">
        <f>G38+I38</f>
        <v>3750</v>
      </c>
    </row>
    <row r="39" spans="1:10" x14ac:dyDescent="0.25">
      <c r="A39" s="119"/>
      <c r="B39" s="119"/>
      <c r="C39" s="119"/>
      <c r="D39" s="119"/>
      <c r="E39" s="119">
        <f>SUM(E5:E36)</f>
        <v>0</v>
      </c>
      <c r="F39" s="119">
        <f>SUM(F5:F38)</f>
        <v>2500</v>
      </c>
      <c r="G39" s="119">
        <f>SUM(G4:G38)</f>
        <v>75050</v>
      </c>
      <c r="H39" s="138">
        <f>SUM(H5:H38)</f>
        <v>78450</v>
      </c>
      <c r="I39" s="53"/>
      <c r="J39" s="10">
        <f>SUM(J4:J38)</f>
        <v>81300</v>
      </c>
    </row>
    <row r="40" spans="1:10" x14ac:dyDescent="0.25">
      <c r="A40" s="84"/>
      <c r="B40" s="12" t="s">
        <v>236</v>
      </c>
      <c r="C40" s="129"/>
      <c r="D40" s="84"/>
      <c r="E40" s="85">
        <f>J39</f>
        <v>81300</v>
      </c>
      <c r="F40" s="3"/>
      <c r="G40" s="86"/>
      <c r="H40" s="3"/>
      <c r="I40" s="129"/>
      <c r="J40" s="129"/>
    </row>
    <row r="41" spans="1:10" x14ac:dyDescent="0.25">
      <c r="A41" s="84"/>
      <c r="B41" s="12"/>
      <c r="C41" s="129"/>
      <c r="D41" s="84"/>
      <c r="E41" s="88">
        <f>SUM(E40:E40)</f>
        <v>81300</v>
      </c>
      <c r="F41" s="129"/>
      <c r="G41" s="23"/>
      <c r="H41" s="129"/>
      <c r="I41" s="129"/>
      <c r="J41" s="129"/>
    </row>
    <row r="42" spans="1:10" x14ac:dyDescent="0.25">
      <c r="A42" s="129"/>
      <c r="B42" s="141" t="s">
        <v>26</v>
      </c>
      <c r="C42" s="129"/>
      <c r="D42" s="129"/>
      <c r="E42" s="134">
        <v>0.08</v>
      </c>
      <c r="F42" s="129"/>
      <c r="G42" s="12"/>
      <c r="H42" s="129"/>
      <c r="I42" s="129"/>
      <c r="J42" s="129"/>
    </row>
    <row r="43" spans="1:10" x14ac:dyDescent="0.25">
      <c r="A43" s="84"/>
      <c r="B43" s="12" t="s">
        <v>79</v>
      </c>
      <c r="C43" s="129"/>
      <c r="D43" s="84"/>
      <c r="E43" s="143">
        <f>E40*E42</f>
        <v>6504</v>
      </c>
      <c r="F43" s="129"/>
      <c r="G43" s="129"/>
      <c r="H43" s="129"/>
      <c r="I43" s="129"/>
      <c r="J43" s="129"/>
    </row>
    <row r="44" spans="1:10" x14ac:dyDescent="0.25">
      <c r="A44" s="84"/>
      <c r="B44" s="12" t="s">
        <v>221</v>
      </c>
      <c r="C44" s="129"/>
      <c r="D44" s="129"/>
      <c r="E44" s="129">
        <v>1000</v>
      </c>
      <c r="F44" s="20"/>
      <c r="G44" s="129"/>
      <c r="H44" s="129"/>
      <c r="I44" s="129"/>
      <c r="J44" s="129"/>
    </row>
    <row r="45" spans="1:10" x14ac:dyDescent="0.25">
      <c r="A45" s="135"/>
      <c r="B45" s="12" t="s">
        <v>257</v>
      </c>
      <c r="E45">
        <v>2800</v>
      </c>
      <c r="F45" s="20"/>
      <c r="G45" s="129"/>
      <c r="H45" s="129"/>
      <c r="I45" s="129"/>
      <c r="J45" s="129"/>
    </row>
    <row r="46" spans="1:10" x14ac:dyDescent="0.25">
      <c r="A46" s="129"/>
      <c r="B46" s="12" t="s">
        <v>258</v>
      </c>
      <c r="E46">
        <v>3000</v>
      </c>
      <c r="F46" s="20"/>
      <c r="G46" s="129"/>
      <c r="H46" s="129"/>
      <c r="I46" s="129"/>
      <c r="J46" s="129"/>
    </row>
    <row r="47" spans="1:10" x14ac:dyDescent="0.25">
      <c r="A47" s="129"/>
      <c r="B47" s="12" t="s">
        <v>252</v>
      </c>
      <c r="C47" s="129"/>
      <c r="D47" s="129"/>
      <c r="E47" s="129">
        <v>22900</v>
      </c>
      <c r="F47" s="12"/>
      <c r="G47" s="20"/>
      <c r="H47" s="129"/>
      <c r="I47" s="20"/>
      <c r="J47" s="129"/>
    </row>
    <row r="48" spans="1:10" x14ac:dyDescent="0.25">
      <c r="A48" s="129"/>
      <c r="B48" s="116" t="s">
        <v>253</v>
      </c>
      <c r="C48" s="107"/>
      <c r="D48" s="107"/>
      <c r="E48" s="113">
        <f>SUM(E43:E47)</f>
        <v>36204</v>
      </c>
      <c r="F48" s="12"/>
      <c r="G48" s="12"/>
      <c r="H48" s="12"/>
      <c r="I48" s="129"/>
      <c r="J48" s="129"/>
    </row>
    <row r="49" spans="1:10" x14ac:dyDescent="0.25">
      <c r="A49" s="129"/>
      <c r="B49" s="12" t="s">
        <v>254</v>
      </c>
      <c r="C49" s="129"/>
      <c r="D49" s="129"/>
      <c r="E49" s="20">
        <f>E41-E48</f>
        <v>45096</v>
      </c>
      <c r="F49" s="129"/>
      <c r="G49" s="12"/>
      <c r="H49" s="12"/>
      <c r="I49" s="129"/>
      <c r="J49" s="129"/>
    </row>
    <row r="50" spans="1:10" x14ac:dyDescent="0.25">
      <c r="A50" s="129"/>
      <c r="B50" s="12" t="s">
        <v>255</v>
      </c>
      <c r="C50" s="129"/>
      <c r="D50" s="129"/>
      <c r="E50" s="15">
        <v>49654</v>
      </c>
      <c r="F50" s="129"/>
      <c r="G50" s="129"/>
      <c r="H50" s="129"/>
      <c r="I50" s="129"/>
      <c r="J50" s="129"/>
    </row>
    <row r="51" spans="1:10" x14ac:dyDescent="0.25">
      <c r="A51" s="129"/>
      <c r="B51" s="12"/>
      <c r="C51" s="12" t="s">
        <v>116</v>
      </c>
      <c r="D51" s="12" t="s">
        <v>113</v>
      </c>
      <c r="E51" s="20" t="s">
        <v>217</v>
      </c>
      <c r="F51" s="129"/>
      <c r="G51" s="129"/>
      <c r="H51" s="129"/>
      <c r="I51" s="129"/>
      <c r="J51" s="129"/>
    </row>
    <row r="52" spans="1:10" x14ac:dyDescent="0.25">
      <c r="B52" s="96" t="s">
        <v>40</v>
      </c>
      <c r="C52" s="12" t="s">
        <v>117</v>
      </c>
      <c r="D52" s="12" t="s">
        <v>117</v>
      </c>
      <c r="E52" s="20" t="s">
        <v>251</v>
      </c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13" workbookViewId="0">
      <selection activeCell="L31" sqref="L31"/>
    </sheetView>
  </sheetViews>
  <sheetFormatPr defaultRowHeight="15" x14ac:dyDescent="0.25"/>
  <cols>
    <col min="1" max="1" width="14.85546875" customWidth="1"/>
    <col min="2" max="2" width="8" customWidth="1"/>
    <col min="3" max="3" width="8.140625" customWidth="1"/>
    <col min="4" max="4" width="8.28515625" customWidth="1"/>
    <col min="5" max="5" width="10.7109375" customWidth="1"/>
    <col min="6" max="6" width="7" customWidth="1"/>
    <col min="8" max="8" width="7.85546875" customWidth="1"/>
    <col min="9" max="9" width="6.42578125" customWidth="1"/>
    <col min="10" max="10" width="11.425781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271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250</v>
      </c>
      <c r="J5" s="10">
        <f>G5+I5</f>
        <v>2700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250</v>
      </c>
      <c r="J6" s="10">
        <f t="shared" ref="J6:J38" si="0">G6+I6</f>
        <v>3950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250</v>
      </c>
      <c r="J7" s="10">
        <f t="shared" si="0"/>
        <v>3900</v>
      </c>
    </row>
    <row r="8" spans="1:10" x14ac:dyDescent="0.25">
      <c r="A8" s="151" t="s">
        <v>64</v>
      </c>
      <c r="B8" s="131">
        <v>5</v>
      </c>
      <c r="C8" s="10"/>
      <c r="D8" s="10"/>
      <c r="E8" s="11"/>
      <c r="F8" s="11"/>
      <c r="G8" s="13"/>
      <c r="H8" s="137"/>
      <c r="I8" s="137"/>
      <c r="J8" s="10">
        <f t="shared" si="0"/>
        <v>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250</v>
      </c>
      <c r="J9" s="10">
        <f t="shared" si="0"/>
        <v>2900</v>
      </c>
    </row>
    <row r="10" spans="1:10" x14ac:dyDescent="0.25">
      <c r="A10" s="142" t="s">
        <v>64</v>
      </c>
      <c r="B10" s="131">
        <v>7</v>
      </c>
      <c r="C10" s="10"/>
      <c r="D10" s="10"/>
      <c r="E10" s="11"/>
      <c r="F10" s="11"/>
      <c r="G10" s="13"/>
      <c r="H10" s="137"/>
      <c r="I10" s="137"/>
      <c r="J10" s="10">
        <f t="shared" si="0"/>
        <v>0</v>
      </c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250</v>
      </c>
      <c r="J11" s="10">
        <f t="shared" si="0"/>
        <v>2700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2700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2700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137">
        <v>250</v>
      </c>
      <c r="J14" s="10">
        <f t="shared" si="0"/>
        <v>2700</v>
      </c>
    </row>
    <row r="15" spans="1:10" x14ac:dyDescent="0.25">
      <c r="A15" s="142" t="s">
        <v>64</v>
      </c>
      <c r="B15" s="131">
        <v>11</v>
      </c>
      <c r="C15" s="105"/>
      <c r="D15" s="105"/>
      <c r="E15" s="13"/>
      <c r="F15" s="13"/>
      <c r="G15" s="13"/>
      <c r="H15" s="147"/>
      <c r="I15" s="137"/>
      <c r="J15" s="10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137">
        <v>250</v>
      </c>
      <c r="J16" s="10">
        <f t="shared" si="0"/>
        <v>2700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137">
        <v>250</v>
      </c>
      <c r="J17" s="10">
        <f t="shared" si="0"/>
        <v>2750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137">
        <v>250</v>
      </c>
      <c r="J18" s="10">
        <f t="shared" si="0"/>
        <v>2700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>
        <v>250</v>
      </c>
      <c r="J19" s="10">
        <f t="shared" si="0"/>
        <v>2700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137"/>
      <c r="J20" s="10">
        <f t="shared" si="0"/>
        <v>0</v>
      </c>
    </row>
    <row r="21" spans="1:10" x14ac:dyDescent="0.25">
      <c r="A21" s="142" t="s">
        <v>64</v>
      </c>
      <c r="B21" s="131">
        <v>18</v>
      </c>
      <c r="C21" s="10"/>
      <c r="D21" s="10"/>
      <c r="E21" s="11"/>
      <c r="F21" s="11"/>
      <c r="G21" s="11"/>
      <c r="H21" s="137"/>
      <c r="I21" s="137"/>
      <c r="J21" s="10">
        <f t="shared" si="0"/>
        <v>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</v>
      </c>
      <c r="J22" s="10">
        <f t="shared" si="0"/>
        <v>2750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137"/>
      <c r="J23" s="10">
        <f t="shared" si="0"/>
        <v>0</v>
      </c>
    </row>
    <row r="24" spans="1:10" x14ac:dyDescent="0.25">
      <c r="A24" s="142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137">
        <v>250</v>
      </c>
      <c r="J24" s="10">
        <f t="shared" si="0"/>
        <v>2750</v>
      </c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137">
        <v>250</v>
      </c>
      <c r="J25" s="10">
        <f t="shared" si="0"/>
        <v>3750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137">
        <v>250</v>
      </c>
      <c r="J26" s="10">
        <f t="shared" si="0"/>
        <v>3750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137">
        <v>250</v>
      </c>
      <c r="J27" s="10">
        <f t="shared" si="0"/>
        <v>3750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250</v>
      </c>
      <c r="J28" s="10">
        <f t="shared" si="0"/>
        <v>3400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137">
        <v>250</v>
      </c>
      <c r="J29" s="10">
        <f t="shared" si="0"/>
        <v>3400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137">
        <v>250</v>
      </c>
      <c r="J30" s="10">
        <f t="shared" si="0"/>
        <v>3400</v>
      </c>
    </row>
    <row r="31" spans="1:10" x14ac:dyDescent="0.25">
      <c r="A31" s="142" t="s">
        <v>64</v>
      </c>
      <c r="B31" s="131">
        <v>28</v>
      </c>
      <c r="C31" s="10"/>
      <c r="D31" s="10"/>
      <c r="E31" s="11"/>
      <c r="F31" s="11"/>
      <c r="G31" s="11"/>
      <c r="H31" s="137"/>
      <c r="I31" s="137"/>
      <c r="J31" s="10">
        <f t="shared" si="0"/>
        <v>0</v>
      </c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7" si="2">E32+F32+G32</f>
        <v>3100</v>
      </c>
      <c r="I32" s="137">
        <v>250</v>
      </c>
      <c r="J32" s="10">
        <f t="shared" si="0"/>
        <v>3250</v>
      </c>
    </row>
    <row r="33" spans="1:10" x14ac:dyDescent="0.25">
      <c r="A33" s="142" t="s">
        <v>64</v>
      </c>
      <c r="B33" s="131">
        <v>30</v>
      </c>
      <c r="C33" s="10"/>
      <c r="D33" s="10"/>
      <c r="E33" s="11"/>
      <c r="F33" s="11"/>
      <c r="G33" s="13"/>
      <c r="H33" s="137"/>
      <c r="I33" s="137"/>
      <c r="J33" s="10">
        <f t="shared" si="0"/>
        <v>0</v>
      </c>
    </row>
    <row r="34" spans="1:10" x14ac:dyDescent="0.25">
      <c r="A34" s="152" t="s">
        <v>261</v>
      </c>
      <c r="B34" s="131">
        <v>31</v>
      </c>
      <c r="C34" s="10"/>
      <c r="D34" s="10"/>
      <c r="E34" s="81"/>
      <c r="F34" s="11"/>
      <c r="G34" s="129"/>
      <c r="H34" s="11">
        <v>3500</v>
      </c>
      <c r="I34" s="137">
        <v>250</v>
      </c>
      <c r="J34" s="10">
        <f>H34+I34</f>
        <v>3750</v>
      </c>
    </row>
    <row r="35" spans="1:10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250</v>
      </c>
      <c r="J35" s="10">
        <f t="shared" si="0"/>
        <v>3750</v>
      </c>
    </row>
    <row r="36" spans="1:10" x14ac:dyDescent="0.25">
      <c r="A36" s="152" t="s">
        <v>262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137">
        <v>250</v>
      </c>
      <c r="J36" s="10">
        <f t="shared" si="0"/>
        <v>3750</v>
      </c>
    </row>
    <row r="37" spans="1:10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250</v>
      </c>
      <c r="J37" s="10">
        <f t="shared" si="0"/>
        <v>4750</v>
      </c>
    </row>
    <row r="38" spans="1:10" x14ac:dyDescent="0.25">
      <c r="A38" s="8"/>
      <c r="B38" s="131"/>
      <c r="C38" s="10"/>
      <c r="D38" s="10"/>
      <c r="E38" s="11"/>
      <c r="F38" s="11"/>
      <c r="G38" s="13"/>
      <c r="H38" s="137"/>
      <c r="I38" s="137"/>
      <c r="J38" s="10">
        <f t="shared" si="0"/>
        <v>0</v>
      </c>
    </row>
    <row r="39" spans="1:10" x14ac:dyDescent="0.25">
      <c r="A39" s="119"/>
      <c r="B39" s="119"/>
      <c r="C39" s="119"/>
      <c r="D39" s="119"/>
      <c r="E39" s="119">
        <f>SUM(E5:E36)</f>
        <v>0</v>
      </c>
      <c r="F39" s="119">
        <f>SUM(F5:F38)</f>
        <v>2400</v>
      </c>
      <c r="G39" s="119">
        <f>SUM(G4:G38)</f>
        <v>71550</v>
      </c>
      <c r="H39" s="138">
        <f>SUM(H5:H38)</f>
        <v>74850</v>
      </c>
      <c r="I39" s="53"/>
      <c r="J39" s="10">
        <f>SUM(J4:J38)</f>
        <v>81300</v>
      </c>
    </row>
    <row r="40" spans="1:10" x14ac:dyDescent="0.25">
      <c r="A40" s="84"/>
      <c r="B40" s="12" t="s">
        <v>236</v>
      </c>
      <c r="C40" s="129"/>
      <c r="D40" s="84"/>
      <c r="E40" s="85">
        <f>J39</f>
        <v>81300</v>
      </c>
      <c r="F40" s="3"/>
      <c r="G40" s="86"/>
      <c r="H40" s="3"/>
      <c r="I40" s="129"/>
      <c r="J40" s="129"/>
    </row>
    <row r="41" spans="1:10" x14ac:dyDescent="0.25">
      <c r="A41" s="84"/>
      <c r="B41" s="12"/>
      <c r="C41" s="129"/>
      <c r="D41" s="84"/>
      <c r="E41" s="88">
        <f>SUM(E40:E40)</f>
        <v>81300</v>
      </c>
      <c r="F41" s="129"/>
      <c r="G41" s="12" t="s">
        <v>252</v>
      </c>
      <c r="H41" s="129"/>
      <c r="I41" s="129"/>
      <c r="J41" s="129">
        <v>22900</v>
      </c>
    </row>
    <row r="42" spans="1:10" x14ac:dyDescent="0.25">
      <c r="A42" s="129"/>
      <c r="B42" s="141" t="s">
        <v>26</v>
      </c>
      <c r="C42" s="129"/>
      <c r="D42" s="129"/>
      <c r="E42" s="134">
        <v>0.08</v>
      </c>
      <c r="F42" s="129"/>
      <c r="G42" s="116" t="s">
        <v>253</v>
      </c>
      <c r="H42" s="107"/>
      <c r="I42" s="107"/>
      <c r="J42" s="113">
        <f>E43+E44+E45+E46+E47+J41</f>
        <v>39604</v>
      </c>
    </row>
    <row r="43" spans="1:10" x14ac:dyDescent="0.25">
      <c r="A43" s="84"/>
      <c r="B43" s="12" t="s">
        <v>79</v>
      </c>
      <c r="C43" s="129"/>
      <c r="D43" s="84"/>
      <c r="E43" s="143">
        <f>E40*E42</f>
        <v>6504</v>
      </c>
      <c r="F43" s="129"/>
      <c r="G43" s="12" t="s">
        <v>254</v>
      </c>
      <c r="H43" s="129"/>
      <c r="I43" s="129"/>
      <c r="J43" s="20">
        <f>E41-J42</f>
        <v>41696</v>
      </c>
    </row>
    <row r="44" spans="1:10" x14ac:dyDescent="0.25">
      <c r="A44" s="84"/>
      <c r="B44" s="12" t="s">
        <v>221</v>
      </c>
      <c r="C44" s="129"/>
      <c r="D44" s="129"/>
      <c r="E44" s="129">
        <v>4000</v>
      </c>
      <c r="F44" s="20"/>
      <c r="G44" s="12" t="s">
        <v>266</v>
      </c>
      <c r="H44" s="129"/>
      <c r="I44" s="129"/>
      <c r="J44" s="15">
        <v>21000</v>
      </c>
    </row>
    <row r="45" spans="1:10" x14ac:dyDescent="0.25">
      <c r="A45" s="135"/>
      <c r="B45" s="12" t="s">
        <v>263</v>
      </c>
      <c r="C45" s="129"/>
      <c r="D45" s="129"/>
      <c r="E45" s="129">
        <v>2700</v>
      </c>
      <c r="F45" s="20"/>
      <c r="G45" s="12" t="s">
        <v>270</v>
      </c>
      <c r="J45" s="20">
        <f>J43-J44</f>
        <v>20696</v>
      </c>
    </row>
    <row r="46" spans="1:10" x14ac:dyDescent="0.25">
      <c r="A46" s="129"/>
      <c r="B46" s="12" t="s">
        <v>264</v>
      </c>
      <c r="C46" s="129"/>
      <c r="D46" s="129"/>
      <c r="E46" s="129">
        <v>2200</v>
      </c>
      <c r="F46" s="20"/>
      <c r="G46" s="12"/>
      <c r="H46" s="12" t="s">
        <v>116</v>
      </c>
      <c r="I46" s="12" t="s">
        <v>113</v>
      </c>
      <c r="J46" s="20" t="s">
        <v>217</v>
      </c>
    </row>
    <row r="47" spans="1:10" x14ac:dyDescent="0.25">
      <c r="A47" s="129"/>
      <c r="B47" s="12" t="s">
        <v>265</v>
      </c>
      <c r="E47">
        <v>1300</v>
      </c>
      <c r="F47" s="12"/>
      <c r="G47" s="96" t="s">
        <v>40</v>
      </c>
      <c r="H47" s="12" t="s">
        <v>117</v>
      </c>
      <c r="I47" s="12" t="s">
        <v>117</v>
      </c>
      <c r="J47" s="20" t="s">
        <v>251</v>
      </c>
    </row>
    <row r="48" spans="1:10" x14ac:dyDescent="0.25">
      <c r="A48" s="129"/>
      <c r="F48" s="12"/>
      <c r="G48" s="12"/>
      <c r="H48" s="12"/>
      <c r="I48" s="129"/>
      <c r="J48" s="129"/>
    </row>
    <row r="49" spans="1:10" x14ac:dyDescent="0.25">
      <c r="A49" s="129"/>
      <c r="F49" s="129"/>
      <c r="G49" s="12"/>
      <c r="H49" s="12"/>
      <c r="I49" s="129"/>
      <c r="J49" s="129"/>
    </row>
    <row r="50" spans="1:10" x14ac:dyDescent="0.25">
      <c r="A50" s="129"/>
      <c r="F50" s="129"/>
      <c r="G50" s="129"/>
      <c r="H50" s="129"/>
      <c r="I50" s="129"/>
      <c r="J50" s="129"/>
    </row>
    <row r="51" spans="1:10" x14ac:dyDescent="0.25">
      <c r="A51" s="129"/>
      <c r="F51" s="129"/>
      <c r="G51" s="129"/>
      <c r="H51" s="129"/>
      <c r="I51" s="129"/>
      <c r="J51" s="129"/>
    </row>
    <row r="52" spans="1:10" x14ac:dyDescent="0.25">
      <c r="A52" s="129"/>
      <c r="F52" s="129"/>
      <c r="G52" s="129"/>
      <c r="H52" s="129"/>
      <c r="I52" s="129"/>
      <c r="J52" s="129"/>
    </row>
    <row r="53" spans="1:10" x14ac:dyDescent="0.25">
      <c r="A53" s="129"/>
      <c r="F53" s="129"/>
      <c r="G53" s="129"/>
      <c r="H53" s="129"/>
      <c r="I53" s="129"/>
      <c r="J53" s="129"/>
    </row>
    <row r="54" spans="1:10" x14ac:dyDescent="0.25">
      <c r="A54" s="129"/>
      <c r="F54" s="129"/>
      <c r="G54" s="129"/>
      <c r="H54" s="129"/>
      <c r="I54" s="129"/>
      <c r="J54" s="129"/>
    </row>
  </sheetData>
  <pageMargins left="0.25" right="0.25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A13" workbookViewId="0">
      <selection activeCell="E47" sqref="E47"/>
    </sheetView>
  </sheetViews>
  <sheetFormatPr defaultRowHeight="15" x14ac:dyDescent="0.25"/>
  <cols>
    <col min="1" max="1" width="13" customWidth="1"/>
    <col min="2" max="2" width="8.42578125" customWidth="1"/>
    <col min="3" max="4" width="6.85546875" customWidth="1"/>
    <col min="5" max="5" width="12" customWidth="1"/>
    <col min="6" max="6" width="5.5703125" customWidth="1"/>
    <col min="7" max="7" width="5.7109375" customWidth="1"/>
    <col min="8" max="8" width="5.28515625" customWidth="1"/>
    <col min="9" max="9" width="7.42578125" customWidth="1"/>
    <col min="10" max="10" width="10.7109375" customWidth="1"/>
    <col min="11" max="11" width="12.5703125" customWidth="1"/>
    <col min="12" max="12" width="8.140625" customWidth="1"/>
    <col min="13" max="13" width="6.5703125" customWidth="1"/>
    <col min="14" max="14" width="7" customWidth="1"/>
    <col min="15" max="15" width="5.7109375" customWidth="1"/>
    <col min="16" max="16" width="6" customWidth="1"/>
    <col min="17" max="17" width="5.85546875" customWidth="1"/>
    <col min="18" max="18" width="6.140625" customWidth="1"/>
    <col min="19" max="19" width="6" customWidth="1"/>
    <col min="20" max="20" width="6.7109375" customWidth="1"/>
  </cols>
  <sheetData>
    <row r="1" spans="1:2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99" t="s">
        <v>107</v>
      </c>
      <c r="L1" s="99"/>
      <c r="M1" s="99"/>
      <c r="N1" s="99"/>
      <c r="O1" s="99"/>
      <c r="P1" s="99"/>
      <c r="Q1" s="99"/>
      <c r="R1" s="99"/>
      <c r="S1" s="129"/>
      <c r="T1" s="129"/>
    </row>
    <row r="2" spans="1:20" ht="15.75" x14ac:dyDescent="0.25">
      <c r="A2" s="98" t="s">
        <v>269</v>
      </c>
      <c r="B2" s="98"/>
      <c r="C2" s="98"/>
      <c r="D2" s="98"/>
      <c r="E2" s="129"/>
      <c r="F2" s="98"/>
      <c r="G2" s="98"/>
      <c r="H2" s="98"/>
      <c r="I2" s="129"/>
      <c r="J2" s="129"/>
      <c r="K2" s="98" t="s">
        <v>269</v>
      </c>
      <c r="L2" s="98"/>
      <c r="M2" s="98"/>
      <c r="N2" s="98"/>
      <c r="O2" s="129"/>
      <c r="P2" s="98"/>
      <c r="Q2" s="98"/>
      <c r="R2" s="98"/>
      <c r="S2" s="129"/>
      <c r="T2" s="129"/>
    </row>
    <row r="3" spans="1:2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  <c r="K3" s="82" t="s">
        <v>110</v>
      </c>
      <c r="L3" s="82" t="s">
        <v>2</v>
      </c>
      <c r="M3" s="82" t="s">
        <v>17</v>
      </c>
      <c r="N3" s="82" t="s">
        <v>108</v>
      </c>
      <c r="O3" s="82" t="s">
        <v>160</v>
      </c>
      <c r="P3" s="82" t="s">
        <v>161</v>
      </c>
      <c r="Q3" s="82" t="s">
        <v>5</v>
      </c>
      <c r="R3" s="136" t="s">
        <v>19</v>
      </c>
      <c r="S3" s="10" t="s">
        <v>235</v>
      </c>
      <c r="T3" s="148" t="s">
        <v>31</v>
      </c>
    </row>
    <row r="4" spans="1:2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  <c r="K4" s="8" t="s">
        <v>6</v>
      </c>
      <c r="L4" s="131">
        <v>1</v>
      </c>
      <c r="M4" s="10"/>
      <c r="N4" s="10"/>
      <c r="O4" s="11"/>
      <c r="P4" s="11">
        <v>100</v>
      </c>
      <c r="Q4" s="13">
        <v>4500</v>
      </c>
      <c r="R4" s="137">
        <f>O4+P4+Q4</f>
        <v>4600</v>
      </c>
      <c r="S4" s="137">
        <v>250</v>
      </c>
      <c r="T4" s="10">
        <f>Q4+S4</f>
        <v>4750</v>
      </c>
    </row>
    <row r="5" spans="1:20" s="129" customFormat="1" x14ac:dyDescent="0.25">
      <c r="A5" s="107"/>
      <c r="I5" s="53"/>
      <c r="J5" s="10"/>
      <c r="K5" s="8"/>
      <c r="L5" s="131">
        <v>2</v>
      </c>
      <c r="M5" s="10"/>
      <c r="N5" s="10"/>
      <c r="O5" s="11"/>
      <c r="P5" s="11"/>
      <c r="Q5" s="13"/>
      <c r="R5" s="137"/>
      <c r="S5" s="137"/>
      <c r="T5" s="10"/>
    </row>
    <row r="6" spans="1:20" x14ac:dyDescent="0.25">
      <c r="A6" s="8" t="s">
        <v>22</v>
      </c>
      <c r="B6" s="131">
        <v>2</v>
      </c>
      <c r="C6" s="10"/>
      <c r="D6" s="10"/>
      <c r="E6" s="11"/>
      <c r="F6" s="11">
        <v>100</v>
      </c>
      <c r="G6" s="13">
        <v>2450</v>
      </c>
      <c r="H6" s="137">
        <f>E6+F6+G6</f>
        <v>2550</v>
      </c>
      <c r="I6" s="137">
        <v>250</v>
      </c>
      <c r="J6" s="10">
        <f>G6+I6</f>
        <v>2700</v>
      </c>
      <c r="K6" s="8" t="s">
        <v>22</v>
      </c>
      <c r="L6" s="131">
        <v>3</v>
      </c>
      <c r="M6" s="10"/>
      <c r="N6" s="10"/>
      <c r="O6" s="11"/>
      <c r="P6" s="11">
        <v>100</v>
      </c>
      <c r="Q6" s="13">
        <v>2450</v>
      </c>
      <c r="R6" s="137">
        <f>O6+P6+Q6</f>
        <v>2550</v>
      </c>
      <c r="S6" s="137">
        <v>250</v>
      </c>
      <c r="T6" s="10">
        <f>Q6+S6</f>
        <v>2700</v>
      </c>
    </row>
    <row r="7" spans="1:20" x14ac:dyDescent="0.25">
      <c r="A7" s="8" t="s">
        <v>89</v>
      </c>
      <c r="B7" s="131">
        <v>3</v>
      </c>
      <c r="C7" s="10"/>
      <c r="D7" s="10"/>
      <c r="E7" s="11"/>
      <c r="F7" s="11">
        <v>100</v>
      </c>
      <c r="G7" s="13">
        <v>3700</v>
      </c>
      <c r="H7" s="137">
        <f>E7+F7+G7</f>
        <v>3800</v>
      </c>
      <c r="I7" s="137">
        <v>250</v>
      </c>
      <c r="J7" s="10">
        <f t="shared" ref="J7:J38" si="0">G7+I7</f>
        <v>3950</v>
      </c>
      <c r="K7" s="8" t="s">
        <v>89</v>
      </c>
      <c r="L7" s="131">
        <v>4</v>
      </c>
      <c r="M7" s="10"/>
      <c r="N7" s="10"/>
      <c r="O7" s="11"/>
      <c r="P7" s="11">
        <v>100</v>
      </c>
      <c r="Q7" s="13">
        <v>3700</v>
      </c>
      <c r="R7" s="137">
        <f>O7+P7+Q7</f>
        <v>3800</v>
      </c>
      <c r="S7" s="137">
        <v>250</v>
      </c>
      <c r="T7" s="10">
        <f>Q7+S7</f>
        <v>3950</v>
      </c>
    </row>
    <row r="8" spans="1:20" x14ac:dyDescent="0.25">
      <c r="A8" s="8" t="s">
        <v>44</v>
      </c>
      <c r="B8" s="131">
        <v>4</v>
      </c>
      <c r="C8" s="10"/>
      <c r="D8" s="10"/>
      <c r="E8" s="11"/>
      <c r="F8" s="11">
        <v>100</v>
      </c>
      <c r="G8" s="13">
        <v>3650</v>
      </c>
      <c r="H8" s="137">
        <f>E8+F8+G8</f>
        <v>3750</v>
      </c>
      <c r="I8" s="137">
        <v>250</v>
      </c>
      <c r="J8" s="10">
        <f t="shared" si="0"/>
        <v>3900</v>
      </c>
      <c r="K8" s="8" t="s">
        <v>44</v>
      </c>
      <c r="L8" s="131">
        <v>5</v>
      </c>
      <c r="M8" s="10"/>
      <c r="N8" s="10"/>
      <c r="O8" s="11"/>
      <c r="P8" s="11">
        <v>100</v>
      </c>
      <c r="Q8" s="13">
        <v>3650</v>
      </c>
      <c r="R8" s="137">
        <f>O8+P8+Q8</f>
        <v>3750</v>
      </c>
      <c r="S8" s="137">
        <v>250</v>
      </c>
      <c r="T8" s="10">
        <f>Q8+S8</f>
        <v>3900</v>
      </c>
    </row>
    <row r="9" spans="1:20" x14ac:dyDescent="0.25">
      <c r="A9" s="32" t="s">
        <v>267</v>
      </c>
      <c r="B9" s="131">
        <v>5</v>
      </c>
      <c r="C9" s="10"/>
      <c r="D9" s="10"/>
      <c r="E9" s="11"/>
      <c r="F9" s="11"/>
      <c r="G9" s="13"/>
      <c r="H9" s="137"/>
      <c r="I9" s="137"/>
      <c r="J9" s="10">
        <v>2700</v>
      </c>
      <c r="K9" s="32" t="s">
        <v>272</v>
      </c>
      <c r="L9" s="131">
        <v>6</v>
      </c>
      <c r="M9" s="10"/>
      <c r="N9" s="10"/>
      <c r="O9" s="11"/>
      <c r="P9" s="11">
        <v>100</v>
      </c>
      <c r="Q9" s="13">
        <v>2700</v>
      </c>
      <c r="R9" s="10">
        <v>2700</v>
      </c>
      <c r="S9" s="137"/>
      <c r="T9">
        <v>2800</v>
      </c>
    </row>
    <row r="10" spans="1:20" x14ac:dyDescent="0.25">
      <c r="A10" s="8" t="s">
        <v>178</v>
      </c>
      <c r="B10" s="131">
        <v>6</v>
      </c>
      <c r="C10" s="10"/>
      <c r="D10" s="10"/>
      <c r="E10" s="11"/>
      <c r="F10" s="11">
        <v>100</v>
      </c>
      <c r="G10" s="13">
        <v>2650</v>
      </c>
      <c r="H10" s="137">
        <f>E10+F10+G10</f>
        <v>2750</v>
      </c>
      <c r="I10" s="137">
        <v>250</v>
      </c>
      <c r="J10" s="10">
        <f t="shared" si="0"/>
        <v>2900</v>
      </c>
      <c r="K10" s="8" t="s">
        <v>178</v>
      </c>
      <c r="L10" s="131">
        <v>7</v>
      </c>
      <c r="M10" s="10"/>
      <c r="N10" s="10"/>
      <c r="O10" s="11"/>
      <c r="P10" s="11">
        <v>100</v>
      </c>
      <c r="Q10" s="13">
        <v>2600</v>
      </c>
      <c r="R10" s="137">
        <v>2700</v>
      </c>
      <c r="S10" s="137">
        <v>200</v>
      </c>
      <c r="T10" s="10">
        <f>Q10+S10</f>
        <v>2800</v>
      </c>
    </row>
    <row r="11" spans="1:20" x14ac:dyDescent="0.25">
      <c r="A11" s="8" t="s">
        <v>267</v>
      </c>
      <c r="B11" s="131">
        <v>7</v>
      </c>
      <c r="C11" s="10"/>
      <c r="D11" s="10"/>
      <c r="E11" s="11"/>
      <c r="F11" s="11"/>
      <c r="G11" s="13"/>
      <c r="H11" s="137"/>
      <c r="I11" s="137"/>
      <c r="J11" s="10">
        <v>2700</v>
      </c>
      <c r="K11" s="8" t="s">
        <v>273</v>
      </c>
      <c r="L11" s="131">
        <v>8</v>
      </c>
      <c r="M11" s="10"/>
      <c r="N11" s="10"/>
      <c r="O11" s="11"/>
      <c r="P11" s="11">
        <v>100</v>
      </c>
      <c r="Q11" s="13">
        <v>2700</v>
      </c>
      <c r="R11" s="137">
        <v>2700</v>
      </c>
      <c r="S11" s="137"/>
      <c r="T11" s="10">
        <v>2700</v>
      </c>
    </row>
    <row r="12" spans="1:20" x14ac:dyDescent="0.25">
      <c r="A12" s="8" t="s">
        <v>8</v>
      </c>
      <c r="B12" s="131">
        <v>8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2700</v>
      </c>
      <c r="K12" s="8" t="s">
        <v>8</v>
      </c>
      <c r="L12" s="131">
        <v>9</v>
      </c>
      <c r="M12" s="10"/>
      <c r="N12" s="10"/>
      <c r="O12" s="11"/>
      <c r="P12" s="11">
        <v>100</v>
      </c>
      <c r="Q12" s="13">
        <v>2450</v>
      </c>
      <c r="R12" s="137">
        <f>O12+P12+Q12</f>
        <v>2550</v>
      </c>
      <c r="S12" s="137">
        <v>250</v>
      </c>
      <c r="T12" s="10">
        <f>Q12+S12</f>
        <v>2700</v>
      </c>
    </row>
    <row r="13" spans="1:20" x14ac:dyDescent="0.25">
      <c r="A13" s="8" t="s">
        <v>102</v>
      </c>
      <c r="B13" s="131">
        <v>9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2700</v>
      </c>
      <c r="K13" s="8" t="s">
        <v>102</v>
      </c>
      <c r="L13" s="131">
        <v>10</v>
      </c>
      <c r="M13" s="10"/>
      <c r="N13" s="10"/>
      <c r="O13" s="11"/>
      <c r="P13" s="11">
        <v>100</v>
      </c>
      <c r="Q13" s="13">
        <v>2450</v>
      </c>
      <c r="R13" s="137">
        <f>O13+P13+Q13</f>
        <v>2550</v>
      </c>
      <c r="S13" s="137">
        <v>250</v>
      </c>
      <c r="T13" s="10">
        <f>Q13+S13</f>
        <v>2700</v>
      </c>
    </row>
    <row r="14" spans="1:20" x14ac:dyDescent="0.25">
      <c r="A14" s="8" t="s">
        <v>47</v>
      </c>
      <c r="B14" s="131">
        <v>10</v>
      </c>
      <c r="C14" s="10"/>
      <c r="D14" s="10"/>
      <c r="E14" s="11"/>
      <c r="F14" s="11">
        <v>100</v>
      </c>
      <c r="G14" s="13">
        <v>2450</v>
      </c>
      <c r="H14" s="137">
        <f>E14+F14+G14</f>
        <v>2550</v>
      </c>
      <c r="I14" s="137">
        <v>250</v>
      </c>
      <c r="J14" s="10">
        <f t="shared" si="0"/>
        <v>2700</v>
      </c>
      <c r="K14" s="8" t="s">
        <v>47</v>
      </c>
      <c r="L14" s="131">
        <v>11</v>
      </c>
      <c r="M14" s="10"/>
      <c r="N14" s="10"/>
      <c r="O14" s="11"/>
      <c r="P14" s="11">
        <v>100</v>
      </c>
      <c r="Q14" s="13">
        <v>2450</v>
      </c>
      <c r="R14" s="137">
        <f>O14+P14+Q14</f>
        <v>2550</v>
      </c>
      <c r="S14" s="137">
        <v>250</v>
      </c>
      <c r="T14" s="10">
        <f>Q14+S14</f>
        <v>2700</v>
      </c>
    </row>
    <row r="15" spans="1:20" x14ac:dyDescent="0.25">
      <c r="A15" s="8" t="s">
        <v>91</v>
      </c>
      <c r="B15" s="131">
        <v>11</v>
      </c>
      <c r="C15" s="10"/>
      <c r="D15" s="10"/>
      <c r="E15" s="11"/>
      <c r="F15" s="11">
        <v>100</v>
      </c>
      <c r="G15" s="11">
        <v>2450</v>
      </c>
      <c r="H15" s="137">
        <f>E15+F15+G15</f>
        <v>2550</v>
      </c>
      <c r="I15" s="137">
        <v>250</v>
      </c>
      <c r="J15" s="10">
        <f t="shared" si="0"/>
        <v>2700</v>
      </c>
      <c r="K15" s="8" t="s">
        <v>91</v>
      </c>
      <c r="L15" s="131">
        <v>12</v>
      </c>
      <c r="M15" s="10"/>
      <c r="N15" s="10"/>
      <c r="O15" s="11"/>
      <c r="P15" s="11">
        <v>100</v>
      </c>
      <c r="Q15" s="11">
        <v>2450</v>
      </c>
      <c r="R15" s="137">
        <f>O15+P15+Q15</f>
        <v>2550</v>
      </c>
      <c r="S15" s="137">
        <v>250</v>
      </c>
      <c r="T15" s="10">
        <f>Q15+S15</f>
        <v>2700</v>
      </c>
    </row>
    <row r="16" spans="1:20" x14ac:dyDescent="0.25">
      <c r="A16" s="8" t="s">
        <v>267</v>
      </c>
      <c r="B16" s="131">
        <v>11</v>
      </c>
      <c r="C16" s="105"/>
      <c r="D16" s="105"/>
      <c r="E16" s="13"/>
      <c r="F16" s="13"/>
      <c r="G16" s="13"/>
      <c r="H16" s="147"/>
      <c r="I16" s="137"/>
      <c r="J16" s="10">
        <v>2700</v>
      </c>
      <c r="K16" s="8" t="s">
        <v>274</v>
      </c>
      <c r="L16" s="131">
        <v>13</v>
      </c>
      <c r="M16" s="105"/>
      <c r="N16" s="105"/>
      <c r="O16" s="13"/>
      <c r="P16" s="13">
        <v>100</v>
      </c>
      <c r="Q16" s="13">
        <v>2700</v>
      </c>
      <c r="R16" s="147">
        <v>2700</v>
      </c>
      <c r="S16" s="137"/>
      <c r="T16" s="10">
        <f>P16+R16</f>
        <v>2800</v>
      </c>
    </row>
    <row r="17" spans="1:21" x14ac:dyDescent="0.25">
      <c r="A17" s="8" t="s">
        <v>93</v>
      </c>
      <c r="B17" s="131">
        <v>13</v>
      </c>
      <c r="C17" s="10"/>
      <c r="D17" s="10"/>
      <c r="E17" s="11"/>
      <c r="F17" s="11">
        <v>100</v>
      </c>
      <c r="G17" s="11">
        <v>2450</v>
      </c>
      <c r="H17" s="137">
        <f>E17+F17+G17</f>
        <v>2550</v>
      </c>
      <c r="I17" s="137">
        <v>250</v>
      </c>
      <c r="J17" s="10">
        <f t="shared" si="0"/>
        <v>2700</v>
      </c>
      <c r="K17" s="8" t="s">
        <v>93</v>
      </c>
      <c r="L17" s="131">
        <v>14</v>
      </c>
      <c r="M17" s="10"/>
      <c r="N17" s="10"/>
      <c r="O17" s="11"/>
      <c r="P17" s="11">
        <v>100</v>
      </c>
      <c r="Q17" s="11">
        <v>2450</v>
      </c>
      <c r="R17" s="137">
        <f>O17+P17+Q17</f>
        <v>2550</v>
      </c>
      <c r="S17" s="137">
        <v>250</v>
      </c>
      <c r="T17" s="10">
        <f>Q17+S17</f>
        <v>2700</v>
      </c>
    </row>
    <row r="18" spans="1:21" x14ac:dyDescent="0.25">
      <c r="A18" s="32" t="s">
        <v>229</v>
      </c>
      <c r="B18" s="131">
        <v>14</v>
      </c>
      <c r="C18" s="10"/>
      <c r="D18" s="10"/>
      <c r="E18" s="11"/>
      <c r="F18" s="11">
        <v>100</v>
      </c>
      <c r="G18" s="11">
        <v>2500</v>
      </c>
      <c r="H18" s="137">
        <f>E18+F18+G18</f>
        <v>2600</v>
      </c>
      <c r="I18" s="137">
        <v>250</v>
      </c>
      <c r="J18" s="10">
        <f t="shared" si="0"/>
        <v>2750</v>
      </c>
      <c r="K18" s="32" t="s">
        <v>275</v>
      </c>
      <c r="L18" s="131">
        <v>15</v>
      </c>
      <c r="M18" s="10"/>
      <c r="N18" s="10"/>
      <c r="O18" s="11"/>
      <c r="P18" s="11">
        <v>100</v>
      </c>
      <c r="Q18" s="11">
        <v>2700</v>
      </c>
      <c r="R18" s="137">
        <v>2700</v>
      </c>
      <c r="S18" s="137"/>
      <c r="T18" s="10">
        <f>P18+R18</f>
        <v>2800</v>
      </c>
    </row>
    <row r="19" spans="1:21" x14ac:dyDescent="0.25">
      <c r="A19" s="8" t="s">
        <v>51</v>
      </c>
      <c r="B19" s="131">
        <v>15</v>
      </c>
      <c r="C19" s="10"/>
      <c r="D19" s="10"/>
      <c r="E19" s="11"/>
      <c r="F19" s="11">
        <v>100</v>
      </c>
      <c r="G19" s="11">
        <v>2450</v>
      </c>
      <c r="H19" s="137">
        <f>E19+F19+G19</f>
        <v>2550</v>
      </c>
      <c r="I19" s="137">
        <v>250</v>
      </c>
      <c r="J19" s="10">
        <f t="shared" si="0"/>
        <v>2700</v>
      </c>
      <c r="K19" s="8" t="s">
        <v>51</v>
      </c>
      <c r="L19" s="131">
        <v>16</v>
      </c>
      <c r="M19" s="10"/>
      <c r="N19" s="10"/>
      <c r="O19" s="11"/>
      <c r="P19" s="11">
        <v>100</v>
      </c>
      <c r="Q19" s="11">
        <v>2450</v>
      </c>
      <c r="R19" s="137">
        <f t="shared" ref="R19:R25" si="1">O19+P19+Q19</f>
        <v>2550</v>
      </c>
      <c r="S19" s="137">
        <v>250</v>
      </c>
      <c r="T19" s="10">
        <f>Q19+S19</f>
        <v>2700</v>
      </c>
    </row>
    <row r="20" spans="1:21" x14ac:dyDescent="0.25">
      <c r="A20" s="8" t="s">
        <v>237</v>
      </c>
      <c r="B20" s="131">
        <v>16</v>
      </c>
      <c r="C20" s="10"/>
      <c r="D20" s="10"/>
      <c r="E20" s="11"/>
      <c r="F20" s="11">
        <v>100</v>
      </c>
      <c r="G20" s="13">
        <v>2450</v>
      </c>
      <c r="H20" s="137">
        <f>E20+F20+G20</f>
        <v>2550</v>
      </c>
      <c r="I20" s="137">
        <v>250</v>
      </c>
      <c r="J20" s="10">
        <f t="shared" si="0"/>
        <v>2700</v>
      </c>
      <c r="K20" s="32" t="s">
        <v>277</v>
      </c>
      <c r="L20" s="131">
        <v>17</v>
      </c>
      <c r="P20" s="81">
        <v>100</v>
      </c>
      <c r="Q20" s="81">
        <v>2700</v>
      </c>
      <c r="R20" s="137">
        <f t="shared" si="1"/>
        <v>2800</v>
      </c>
    </row>
    <row r="21" spans="1:21" x14ac:dyDescent="0.25">
      <c r="A21" s="142" t="s">
        <v>10</v>
      </c>
      <c r="B21" s="131">
        <v>17</v>
      </c>
      <c r="C21" s="10"/>
      <c r="D21" s="10"/>
      <c r="E21" s="11"/>
      <c r="F21" s="11"/>
      <c r="G21" s="11"/>
      <c r="H21" s="137">
        <f>E21+F21+G21</f>
        <v>0</v>
      </c>
      <c r="I21" s="137"/>
      <c r="J21" s="10">
        <f t="shared" si="0"/>
        <v>0</v>
      </c>
      <c r="K21" s="8" t="s">
        <v>276</v>
      </c>
      <c r="L21" s="131">
        <v>17</v>
      </c>
      <c r="M21" s="10"/>
      <c r="N21" s="10"/>
      <c r="O21" s="11"/>
      <c r="P21" s="11">
        <v>100</v>
      </c>
      <c r="Q21" s="13">
        <v>2700</v>
      </c>
      <c r="R21" s="137">
        <f t="shared" si="1"/>
        <v>2800</v>
      </c>
      <c r="S21" s="137">
        <v>250</v>
      </c>
      <c r="T21" s="10">
        <f>Q21+S21</f>
        <v>2950</v>
      </c>
    </row>
    <row r="22" spans="1:21" x14ac:dyDescent="0.25">
      <c r="A22" s="142" t="s">
        <v>64</v>
      </c>
      <c r="B22" s="131">
        <v>18</v>
      </c>
      <c r="C22" s="10"/>
      <c r="D22" s="10"/>
      <c r="E22" s="11"/>
      <c r="F22" s="11"/>
      <c r="G22" s="11"/>
      <c r="H22" s="137"/>
      <c r="I22" s="137"/>
      <c r="J22" s="10">
        <f t="shared" si="0"/>
        <v>0</v>
      </c>
      <c r="K22" s="142" t="s">
        <v>278</v>
      </c>
      <c r="L22" s="131">
        <v>19</v>
      </c>
      <c r="M22" s="10"/>
      <c r="N22" s="10"/>
      <c r="O22" s="11"/>
      <c r="P22" s="11">
        <v>100</v>
      </c>
      <c r="Q22" s="11">
        <v>2700</v>
      </c>
      <c r="R22" s="137">
        <f t="shared" si="1"/>
        <v>2800</v>
      </c>
      <c r="S22" s="137"/>
      <c r="T22" s="10">
        <f>Q22+S22</f>
        <v>2700</v>
      </c>
    </row>
    <row r="23" spans="1:21" x14ac:dyDescent="0.25">
      <c r="A23" s="8" t="s">
        <v>267</v>
      </c>
      <c r="B23" s="131">
        <v>19</v>
      </c>
      <c r="C23" s="10"/>
      <c r="D23" s="10"/>
      <c r="E23" s="11"/>
      <c r="F23" s="11">
        <v>100</v>
      </c>
      <c r="G23" s="13">
        <v>2500</v>
      </c>
      <c r="H23" s="137">
        <f>E23+F23+G23</f>
        <v>2600</v>
      </c>
      <c r="I23" s="137">
        <v>250</v>
      </c>
      <c r="J23" s="10">
        <f t="shared" si="0"/>
        <v>2750</v>
      </c>
      <c r="K23" s="8" t="s">
        <v>279</v>
      </c>
      <c r="L23" s="131">
        <v>20</v>
      </c>
      <c r="M23" s="10"/>
      <c r="N23" s="10"/>
      <c r="O23" s="11"/>
      <c r="P23" s="11">
        <v>100</v>
      </c>
      <c r="Q23" s="13">
        <v>2700</v>
      </c>
      <c r="R23" s="137">
        <f t="shared" si="1"/>
        <v>2800</v>
      </c>
      <c r="S23" s="137">
        <v>250</v>
      </c>
      <c r="T23" s="10">
        <f>Q23+S23</f>
        <v>2950</v>
      </c>
    </row>
    <row r="24" spans="1:21" x14ac:dyDescent="0.25">
      <c r="A24" s="8" t="s">
        <v>267</v>
      </c>
      <c r="B24" s="131">
        <v>20</v>
      </c>
      <c r="C24" s="10"/>
      <c r="D24" s="10"/>
      <c r="E24" s="11"/>
      <c r="F24" s="11">
        <v>100</v>
      </c>
      <c r="G24" s="13">
        <v>2500</v>
      </c>
      <c r="H24" s="137">
        <f>E24+F24+G24</f>
        <v>2600</v>
      </c>
      <c r="I24" s="137">
        <v>251</v>
      </c>
      <c r="J24" s="10">
        <f>G24+I24</f>
        <v>2751</v>
      </c>
      <c r="K24" s="8" t="s">
        <v>280</v>
      </c>
      <c r="L24" s="131">
        <v>21</v>
      </c>
      <c r="M24" s="10"/>
      <c r="N24" s="10"/>
      <c r="O24" s="11"/>
      <c r="P24" s="11">
        <v>100</v>
      </c>
      <c r="Q24" s="13">
        <v>2700</v>
      </c>
      <c r="R24" s="137">
        <f t="shared" si="1"/>
        <v>2800</v>
      </c>
      <c r="S24" s="137">
        <v>251</v>
      </c>
      <c r="T24" s="10">
        <f>Q24+S24</f>
        <v>2951</v>
      </c>
    </row>
    <row r="25" spans="1:21" x14ac:dyDescent="0.25">
      <c r="A25" s="142" t="s">
        <v>64</v>
      </c>
      <c r="B25" s="131">
        <v>21</v>
      </c>
      <c r="C25" s="10"/>
      <c r="D25" s="10"/>
      <c r="E25" s="11"/>
      <c r="F25" s="11"/>
      <c r="G25" s="11"/>
      <c r="H25" s="137"/>
      <c r="I25" s="137"/>
      <c r="J25" s="10"/>
      <c r="K25" s="142" t="s">
        <v>281</v>
      </c>
      <c r="L25" s="131">
        <v>22</v>
      </c>
      <c r="M25" s="10"/>
      <c r="N25" s="10"/>
      <c r="O25" s="11"/>
      <c r="P25" s="11">
        <v>100</v>
      </c>
      <c r="Q25" s="11">
        <v>2700</v>
      </c>
      <c r="R25" s="137">
        <f t="shared" si="1"/>
        <v>2800</v>
      </c>
      <c r="S25" s="137"/>
      <c r="T25" s="10"/>
    </row>
    <row r="26" spans="1:21" x14ac:dyDescent="0.25">
      <c r="A26" s="8" t="s">
        <v>142</v>
      </c>
      <c r="B26" s="131">
        <v>22</v>
      </c>
      <c r="C26" s="10"/>
      <c r="D26" s="10"/>
      <c r="E26" s="11"/>
      <c r="F26" s="11">
        <v>100</v>
      </c>
      <c r="G26" s="11">
        <v>3500</v>
      </c>
      <c r="H26" s="137">
        <f t="shared" ref="H26:H31" si="2">E26+F26+G26</f>
        <v>3600</v>
      </c>
      <c r="I26" s="137">
        <v>250</v>
      </c>
      <c r="J26" s="10">
        <f t="shared" si="0"/>
        <v>3750</v>
      </c>
      <c r="K26" s="8" t="s">
        <v>142</v>
      </c>
      <c r="L26" s="131">
        <v>23</v>
      </c>
      <c r="M26" s="10"/>
      <c r="N26" s="10"/>
      <c r="O26" s="11"/>
      <c r="P26" s="11">
        <v>100</v>
      </c>
      <c r="Q26" s="11">
        <v>3500</v>
      </c>
      <c r="R26" s="10">
        <f>Q26+S26</f>
        <v>3750</v>
      </c>
      <c r="S26" s="137">
        <v>250</v>
      </c>
    </row>
    <row r="27" spans="1:21" x14ac:dyDescent="0.25">
      <c r="A27" s="8" t="s">
        <v>162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37">
        <f t="shared" si="2"/>
        <v>3600</v>
      </c>
      <c r="I27" s="137">
        <v>250</v>
      </c>
      <c r="J27" s="10">
        <f t="shared" si="0"/>
        <v>3750</v>
      </c>
      <c r="K27" s="8" t="s">
        <v>162</v>
      </c>
      <c r="L27" s="131">
        <v>24</v>
      </c>
      <c r="M27" s="10"/>
      <c r="N27" s="10"/>
      <c r="O27" s="11"/>
      <c r="P27" s="11">
        <v>100</v>
      </c>
      <c r="Q27" s="11">
        <v>3500</v>
      </c>
      <c r="R27" s="10">
        <f>Q27+S27</f>
        <v>3750</v>
      </c>
      <c r="S27" s="137">
        <v>250</v>
      </c>
    </row>
    <row r="28" spans="1:21" x14ac:dyDescent="0.25">
      <c r="A28" s="8" t="s">
        <v>121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37">
        <f t="shared" si="2"/>
        <v>3600</v>
      </c>
      <c r="I28" s="137">
        <v>250</v>
      </c>
      <c r="J28" s="10">
        <f t="shared" si="0"/>
        <v>3750</v>
      </c>
      <c r="K28" s="8" t="s">
        <v>121</v>
      </c>
      <c r="L28" s="131">
        <v>25</v>
      </c>
      <c r="M28" s="10"/>
      <c r="N28" s="10"/>
      <c r="O28" s="11"/>
      <c r="P28" s="11">
        <v>100</v>
      </c>
      <c r="Q28" s="11">
        <v>3650</v>
      </c>
      <c r="R28" s="10">
        <f>P28+Q28</f>
        <v>3750</v>
      </c>
      <c r="S28" s="137">
        <v>250</v>
      </c>
    </row>
    <row r="29" spans="1:21" x14ac:dyDescent="0.25">
      <c r="A29" s="8" t="s">
        <v>15</v>
      </c>
      <c r="B29" s="131">
        <v>25</v>
      </c>
      <c r="C29" s="10"/>
      <c r="D29" s="10"/>
      <c r="E29" s="11"/>
      <c r="F29" s="11">
        <v>100</v>
      </c>
      <c r="G29" s="13">
        <v>3150</v>
      </c>
      <c r="H29" s="137">
        <f t="shared" si="2"/>
        <v>3250</v>
      </c>
      <c r="I29" s="137">
        <v>250</v>
      </c>
      <c r="J29" s="10">
        <f t="shared" si="0"/>
        <v>3400</v>
      </c>
      <c r="K29" s="152" t="s">
        <v>261</v>
      </c>
      <c r="L29" s="131">
        <v>26</v>
      </c>
      <c r="M29" s="10"/>
      <c r="N29" s="10"/>
      <c r="O29" s="81"/>
      <c r="P29" s="11">
        <v>100</v>
      </c>
      <c r="Q29" s="81">
        <v>3700</v>
      </c>
      <c r="R29" s="10">
        <f>P29+Q29</f>
        <v>3800</v>
      </c>
      <c r="S29" s="137">
        <v>250</v>
      </c>
    </row>
    <row r="30" spans="1:21" x14ac:dyDescent="0.25">
      <c r="A30" s="8" t="s">
        <v>59</v>
      </c>
      <c r="B30" s="132">
        <v>26</v>
      </c>
      <c r="C30" s="10"/>
      <c r="D30" s="10"/>
      <c r="E30" s="97"/>
      <c r="F30" s="11">
        <v>100</v>
      </c>
      <c r="G30" s="97">
        <v>3150</v>
      </c>
      <c r="H30" s="137">
        <f t="shared" si="2"/>
        <v>3250</v>
      </c>
      <c r="I30" s="137">
        <v>250</v>
      </c>
      <c r="J30" s="10">
        <f t="shared" si="0"/>
        <v>3400</v>
      </c>
      <c r="K30" s="8" t="s">
        <v>163</v>
      </c>
      <c r="L30" s="131">
        <v>27</v>
      </c>
      <c r="M30" s="10"/>
      <c r="N30" s="10"/>
      <c r="O30" s="110"/>
      <c r="P30" s="11">
        <v>100</v>
      </c>
      <c r="Q30" s="119">
        <v>3500</v>
      </c>
      <c r="R30" s="10">
        <f>Q30+S30</f>
        <v>3750</v>
      </c>
      <c r="S30" s="137">
        <v>250</v>
      </c>
      <c r="U30" s="144">
        <v>3400</v>
      </c>
    </row>
    <row r="31" spans="1:21" x14ac:dyDescent="0.25">
      <c r="A31" s="8" t="s">
        <v>78</v>
      </c>
      <c r="B31" s="131">
        <v>27</v>
      </c>
      <c r="C31" s="10"/>
      <c r="D31" s="10"/>
      <c r="E31" s="11"/>
      <c r="F31" s="11">
        <v>100</v>
      </c>
      <c r="G31" s="11">
        <v>3150</v>
      </c>
      <c r="H31" s="137">
        <f t="shared" si="2"/>
        <v>3250</v>
      </c>
      <c r="I31" s="137">
        <v>250</v>
      </c>
      <c r="J31" s="10">
        <f t="shared" si="0"/>
        <v>3400</v>
      </c>
      <c r="K31" s="152" t="s">
        <v>262</v>
      </c>
      <c r="L31" s="131">
        <v>34</v>
      </c>
      <c r="M31" s="10"/>
      <c r="N31" s="10"/>
      <c r="O31" s="110"/>
      <c r="P31" s="11">
        <v>100</v>
      </c>
      <c r="Q31" s="110">
        <v>3500</v>
      </c>
      <c r="R31" s="137">
        <f>O31+P31+Q31</f>
        <v>3600</v>
      </c>
      <c r="S31" s="137">
        <v>250</v>
      </c>
      <c r="T31" s="10">
        <f>Q31+S31</f>
        <v>3750</v>
      </c>
    </row>
    <row r="32" spans="1:21" x14ac:dyDescent="0.25">
      <c r="A32" s="142" t="s">
        <v>267</v>
      </c>
      <c r="B32" s="131">
        <v>28</v>
      </c>
      <c r="C32" s="10"/>
      <c r="D32" s="10"/>
      <c r="E32" s="11"/>
      <c r="F32" s="11"/>
      <c r="G32" s="11"/>
      <c r="H32" s="137"/>
      <c r="I32" s="137"/>
      <c r="J32" s="10">
        <v>3400</v>
      </c>
      <c r="K32" s="8" t="s">
        <v>15</v>
      </c>
      <c r="L32" s="131">
        <v>29</v>
      </c>
      <c r="M32" s="10"/>
      <c r="N32" s="10"/>
      <c r="O32" s="11"/>
      <c r="P32" s="11">
        <v>100</v>
      </c>
      <c r="Q32" s="13">
        <v>3300</v>
      </c>
      <c r="R32" s="10">
        <f>P32+Q32</f>
        <v>3400</v>
      </c>
      <c r="S32" s="137">
        <v>250</v>
      </c>
    </row>
    <row r="33" spans="1:20" x14ac:dyDescent="0.25">
      <c r="A33" s="32" t="s">
        <v>213</v>
      </c>
      <c r="B33" s="131">
        <v>29</v>
      </c>
      <c r="C33" s="10"/>
      <c r="D33" s="10"/>
      <c r="E33" s="11"/>
      <c r="F33" s="11">
        <v>100</v>
      </c>
      <c r="G33" s="13">
        <v>3000</v>
      </c>
      <c r="H33" s="137">
        <f t="shared" ref="H33:H38" si="3">E33+F33+G33</f>
        <v>3100</v>
      </c>
      <c r="I33" s="137">
        <v>250</v>
      </c>
      <c r="J33" s="10">
        <f t="shared" si="0"/>
        <v>3250</v>
      </c>
      <c r="K33" s="8" t="s">
        <v>59</v>
      </c>
      <c r="L33" s="131">
        <v>30</v>
      </c>
      <c r="M33" s="10"/>
      <c r="N33" s="10"/>
      <c r="O33" s="97"/>
      <c r="P33" s="11">
        <v>100</v>
      </c>
      <c r="Q33" s="97">
        <v>3300</v>
      </c>
      <c r="R33" s="10">
        <f>P33+Q33</f>
        <v>3400</v>
      </c>
      <c r="S33" s="137">
        <v>250</v>
      </c>
    </row>
    <row r="34" spans="1:20" x14ac:dyDescent="0.25">
      <c r="A34" s="142" t="s">
        <v>267</v>
      </c>
      <c r="B34" s="131">
        <v>30</v>
      </c>
      <c r="C34" s="10"/>
      <c r="D34" s="10"/>
      <c r="E34" s="11"/>
      <c r="F34" s="11"/>
      <c r="G34" s="13"/>
      <c r="H34" s="137"/>
      <c r="I34" s="137"/>
      <c r="J34" s="10">
        <v>3250</v>
      </c>
      <c r="K34" s="8" t="s">
        <v>282</v>
      </c>
      <c r="L34" s="131">
        <v>31</v>
      </c>
      <c r="M34" s="10"/>
      <c r="N34" s="10"/>
      <c r="O34" s="11"/>
      <c r="P34" s="11">
        <v>100</v>
      </c>
      <c r="Q34" s="11">
        <v>3150</v>
      </c>
      <c r="R34" s="10">
        <f>Q34+S34</f>
        <v>3400</v>
      </c>
      <c r="S34" s="137">
        <v>250</v>
      </c>
    </row>
    <row r="35" spans="1:20" x14ac:dyDescent="0.25">
      <c r="A35" s="152" t="s">
        <v>261</v>
      </c>
      <c r="B35" s="131">
        <v>31</v>
      </c>
      <c r="C35" s="10"/>
      <c r="D35" s="10"/>
      <c r="E35" s="81"/>
      <c r="F35" s="11"/>
      <c r="G35" s="129"/>
      <c r="H35" s="11">
        <v>3500</v>
      </c>
      <c r="I35" s="137">
        <v>250</v>
      </c>
      <c r="J35" s="10">
        <f>H35+I35</f>
        <v>3750</v>
      </c>
      <c r="K35" s="142" t="s">
        <v>283</v>
      </c>
      <c r="L35" s="131">
        <v>32</v>
      </c>
      <c r="M35" s="10"/>
      <c r="N35" s="10"/>
      <c r="O35" s="11"/>
      <c r="P35" s="11">
        <v>100</v>
      </c>
      <c r="Q35" s="11">
        <v>3300</v>
      </c>
      <c r="R35" s="10">
        <v>3400</v>
      </c>
      <c r="S35" s="137"/>
    </row>
    <row r="36" spans="1:20" x14ac:dyDescent="0.25">
      <c r="A36" s="8" t="s">
        <v>163</v>
      </c>
      <c r="B36" s="133">
        <v>32</v>
      </c>
      <c r="C36" s="10"/>
      <c r="D36" s="10"/>
      <c r="E36" s="110"/>
      <c r="F36" s="11">
        <v>100</v>
      </c>
      <c r="G36" s="119">
        <v>3500</v>
      </c>
      <c r="H36" s="137">
        <f t="shared" si="3"/>
        <v>3600</v>
      </c>
      <c r="I36" s="137">
        <v>250</v>
      </c>
      <c r="J36" s="10">
        <f t="shared" si="0"/>
        <v>3750</v>
      </c>
      <c r="K36" s="32" t="s">
        <v>213</v>
      </c>
      <c r="L36" s="131">
        <v>33</v>
      </c>
      <c r="M36" s="10"/>
      <c r="N36" s="10"/>
      <c r="O36" s="11"/>
      <c r="P36" s="11">
        <v>100</v>
      </c>
      <c r="Q36" s="13">
        <v>3000</v>
      </c>
      <c r="R36" s="10">
        <f>P36+Q36</f>
        <v>3100</v>
      </c>
      <c r="S36" s="137">
        <v>250</v>
      </c>
    </row>
    <row r="37" spans="1:20" x14ac:dyDescent="0.25">
      <c r="A37" s="152" t="s">
        <v>262</v>
      </c>
      <c r="B37" s="133">
        <v>33</v>
      </c>
      <c r="C37" s="10"/>
      <c r="D37" s="10">
        <v>3500</v>
      </c>
      <c r="E37" s="110"/>
      <c r="F37" s="11">
        <v>100</v>
      </c>
      <c r="G37" s="110">
        <v>3500</v>
      </c>
      <c r="H37" s="137">
        <f t="shared" si="3"/>
        <v>3600</v>
      </c>
      <c r="I37" s="137">
        <v>250</v>
      </c>
      <c r="J37" s="10">
        <f t="shared" si="0"/>
        <v>3750</v>
      </c>
      <c r="K37" s="142" t="s">
        <v>284</v>
      </c>
      <c r="L37" s="131">
        <v>34</v>
      </c>
      <c r="M37" s="10"/>
      <c r="N37" s="10"/>
      <c r="O37" s="11"/>
      <c r="P37" s="11">
        <v>100</v>
      </c>
      <c r="Q37" s="13">
        <v>3000</v>
      </c>
      <c r="R37" s="10">
        <f>P37+Q37</f>
        <v>3100</v>
      </c>
      <c r="S37" s="137"/>
    </row>
    <row r="38" spans="1:20" x14ac:dyDescent="0.25">
      <c r="A38" s="8" t="s">
        <v>6</v>
      </c>
      <c r="B38" s="131">
        <v>34</v>
      </c>
      <c r="C38" s="10"/>
      <c r="D38" s="10"/>
      <c r="E38" s="11"/>
      <c r="F38" s="11">
        <v>100</v>
      </c>
      <c r="G38" s="13">
        <v>4500</v>
      </c>
      <c r="H38" s="137">
        <f t="shared" si="3"/>
        <v>4600</v>
      </c>
      <c r="I38" s="137">
        <v>250</v>
      </c>
      <c r="J38" s="10">
        <f t="shared" si="0"/>
        <v>4750</v>
      </c>
      <c r="K38" s="32" t="s">
        <v>25</v>
      </c>
      <c r="Q38">
        <f>SUM(Q4:Q37)</f>
        <v>99000</v>
      </c>
    </row>
    <row r="39" spans="1:20" x14ac:dyDescent="0.25">
      <c r="A39" s="119"/>
      <c r="B39" s="119"/>
      <c r="C39" s="119"/>
      <c r="D39" s="119"/>
      <c r="E39" s="119">
        <f>SUM(E6:E37)</f>
        <v>0</v>
      </c>
      <c r="F39" s="119">
        <f>SUM(F6:F38)</f>
        <v>2400</v>
      </c>
      <c r="G39" s="119">
        <f>SUM(G4:G38)</f>
        <v>71550</v>
      </c>
      <c r="H39" s="138">
        <f>SUM(H6:H38)</f>
        <v>77450</v>
      </c>
      <c r="I39" s="53"/>
      <c r="J39" s="10">
        <f>SUM(J4:J38)</f>
        <v>96051</v>
      </c>
    </row>
    <row r="40" spans="1:20" x14ac:dyDescent="0.25">
      <c r="A40" s="84"/>
      <c r="B40" s="12" t="s">
        <v>236</v>
      </c>
      <c r="C40" s="129"/>
      <c r="D40" s="84"/>
      <c r="E40" s="85">
        <f>J39</f>
        <v>96051</v>
      </c>
      <c r="F40" s="3"/>
      <c r="G40" s="86"/>
      <c r="H40" s="3"/>
      <c r="I40" s="129"/>
      <c r="J40" s="129"/>
    </row>
    <row r="41" spans="1:20" x14ac:dyDescent="0.25">
      <c r="A41" s="84"/>
      <c r="B41" s="12"/>
      <c r="C41" s="129"/>
      <c r="D41" s="84"/>
      <c r="E41" s="88">
        <f>SUM(E40:E40)</f>
        <v>96051</v>
      </c>
      <c r="F41" s="129"/>
    </row>
    <row r="42" spans="1:20" x14ac:dyDescent="0.25">
      <c r="A42" s="129"/>
      <c r="B42" s="141" t="s">
        <v>26</v>
      </c>
      <c r="C42" s="129"/>
      <c r="D42" s="129"/>
      <c r="E42" s="134">
        <v>0.08</v>
      </c>
      <c r="F42" s="129"/>
      <c r="K42" s="119"/>
      <c r="L42" s="119"/>
      <c r="M42" s="119"/>
      <c r="N42" s="119"/>
      <c r="O42" s="119">
        <f>SUM(O6:O39)</f>
        <v>0</v>
      </c>
      <c r="P42" s="119">
        <f>SUM(P6:P41)</f>
        <v>3200</v>
      </c>
      <c r="Q42" s="119">
        <f>SUM(Q4:Q39)</f>
        <v>198000</v>
      </c>
      <c r="R42" s="138">
        <f>SUM(R6:R41)</f>
        <v>97900</v>
      </c>
      <c r="S42" s="53"/>
      <c r="T42" s="10">
        <f>SUM(T4:T39)</f>
        <v>60701</v>
      </c>
    </row>
    <row r="43" spans="1:20" x14ac:dyDescent="0.25">
      <c r="A43" s="84"/>
      <c r="B43" s="12" t="s">
        <v>79</v>
      </c>
      <c r="C43" s="129"/>
      <c r="D43" s="84"/>
      <c r="E43" s="143">
        <f>E40*E42</f>
        <v>7684.08</v>
      </c>
      <c r="F43" s="129"/>
      <c r="G43" s="12" t="s">
        <v>254</v>
      </c>
      <c r="H43" s="129"/>
      <c r="I43" s="129"/>
      <c r="J43" s="20"/>
    </row>
    <row r="44" spans="1:20" x14ac:dyDescent="0.25">
      <c r="A44" s="84"/>
      <c r="B44" s="12" t="s">
        <v>221</v>
      </c>
      <c r="C44" s="129"/>
      <c r="D44" s="129"/>
      <c r="E44" s="129">
        <v>5000</v>
      </c>
      <c r="F44" s="20"/>
      <c r="G44" s="12"/>
      <c r="H44" s="129"/>
      <c r="I44" s="129"/>
      <c r="J44" s="15"/>
      <c r="N44">
        <v>2800</v>
      </c>
      <c r="O44">
        <v>2800</v>
      </c>
      <c r="P44">
        <f>SUM(N44:O44)</f>
        <v>5600</v>
      </c>
    </row>
    <row r="45" spans="1:20" x14ac:dyDescent="0.25">
      <c r="A45" s="135"/>
      <c r="B45" s="12" t="s">
        <v>268</v>
      </c>
      <c r="C45" s="129"/>
      <c r="D45" s="129"/>
      <c r="E45" s="129">
        <v>5600</v>
      </c>
      <c r="F45" s="20"/>
      <c r="G45" s="12"/>
      <c r="H45" s="129"/>
      <c r="I45" s="129"/>
      <c r="J45" s="20"/>
    </row>
    <row r="46" spans="1:20" x14ac:dyDescent="0.25">
      <c r="A46" s="129"/>
      <c r="B46" s="12" t="s">
        <v>252</v>
      </c>
      <c r="C46" s="129"/>
      <c r="D46" s="129"/>
      <c r="E46" s="129">
        <v>22900</v>
      </c>
      <c r="F46" s="20"/>
      <c r="G46" s="12"/>
      <c r="H46" s="12" t="s">
        <v>116</v>
      </c>
      <c r="I46" s="12" t="s">
        <v>113</v>
      </c>
      <c r="J46" s="20" t="s">
        <v>217</v>
      </c>
    </row>
    <row r="47" spans="1:20" x14ac:dyDescent="0.25">
      <c r="A47" s="129"/>
      <c r="B47" s="116" t="s">
        <v>253</v>
      </c>
      <c r="C47" s="107"/>
      <c r="D47" s="107"/>
      <c r="E47" s="113">
        <f>SUM(E43:E46)</f>
        <v>41184.080000000002</v>
      </c>
      <c r="F47" s="12"/>
      <c r="G47" s="96" t="s">
        <v>40</v>
      </c>
      <c r="H47" s="12" t="s">
        <v>117</v>
      </c>
      <c r="I47" s="12" t="s">
        <v>117</v>
      </c>
      <c r="J47" s="20" t="s">
        <v>251</v>
      </c>
    </row>
    <row r="48" spans="1:20" x14ac:dyDescent="0.25">
      <c r="A48" s="129"/>
      <c r="B48" s="129"/>
      <c r="C48" s="129"/>
      <c r="D48" s="129"/>
      <c r="E48" s="129"/>
      <c r="F48" s="12"/>
      <c r="G48" s="12"/>
      <c r="H48" s="12"/>
      <c r="I48" s="129"/>
      <c r="J48" s="129"/>
    </row>
  </sheetData>
  <pageMargins left="0.25" right="0.25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4"/>
  <sheetViews>
    <sheetView topLeftCell="A19" workbookViewId="0">
      <selection activeCell="A14" sqref="A14"/>
    </sheetView>
  </sheetViews>
  <sheetFormatPr defaultRowHeight="15" x14ac:dyDescent="0.25"/>
  <cols>
    <col min="1" max="1" width="15.85546875" customWidth="1"/>
    <col min="2" max="2" width="12.85546875" customWidth="1"/>
    <col min="3" max="3" width="12.28515625" customWidth="1"/>
    <col min="4" max="4" width="10.42578125" customWidth="1"/>
    <col min="5" max="5" width="6.7109375" customWidth="1"/>
    <col min="6" max="6" width="8.140625" customWidth="1"/>
    <col min="11" max="11" width="9.85546875" customWidth="1"/>
    <col min="12" max="12" width="17.5703125" customWidth="1"/>
    <col min="13" max="13" width="11.7109375" customWidth="1"/>
    <col min="14" max="14" width="11.42578125" customWidth="1"/>
    <col min="15" max="15" width="12.85546875" customWidth="1"/>
  </cols>
  <sheetData>
    <row r="2" spans="1:10" ht="18.75" x14ac:dyDescent="0.3">
      <c r="A2" s="99" t="s">
        <v>107</v>
      </c>
      <c r="B2" s="99"/>
      <c r="C2" s="99"/>
      <c r="D2" s="99"/>
      <c r="E2" s="99"/>
      <c r="F2" s="99"/>
      <c r="G2" s="99"/>
      <c r="H2" s="99"/>
      <c r="I2" s="129"/>
      <c r="J2" s="129"/>
    </row>
    <row r="3" spans="1:10" ht="15.75" x14ac:dyDescent="0.25">
      <c r="A3" s="98" t="s">
        <v>285</v>
      </c>
      <c r="B3" s="98"/>
      <c r="C3" s="98"/>
      <c r="D3" s="98"/>
      <c r="E3" s="129"/>
      <c r="F3" s="98"/>
      <c r="G3" s="98"/>
      <c r="H3" s="98"/>
      <c r="I3" s="129"/>
      <c r="J3" s="129"/>
    </row>
    <row r="4" spans="1:10" x14ac:dyDescent="0.25">
      <c r="A4" s="82" t="s">
        <v>110</v>
      </c>
      <c r="B4" s="82" t="s">
        <v>2</v>
      </c>
      <c r="C4" s="82" t="s">
        <v>17</v>
      </c>
      <c r="D4" s="82" t="s">
        <v>108</v>
      </c>
      <c r="E4" s="82" t="s">
        <v>160</v>
      </c>
      <c r="F4" s="82" t="s">
        <v>161</v>
      </c>
      <c r="G4" s="82" t="s">
        <v>5</v>
      </c>
      <c r="H4" s="136" t="s">
        <v>19</v>
      </c>
      <c r="I4" s="10"/>
      <c r="J4" s="148"/>
    </row>
    <row r="5" spans="1:10" x14ac:dyDescent="0.25">
      <c r="A5" s="8" t="s">
        <v>6</v>
      </c>
      <c r="B5" s="131">
        <v>1</v>
      </c>
      <c r="C5" s="10"/>
      <c r="D5" s="10"/>
      <c r="E5" s="11"/>
      <c r="F5" s="11">
        <v>100</v>
      </c>
      <c r="G5" s="13">
        <v>4500</v>
      </c>
      <c r="H5" s="137">
        <f>F5+G5</f>
        <v>4600</v>
      </c>
      <c r="I5" s="137"/>
      <c r="J5" s="10"/>
    </row>
    <row r="6" spans="1:10" x14ac:dyDescent="0.25">
      <c r="A6" s="8"/>
      <c r="B6" s="131">
        <v>2</v>
      </c>
      <c r="C6" s="10"/>
      <c r="D6" s="10"/>
      <c r="E6" s="11"/>
      <c r="F6" s="11"/>
      <c r="G6" s="13"/>
      <c r="H6" s="137">
        <f t="shared" ref="H6:H38" si="0">F6+G6</f>
        <v>0</v>
      </c>
      <c r="I6" s="137"/>
      <c r="J6" s="10"/>
    </row>
    <row r="7" spans="1:10" x14ac:dyDescent="0.25">
      <c r="A7" s="8" t="s">
        <v>22</v>
      </c>
      <c r="B7" s="131">
        <v>3</v>
      </c>
      <c r="C7" s="10"/>
      <c r="D7" s="10"/>
      <c r="E7" s="11"/>
      <c r="F7" s="11">
        <v>100</v>
      </c>
      <c r="G7" s="13">
        <v>2700</v>
      </c>
      <c r="H7" s="137">
        <f t="shared" si="0"/>
        <v>2800</v>
      </c>
      <c r="I7" s="137"/>
      <c r="J7" s="10"/>
    </row>
    <row r="8" spans="1:10" x14ac:dyDescent="0.25">
      <c r="A8" s="8" t="s">
        <v>89</v>
      </c>
      <c r="B8" s="131">
        <v>4</v>
      </c>
      <c r="C8" s="10"/>
      <c r="D8" s="10"/>
      <c r="E8" s="11"/>
      <c r="F8" s="11">
        <v>100</v>
      </c>
      <c r="G8" s="13">
        <v>3700</v>
      </c>
      <c r="H8" s="137">
        <f t="shared" si="0"/>
        <v>3800</v>
      </c>
      <c r="I8" s="137"/>
      <c r="J8" s="10"/>
    </row>
    <row r="9" spans="1:10" x14ac:dyDescent="0.25">
      <c r="A9" s="8" t="s">
        <v>44</v>
      </c>
      <c r="B9" s="131">
        <v>5</v>
      </c>
      <c r="C9" s="10"/>
      <c r="D9" s="10"/>
      <c r="E9" s="11"/>
      <c r="F9" s="11">
        <v>100</v>
      </c>
      <c r="G9" s="13">
        <v>3600</v>
      </c>
      <c r="H9" s="137">
        <f t="shared" si="0"/>
        <v>3700</v>
      </c>
      <c r="I9" s="137"/>
      <c r="J9" s="10"/>
    </row>
    <row r="10" spans="1:10" x14ac:dyDescent="0.25">
      <c r="A10" s="32" t="s">
        <v>272</v>
      </c>
      <c r="B10" s="131">
        <v>6</v>
      </c>
      <c r="C10" s="10"/>
      <c r="D10" s="10"/>
      <c r="E10" s="11"/>
      <c r="F10" s="11">
        <v>100</v>
      </c>
      <c r="G10" s="13">
        <v>2700</v>
      </c>
      <c r="H10" s="137">
        <f t="shared" si="0"/>
        <v>2800</v>
      </c>
      <c r="I10" s="137"/>
      <c r="J10" s="129"/>
    </row>
    <row r="11" spans="1:10" x14ac:dyDescent="0.25">
      <c r="A11" s="8" t="s">
        <v>178</v>
      </c>
      <c r="B11" s="131">
        <v>7</v>
      </c>
      <c r="C11" s="10"/>
      <c r="D11" s="10"/>
      <c r="E11" s="11"/>
      <c r="F11" s="11">
        <v>100</v>
      </c>
      <c r="G11" s="13">
        <v>2700</v>
      </c>
      <c r="H11" s="137">
        <f t="shared" si="0"/>
        <v>2800</v>
      </c>
      <c r="I11" s="137"/>
      <c r="J11" s="10"/>
    </row>
    <row r="12" spans="1:10" x14ac:dyDescent="0.25">
      <c r="A12" s="8" t="s">
        <v>273</v>
      </c>
      <c r="B12" s="131">
        <v>8</v>
      </c>
      <c r="C12" s="10"/>
      <c r="D12" s="10"/>
      <c r="E12" s="11"/>
      <c r="F12" s="11">
        <v>100</v>
      </c>
      <c r="G12" s="13">
        <v>2700</v>
      </c>
      <c r="H12" s="137">
        <f t="shared" si="0"/>
        <v>2800</v>
      </c>
      <c r="I12" s="137"/>
      <c r="J12" s="10"/>
    </row>
    <row r="13" spans="1:10" x14ac:dyDescent="0.25">
      <c r="A13" s="8" t="s">
        <v>8</v>
      </c>
      <c r="B13" s="131">
        <v>9</v>
      </c>
      <c r="C13" s="10"/>
      <c r="D13" s="10"/>
      <c r="E13" s="11"/>
      <c r="F13" s="11">
        <v>100</v>
      </c>
      <c r="G13" s="13">
        <v>2700</v>
      </c>
      <c r="H13" s="137">
        <f t="shared" si="0"/>
        <v>2800</v>
      </c>
      <c r="I13" s="137"/>
      <c r="J13" s="10"/>
    </row>
    <row r="14" spans="1:10" x14ac:dyDescent="0.25">
      <c r="A14" s="8" t="s">
        <v>102</v>
      </c>
      <c r="B14" s="131">
        <v>10</v>
      </c>
      <c r="C14" s="10"/>
      <c r="D14" s="10"/>
      <c r="E14" s="11"/>
      <c r="F14" s="11">
        <v>100</v>
      </c>
      <c r="G14" s="13">
        <v>2700</v>
      </c>
      <c r="H14" s="137">
        <f t="shared" si="0"/>
        <v>2800</v>
      </c>
      <c r="I14" s="137"/>
      <c r="J14" s="10"/>
    </row>
    <row r="15" spans="1:10" x14ac:dyDescent="0.25">
      <c r="A15" s="8" t="s">
        <v>47</v>
      </c>
      <c r="B15" s="131">
        <v>11</v>
      </c>
      <c r="C15" s="10"/>
      <c r="D15" s="10"/>
      <c r="E15" s="11"/>
      <c r="F15" s="11">
        <v>100</v>
      </c>
      <c r="G15" s="13">
        <v>2700</v>
      </c>
      <c r="H15" s="137">
        <f t="shared" si="0"/>
        <v>2800</v>
      </c>
      <c r="I15" s="137"/>
      <c r="J15" s="10"/>
    </row>
    <row r="16" spans="1:10" x14ac:dyDescent="0.25">
      <c r="A16" s="8" t="s">
        <v>91</v>
      </c>
      <c r="B16" s="131">
        <v>12</v>
      </c>
      <c r="C16" s="10"/>
      <c r="D16" s="10"/>
      <c r="E16" s="11"/>
      <c r="F16" s="11">
        <v>100</v>
      </c>
      <c r="G16" s="11">
        <v>2700</v>
      </c>
      <c r="H16" s="137">
        <f t="shared" si="0"/>
        <v>2800</v>
      </c>
      <c r="I16" s="137"/>
      <c r="J16" s="10"/>
    </row>
    <row r="17" spans="1:10" x14ac:dyDescent="0.25">
      <c r="A17" s="8" t="s">
        <v>274</v>
      </c>
      <c r="B17" s="131">
        <v>13</v>
      </c>
      <c r="C17" s="105"/>
      <c r="D17" s="105"/>
      <c r="E17" s="13"/>
      <c r="F17" s="13">
        <v>100</v>
      </c>
      <c r="G17" s="13">
        <v>2700</v>
      </c>
      <c r="H17" s="137">
        <f t="shared" si="0"/>
        <v>2800</v>
      </c>
      <c r="I17" s="137"/>
      <c r="J17" s="10"/>
    </row>
    <row r="18" spans="1:10" x14ac:dyDescent="0.25">
      <c r="A18" s="8" t="s">
        <v>93</v>
      </c>
      <c r="B18" s="131">
        <v>14</v>
      </c>
      <c r="C18" s="10"/>
      <c r="D18" s="10"/>
      <c r="E18" s="11"/>
      <c r="F18" s="11">
        <v>100</v>
      </c>
      <c r="G18" s="11">
        <v>2700</v>
      </c>
      <c r="H18" s="137">
        <f t="shared" si="0"/>
        <v>2800</v>
      </c>
      <c r="I18" s="137"/>
      <c r="J18" s="10"/>
    </row>
    <row r="19" spans="1:10" x14ac:dyDescent="0.25">
      <c r="A19" s="32" t="s">
        <v>275</v>
      </c>
      <c r="B19" s="131">
        <v>15</v>
      </c>
      <c r="C19" s="10"/>
      <c r="D19" s="10"/>
      <c r="E19" s="11"/>
      <c r="F19" s="11">
        <v>100</v>
      </c>
      <c r="G19" s="11">
        <v>2700</v>
      </c>
      <c r="H19" s="137">
        <f t="shared" si="0"/>
        <v>2800</v>
      </c>
      <c r="I19" s="137"/>
      <c r="J19" s="10"/>
    </row>
    <row r="20" spans="1:10" x14ac:dyDescent="0.25">
      <c r="A20" s="8" t="s">
        <v>51</v>
      </c>
      <c r="B20" s="131">
        <v>16</v>
      </c>
      <c r="C20" s="10"/>
      <c r="D20" s="10"/>
      <c r="E20" s="11"/>
      <c r="F20" s="11">
        <v>100</v>
      </c>
      <c r="G20" s="11">
        <v>2700</v>
      </c>
      <c r="H20" s="137">
        <f t="shared" si="0"/>
        <v>2800</v>
      </c>
      <c r="I20" s="137"/>
      <c r="J20" s="10"/>
    </row>
    <row r="21" spans="1:10" x14ac:dyDescent="0.25">
      <c r="A21" s="32" t="s">
        <v>277</v>
      </c>
      <c r="B21" s="131">
        <v>17</v>
      </c>
      <c r="C21" s="129"/>
      <c r="D21" s="129"/>
      <c r="E21" s="129"/>
      <c r="F21" s="81">
        <v>100</v>
      </c>
      <c r="G21" s="81">
        <v>2700</v>
      </c>
      <c r="H21" s="137">
        <f t="shared" si="0"/>
        <v>2800</v>
      </c>
      <c r="I21" s="129"/>
      <c r="J21" s="129"/>
    </row>
    <row r="22" spans="1:10" x14ac:dyDescent="0.25">
      <c r="A22" s="8" t="s">
        <v>276</v>
      </c>
      <c r="B22" s="131">
        <v>17</v>
      </c>
      <c r="C22" s="10"/>
      <c r="D22" s="10"/>
      <c r="E22" s="11"/>
      <c r="F22" s="11">
        <v>100</v>
      </c>
      <c r="G22" s="13">
        <v>2700</v>
      </c>
      <c r="H22" s="137">
        <f t="shared" si="0"/>
        <v>2800</v>
      </c>
      <c r="I22" s="137"/>
      <c r="J22" s="10"/>
    </row>
    <row r="23" spans="1:10" x14ac:dyDescent="0.25">
      <c r="A23" s="142" t="s">
        <v>278</v>
      </c>
      <c r="B23" s="131">
        <v>19</v>
      </c>
      <c r="C23" s="10"/>
      <c r="D23" s="10"/>
      <c r="E23" s="11"/>
      <c r="F23" s="11">
        <v>100</v>
      </c>
      <c r="G23" s="11">
        <v>2700</v>
      </c>
      <c r="H23" s="137">
        <f t="shared" si="0"/>
        <v>2800</v>
      </c>
      <c r="I23" s="137"/>
      <c r="J23" s="10"/>
    </row>
    <row r="24" spans="1:10" x14ac:dyDescent="0.25">
      <c r="A24" s="8" t="s">
        <v>279</v>
      </c>
      <c r="B24" s="131">
        <v>20</v>
      </c>
      <c r="C24" s="10"/>
      <c r="D24" s="10"/>
      <c r="E24" s="11"/>
      <c r="F24" s="11">
        <v>100</v>
      </c>
      <c r="G24" s="13">
        <v>2700</v>
      </c>
      <c r="H24" s="137">
        <f t="shared" si="0"/>
        <v>2800</v>
      </c>
      <c r="I24" s="137"/>
      <c r="J24" s="10"/>
    </row>
    <row r="25" spans="1:10" x14ac:dyDescent="0.25">
      <c r="A25" s="8" t="s">
        <v>280</v>
      </c>
      <c r="B25" s="131">
        <v>21</v>
      </c>
      <c r="C25" s="10"/>
      <c r="D25" s="10"/>
      <c r="E25" s="11"/>
      <c r="F25" s="11">
        <v>100</v>
      </c>
      <c r="G25" s="13">
        <v>2700</v>
      </c>
      <c r="H25" s="137">
        <f t="shared" si="0"/>
        <v>2800</v>
      </c>
      <c r="I25" s="137"/>
      <c r="J25" s="10"/>
    </row>
    <row r="26" spans="1:10" x14ac:dyDescent="0.25">
      <c r="A26" s="142" t="s">
        <v>281</v>
      </c>
      <c r="B26" s="131">
        <v>22</v>
      </c>
      <c r="C26" s="10"/>
      <c r="D26" s="10"/>
      <c r="E26" s="11"/>
      <c r="F26" s="11">
        <v>100</v>
      </c>
      <c r="G26" s="11">
        <v>2700</v>
      </c>
      <c r="H26" s="137">
        <f t="shared" si="0"/>
        <v>2800</v>
      </c>
      <c r="I26" s="137"/>
      <c r="J26" s="10"/>
    </row>
    <row r="27" spans="1:10" x14ac:dyDescent="0.25">
      <c r="A27" s="8" t="s">
        <v>142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37">
        <f t="shared" si="0"/>
        <v>3600</v>
      </c>
      <c r="I27" s="137"/>
      <c r="J27" s="129"/>
    </row>
    <row r="28" spans="1:10" x14ac:dyDescent="0.25">
      <c r="A28" s="8" t="s">
        <v>162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37">
        <f t="shared" si="0"/>
        <v>3600</v>
      </c>
      <c r="I28" s="137"/>
      <c r="J28" s="129"/>
    </row>
    <row r="29" spans="1:10" x14ac:dyDescent="0.25">
      <c r="A29" s="8" t="s">
        <v>121</v>
      </c>
      <c r="B29" s="131">
        <v>25</v>
      </c>
      <c r="C29" s="10"/>
      <c r="D29" s="10"/>
      <c r="E29" s="11"/>
      <c r="F29" s="11">
        <v>100</v>
      </c>
      <c r="G29" s="11">
        <v>3600</v>
      </c>
      <c r="H29" s="137">
        <f t="shared" si="0"/>
        <v>3700</v>
      </c>
      <c r="I29" s="137"/>
      <c r="J29" s="129"/>
    </row>
    <row r="30" spans="1:10" x14ac:dyDescent="0.25">
      <c r="A30" s="152" t="s">
        <v>261</v>
      </c>
      <c r="B30" s="131">
        <v>26</v>
      </c>
      <c r="C30" s="10"/>
      <c r="D30" s="10"/>
      <c r="E30" s="81"/>
      <c r="F30" s="11">
        <v>100</v>
      </c>
      <c r="G30" s="81">
        <v>3700</v>
      </c>
      <c r="H30" s="137">
        <f t="shared" si="0"/>
        <v>3800</v>
      </c>
      <c r="I30" s="137"/>
      <c r="J30" s="129"/>
    </row>
    <row r="31" spans="1:10" x14ac:dyDescent="0.25">
      <c r="A31" s="8" t="s">
        <v>163</v>
      </c>
      <c r="B31" s="131">
        <v>27</v>
      </c>
      <c r="C31" s="10"/>
      <c r="D31" s="10"/>
      <c r="E31" s="110"/>
      <c r="F31" s="11">
        <v>100</v>
      </c>
      <c r="G31" s="119">
        <v>3500</v>
      </c>
      <c r="H31" s="137">
        <f t="shared" si="0"/>
        <v>3600</v>
      </c>
      <c r="I31" s="137"/>
      <c r="J31" s="129"/>
    </row>
    <row r="32" spans="1:10" x14ac:dyDescent="0.25">
      <c r="A32" s="152" t="s">
        <v>262</v>
      </c>
      <c r="B32" s="131">
        <v>34</v>
      </c>
      <c r="C32" s="10"/>
      <c r="D32" s="10"/>
      <c r="E32" s="110"/>
      <c r="F32" s="11">
        <v>100</v>
      </c>
      <c r="G32" s="110">
        <v>3500</v>
      </c>
      <c r="H32" s="137">
        <f t="shared" si="0"/>
        <v>3600</v>
      </c>
      <c r="I32" s="137"/>
      <c r="J32" s="10"/>
    </row>
    <row r="33" spans="1:10" x14ac:dyDescent="0.25">
      <c r="A33" s="8" t="s">
        <v>15</v>
      </c>
      <c r="B33" s="131">
        <v>29</v>
      </c>
      <c r="C33" s="10"/>
      <c r="D33" s="10"/>
      <c r="E33" s="11"/>
      <c r="F33" s="11">
        <v>100</v>
      </c>
      <c r="G33" s="13">
        <v>3300</v>
      </c>
      <c r="H33" s="137">
        <f t="shared" si="0"/>
        <v>3400</v>
      </c>
      <c r="I33" s="137"/>
      <c r="J33" s="129"/>
    </row>
    <row r="34" spans="1:10" x14ac:dyDescent="0.25">
      <c r="A34" s="8" t="s">
        <v>59</v>
      </c>
      <c r="B34" s="131">
        <v>30</v>
      </c>
      <c r="C34" s="10"/>
      <c r="D34" s="10"/>
      <c r="E34" s="97"/>
      <c r="F34" s="11">
        <v>100</v>
      </c>
      <c r="G34" s="97">
        <v>3300</v>
      </c>
      <c r="H34" s="137">
        <f t="shared" si="0"/>
        <v>3400</v>
      </c>
      <c r="I34" s="137"/>
      <c r="J34" s="129"/>
    </row>
    <row r="35" spans="1:10" x14ac:dyDescent="0.25">
      <c r="A35" s="8" t="s">
        <v>282</v>
      </c>
      <c r="B35" s="131">
        <v>31</v>
      </c>
      <c r="C35" s="10"/>
      <c r="D35" s="10"/>
      <c r="E35" s="11"/>
      <c r="F35" s="11">
        <v>100</v>
      </c>
      <c r="G35" s="11">
        <v>3100</v>
      </c>
      <c r="H35" s="137">
        <f t="shared" si="0"/>
        <v>3200</v>
      </c>
      <c r="I35" s="137"/>
      <c r="J35" s="129"/>
    </row>
    <row r="36" spans="1:10" x14ac:dyDescent="0.25">
      <c r="A36" s="142" t="s">
        <v>283</v>
      </c>
      <c r="B36" s="131">
        <v>32</v>
      </c>
      <c r="C36" s="10"/>
      <c r="D36" s="10"/>
      <c r="E36" s="11"/>
      <c r="F36" s="11">
        <v>100</v>
      </c>
      <c r="G36" s="11">
        <v>3300</v>
      </c>
      <c r="H36" s="137">
        <f t="shared" si="0"/>
        <v>3400</v>
      </c>
      <c r="I36" s="137"/>
      <c r="J36" s="129"/>
    </row>
    <row r="37" spans="1:10" x14ac:dyDescent="0.25">
      <c r="A37" s="32" t="s">
        <v>213</v>
      </c>
      <c r="B37" s="131">
        <v>33</v>
      </c>
      <c r="C37" s="10"/>
      <c r="D37" s="10"/>
      <c r="E37" s="11"/>
      <c r="F37" s="11">
        <v>100</v>
      </c>
      <c r="G37" s="13">
        <v>3300</v>
      </c>
      <c r="H37" s="137">
        <f t="shared" si="0"/>
        <v>3400</v>
      </c>
      <c r="I37" s="137"/>
      <c r="J37" s="129"/>
    </row>
    <row r="38" spans="1:10" x14ac:dyDescent="0.25">
      <c r="A38" s="142" t="s">
        <v>284</v>
      </c>
      <c r="B38" s="131">
        <v>34</v>
      </c>
      <c r="C38" s="10"/>
      <c r="D38" s="10"/>
      <c r="E38" s="11"/>
      <c r="F38" s="11">
        <v>100</v>
      </c>
      <c r="G38" s="13">
        <v>3000</v>
      </c>
      <c r="H38" s="137">
        <f t="shared" si="0"/>
        <v>3100</v>
      </c>
      <c r="I38" s="137"/>
      <c r="J38" s="129"/>
    </row>
    <row r="39" spans="1:10" x14ac:dyDescent="0.25">
      <c r="A39" s="33" t="s">
        <v>25</v>
      </c>
      <c r="B39" s="10"/>
      <c r="C39" s="10"/>
      <c r="D39" s="10">
        <f>G39</f>
        <v>101000</v>
      </c>
      <c r="E39" s="10"/>
      <c r="F39" s="10">
        <f>SUM(F5:F38)</f>
        <v>3300</v>
      </c>
      <c r="G39" s="10">
        <f>SUM(G5:G38)</f>
        <v>101000</v>
      </c>
      <c r="H39" s="10"/>
      <c r="I39" s="10"/>
      <c r="J39" s="129"/>
    </row>
    <row r="41" spans="1:10" x14ac:dyDescent="0.25">
      <c r="A41" s="153" t="s">
        <v>286</v>
      </c>
      <c r="B41" s="129"/>
      <c r="C41" s="84"/>
      <c r="D41" s="85"/>
      <c r="E41" s="86"/>
      <c r="G41" s="3"/>
      <c r="H41" s="129"/>
      <c r="I41" s="129"/>
    </row>
    <row r="42" spans="1:10" ht="21" x14ac:dyDescent="0.35">
      <c r="A42" s="161" t="s">
        <v>287</v>
      </c>
      <c r="B42" s="154" t="s">
        <v>288</v>
      </c>
      <c r="C42" s="154" t="s">
        <v>289</v>
      </c>
      <c r="D42" s="154" t="s">
        <v>290</v>
      </c>
      <c r="E42" s="129"/>
      <c r="G42" s="129"/>
      <c r="H42" s="129"/>
      <c r="I42" s="129"/>
    </row>
    <row r="43" spans="1:10" x14ac:dyDescent="0.25">
      <c r="A43" s="162" t="s">
        <v>291</v>
      </c>
      <c r="B43" s="155">
        <v>101000</v>
      </c>
      <c r="C43" s="10"/>
      <c r="D43" s="10"/>
      <c r="E43" s="129"/>
      <c r="G43" s="129"/>
      <c r="H43" s="129"/>
      <c r="I43" s="129"/>
    </row>
    <row r="44" spans="1:10" x14ac:dyDescent="0.25">
      <c r="A44" s="163" t="s">
        <v>292</v>
      </c>
      <c r="B44" s="156">
        <v>0.08</v>
      </c>
      <c r="C44" s="157">
        <f>B44*B43</f>
        <v>8080</v>
      </c>
      <c r="D44" s="10"/>
      <c r="E44" s="12"/>
      <c r="G44" s="129"/>
      <c r="H44" s="129"/>
      <c r="I44" s="20"/>
    </row>
    <row r="45" spans="1:10" x14ac:dyDescent="0.25">
      <c r="A45" s="164" t="s">
        <v>293</v>
      </c>
      <c r="B45" s="156"/>
      <c r="C45" s="157"/>
      <c r="D45" s="10"/>
      <c r="E45" s="12"/>
      <c r="G45" s="129"/>
      <c r="H45" s="129"/>
      <c r="I45" s="15"/>
    </row>
    <row r="46" spans="1:10" x14ac:dyDescent="0.25">
      <c r="A46" s="10" t="s">
        <v>297</v>
      </c>
      <c r="B46" s="10"/>
      <c r="C46" s="10">
        <v>7000</v>
      </c>
      <c r="D46" s="10"/>
      <c r="E46" s="12"/>
      <c r="G46" s="129"/>
      <c r="H46" s="129"/>
      <c r="I46" s="20"/>
    </row>
    <row r="47" spans="1:10" x14ac:dyDescent="0.25">
      <c r="A47" s="10" t="s">
        <v>298</v>
      </c>
      <c r="B47" s="10"/>
      <c r="C47" s="10">
        <v>500</v>
      </c>
      <c r="D47" s="10"/>
      <c r="E47" s="12"/>
      <c r="G47" s="12"/>
      <c r="H47" s="12"/>
      <c r="I47" s="20"/>
    </row>
    <row r="48" spans="1:10" s="129" customFormat="1" x14ac:dyDescent="0.25">
      <c r="A48" t="s">
        <v>299</v>
      </c>
      <c r="B48" s="167"/>
      <c r="C48" s="167">
        <v>46020</v>
      </c>
      <c r="D48" s="10"/>
      <c r="E48" s="12"/>
      <c r="G48" s="12"/>
      <c r="H48" s="12"/>
      <c r="I48" s="20"/>
    </row>
    <row r="49" spans="1:15" x14ac:dyDescent="0.25">
      <c r="A49" s="165" t="s">
        <v>295</v>
      </c>
      <c r="B49" s="158"/>
      <c r="C49" s="159">
        <v>16500</v>
      </c>
      <c r="D49" s="10"/>
      <c r="E49" s="96"/>
      <c r="G49" s="12"/>
      <c r="H49" s="12"/>
      <c r="I49" s="20"/>
    </row>
    <row r="50" spans="1:15" x14ac:dyDescent="0.25">
      <c r="A50" s="166" t="s">
        <v>296</v>
      </c>
      <c r="C50" s="159">
        <v>22900</v>
      </c>
      <c r="D50" s="157"/>
      <c r="E50" s="12"/>
      <c r="G50" s="12"/>
      <c r="H50" s="129"/>
      <c r="I50" s="129"/>
    </row>
    <row r="51" spans="1:15" x14ac:dyDescent="0.25">
      <c r="A51" s="168" t="s">
        <v>4</v>
      </c>
      <c r="B51" s="155">
        <v>101000</v>
      </c>
      <c r="C51" s="155">
        <f>SUM(C44:C50)</f>
        <v>101000</v>
      </c>
      <c r="D51" s="105">
        <v>0</v>
      </c>
    </row>
    <row r="53" spans="1:15" x14ac:dyDescent="0.25">
      <c r="A53" s="92" t="s">
        <v>112</v>
      </c>
      <c r="B53" s="92"/>
      <c r="C53" s="12" t="s">
        <v>113</v>
      </c>
      <c r="D53" s="12" t="s">
        <v>114</v>
      </c>
    </row>
    <row r="54" spans="1:15" ht="17.25" x14ac:dyDescent="0.4">
      <c r="A54" s="12" t="s">
        <v>217</v>
      </c>
      <c r="B54" s="12"/>
      <c r="C54" s="12" t="s">
        <v>116</v>
      </c>
      <c r="D54" s="12" t="s">
        <v>294</v>
      </c>
      <c r="L54" s="107"/>
      <c r="M54" s="107"/>
      <c r="N54" s="153"/>
      <c r="O54" s="160"/>
    </row>
  </sheetData>
  <pageMargins left="0.25" right="0.25" top="0.24" bottom="0.2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6" workbookViewId="0">
      <selection activeCell="D43" sqref="D43"/>
    </sheetView>
  </sheetViews>
  <sheetFormatPr defaultRowHeight="15" x14ac:dyDescent="0.25"/>
  <cols>
    <col min="1" max="1" width="15.140625" customWidth="1"/>
    <col min="2" max="3" width="12" customWidth="1"/>
    <col min="4" max="4" width="10.5703125" bestFit="1" customWidth="1"/>
    <col min="9" max="9" width="9.5703125" bestFit="1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301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3"/>
      <c r="J3" s="139"/>
    </row>
    <row r="4" spans="1:10" x14ac:dyDescent="0.25">
      <c r="A4" s="8" t="s">
        <v>6</v>
      </c>
      <c r="B4" s="131">
        <v>1</v>
      </c>
      <c r="C4" s="10"/>
      <c r="D4" s="10"/>
      <c r="E4" s="11"/>
      <c r="F4" s="11">
        <v>100</v>
      </c>
      <c r="G4" s="13">
        <v>4500</v>
      </c>
      <c r="H4" s="11">
        <f>F4+G4</f>
        <v>4600</v>
      </c>
      <c r="I4" s="5"/>
      <c r="J4" s="3"/>
    </row>
    <row r="5" spans="1:10" x14ac:dyDescent="0.25">
      <c r="A5" s="8" t="s">
        <v>64</v>
      </c>
      <c r="B5" s="131">
        <v>2</v>
      </c>
      <c r="C5" s="10"/>
      <c r="D5" s="10"/>
      <c r="E5" s="11"/>
      <c r="F5" s="11"/>
      <c r="G5" s="13"/>
      <c r="H5" s="11">
        <f t="shared" ref="H5:H37" si="0">F5+G5</f>
        <v>0</v>
      </c>
      <c r="I5" s="5"/>
      <c r="J5" s="3"/>
    </row>
    <row r="6" spans="1:10" x14ac:dyDescent="0.25">
      <c r="A6" s="8" t="s">
        <v>22</v>
      </c>
      <c r="B6" s="131">
        <v>3</v>
      </c>
      <c r="C6" s="10"/>
      <c r="D6" s="10"/>
      <c r="E6" s="11"/>
      <c r="F6" s="11">
        <v>100</v>
      </c>
      <c r="G6" s="13">
        <v>2700</v>
      </c>
      <c r="H6" s="11">
        <f t="shared" si="0"/>
        <v>2800</v>
      </c>
      <c r="I6" s="5"/>
      <c r="J6" s="3"/>
    </row>
    <row r="7" spans="1:10" x14ac:dyDescent="0.25">
      <c r="A7" s="8" t="s">
        <v>89</v>
      </c>
      <c r="B7" s="131">
        <v>4</v>
      </c>
      <c r="C7" s="10"/>
      <c r="D7" s="10"/>
      <c r="E7" s="11"/>
      <c r="F7" s="11">
        <v>100</v>
      </c>
      <c r="G7" s="13">
        <v>3700</v>
      </c>
      <c r="H7" s="11">
        <f t="shared" si="0"/>
        <v>3800</v>
      </c>
      <c r="I7" s="5"/>
      <c r="J7" s="3"/>
    </row>
    <row r="8" spans="1:10" x14ac:dyDescent="0.25">
      <c r="A8" s="8" t="s">
        <v>44</v>
      </c>
      <c r="B8" s="131">
        <v>5</v>
      </c>
      <c r="C8" s="10"/>
      <c r="D8" s="10"/>
      <c r="E8" s="11"/>
      <c r="F8" s="11">
        <v>100</v>
      </c>
      <c r="G8" s="13">
        <v>3600</v>
      </c>
      <c r="H8" s="11">
        <f t="shared" si="0"/>
        <v>3700</v>
      </c>
      <c r="I8" s="5"/>
      <c r="J8" s="3"/>
    </row>
    <row r="9" spans="1:10" x14ac:dyDescent="0.25">
      <c r="A9" s="32" t="s">
        <v>64</v>
      </c>
      <c r="B9" s="131">
        <v>6</v>
      </c>
      <c r="C9" s="10"/>
      <c r="D9" s="10"/>
      <c r="E9" s="11"/>
      <c r="F9" s="11"/>
      <c r="G9" s="13"/>
      <c r="H9" s="11"/>
      <c r="I9" s="5"/>
      <c r="J9" s="3"/>
    </row>
    <row r="10" spans="1:10" x14ac:dyDescent="0.25">
      <c r="A10" s="8" t="s">
        <v>178</v>
      </c>
      <c r="B10" s="131">
        <v>7</v>
      </c>
      <c r="C10" s="10"/>
      <c r="D10" s="10"/>
      <c r="E10" s="11"/>
      <c r="F10" s="11">
        <v>100</v>
      </c>
      <c r="G10" s="13">
        <v>2700</v>
      </c>
      <c r="H10" s="11">
        <f t="shared" si="0"/>
        <v>2800</v>
      </c>
      <c r="I10" s="5"/>
      <c r="J10" s="3"/>
    </row>
    <row r="11" spans="1:10" x14ac:dyDescent="0.25">
      <c r="A11" s="8" t="s">
        <v>273</v>
      </c>
      <c r="B11" s="131">
        <v>8</v>
      </c>
      <c r="C11" s="10"/>
      <c r="D11" s="10"/>
      <c r="E11" s="11"/>
      <c r="F11" s="11">
        <v>100</v>
      </c>
      <c r="G11" s="13">
        <v>2700</v>
      </c>
      <c r="H11" s="11">
        <f t="shared" si="0"/>
        <v>2800</v>
      </c>
      <c r="I11" s="5"/>
      <c r="J11" s="3"/>
    </row>
    <row r="12" spans="1:10" x14ac:dyDescent="0.25">
      <c r="A12" s="8" t="s">
        <v>8</v>
      </c>
      <c r="B12" s="131">
        <v>9</v>
      </c>
      <c r="C12" s="10"/>
      <c r="D12" s="10"/>
      <c r="E12" s="11"/>
      <c r="F12" s="11">
        <v>100</v>
      </c>
      <c r="G12" s="13">
        <v>2700</v>
      </c>
      <c r="H12" s="11">
        <f t="shared" si="0"/>
        <v>2800</v>
      </c>
      <c r="I12" s="5"/>
      <c r="J12" s="3"/>
    </row>
    <row r="13" spans="1:10" x14ac:dyDescent="0.25">
      <c r="A13" s="8" t="s">
        <v>102</v>
      </c>
      <c r="B13" s="131">
        <v>10</v>
      </c>
      <c r="C13" s="10"/>
      <c r="D13" s="10"/>
      <c r="E13" s="11"/>
      <c r="F13" s="11">
        <v>100</v>
      </c>
      <c r="G13" s="13">
        <v>2700</v>
      </c>
      <c r="H13" s="11">
        <f t="shared" si="0"/>
        <v>2800</v>
      </c>
      <c r="I13" s="5"/>
      <c r="J13" s="3"/>
    </row>
    <row r="14" spans="1:10" x14ac:dyDescent="0.25">
      <c r="A14" s="8" t="s">
        <v>47</v>
      </c>
      <c r="B14" s="131">
        <v>11</v>
      </c>
      <c r="C14" s="10"/>
      <c r="D14" s="10"/>
      <c r="E14" s="11"/>
      <c r="F14" s="11">
        <v>100</v>
      </c>
      <c r="G14" s="13">
        <v>2700</v>
      </c>
      <c r="H14" s="11">
        <f t="shared" si="0"/>
        <v>2800</v>
      </c>
      <c r="I14" s="5"/>
      <c r="J14" s="3"/>
    </row>
    <row r="15" spans="1:10" x14ac:dyDescent="0.25">
      <c r="A15" s="8" t="s">
        <v>91</v>
      </c>
      <c r="B15" s="131">
        <v>12</v>
      </c>
      <c r="C15" s="10"/>
      <c r="D15" s="10"/>
      <c r="E15" s="11"/>
      <c r="F15" s="11">
        <v>100</v>
      </c>
      <c r="G15" s="11">
        <v>2700</v>
      </c>
      <c r="H15" s="11">
        <f t="shared" si="0"/>
        <v>2800</v>
      </c>
      <c r="I15" s="5"/>
      <c r="J15" s="3"/>
    </row>
    <row r="16" spans="1:10" x14ac:dyDescent="0.25">
      <c r="A16" s="8" t="s">
        <v>274</v>
      </c>
      <c r="B16" s="131">
        <v>13</v>
      </c>
      <c r="C16" s="105"/>
      <c r="D16" s="105"/>
      <c r="E16" s="13"/>
      <c r="F16" s="13">
        <v>100</v>
      </c>
      <c r="G16" s="13">
        <v>2700</v>
      </c>
      <c r="H16" s="11">
        <f t="shared" si="0"/>
        <v>2800</v>
      </c>
      <c r="I16" s="5"/>
      <c r="J16" s="3"/>
    </row>
    <row r="17" spans="1:10" x14ac:dyDescent="0.25">
      <c r="A17" s="8" t="s">
        <v>93</v>
      </c>
      <c r="B17" s="131">
        <v>14</v>
      </c>
      <c r="C17" s="10"/>
      <c r="D17" s="10"/>
      <c r="E17" s="11"/>
      <c r="F17" s="11">
        <v>100</v>
      </c>
      <c r="G17" s="11">
        <v>2700</v>
      </c>
      <c r="H17" s="11">
        <f t="shared" si="0"/>
        <v>2800</v>
      </c>
      <c r="I17" s="5"/>
      <c r="J17" s="3"/>
    </row>
    <row r="18" spans="1:10" x14ac:dyDescent="0.25">
      <c r="A18" s="32" t="s">
        <v>275</v>
      </c>
      <c r="B18" s="131">
        <v>15</v>
      </c>
      <c r="C18" s="10"/>
      <c r="D18" s="10"/>
      <c r="E18" s="11"/>
      <c r="F18" s="11">
        <v>100</v>
      </c>
      <c r="G18" s="11">
        <v>2700</v>
      </c>
      <c r="H18" s="11">
        <f t="shared" si="0"/>
        <v>2800</v>
      </c>
      <c r="I18" s="5"/>
      <c r="J18" s="3"/>
    </row>
    <row r="19" spans="1:10" x14ac:dyDescent="0.25">
      <c r="A19" s="8" t="s">
        <v>51</v>
      </c>
      <c r="B19" s="131">
        <v>16</v>
      </c>
      <c r="C19" s="10"/>
      <c r="D19" s="10"/>
      <c r="E19" s="11"/>
      <c r="F19" s="11">
        <v>100</v>
      </c>
      <c r="G19" s="11">
        <v>2700</v>
      </c>
      <c r="H19" s="11">
        <f t="shared" si="0"/>
        <v>2800</v>
      </c>
      <c r="I19" s="5"/>
      <c r="J19" s="3"/>
    </row>
    <row r="20" spans="1:10" x14ac:dyDescent="0.25">
      <c r="A20" s="32" t="s">
        <v>277</v>
      </c>
      <c r="B20" s="131">
        <v>17</v>
      </c>
      <c r="C20" s="129"/>
      <c r="D20" s="129"/>
      <c r="E20" s="129"/>
      <c r="F20" s="81">
        <v>100</v>
      </c>
      <c r="G20" s="81">
        <v>2700</v>
      </c>
      <c r="H20" s="11">
        <f t="shared" si="0"/>
        <v>2800</v>
      </c>
      <c r="I20" s="3"/>
      <c r="J20" s="3"/>
    </row>
    <row r="21" spans="1:10" x14ac:dyDescent="0.25">
      <c r="A21" s="8" t="s">
        <v>276</v>
      </c>
      <c r="B21" s="131">
        <v>17</v>
      </c>
      <c r="C21" s="10"/>
      <c r="D21" s="10"/>
      <c r="E21" s="11"/>
      <c r="F21" s="11">
        <v>100</v>
      </c>
      <c r="G21" s="13">
        <v>2700</v>
      </c>
      <c r="H21" s="11">
        <f t="shared" si="0"/>
        <v>2800</v>
      </c>
      <c r="I21" s="5"/>
      <c r="J21" s="3"/>
    </row>
    <row r="22" spans="1:10" x14ac:dyDescent="0.25">
      <c r="A22" s="142" t="s">
        <v>278</v>
      </c>
      <c r="B22" s="131">
        <v>19</v>
      </c>
      <c r="C22" s="10"/>
      <c r="D22" s="10"/>
      <c r="E22" s="11"/>
      <c r="F22" s="11">
        <v>100</v>
      </c>
      <c r="G22" s="11">
        <v>2700</v>
      </c>
      <c r="H22" s="11">
        <f t="shared" si="0"/>
        <v>2800</v>
      </c>
      <c r="I22" s="5"/>
      <c r="J22" s="3"/>
    </row>
    <row r="23" spans="1:10" x14ac:dyDescent="0.25">
      <c r="A23" s="8" t="s">
        <v>279</v>
      </c>
      <c r="B23" s="131">
        <v>20</v>
      </c>
      <c r="C23" s="10"/>
      <c r="D23" s="10"/>
      <c r="E23" s="11"/>
      <c r="F23" s="11">
        <v>100</v>
      </c>
      <c r="G23" s="13">
        <v>2700</v>
      </c>
      <c r="H23" s="11">
        <f t="shared" si="0"/>
        <v>2800</v>
      </c>
      <c r="I23" s="5"/>
      <c r="J23" s="3"/>
    </row>
    <row r="24" spans="1:10" x14ac:dyDescent="0.25">
      <c r="A24" s="8" t="s">
        <v>280</v>
      </c>
      <c r="B24" s="131">
        <v>21</v>
      </c>
      <c r="C24" s="10"/>
      <c r="D24" s="10"/>
      <c r="E24" s="11"/>
      <c r="F24" s="11">
        <v>100</v>
      </c>
      <c r="G24" s="13">
        <v>2700</v>
      </c>
      <c r="H24" s="11">
        <f t="shared" si="0"/>
        <v>2800</v>
      </c>
      <c r="I24" s="5"/>
      <c r="J24" s="3"/>
    </row>
    <row r="25" spans="1:10" x14ac:dyDescent="0.25">
      <c r="A25" s="142" t="s">
        <v>281</v>
      </c>
      <c r="B25" s="131">
        <v>22</v>
      </c>
      <c r="C25" s="10"/>
      <c r="D25" s="10"/>
      <c r="E25" s="11"/>
      <c r="F25" s="11">
        <v>100</v>
      </c>
      <c r="G25" s="11">
        <v>2700</v>
      </c>
      <c r="H25" s="11">
        <f t="shared" si="0"/>
        <v>2800</v>
      </c>
      <c r="I25" s="5"/>
      <c r="J25" s="3"/>
    </row>
    <row r="26" spans="1:10" x14ac:dyDescent="0.25">
      <c r="A26" s="8" t="s">
        <v>142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5"/>
      <c r="J26" s="3"/>
    </row>
    <row r="27" spans="1:10" x14ac:dyDescent="0.25">
      <c r="A27" s="8" t="s">
        <v>37</v>
      </c>
      <c r="B27" s="131"/>
      <c r="C27" s="10"/>
      <c r="D27" s="10"/>
      <c r="E27" s="11"/>
      <c r="F27" s="11"/>
      <c r="G27" s="11"/>
      <c r="H27" s="11"/>
      <c r="I27" s="5"/>
      <c r="J27" s="3"/>
    </row>
    <row r="28" spans="1:10" x14ac:dyDescent="0.25">
      <c r="A28" s="8" t="s">
        <v>121</v>
      </c>
      <c r="B28" s="131">
        <v>25</v>
      </c>
      <c r="C28" s="10"/>
      <c r="D28" s="10"/>
      <c r="E28" s="11"/>
      <c r="F28" s="11">
        <v>100</v>
      </c>
      <c r="G28" s="11">
        <v>3600</v>
      </c>
      <c r="H28" s="11">
        <f t="shared" si="0"/>
        <v>3700</v>
      </c>
      <c r="I28" s="5"/>
      <c r="J28" s="3"/>
    </row>
    <row r="29" spans="1:10" x14ac:dyDescent="0.25">
      <c r="A29" s="152" t="s">
        <v>261</v>
      </c>
      <c r="B29" s="131">
        <v>26</v>
      </c>
      <c r="C29" s="10"/>
      <c r="D29" s="10"/>
      <c r="E29" s="81"/>
      <c r="F29" s="11">
        <v>100</v>
      </c>
      <c r="G29" s="81">
        <v>3700</v>
      </c>
      <c r="H29" s="11">
        <f t="shared" si="0"/>
        <v>3800</v>
      </c>
      <c r="I29" s="5"/>
      <c r="J29" s="3"/>
    </row>
    <row r="30" spans="1:10" x14ac:dyDescent="0.25">
      <c r="A30" s="8" t="s">
        <v>163</v>
      </c>
      <c r="B30" s="131">
        <v>27</v>
      </c>
      <c r="C30" s="10"/>
      <c r="D30" s="10"/>
      <c r="E30" s="110"/>
      <c r="F30" s="11">
        <v>100</v>
      </c>
      <c r="G30" s="119">
        <v>3500</v>
      </c>
      <c r="H30" s="11">
        <f t="shared" si="0"/>
        <v>3600</v>
      </c>
      <c r="I30" s="5"/>
      <c r="J30" s="3"/>
    </row>
    <row r="31" spans="1:10" x14ac:dyDescent="0.25">
      <c r="A31" s="152" t="s">
        <v>262</v>
      </c>
      <c r="B31" s="131">
        <v>34</v>
      </c>
      <c r="C31" s="10"/>
      <c r="D31" s="10"/>
      <c r="E31" s="110"/>
      <c r="F31" s="11">
        <v>100</v>
      </c>
      <c r="G31" s="110">
        <v>3500</v>
      </c>
      <c r="H31" s="11">
        <f t="shared" si="0"/>
        <v>3600</v>
      </c>
      <c r="I31" s="5"/>
      <c r="J31" s="3"/>
    </row>
    <row r="32" spans="1:10" x14ac:dyDescent="0.25">
      <c r="A32" s="8" t="s">
        <v>15</v>
      </c>
      <c r="B32" s="131">
        <v>29</v>
      </c>
      <c r="C32" s="10"/>
      <c r="D32" s="10"/>
      <c r="E32" s="11"/>
      <c r="F32" s="11">
        <v>100</v>
      </c>
      <c r="G32" s="13">
        <v>3300</v>
      </c>
      <c r="H32" s="11">
        <f t="shared" si="0"/>
        <v>3400</v>
      </c>
      <c r="I32" s="5"/>
      <c r="J32" s="3"/>
    </row>
    <row r="33" spans="1:10" x14ac:dyDescent="0.25">
      <c r="A33" s="8" t="s">
        <v>59</v>
      </c>
      <c r="B33" s="131">
        <v>30</v>
      </c>
      <c r="C33" s="10"/>
      <c r="D33" s="10"/>
      <c r="E33" s="97"/>
      <c r="F33" s="11">
        <v>100</v>
      </c>
      <c r="G33" s="97">
        <v>3300</v>
      </c>
      <c r="H33" s="11">
        <f t="shared" si="0"/>
        <v>3400</v>
      </c>
      <c r="I33" s="5"/>
      <c r="J33" s="3"/>
    </row>
    <row r="34" spans="1:10" x14ac:dyDescent="0.25">
      <c r="A34" s="8" t="s">
        <v>282</v>
      </c>
      <c r="B34" s="131">
        <v>31</v>
      </c>
      <c r="C34" s="10"/>
      <c r="D34" s="10"/>
      <c r="E34" s="11"/>
      <c r="F34" s="11">
        <v>100</v>
      </c>
      <c r="G34" s="11">
        <v>3100</v>
      </c>
      <c r="H34" s="11">
        <f t="shared" si="0"/>
        <v>3200</v>
      </c>
      <c r="I34" s="5"/>
      <c r="J34" s="3"/>
    </row>
    <row r="35" spans="1:10" x14ac:dyDescent="0.25">
      <c r="A35" s="142" t="s">
        <v>283</v>
      </c>
      <c r="B35" s="131">
        <v>32</v>
      </c>
      <c r="C35" s="10"/>
      <c r="D35" s="10"/>
      <c r="E35" s="11"/>
      <c r="F35" s="11">
        <v>100</v>
      </c>
      <c r="G35" s="11">
        <v>3300</v>
      </c>
      <c r="H35" s="11">
        <f t="shared" si="0"/>
        <v>3400</v>
      </c>
      <c r="I35" s="5"/>
      <c r="J35" s="3"/>
    </row>
    <row r="36" spans="1:10" x14ac:dyDescent="0.25">
      <c r="A36" s="32" t="s">
        <v>213</v>
      </c>
      <c r="B36" s="131">
        <v>33</v>
      </c>
      <c r="C36" s="10"/>
      <c r="D36" s="10"/>
      <c r="E36" s="11"/>
      <c r="F36" s="11">
        <v>100</v>
      </c>
      <c r="G36" s="13">
        <v>3300</v>
      </c>
      <c r="H36" s="11">
        <f t="shared" si="0"/>
        <v>3400</v>
      </c>
      <c r="I36" s="5"/>
      <c r="J36" s="3"/>
    </row>
    <row r="37" spans="1:10" x14ac:dyDescent="0.25">
      <c r="A37" s="142" t="s">
        <v>284</v>
      </c>
      <c r="B37" s="131">
        <v>34</v>
      </c>
      <c r="C37" s="10"/>
      <c r="D37" s="10"/>
      <c r="E37" s="11"/>
      <c r="F37" s="11">
        <v>100</v>
      </c>
      <c r="G37" s="13">
        <v>3000</v>
      </c>
      <c r="H37" s="11">
        <f t="shared" si="0"/>
        <v>3100</v>
      </c>
      <c r="I37" s="5"/>
      <c r="J37" s="3"/>
    </row>
    <row r="38" spans="1:10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94800</v>
      </c>
      <c r="H38" s="10">
        <f>SUM(H4:H37)</f>
        <v>97900</v>
      </c>
      <c r="I38" s="3"/>
      <c r="J38" s="3"/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0" x14ac:dyDescent="0.25">
      <c r="A41" s="105" t="s">
        <v>291</v>
      </c>
      <c r="B41" s="155">
        <f>G38</f>
        <v>94800</v>
      </c>
      <c r="C41" s="10">
        <v>0</v>
      </c>
      <c r="D41" s="10"/>
      <c r="E41" s="129"/>
      <c r="F41" s="129"/>
      <c r="G41" s="129"/>
      <c r="H41" s="129"/>
      <c r="I41" s="129"/>
      <c r="J41" s="129"/>
    </row>
    <row r="42" spans="1:10" x14ac:dyDescent="0.25">
      <c r="A42" s="10" t="s">
        <v>292</v>
      </c>
      <c r="B42" s="156">
        <v>0.08</v>
      </c>
      <c r="C42" s="157">
        <f>B42*B41</f>
        <v>7584</v>
      </c>
      <c r="D42" s="10"/>
      <c r="E42" s="129"/>
      <c r="F42" s="129"/>
      <c r="G42" s="129"/>
      <c r="H42" s="129"/>
      <c r="I42" s="129"/>
      <c r="J42" s="129"/>
    </row>
    <row r="43" spans="1:10" x14ac:dyDescent="0.25">
      <c r="A43" s="169" t="s">
        <v>293</v>
      </c>
      <c r="B43" s="156"/>
      <c r="C43" s="157"/>
      <c r="D43" s="10"/>
      <c r="E43" s="12"/>
      <c r="F43" s="129"/>
      <c r="G43" s="129"/>
      <c r="H43" s="129"/>
      <c r="I43" s="20"/>
      <c r="J43" s="129"/>
    </row>
    <row r="44" spans="1:10" x14ac:dyDescent="0.25">
      <c r="A44" s="10" t="s">
        <v>221</v>
      </c>
      <c r="B44" s="10"/>
      <c r="C44" s="10">
        <v>5860</v>
      </c>
      <c r="D44" s="10"/>
      <c r="E44" s="12"/>
      <c r="F44" s="129"/>
      <c r="G44" s="129"/>
      <c r="H44" s="129"/>
      <c r="I44" s="15"/>
      <c r="J44" s="129"/>
    </row>
    <row r="45" spans="1:10" x14ac:dyDescent="0.25">
      <c r="A45" s="170" t="s">
        <v>296</v>
      </c>
      <c r="B45" s="10"/>
      <c r="C45" s="159">
        <v>22900</v>
      </c>
      <c r="D45" s="10"/>
      <c r="E45" s="12"/>
      <c r="F45" s="129"/>
      <c r="G45" s="129"/>
      <c r="H45" s="129"/>
      <c r="I45" s="20"/>
      <c r="J45" s="129"/>
    </row>
    <row r="46" spans="1:10" x14ac:dyDescent="0.25">
      <c r="A46" s="158" t="s">
        <v>300</v>
      </c>
      <c r="B46" s="158"/>
      <c r="C46" s="159">
        <v>7000</v>
      </c>
      <c r="D46" s="10"/>
      <c r="E46" s="12"/>
      <c r="F46" s="129"/>
      <c r="G46" s="12"/>
      <c r="H46" s="12"/>
      <c r="I46" s="20"/>
      <c r="J46" s="129"/>
    </row>
    <row r="47" spans="1:10" x14ac:dyDescent="0.25">
      <c r="A47" s="170"/>
      <c r="B47" s="10"/>
      <c r="C47" s="10"/>
      <c r="D47" s="157"/>
      <c r="E47" s="96"/>
      <c r="F47" s="129"/>
      <c r="G47" s="12"/>
      <c r="H47" s="12"/>
      <c r="I47" s="20"/>
      <c r="J47" s="129"/>
    </row>
    <row r="48" spans="1:10" x14ac:dyDescent="0.25">
      <c r="A48" s="171" t="s">
        <v>4</v>
      </c>
      <c r="B48" s="155">
        <f>B41</f>
        <v>94800</v>
      </c>
      <c r="C48" s="155">
        <f>SUM(C42:C47)</f>
        <v>43344</v>
      </c>
      <c r="D48" s="155">
        <f>B48-C48</f>
        <v>51456</v>
      </c>
      <c r="E48" s="12"/>
      <c r="F48" s="129"/>
      <c r="G48" s="12"/>
      <c r="H48" s="129"/>
      <c r="I48" s="20"/>
      <c r="J48" s="129"/>
    </row>
    <row r="49" spans="1:10" x14ac:dyDescent="0.25">
      <c r="A49" s="92" t="s">
        <v>112</v>
      </c>
      <c r="B49" s="92"/>
      <c r="C49" s="12" t="s">
        <v>113</v>
      </c>
      <c r="D49" s="12" t="s">
        <v>114</v>
      </c>
      <c r="E49" s="129"/>
      <c r="F49" s="129"/>
      <c r="G49" s="129"/>
      <c r="H49" s="129"/>
      <c r="I49" s="129"/>
      <c r="J49" s="129"/>
    </row>
    <row r="50" spans="1:10" x14ac:dyDescent="0.25">
      <c r="A50" s="12" t="s">
        <v>217</v>
      </c>
      <c r="B50" s="12"/>
      <c r="C50" s="12" t="s">
        <v>116</v>
      </c>
      <c r="D50" s="12" t="s">
        <v>294</v>
      </c>
      <c r="E50" s="129"/>
      <c r="F50" s="129"/>
      <c r="G50" s="129"/>
      <c r="H50" s="129"/>
      <c r="I50" s="129"/>
      <c r="J50" s="129"/>
    </row>
    <row r="51" spans="1:10" x14ac:dyDescent="0.25">
      <c r="E51" s="129"/>
      <c r="F51" s="129"/>
      <c r="G51" s="129"/>
      <c r="H51" s="129"/>
      <c r="I51" s="129"/>
      <c r="J51" s="129"/>
    </row>
    <row r="52" spans="1:10" x14ac:dyDescent="0.25">
      <c r="E52" s="129"/>
      <c r="F52" s="129"/>
      <c r="G52" s="129"/>
      <c r="H52" s="129"/>
      <c r="I52" s="129"/>
      <c r="J52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28" workbookViewId="0">
      <selection activeCell="F62" sqref="F62"/>
    </sheetView>
  </sheetViews>
  <sheetFormatPr defaultRowHeight="15" x14ac:dyDescent="0.25"/>
  <cols>
    <col min="1" max="1" width="15.85546875" customWidth="1"/>
    <col min="2" max="2" width="11.140625" customWidth="1"/>
    <col min="3" max="3" width="11" customWidth="1"/>
    <col min="4" max="4" width="10.28515625" customWidth="1"/>
    <col min="5" max="5" width="7.71093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301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8" t="s">
        <v>6</v>
      </c>
      <c r="B4" s="131">
        <v>1</v>
      </c>
      <c r="C4" s="10"/>
      <c r="D4" s="10"/>
      <c r="E4" s="11"/>
      <c r="F4" s="11">
        <v>100</v>
      </c>
      <c r="G4" s="13">
        <v>4500</v>
      </c>
      <c r="H4" s="11">
        <f>F4+G4</f>
        <v>4600</v>
      </c>
    </row>
    <row r="5" spans="1:8" x14ac:dyDescent="0.25">
      <c r="A5" s="8" t="s">
        <v>64</v>
      </c>
      <c r="B5" s="131">
        <v>2</v>
      </c>
      <c r="C5" s="10"/>
      <c r="D5" s="10"/>
      <c r="E5" s="11"/>
      <c r="F5" s="11"/>
      <c r="G5" s="13"/>
      <c r="H5" s="11">
        <f t="shared" ref="H5:H37" si="0">F5+G5</f>
        <v>0</v>
      </c>
    </row>
    <row r="6" spans="1:8" x14ac:dyDescent="0.25">
      <c r="A6" s="8" t="s">
        <v>22</v>
      </c>
      <c r="B6" s="131">
        <v>3</v>
      </c>
      <c r="C6" s="10"/>
      <c r="D6" s="10"/>
      <c r="E6" s="11"/>
      <c r="F6" s="11">
        <v>100</v>
      </c>
      <c r="G6" s="13">
        <v>2700</v>
      </c>
      <c r="H6" s="11">
        <f t="shared" si="0"/>
        <v>2800</v>
      </c>
    </row>
    <row r="7" spans="1:8" x14ac:dyDescent="0.25">
      <c r="A7" s="8" t="s">
        <v>89</v>
      </c>
      <c r="B7" s="131">
        <v>4</v>
      </c>
      <c r="C7" s="10"/>
      <c r="D7" s="10"/>
      <c r="E7" s="11"/>
      <c r="F7" s="11">
        <v>100</v>
      </c>
      <c r="G7" s="13">
        <v>3700</v>
      </c>
      <c r="H7" s="11">
        <f t="shared" si="0"/>
        <v>3800</v>
      </c>
    </row>
    <row r="8" spans="1:8" x14ac:dyDescent="0.25">
      <c r="A8" s="8" t="s">
        <v>44</v>
      </c>
      <c r="B8" s="131">
        <v>5</v>
      </c>
      <c r="C8" s="10"/>
      <c r="D8" s="10"/>
      <c r="E8" s="11"/>
      <c r="F8" s="11">
        <v>100</v>
      </c>
      <c r="G8" s="13">
        <v>3600</v>
      </c>
      <c r="H8" s="11">
        <f t="shared" si="0"/>
        <v>3700</v>
      </c>
    </row>
    <row r="9" spans="1:8" x14ac:dyDescent="0.25">
      <c r="A9" s="32" t="s">
        <v>64</v>
      </c>
      <c r="B9" s="131">
        <v>6</v>
      </c>
      <c r="C9" s="10"/>
      <c r="D9" s="10"/>
      <c r="E9" s="11"/>
      <c r="F9" s="11"/>
      <c r="G9" s="13"/>
      <c r="H9" s="11"/>
    </row>
    <row r="10" spans="1:8" x14ac:dyDescent="0.25">
      <c r="A10" s="8" t="s">
        <v>178</v>
      </c>
      <c r="B10" s="131">
        <v>7</v>
      </c>
      <c r="C10" s="10"/>
      <c r="D10" s="10"/>
      <c r="E10" s="11"/>
      <c r="F10" s="11">
        <v>100</v>
      </c>
      <c r="G10" s="13">
        <v>2700</v>
      </c>
      <c r="H10" s="11">
        <f t="shared" si="0"/>
        <v>2800</v>
      </c>
    </row>
    <row r="11" spans="1:8" x14ac:dyDescent="0.25">
      <c r="A11" s="8" t="s">
        <v>273</v>
      </c>
      <c r="B11" s="131">
        <v>8</v>
      </c>
      <c r="C11" s="10"/>
      <c r="D11" s="10"/>
      <c r="E11" s="11"/>
      <c r="F11" s="11">
        <v>100</v>
      </c>
      <c r="G11" s="13">
        <v>2700</v>
      </c>
      <c r="H11" s="11">
        <f t="shared" si="0"/>
        <v>2800</v>
      </c>
    </row>
    <row r="12" spans="1:8" x14ac:dyDescent="0.25">
      <c r="A12" s="8" t="s">
        <v>8</v>
      </c>
      <c r="B12" s="131">
        <v>9</v>
      </c>
      <c r="C12" s="10"/>
      <c r="D12" s="10"/>
      <c r="E12" s="11"/>
      <c r="F12" s="11">
        <v>100</v>
      </c>
      <c r="G12" s="13">
        <v>2700</v>
      </c>
      <c r="H12" s="11">
        <f t="shared" si="0"/>
        <v>2800</v>
      </c>
    </row>
    <row r="13" spans="1:8" x14ac:dyDescent="0.25">
      <c r="A13" s="8" t="s">
        <v>102</v>
      </c>
      <c r="B13" s="131">
        <v>10</v>
      </c>
      <c r="C13" s="10"/>
      <c r="D13" s="10"/>
      <c r="E13" s="11"/>
      <c r="F13" s="11">
        <v>100</v>
      </c>
      <c r="G13" s="13">
        <v>2700</v>
      </c>
      <c r="H13" s="11">
        <f t="shared" si="0"/>
        <v>2800</v>
      </c>
    </row>
    <row r="14" spans="1:8" x14ac:dyDescent="0.25">
      <c r="A14" s="8" t="s">
        <v>47</v>
      </c>
      <c r="B14" s="131">
        <v>11</v>
      </c>
      <c r="C14" s="10"/>
      <c r="D14" s="10"/>
      <c r="E14" s="11"/>
      <c r="F14" s="11">
        <v>100</v>
      </c>
      <c r="G14" s="13">
        <v>2700</v>
      </c>
      <c r="H14" s="11">
        <f t="shared" si="0"/>
        <v>2800</v>
      </c>
    </row>
    <row r="15" spans="1:8" x14ac:dyDescent="0.25">
      <c r="A15" s="8" t="s">
        <v>91</v>
      </c>
      <c r="B15" s="131">
        <v>12</v>
      </c>
      <c r="C15" s="10"/>
      <c r="D15" s="10"/>
      <c r="E15" s="11"/>
      <c r="F15" s="11">
        <v>100</v>
      </c>
      <c r="G15" s="11">
        <v>2700</v>
      </c>
      <c r="H15" s="11">
        <f t="shared" si="0"/>
        <v>2800</v>
      </c>
    </row>
    <row r="16" spans="1:8" x14ac:dyDescent="0.25">
      <c r="A16" s="8" t="s">
        <v>274</v>
      </c>
      <c r="B16" s="131">
        <v>13</v>
      </c>
      <c r="C16" s="105"/>
      <c r="D16" s="105"/>
      <c r="E16" s="13"/>
      <c r="F16" s="13">
        <v>100</v>
      </c>
      <c r="G16" s="13">
        <v>2700</v>
      </c>
      <c r="H16" s="11">
        <f t="shared" si="0"/>
        <v>2800</v>
      </c>
    </row>
    <row r="17" spans="1:13" x14ac:dyDescent="0.25">
      <c r="A17" s="8" t="s">
        <v>93</v>
      </c>
      <c r="B17" s="131">
        <v>14</v>
      </c>
      <c r="C17" s="10"/>
      <c r="D17" s="10"/>
      <c r="E17" s="11"/>
      <c r="F17" s="11">
        <v>100</v>
      </c>
      <c r="G17" s="11">
        <v>2700</v>
      </c>
      <c r="H17" s="11">
        <f t="shared" si="0"/>
        <v>2800</v>
      </c>
    </row>
    <row r="18" spans="1:13" x14ac:dyDescent="0.25">
      <c r="A18" s="32" t="s">
        <v>275</v>
      </c>
      <c r="B18" s="131">
        <v>15</v>
      </c>
      <c r="C18" s="10"/>
      <c r="D18" s="10"/>
      <c r="E18" s="11"/>
      <c r="F18" s="11">
        <v>100</v>
      </c>
      <c r="G18" s="11">
        <v>2700</v>
      </c>
      <c r="H18" s="11">
        <f t="shared" si="0"/>
        <v>2800</v>
      </c>
    </row>
    <row r="19" spans="1:13" x14ac:dyDescent="0.25">
      <c r="A19" s="8" t="s">
        <v>51</v>
      </c>
      <c r="B19" s="131">
        <v>16</v>
      </c>
      <c r="C19" s="10"/>
      <c r="D19" s="10"/>
      <c r="E19" s="11"/>
      <c r="F19" s="11">
        <v>100</v>
      </c>
      <c r="G19" s="11">
        <v>2700</v>
      </c>
      <c r="H19" s="11">
        <f t="shared" si="0"/>
        <v>2800</v>
      </c>
    </row>
    <row r="20" spans="1:13" x14ac:dyDescent="0.25">
      <c r="A20" s="32" t="s">
        <v>277</v>
      </c>
      <c r="B20" s="131">
        <v>17</v>
      </c>
      <c r="C20" s="10"/>
      <c r="D20" s="10"/>
      <c r="E20" s="10"/>
      <c r="F20" s="97">
        <v>100</v>
      </c>
      <c r="G20" s="81">
        <v>2700</v>
      </c>
      <c r="H20" s="11">
        <f t="shared" si="0"/>
        <v>2800</v>
      </c>
    </row>
    <row r="21" spans="1:13" x14ac:dyDescent="0.25">
      <c r="A21" s="8" t="s">
        <v>276</v>
      </c>
      <c r="B21" s="131">
        <v>17</v>
      </c>
      <c r="C21" s="10"/>
      <c r="D21" s="10"/>
      <c r="E21" s="11"/>
      <c r="F21" s="11">
        <v>100</v>
      </c>
      <c r="G21" s="13">
        <v>2700</v>
      </c>
      <c r="H21" s="11">
        <f t="shared" si="0"/>
        <v>2800</v>
      </c>
    </row>
    <row r="22" spans="1:13" x14ac:dyDescent="0.25">
      <c r="A22" s="142" t="s">
        <v>278</v>
      </c>
      <c r="B22" s="131">
        <v>19</v>
      </c>
      <c r="C22" s="10"/>
      <c r="D22" s="10"/>
      <c r="E22" s="11"/>
      <c r="F22" s="11">
        <v>100</v>
      </c>
      <c r="G22" s="11">
        <v>2700</v>
      </c>
      <c r="H22" s="11">
        <f t="shared" si="0"/>
        <v>2800</v>
      </c>
    </row>
    <row r="23" spans="1:13" x14ac:dyDescent="0.25">
      <c r="A23" s="8" t="s">
        <v>279</v>
      </c>
      <c r="B23" s="131">
        <v>20</v>
      </c>
      <c r="C23" s="10"/>
      <c r="D23" s="10"/>
      <c r="E23" s="11"/>
      <c r="F23" s="11">
        <v>100</v>
      </c>
      <c r="G23" s="13">
        <v>2700</v>
      </c>
      <c r="H23" s="11">
        <f t="shared" si="0"/>
        <v>2800</v>
      </c>
    </row>
    <row r="24" spans="1:13" x14ac:dyDescent="0.25">
      <c r="A24" s="8" t="s">
        <v>280</v>
      </c>
      <c r="B24" s="131"/>
      <c r="C24" s="10"/>
      <c r="D24" s="10"/>
      <c r="E24" s="11"/>
      <c r="F24" s="11"/>
      <c r="G24" s="13"/>
      <c r="H24" s="11"/>
    </row>
    <row r="25" spans="1:13" x14ac:dyDescent="0.25">
      <c r="A25" s="142" t="s">
        <v>281</v>
      </c>
      <c r="B25" s="131">
        <v>22</v>
      </c>
      <c r="C25" s="10"/>
      <c r="D25" s="10"/>
      <c r="E25" s="11"/>
      <c r="F25" s="11">
        <v>100</v>
      </c>
      <c r="G25" s="11">
        <v>2700</v>
      </c>
      <c r="H25" s="11">
        <f t="shared" si="0"/>
        <v>2800</v>
      </c>
    </row>
    <row r="26" spans="1:13" x14ac:dyDescent="0.25">
      <c r="A26" s="8" t="s">
        <v>142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M26">
        <v>3500</v>
      </c>
    </row>
    <row r="27" spans="1:13" x14ac:dyDescent="0.25">
      <c r="A27" s="8" t="s">
        <v>37</v>
      </c>
      <c r="B27" s="131"/>
      <c r="C27" s="10"/>
      <c r="D27" s="10"/>
      <c r="E27" s="11"/>
      <c r="F27" s="11"/>
      <c r="G27" s="11"/>
      <c r="H27" s="11"/>
      <c r="M27">
        <v>2800</v>
      </c>
    </row>
    <row r="28" spans="1:13" x14ac:dyDescent="0.25">
      <c r="A28" s="8" t="s">
        <v>121</v>
      </c>
      <c r="B28" s="131">
        <v>25</v>
      </c>
      <c r="C28" s="10"/>
      <c r="D28" s="10"/>
      <c r="E28" s="11"/>
      <c r="F28" s="11">
        <v>100</v>
      </c>
      <c r="G28" s="11">
        <v>3600</v>
      </c>
      <c r="H28" s="11">
        <f t="shared" si="0"/>
        <v>3700</v>
      </c>
      <c r="M28">
        <v>2800</v>
      </c>
    </row>
    <row r="29" spans="1:13" x14ac:dyDescent="0.25">
      <c r="A29" s="152" t="s">
        <v>261</v>
      </c>
      <c r="B29" s="131">
        <v>26</v>
      </c>
      <c r="C29" s="10"/>
      <c r="D29" s="10"/>
      <c r="E29" s="81"/>
      <c r="F29" s="11">
        <v>100</v>
      </c>
      <c r="G29" s="81">
        <v>3700</v>
      </c>
      <c r="H29" s="11">
        <f t="shared" si="0"/>
        <v>3800</v>
      </c>
      <c r="M29">
        <f>SUM(M26:M28)</f>
        <v>9100</v>
      </c>
    </row>
    <row r="30" spans="1:13" x14ac:dyDescent="0.25">
      <c r="A30" s="8" t="s">
        <v>163</v>
      </c>
      <c r="B30" s="131">
        <v>27</v>
      </c>
      <c r="C30" s="10"/>
      <c r="D30" s="10"/>
      <c r="E30" s="110"/>
      <c r="F30" s="11">
        <v>100</v>
      </c>
      <c r="G30" s="119">
        <v>3500</v>
      </c>
      <c r="H30" s="11">
        <f t="shared" si="0"/>
        <v>3600</v>
      </c>
      <c r="M30">
        <v>10000</v>
      </c>
    </row>
    <row r="31" spans="1:13" x14ac:dyDescent="0.25">
      <c r="A31" s="152" t="s">
        <v>262</v>
      </c>
      <c r="B31" s="131">
        <v>34</v>
      </c>
      <c r="C31" s="10"/>
      <c r="D31" s="10"/>
      <c r="E31" s="110"/>
      <c r="F31" s="11">
        <v>100</v>
      </c>
      <c r="G31" s="110">
        <v>3500</v>
      </c>
      <c r="H31" s="11">
        <f t="shared" si="0"/>
        <v>3600</v>
      </c>
      <c r="M31">
        <f>SUM(M29:M30)</f>
        <v>19100</v>
      </c>
    </row>
    <row r="32" spans="1:13" x14ac:dyDescent="0.25">
      <c r="A32" s="8" t="s">
        <v>15</v>
      </c>
      <c r="B32" s="131">
        <v>29</v>
      </c>
      <c r="C32" s="10"/>
      <c r="D32" s="10"/>
      <c r="E32" s="11"/>
      <c r="F32" s="11">
        <v>100</v>
      </c>
      <c r="G32" s="13">
        <v>3300</v>
      </c>
      <c r="H32" s="11">
        <f t="shared" si="0"/>
        <v>3400</v>
      </c>
      <c r="M32">
        <v>3500</v>
      </c>
    </row>
    <row r="33" spans="1:13" x14ac:dyDescent="0.25">
      <c r="A33" s="8" t="s">
        <v>59</v>
      </c>
      <c r="B33" s="131">
        <v>30</v>
      </c>
      <c r="C33" s="10"/>
      <c r="D33" s="10"/>
      <c r="E33" s="97"/>
      <c r="F33" s="11">
        <v>100</v>
      </c>
      <c r="G33" s="97">
        <v>3300</v>
      </c>
      <c r="H33" s="11">
        <f t="shared" si="0"/>
        <v>3400</v>
      </c>
      <c r="M33">
        <f>M31-M32</f>
        <v>15600</v>
      </c>
    </row>
    <row r="34" spans="1:13" x14ac:dyDescent="0.25">
      <c r="A34" s="8" t="s">
        <v>282</v>
      </c>
      <c r="B34" s="131">
        <v>31</v>
      </c>
      <c r="C34" s="10"/>
      <c r="D34" s="10"/>
      <c r="E34" s="11"/>
      <c r="F34" s="11">
        <v>100</v>
      </c>
      <c r="G34" s="11">
        <v>3100</v>
      </c>
      <c r="H34" s="11">
        <f t="shared" si="0"/>
        <v>3200</v>
      </c>
    </row>
    <row r="35" spans="1:13" x14ac:dyDescent="0.25">
      <c r="A35" s="142" t="s">
        <v>283</v>
      </c>
      <c r="B35" s="131">
        <v>32</v>
      </c>
      <c r="C35" s="10"/>
      <c r="D35" s="10"/>
      <c r="E35" s="11"/>
      <c r="F35" s="11">
        <v>100</v>
      </c>
      <c r="G35" s="11">
        <v>3300</v>
      </c>
      <c r="H35" s="11">
        <f t="shared" si="0"/>
        <v>3400</v>
      </c>
    </row>
    <row r="36" spans="1:13" x14ac:dyDescent="0.25">
      <c r="A36" s="32" t="s">
        <v>213</v>
      </c>
      <c r="B36" s="131">
        <v>33</v>
      </c>
      <c r="C36" s="10"/>
      <c r="D36" s="10"/>
      <c r="E36" s="11"/>
      <c r="F36" s="11">
        <v>100</v>
      </c>
      <c r="G36" s="13">
        <v>3300</v>
      </c>
      <c r="H36" s="11">
        <f t="shared" si="0"/>
        <v>3400</v>
      </c>
    </row>
    <row r="37" spans="1:13" x14ac:dyDescent="0.25">
      <c r="A37" s="142" t="s">
        <v>284</v>
      </c>
      <c r="B37" s="131">
        <v>34</v>
      </c>
      <c r="C37" s="10"/>
      <c r="D37" s="10"/>
      <c r="E37" s="11"/>
      <c r="F37" s="11">
        <v>100</v>
      </c>
      <c r="G37" s="13">
        <v>3000</v>
      </c>
      <c r="H37" s="11">
        <f t="shared" si="0"/>
        <v>3100</v>
      </c>
    </row>
    <row r="38" spans="1:13" x14ac:dyDescent="0.25">
      <c r="A38" s="33" t="s">
        <v>25</v>
      </c>
      <c r="B38" s="10"/>
      <c r="C38" s="10"/>
      <c r="D38" s="10"/>
      <c r="E38" s="10"/>
      <c r="F38" s="10">
        <f>SUM(F4:F37)</f>
        <v>3000</v>
      </c>
      <c r="G38" s="10">
        <f>SUM(G4:G37)</f>
        <v>92100</v>
      </c>
      <c r="H38" s="10">
        <f>SUM(H4:H37)</f>
        <v>95100</v>
      </c>
    </row>
    <row r="39" spans="1:13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13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13" x14ac:dyDescent="0.25">
      <c r="A41" s="105" t="s">
        <v>291</v>
      </c>
      <c r="B41" s="155">
        <f>G38</f>
        <v>92100</v>
      </c>
      <c r="C41" s="10">
        <v>0</v>
      </c>
      <c r="D41" s="10"/>
      <c r="E41" s="129"/>
      <c r="F41" s="129"/>
      <c r="G41" s="129"/>
      <c r="H41" s="129"/>
    </row>
    <row r="42" spans="1:13" x14ac:dyDescent="0.25">
      <c r="A42" s="10" t="s">
        <v>292</v>
      </c>
      <c r="B42" s="156">
        <v>0.08</v>
      </c>
      <c r="C42" s="157">
        <f>B42*B41</f>
        <v>7368</v>
      </c>
      <c r="D42" s="10"/>
      <c r="E42" s="129"/>
      <c r="F42" s="129"/>
      <c r="G42" s="129"/>
      <c r="H42" s="129"/>
    </row>
    <row r="43" spans="1:13" s="129" customFormat="1" x14ac:dyDescent="0.25">
      <c r="A43" s="10" t="s">
        <v>220</v>
      </c>
      <c r="B43" s="129">
        <v>3000</v>
      </c>
      <c r="C43" s="157"/>
      <c r="D43" s="10"/>
      <c r="G43" s="156">
        <v>36</v>
      </c>
      <c r="J43" s="129" t="s">
        <v>306</v>
      </c>
    </row>
    <row r="44" spans="1:13" x14ac:dyDescent="0.25">
      <c r="A44" s="169" t="s">
        <v>293</v>
      </c>
      <c r="B44" s="156"/>
      <c r="C44" s="157"/>
      <c r="D44" s="10"/>
      <c r="E44" s="12"/>
      <c r="F44" s="129"/>
      <c r="G44" s="129"/>
      <c r="H44" s="129"/>
    </row>
    <row r="45" spans="1:13" x14ac:dyDescent="0.25">
      <c r="A45" s="10" t="s">
        <v>221</v>
      </c>
      <c r="B45" s="10"/>
      <c r="C45" s="10"/>
      <c r="D45" s="10"/>
      <c r="E45" s="12"/>
      <c r="F45" s="129"/>
      <c r="G45" s="129"/>
      <c r="H45" s="129"/>
    </row>
    <row r="46" spans="1:13" x14ac:dyDescent="0.25">
      <c r="A46" s="170" t="s">
        <v>296</v>
      </c>
      <c r="B46" s="10"/>
      <c r="C46" s="159">
        <v>7100</v>
      </c>
      <c r="D46" s="10"/>
      <c r="E46" s="12"/>
      <c r="F46" s="129"/>
      <c r="G46" s="129"/>
      <c r="H46" s="129"/>
    </row>
    <row r="47" spans="1:13" x14ac:dyDescent="0.25">
      <c r="A47" s="158" t="s">
        <v>300</v>
      </c>
      <c r="B47" s="158"/>
      <c r="C47" s="159">
        <v>7000</v>
      </c>
      <c r="D47" s="10"/>
      <c r="E47" s="12"/>
      <c r="F47" s="129"/>
      <c r="G47" s="12"/>
      <c r="H47" s="12"/>
    </row>
    <row r="48" spans="1:13" x14ac:dyDescent="0.25">
      <c r="A48" s="170"/>
      <c r="B48" s="10"/>
      <c r="C48" s="10"/>
      <c r="D48" s="157"/>
      <c r="E48" s="96"/>
      <c r="F48" s="129"/>
      <c r="G48" s="12"/>
      <c r="H48" s="12"/>
    </row>
    <row r="49" spans="1:8" x14ac:dyDescent="0.25">
      <c r="A49" s="171" t="s">
        <v>4</v>
      </c>
      <c r="B49" s="155">
        <f>B41+B43</f>
        <v>95100</v>
      </c>
      <c r="C49" s="155">
        <f>SUM(C42:C48)</f>
        <v>21468</v>
      </c>
      <c r="D49" s="155">
        <f>B49-C49</f>
        <v>73632</v>
      </c>
      <c r="E49" s="12"/>
      <c r="F49" s="129"/>
      <c r="G49" s="12"/>
      <c r="H49" s="129"/>
    </row>
    <row r="50" spans="1:8" x14ac:dyDescent="0.25">
      <c r="A50" s="92" t="s">
        <v>112</v>
      </c>
      <c r="B50" s="92"/>
      <c r="C50" s="12" t="s">
        <v>113</v>
      </c>
      <c r="D50" s="12" t="s">
        <v>114</v>
      </c>
      <c r="E50" s="129"/>
      <c r="F50" s="129"/>
      <c r="G50" s="129"/>
      <c r="H50" s="129"/>
    </row>
    <row r="51" spans="1:8" x14ac:dyDescent="0.25">
      <c r="A51" s="12" t="s">
        <v>217</v>
      </c>
      <c r="B51" s="12"/>
      <c r="C51" s="12" t="s">
        <v>116</v>
      </c>
      <c r="D51" s="12" t="s">
        <v>294</v>
      </c>
      <c r="E51" s="129"/>
      <c r="F51" s="129"/>
      <c r="G51" s="129"/>
      <c r="H51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13" workbookViewId="0">
      <selection activeCell="C45" sqref="C45"/>
    </sheetView>
  </sheetViews>
  <sheetFormatPr defaultRowHeight="15" x14ac:dyDescent="0.25"/>
  <cols>
    <col min="1" max="1" width="17.140625" customWidth="1"/>
    <col min="2" max="2" width="13" customWidth="1"/>
    <col min="3" max="3" width="10.28515625" customWidth="1"/>
    <col min="4" max="4" width="10.855468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304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8" t="s">
        <v>6</v>
      </c>
      <c r="B4" s="131">
        <v>1</v>
      </c>
      <c r="C4" s="10"/>
      <c r="D4" s="10"/>
      <c r="E4" s="11"/>
      <c r="F4" s="11">
        <v>100</v>
      </c>
      <c r="G4" s="13">
        <v>4500</v>
      </c>
      <c r="H4" s="11">
        <f>F4+G4</f>
        <v>4600</v>
      </c>
    </row>
    <row r="5" spans="1:8" x14ac:dyDescent="0.25">
      <c r="A5" s="8" t="s">
        <v>302</v>
      </c>
      <c r="B5" s="131">
        <v>2</v>
      </c>
      <c r="C5" s="10"/>
      <c r="D5" s="10"/>
      <c r="E5" s="11"/>
      <c r="F5" s="11">
        <v>100</v>
      </c>
      <c r="G5" s="13">
        <v>3300</v>
      </c>
      <c r="H5" s="11">
        <f t="shared" ref="H5:H37" si="0">F5+G5</f>
        <v>3400</v>
      </c>
    </row>
    <row r="6" spans="1:8" x14ac:dyDescent="0.25">
      <c r="A6" s="8" t="s">
        <v>22</v>
      </c>
      <c r="B6" s="131">
        <v>3</v>
      </c>
      <c r="C6" s="10"/>
      <c r="D6" s="10"/>
      <c r="E6" s="11"/>
      <c r="F6" s="11">
        <v>100</v>
      </c>
      <c r="G6" s="13">
        <v>2700</v>
      </c>
      <c r="H6" s="11">
        <f t="shared" si="0"/>
        <v>2800</v>
      </c>
    </row>
    <row r="7" spans="1:8" x14ac:dyDescent="0.25">
      <c r="A7" s="8" t="s">
        <v>89</v>
      </c>
      <c r="B7" s="131">
        <v>4</v>
      </c>
      <c r="C7" s="10"/>
      <c r="D7" s="10"/>
      <c r="E7" s="11"/>
      <c r="F7" s="11">
        <v>100</v>
      </c>
      <c r="G7" s="13">
        <v>3700</v>
      </c>
      <c r="H7" s="11">
        <f t="shared" si="0"/>
        <v>3800</v>
      </c>
    </row>
    <row r="8" spans="1:8" x14ac:dyDescent="0.25">
      <c r="A8" s="8" t="s">
        <v>44</v>
      </c>
      <c r="B8" s="131">
        <v>5</v>
      </c>
      <c r="C8" s="10"/>
      <c r="D8" s="10"/>
      <c r="E8" s="11"/>
      <c r="F8" s="11">
        <v>100</v>
      </c>
      <c r="G8" s="13">
        <v>3600</v>
      </c>
      <c r="H8" s="11">
        <f t="shared" si="0"/>
        <v>3700</v>
      </c>
    </row>
    <row r="9" spans="1:8" x14ac:dyDescent="0.25">
      <c r="A9" s="32" t="s">
        <v>267</v>
      </c>
      <c r="B9" s="131">
        <v>6</v>
      </c>
      <c r="C9" s="10"/>
      <c r="D9" s="10"/>
      <c r="E9" s="11"/>
      <c r="F9" s="11">
        <v>100</v>
      </c>
      <c r="G9" s="13">
        <v>2700</v>
      </c>
      <c r="H9" s="11">
        <f t="shared" si="0"/>
        <v>2800</v>
      </c>
    </row>
    <row r="10" spans="1:8" x14ac:dyDescent="0.25">
      <c r="A10" s="8" t="s">
        <v>178</v>
      </c>
      <c r="B10" s="131">
        <v>7</v>
      </c>
      <c r="C10" s="10"/>
      <c r="D10" s="10"/>
      <c r="E10" s="11"/>
      <c r="F10" s="11">
        <v>100</v>
      </c>
      <c r="G10" s="13">
        <v>2700</v>
      </c>
      <c r="H10" s="11">
        <f t="shared" si="0"/>
        <v>2800</v>
      </c>
    </row>
    <row r="11" spans="1:8" x14ac:dyDescent="0.25">
      <c r="A11" s="8" t="s">
        <v>273</v>
      </c>
      <c r="B11" s="131">
        <v>8</v>
      </c>
      <c r="C11" s="10"/>
      <c r="D11" s="10"/>
      <c r="E11" s="11"/>
      <c r="F11" s="11">
        <v>100</v>
      </c>
      <c r="G11" s="13">
        <v>2700</v>
      </c>
      <c r="H11" s="11">
        <f t="shared" si="0"/>
        <v>2800</v>
      </c>
    </row>
    <row r="12" spans="1:8" x14ac:dyDescent="0.25">
      <c r="A12" s="8" t="s">
        <v>8</v>
      </c>
      <c r="B12" s="131">
        <v>9</v>
      </c>
      <c r="C12" s="10"/>
      <c r="D12" s="10"/>
      <c r="E12" s="11"/>
      <c r="F12" s="11">
        <v>100</v>
      </c>
      <c r="G12" s="13">
        <v>2700</v>
      </c>
      <c r="H12" s="11">
        <f t="shared" si="0"/>
        <v>2800</v>
      </c>
    </row>
    <row r="13" spans="1:8" x14ac:dyDescent="0.25">
      <c r="A13" s="8" t="s">
        <v>102</v>
      </c>
      <c r="B13" s="131">
        <v>10</v>
      </c>
      <c r="C13" s="10"/>
      <c r="D13" s="10"/>
      <c r="E13" s="11"/>
      <c r="F13" s="11">
        <v>100</v>
      </c>
      <c r="G13" s="13">
        <v>2700</v>
      </c>
      <c r="H13" s="11">
        <f t="shared" si="0"/>
        <v>2800</v>
      </c>
    </row>
    <row r="14" spans="1:8" x14ac:dyDescent="0.25">
      <c r="A14" s="8" t="s">
        <v>47</v>
      </c>
      <c r="B14" s="131">
        <v>11</v>
      </c>
      <c r="C14" s="10"/>
      <c r="D14" s="10"/>
      <c r="E14" s="11"/>
      <c r="F14" s="11">
        <v>100</v>
      </c>
      <c r="G14" s="13">
        <v>2700</v>
      </c>
      <c r="H14" s="11">
        <f t="shared" si="0"/>
        <v>2800</v>
      </c>
    </row>
    <row r="15" spans="1:8" x14ac:dyDescent="0.25">
      <c r="A15" s="8" t="s">
        <v>91</v>
      </c>
      <c r="B15" s="131">
        <v>12</v>
      </c>
      <c r="C15" s="10"/>
      <c r="D15" s="10"/>
      <c r="E15" s="11"/>
      <c r="F15" s="11">
        <v>100</v>
      </c>
      <c r="G15" s="11">
        <v>2700</v>
      </c>
      <c r="H15" s="11">
        <f t="shared" si="0"/>
        <v>2800</v>
      </c>
    </row>
    <row r="16" spans="1:8" x14ac:dyDescent="0.25">
      <c r="A16" s="8" t="s">
        <v>274</v>
      </c>
      <c r="B16" s="131">
        <v>13</v>
      </c>
      <c r="C16" s="105"/>
      <c r="D16" s="105"/>
      <c r="E16" s="13"/>
      <c r="F16" s="13">
        <v>100</v>
      </c>
      <c r="G16" s="13">
        <v>2700</v>
      </c>
      <c r="H16" s="11">
        <f t="shared" si="0"/>
        <v>2800</v>
      </c>
    </row>
    <row r="17" spans="1:9" x14ac:dyDescent="0.25">
      <c r="A17" s="8" t="s">
        <v>93</v>
      </c>
      <c r="B17" s="131">
        <v>14</v>
      </c>
      <c r="C17" s="10"/>
      <c r="D17" s="10"/>
      <c r="E17" s="11"/>
      <c r="F17" s="11">
        <v>100</v>
      </c>
      <c r="G17" s="11">
        <v>2700</v>
      </c>
      <c r="H17" s="11">
        <f t="shared" si="0"/>
        <v>2800</v>
      </c>
    </row>
    <row r="18" spans="1:9" x14ac:dyDescent="0.25">
      <c r="A18" s="32" t="s">
        <v>275</v>
      </c>
      <c r="B18" s="131">
        <v>15</v>
      </c>
      <c r="C18" s="10"/>
      <c r="D18" s="10"/>
      <c r="E18" s="11"/>
      <c r="F18" s="11">
        <v>100</v>
      </c>
      <c r="G18" s="11">
        <v>2700</v>
      </c>
      <c r="H18" s="11">
        <f t="shared" si="0"/>
        <v>2800</v>
      </c>
    </row>
    <row r="19" spans="1:9" x14ac:dyDescent="0.25">
      <c r="A19" s="8" t="s">
        <v>51</v>
      </c>
      <c r="B19" s="131">
        <v>16</v>
      </c>
      <c r="C19" s="10"/>
      <c r="D19" s="10"/>
      <c r="E19" s="11"/>
      <c r="F19" s="11">
        <v>100</v>
      </c>
      <c r="G19" s="11">
        <v>2700</v>
      </c>
      <c r="H19" s="11">
        <f t="shared" si="0"/>
        <v>2800</v>
      </c>
    </row>
    <row r="20" spans="1:9" x14ac:dyDescent="0.25">
      <c r="A20" s="32" t="s">
        <v>277</v>
      </c>
      <c r="B20" s="131">
        <v>17</v>
      </c>
      <c r="C20" s="129"/>
      <c r="D20" s="129"/>
      <c r="E20" s="129"/>
      <c r="F20" s="81">
        <v>100</v>
      </c>
      <c r="G20" s="81">
        <v>2700</v>
      </c>
      <c r="H20" s="11">
        <f t="shared" si="0"/>
        <v>2800</v>
      </c>
    </row>
    <row r="21" spans="1:9" x14ac:dyDescent="0.25">
      <c r="A21" s="8" t="s">
        <v>276</v>
      </c>
      <c r="B21" s="131">
        <v>17</v>
      </c>
      <c r="C21" s="10"/>
      <c r="D21" s="10"/>
      <c r="E21" s="11"/>
      <c r="F21" s="11">
        <v>100</v>
      </c>
      <c r="G21" s="13">
        <v>2700</v>
      </c>
      <c r="H21" s="11">
        <f t="shared" si="0"/>
        <v>2800</v>
      </c>
    </row>
    <row r="22" spans="1:9" x14ac:dyDescent="0.25">
      <c r="A22" s="142" t="s">
        <v>278</v>
      </c>
      <c r="B22" s="131">
        <v>19</v>
      </c>
      <c r="C22" s="10"/>
      <c r="D22" s="10"/>
      <c r="E22" s="11"/>
      <c r="F22" s="11">
        <v>100</v>
      </c>
      <c r="G22" s="11">
        <v>2700</v>
      </c>
      <c r="H22" s="11">
        <f t="shared" si="0"/>
        <v>2800</v>
      </c>
    </row>
    <row r="23" spans="1:9" x14ac:dyDescent="0.25">
      <c r="A23" s="8" t="s">
        <v>279</v>
      </c>
      <c r="B23" s="131">
        <v>20</v>
      </c>
      <c r="C23" s="10"/>
      <c r="D23" s="10"/>
      <c r="E23" s="11"/>
      <c r="F23" s="11">
        <v>100</v>
      </c>
      <c r="G23" s="13">
        <v>2700</v>
      </c>
      <c r="H23" s="11">
        <f t="shared" si="0"/>
        <v>2800</v>
      </c>
    </row>
    <row r="24" spans="1:9" x14ac:dyDescent="0.25">
      <c r="A24" s="8" t="s">
        <v>267</v>
      </c>
      <c r="B24" s="131"/>
      <c r="C24" s="10"/>
      <c r="D24" s="10"/>
      <c r="E24" s="11"/>
      <c r="F24" s="11">
        <v>100</v>
      </c>
      <c r="G24" s="13">
        <v>2700</v>
      </c>
      <c r="H24" s="11">
        <f t="shared" si="0"/>
        <v>2800</v>
      </c>
      <c r="I24" t="s">
        <v>303</v>
      </c>
    </row>
    <row r="25" spans="1:9" x14ac:dyDescent="0.25">
      <c r="A25" s="142" t="s">
        <v>281</v>
      </c>
      <c r="B25" s="131">
        <v>22</v>
      </c>
      <c r="C25" s="10"/>
      <c r="D25" s="10"/>
      <c r="E25" s="11"/>
      <c r="F25" s="11">
        <v>100</v>
      </c>
      <c r="G25" s="11">
        <v>2700</v>
      </c>
      <c r="H25" s="11">
        <f t="shared" si="0"/>
        <v>2800</v>
      </c>
    </row>
    <row r="26" spans="1:9" x14ac:dyDescent="0.25">
      <c r="A26" s="8" t="s">
        <v>142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</row>
    <row r="27" spans="1:9" x14ac:dyDescent="0.25">
      <c r="A27" s="8" t="s">
        <v>37</v>
      </c>
      <c r="B27" s="131"/>
      <c r="C27" s="10"/>
      <c r="D27" s="10"/>
      <c r="E27" s="11"/>
      <c r="F27" s="11"/>
      <c r="G27" s="11"/>
      <c r="H27" s="11"/>
    </row>
    <row r="28" spans="1:9" x14ac:dyDescent="0.25">
      <c r="A28" s="8" t="s">
        <v>121</v>
      </c>
      <c r="B28" s="131">
        <v>25</v>
      </c>
      <c r="C28" s="10"/>
      <c r="D28" s="10"/>
      <c r="E28" s="11"/>
      <c r="F28" s="11">
        <v>100</v>
      </c>
      <c r="G28" s="11">
        <v>3600</v>
      </c>
      <c r="H28" s="11">
        <f t="shared" si="0"/>
        <v>3700</v>
      </c>
    </row>
    <row r="29" spans="1:9" x14ac:dyDescent="0.25">
      <c r="A29" s="152" t="s">
        <v>261</v>
      </c>
      <c r="B29" s="131">
        <v>26</v>
      </c>
      <c r="C29" s="10"/>
      <c r="D29" s="10"/>
      <c r="E29" s="81"/>
      <c r="F29" s="11">
        <v>100</v>
      </c>
      <c r="G29" s="81">
        <v>3700</v>
      </c>
      <c r="H29" s="11">
        <f t="shared" si="0"/>
        <v>3800</v>
      </c>
    </row>
    <row r="30" spans="1:9" x14ac:dyDescent="0.25">
      <c r="A30" s="8" t="s">
        <v>163</v>
      </c>
      <c r="B30" s="131">
        <v>27</v>
      </c>
      <c r="C30" s="10"/>
      <c r="D30" s="10"/>
      <c r="E30" s="110"/>
      <c r="F30" s="11">
        <v>100</v>
      </c>
      <c r="G30" s="119">
        <v>3500</v>
      </c>
      <c r="H30" s="11">
        <f t="shared" si="0"/>
        <v>3600</v>
      </c>
    </row>
    <row r="31" spans="1:9" x14ac:dyDescent="0.25">
      <c r="A31" s="152" t="s">
        <v>262</v>
      </c>
      <c r="B31" s="131">
        <v>34</v>
      </c>
      <c r="C31" s="10"/>
      <c r="D31" s="10"/>
      <c r="E31" s="110"/>
      <c r="F31" s="11">
        <v>100</v>
      </c>
      <c r="G31" s="110">
        <v>3500</v>
      </c>
      <c r="H31" s="11">
        <f t="shared" si="0"/>
        <v>3600</v>
      </c>
    </row>
    <row r="32" spans="1:9" x14ac:dyDescent="0.25">
      <c r="A32" s="8" t="s">
        <v>15</v>
      </c>
      <c r="B32" s="131">
        <v>29</v>
      </c>
      <c r="C32" s="10"/>
      <c r="D32" s="10"/>
      <c r="E32" s="11"/>
      <c r="F32" s="11">
        <v>100</v>
      </c>
      <c r="G32" s="13">
        <v>3300</v>
      </c>
      <c r="H32" s="11">
        <f t="shared" si="0"/>
        <v>3400</v>
      </c>
    </row>
    <row r="33" spans="1:8" x14ac:dyDescent="0.25">
      <c r="A33" s="8" t="s">
        <v>59</v>
      </c>
      <c r="B33" s="131">
        <v>30</v>
      </c>
      <c r="C33" s="10"/>
      <c r="D33" s="10"/>
      <c r="E33" s="97"/>
      <c r="F33" s="11">
        <v>100</v>
      </c>
      <c r="G33" s="97">
        <v>3300</v>
      </c>
      <c r="H33" s="11">
        <f t="shared" si="0"/>
        <v>3400</v>
      </c>
    </row>
    <row r="34" spans="1:8" x14ac:dyDescent="0.25">
      <c r="A34" s="8" t="s">
        <v>282</v>
      </c>
      <c r="B34" s="131">
        <v>31</v>
      </c>
      <c r="C34" s="10"/>
      <c r="D34" s="10"/>
      <c r="E34" s="11"/>
      <c r="F34" s="11">
        <v>100</v>
      </c>
      <c r="G34" s="11">
        <v>3100</v>
      </c>
      <c r="H34" s="11">
        <f t="shared" si="0"/>
        <v>3200</v>
      </c>
    </row>
    <row r="35" spans="1:8" x14ac:dyDescent="0.25">
      <c r="A35" s="142" t="s">
        <v>283</v>
      </c>
      <c r="B35" s="131">
        <v>32</v>
      </c>
      <c r="C35" s="10"/>
      <c r="D35" s="10"/>
      <c r="E35" s="11"/>
      <c r="F35" s="11">
        <v>100</v>
      </c>
      <c r="G35" s="11">
        <v>3300</v>
      </c>
      <c r="H35" s="11">
        <f t="shared" si="0"/>
        <v>3400</v>
      </c>
    </row>
    <row r="36" spans="1:8" x14ac:dyDescent="0.25">
      <c r="A36" s="32" t="s">
        <v>213</v>
      </c>
      <c r="B36" s="131">
        <v>33</v>
      </c>
      <c r="C36" s="10"/>
      <c r="D36" s="10"/>
      <c r="E36" s="11"/>
      <c r="F36" s="11">
        <v>100</v>
      </c>
      <c r="G36" s="13">
        <v>3300</v>
      </c>
      <c r="H36" s="11">
        <f t="shared" si="0"/>
        <v>3400</v>
      </c>
    </row>
    <row r="37" spans="1:8" x14ac:dyDescent="0.25">
      <c r="A37" s="142" t="s">
        <v>284</v>
      </c>
      <c r="B37" s="131">
        <v>34</v>
      </c>
      <c r="C37" s="10"/>
      <c r="D37" s="10"/>
      <c r="E37" s="11"/>
      <c r="F37" s="11">
        <v>100</v>
      </c>
      <c r="G37" s="13">
        <v>3000</v>
      </c>
      <c r="H37" s="11">
        <f t="shared" si="0"/>
        <v>3100</v>
      </c>
    </row>
    <row r="38" spans="1:8" x14ac:dyDescent="0.25">
      <c r="A38" s="33" t="s">
        <v>25</v>
      </c>
      <c r="B38" s="10"/>
      <c r="C38" s="10"/>
      <c r="D38" s="10"/>
      <c r="E38" s="10"/>
      <c r="F38" s="10">
        <f>SUM(F4:F37)</f>
        <v>3300</v>
      </c>
      <c r="G38" s="10">
        <f>SUM(G4:G37)</f>
        <v>100800</v>
      </c>
      <c r="H38" s="10">
        <f>SUM(H4:H37)</f>
        <v>104100</v>
      </c>
    </row>
    <row r="39" spans="1:8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8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8" x14ac:dyDescent="0.25">
      <c r="A41" s="105" t="s">
        <v>291</v>
      </c>
      <c r="B41" s="155">
        <f>G38</f>
        <v>100800</v>
      </c>
      <c r="C41" s="10">
        <v>0</v>
      </c>
      <c r="D41" s="10"/>
      <c r="E41" s="129"/>
      <c r="F41" s="129"/>
      <c r="G41" s="129"/>
      <c r="H41" s="129"/>
    </row>
    <row r="42" spans="1:8" x14ac:dyDescent="0.25">
      <c r="A42" s="10" t="s">
        <v>292</v>
      </c>
      <c r="B42" s="156">
        <v>0.08</v>
      </c>
      <c r="C42" s="157">
        <f>B42*B41</f>
        <v>8064</v>
      </c>
      <c r="D42" s="10"/>
      <c r="E42" s="129"/>
      <c r="F42" s="129"/>
      <c r="G42" s="129"/>
      <c r="H42" s="129"/>
    </row>
    <row r="43" spans="1:8" x14ac:dyDescent="0.25">
      <c r="A43" s="169" t="s">
        <v>293</v>
      </c>
      <c r="B43" s="156"/>
      <c r="C43" s="157"/>
      <c r="D43" s="10"/>
      <c r="E43" s="12"/>
      <c r="F43" s="129"/>
      <c r="G43" s="156"/>
      <c r="H43" s="129"/>
    </row>
    <row r="44" spans="1:8" x14ac:dyDescent="0.25">
      <c r="A44" s="10" t="s">
        <v>221</v>
      </c>
      <c r="B44" s="10"/>
      <c r="C44" s="10">
        <v>3000</v>
      </c>
      <c r="D44" s="10"/>
      <c r="E44" s="12"/>
      <c r="F44" s="129"/>
      <c r="G44" s="129"/>
      <c r="H44" s="129"/>
    </row>
    <row r="45" spans="1:8" x14ac:dyDescent="0.25">
      <c r="A45" s="170" t="s">
        <v>296</v>
      </c>
      <c r="B45" s="10"/>
      <c r="C45" s="159">
        <v>15000</v>
      </c>
      <c r="D45" s="10"/>
      <c r="E45" s="12"/>
      <c r="F45" s="129"/>
      <c r="G45" s="129"/>
      <c r="H45" s="129"/>
    </row>
    <row r="46" spans="1:8" x14ac:dyDescent="0.25">
      <c r="A46" s="158" t="s">
        <v>300</v>
      </c>
      <c r="B46" s="158"/>
      <c r="C46" s="159">
        <v>7000</v>
      </c>
      <c r="D46" s="10"/>
      <c r="E46" s="12"/>
      <c r="F46" s="129"/>
      <c r="G46" s="129"/>
      <c r="H46" s="129"/>
    </row>
    <row r="47" spans="1:8" x14ac:dyDescent="0.25">
      <c r="A47" s="170"/>
      <c r="B47" s="10"/>
      <c r="C47" s="10"/>
      <c r="D47" s="157"/>
      <c r="E47" s="96"/>
      <c r="F47" s="129"/>
      <c r="G47" s="12"/>
      <c r="H47" s="12"/>
    </row>
    <row r="48" spans="1:8" x14ac:dyDescent="0.25">
      <c r="A48" s="171" t="s">
        <v>4</v>
      </c>
      <c r="B48" s="155">
        <f>B41</f>
        <v>100800</v>
      </c>
      <c r="C48" s="155">
        <f>SUM(C42:C47)</f>
        <v>33064</v>
      </c>
      <c r="D48" s="155">
        <f>B48-C48</f>
        <v>67736</v>
      </c>
      <c r="E48" s="12"/>
      <c r="F48" s="129"/>
      <c r="G48" s="12"/>
      <c r="H48" s="12"/>
    </row>
    <row r="49" spans="1:8" x14ac:dyDescent="0.25">
      <c r="A49" s="92" t="s">
        <v>112</v>
      </c>
      <c r="B49" s="92"/>
      <c r="C49" s="12" t="s">
        <v>113</v>
      </c>
      <c r="D49" s="12" t="s">
        <v>114</v>
      </c>
      <c r="E49" s="129"/>
      <c r="F49" s="129"/>
      <c r="G49" s="12"/>
      <c r="H49" s="129"/>
    </row>
    <row r="50" spans="1:8" x14ac:dyDescent="0.25">
      <c r="A50" s="12" t="s">
        <v>217</v>
      </c>
      <c r="B50" s="12"/>
      <c r="C50" s="12" t="s">
        <v>116</v>
      </c>
      <c r="D50" s="12" t="s">
        <v>305</v>
      </c>
      <c r="E50" s="129"/>
      <c r="F50" s="129"/>
      <c r="G50" s="129"/>
      <c r="H50" s="129"/>
    </row>
    <row r="51" spans="1:8" x14ac:dyDescent="0.25">
      <c r="F51" s="129"/>
      <c r="G51" s="129"/>
      <c r="H51" s="129"/>
    </row>
    <row r="52" spans="1:8" x14ac:dyDescent="0.25">
      <c r="A52" s="129"/>
      <c r="B52" s="129"/>
      <c r="C52" s="129"/>
      <c r="D52" s="129"/>
      <c r="E52" s="129"/>
      <c r="F52" s="129"/>
      <c r="G52" s="129"/>
      <c r="H52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7" workbookViewId="0">
      <selection activeCell="C48" sqref="C48"/>
    </sheetView>
  </sheetViews>
  <sheetFormatPr defaultRowHeight="15" x14ac:dyDescent="0.25"/>
  <cols>
    <col min="1" max="1" width="17" customWidth="1"/>
    <col min="2" max="2" width="11.85546875" customWidth="1"/>
    <col min="3" max="3" width="11.28515625" customWidth="1"/>
    <col min="4" max="4" width="10.855468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308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</row>
    <row r="5" spans="1:8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</row>
    <row r="6" spans="1:8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</row>
    <row r="7" spans="1:8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</row>
    <row r="8" spans="1:8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</row>
    <row r="9" spans="1:8" x14ac:dyDescent="0.25">
      <c r="A9" s="175" t="s">
        <v>267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</row>
    <row r="10" spans="1:8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</row>
    <row r="11" spans="1:8" x14ac:dyDescent="0.25">
      <c r="A11" s="172" t="s">
        <v>273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</row>
    <row r="12" spans="1:8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</row>
    <row r="13" spans="1:8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</row>
    <row r="14" spans="1:8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</row>
    <row r="15" spans="1:8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</row>
    <row r="16" spans="1:8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</row>
    <row r="17" spans="1:9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</row>
    <row r="18" spans="1:9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</row>
    <row r="19" spans="1:9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</row>
    <row r="20" spans="1:9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</row>
    <row r="21" spans="1:9" x14ac:dyDescent="0.25">
      <c r="A21" s="172" t="s">
        <v>267</v>
      </c>
      <c r="B21" s="173">
        <v>17</v>
      </c>
      <c r="C21" s="178"/>
      <c r="D21" s="178"/>
      <c r="E21" s="174"/>
      <c r="F21" s="174">
        <v>100</v>
      </c>
      <c r="G21" s="174">
        <v>2700</v>
      </c>
      <c r="H21" s="174">
        <f t="shared" si="0"/>
        <v>2800</v>
      </c>
      <c r="I21" t="s">
        <v>303</v>
      </c>
    </row>
    <row r="22" spans="1:9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</row>
    <row r="23" spans="1:9" x14ac:dyDescent="0.25">
      <c r="A23" s="172" t="s">
        <v>279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</row>
    <row r="24" spans="1:9" x14ac:dyDescent="0.25">
      <c r="A24" s="172" t="s">
        <v>267</v>
      </c>
      <c r="B24" s="173"/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</row>
    <row r="25" spans="1:9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</row>
    <row r="26" spans="1:9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</row>
    <row r="27" spans="1:9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</row>
    <row r="28" spans="1:9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</row>
    <row r="29" spans="1:9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</row>
    <row r="30" spans="1:9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</row>
    <row r="31" spans="1:9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</row>
    <row r="32" spans="1:9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</row>
    <row r="33" spans="1:11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</row>
    <row r="34" spans="1:11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</row>
    <row r="35" spans="1:11" x14ac:dyDescent="0.25">
      <c r="A35" s="172" t="s">
        <v>283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</row>
    <row r="36" spans="1:11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</row>
    <row r="37" spans="1:11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K37">
        <v>3000</v>
      </c>
    </row>
    <row r="38" spans="1:11" x14ac:dyDescent="0.25">
      <c r="A38" s="33" t="s">
        <v>25</v>
      </c>
      <c r="B38" s="10"/>
      <c r="C38" s="10"/>
      <c r="D38" s="10"/>
      <c r="E38" s="10"/>
      <c r="F38" s="10">
        <f>SUM(F4:F37)</f>
        <v>3300</v>
      </c>
      <c r="G38" s="10">
        <f>SUM(G4:G37)</f>
        <v>100800</v>
      </c>
      <c r="H38" s="10">
        <f>SUM(H4:H37)</f>
        <v>104100</v>
      </c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11" x14ac:dyDescent="0.25">
      <c r="A41" s="105" t="s">
        <v>291</v>
      </c>
      <c r="B41" s="155">
        <f>G38</f>
        <v>100800</v>
      </c>
      <c r="C41" s="10">
        <v>0</v>
      </c>
      <c r="D41" s="10"/>
      <c r="E41" s="129"/>
      <c r="F41" s="129"/>
      <c r="G41" s="129"/>
      <c r="H41" s="129"/>
    </row>
    <row r="42" spans="1:11" x14ac:dyDescent="0.25">
      <c r="A42" s="10" t="s">
        <v>292</v>
      </c>
      <c r="B42" s="156">
        <v>0.08</v>
      </c>
      <c r="C42" s="157">
        <f>B42*B41</f>
        <v>8064</v>
      </c>
      <c r="D42" s="10"/>
      <c r="E42" s="129"/>
      <c r="F42" s="129"/>
      <c r="G42" s="129"/>
      <c r="H42" s="129"/>
    </row>
    <row r="43" spans="1:11" s="129" customFormat="1" x14ac:dyDescent="0.25">
      <c r="A43" s="10" t="s">
        <v>310</v>
      </c>
      <c r="B43" s="157">
        <v>3700</v>
      </c>
      <c r="D43" s="10"/>
    </row>
    <row r="44" spans="1:11" x14ac:dyDescent="0.25">
      <c r="A44" s="169" t="s">
        <v>293</v>
      </c>
      <c r="B44" s="156"/>
      <c r="C44" s="157"/>
      <c r="D44" s="10"/>
      <c r="E44" s="12"/>
      <c r="F44" s="129"/>
      <c r="G44" s="156"/>
      <c r="H44" s="129"/>
    </row>
    <row r="45" spans="1:11" x14ac:dyDescent="0.25">
      <c r="A45" s="10" t="s">
        <v>276</v>
      </c>
      <c r="B45" s="10"/>
      <c r="C45" s="10">
        <v>2700</v>
      </c>
      <c r="D45" s="10"/>
      <c r="E45" s="12"/>
      <c r="F45" s="129"/>
      <c r="G45" s="129"/>
      <c r="H45" s="129"/>
    </row>
    <row r="46" spans="1:11" s="129" customFormat="1" x14ac:dyDescent="0.25">
      <c r="A46" s="10" t="s">
        <v>309</v>
      </c>
      <c r="B46" s="10"/>
      <c r="C46" s="10">
        <v>500</v>
      </c>
      <c r="D46" s="10"/>
      <c r="E46" s="12"/>
    </row>
    <row r="47" spans="1:11" x14ac:dyDescent="0.25">
      <c r="A47" s="170" t="s">
        <v>296</v>
      </c>
      <c r="B47" s="10"/>
      <c r="C47" s="159">
        <v>15000</v>
      </c>
      <c r="D47" s="10"/>
      <c r="E47" s="12"/>
      <c r="F47" s="129"/>
      <c r="G47" s="129"/>
      <c r="H47" s="129"/>
    </row>
    <row r="48" spans="1:11" x14ac:dyDescent="0.25">
      <c r="A48" s="158" t="s">
        <v>300</v>
      </c>
      <c r="B48" s="158"/>
      <c r="C48" s="159">
        <v>3795</v>
      </c>
      <c r="D48" s="10"/>
      <c r="E48" s="12"/>
      <c r="F48" s="129"/>
      <c r="G48" s="129"/>
      <c r="H48" s="129"/>
      <c r="K48" t="s">
        <v>311</v>
      </c>
    </row>
    <row r="49" spans="1:8" x14ac:dyDescent="0.25">
      <c r="A49" s="170"/>
      <c r="B49" s="10"/>
      <c r="C49" s="10"/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104500</v>
      </c>
      <c r="C50" s="155">
        <f>SUM(C42:C49)</f>
        <v>30059</v>
      </c>
      <c r="D50" s="155">
        <f>B50-C50</f>
        <v>74441</v>
      </c>
      <c r="E50" s="12"/>
      <c r="F50" s="129"/>
      <c r="G50" s="12"/>
      <c r="H50" s="12"/>
    </row>
    <row r="51" spans="1:8" x14ac:dyDescent="0.25">
      <c r="A51" s="92" t="s">
        <v>112</v>
      </c>
      <c r="B51" s="92"/>
      <c r="C51" s="12" t="s">
        <v>113</v>
      </c>
      <c r="D51" s="12" t="s">
        <v>114</v>
      </c>
      <c r="E51" s="129"/>
      <c r="F51" s="129"/>
      <c r="G51" s="12"/>
      <c r="H51" s="129"/>
    </row>
    <row r="52" spans="1:8" x14ac:dyDescent="0.25">
      <c r="A52" s="12" t="s">
        <v>307</v>
      </c>
      <c r="B52" s="12"/>
      <c r="C52" s="12" t="s">
        <v>116</v>
      </c>
      <c r="D52" s="12" t="s">
        <v>305</v>
      </c>
      <c r="E52" s="129"/>
      <c r="F52" s="129"/>
      <c r="G52" s="129"/>
      <c r="H52" s="129"/>
    </row>
    <row r="53" spans="1:8" x14ac:dyDescent="0.25">
      <c r="A53" s="129"/>
      <c r="B53" s="129"/>
      <c r="C53" s="129"/>
      <c r="D53" s="129"/>
      <c r="E53" s="129"/>
      <c r="F53" s="129"/>
      <c r="G53" s="129"/>
      <c r="H53" s="129"/>
    </row>
    <row r="54" spans="1:8" x14ac:dyDescent="0.25">
      <c r="A54" s="129"/>
      <c r="B54" s="129"/>
      <c r="C54" s="129"/>
      <c r="D54" s="129"/>
      <c r="E54" s="129"/>
      <c r="F54" s="129"/>
      <c r="G54" s="129"/>
      <c r="H54" s="129"/>
    </row>
    <row r="55" spans="1:8" x14ac:dyDescent="0.25">
      <c r="A55" s="129"/>
      <c r="B55" s="129"/>
      <c r="C55" s="129"/>
      <c r="D55" s="129"/>
      <c r="E55" s="129"/>
      <c r="F55" s="129"/>
      <c r="G55" s="129"/>
      <c r="H55" s="129"/>
    </row>
    <row r="60" spans="1:8" x14ac:dyDescent="0.25">
      <c r="D60">
        <v>297636</v>
      </c>
    </row>
    <row r="61" spans="1:8" x14ac:dyDescent="0.25">
      <c r="D61">
        <v>15000</v>
      </c>
    </row>
    <row r="62" spans="1:8" x14ac:dyDescent="0.25">
      <c r="D62">
        <f>D60-D61</f>
        <v>282636</v>
      </c>
    </row>
  </sheetData>
  <pageMargins left="0.7" right="0.7" top="0.2" bottom="0.2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G31" sqref="G31"/>
    </sheetView>
  </sheetViews>
  <sheetFormatPr defaultRowHeight="15" x14ac:dyDescent="0.25"/>
  <cols>
    <col min="1" max="1" width="17.5703125" customWidth="1"/>
    <col min="2" max="2" width="12" customWidth="1"/>
    <col min="3" max="3" width="10.28515625" customWidth="1"/>
    <col min="4" max="4" width="12.28515625" customWidth="1"/>
    <col min="5" max="6" width="7.71093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312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</row>
    <row r="5" spans="1:8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</row>
    <row r="6" spans="1:8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</row>
    <row r="7" spans="1:8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</row>
    <row r="8" spans="1:8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</row>
    <row r="9" spans="1:8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</row>
    <row r="10" spans="1:8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</row>
    <row r="11" spans="1:8" x14ac:dyDescent="0.25">
      <c r="B11" s="173">
        <v>8</v>
      </c>
      <c r="C11" s="178"/>
      <c r="D11" s="178"/>
      <c r="E11" s="174"/>
      <c r="F11" s="174"/>
      <c r="G11" s="174"/>
      <c r="H11" s="174"/>
    </row>
    <row r="12" spans="1:8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</row>
    <row r="13" spans="1:8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</row>
    <row r="14" spans="1:8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</row>
    <row r="15" spans="1:8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</row>
    <row r="16" spans="1:8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</row>
    <row r="17" spans="1:8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</row>
    <row r="18" spans="1:8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</row>
    <row r="19" spans="1:8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</row>
    <row r="20" spans="1:8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</row>
    <row r="21" spans="1:8" x14ac:dyDescent="0.25">
      <c r="A21" s="172"/>
      <c r="B21" s="173">
        <v>18</v>
      </c>
      <c r="C21" s="178"/>
      <c r="D21" s="178"/>
      <c r="E21" s="174"/>
      <c r="F21" s="174"/>
      <c r="G21" s="174"/>
      <c r="H21" s="174"/>
    </row>
    <row r="22" spans="1:8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</row>
    <row r="23" spans="1:8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</row>
    <row r="24" spans="1:8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</row>
    <row r="25" spans="1:8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</row>
    <row r="26" spans="1:8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</row>
    <row r="27" spans="1:8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</row>
    <row r="28" spans="1:8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</row>
    <row r="29" spans="1:8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</row>
    <row r="30" spans="1:8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</row>
    <row r="31" spans="1:8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</row>
    <row r="32" spans="1:8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</row>
    <row r="33" spans="1:13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</row>
    <row r="34" spans="1:13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</row>
    <row r="35" spans="1:13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</row>
    <row r="36" spans="1:13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</row>
    <row r="37" spans="1:13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M37">
        <v>3100</v>
      </c>
    </row>
    <row r="38" spans="1:13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  <c r="M38">
        <v>900</v>
      </c>
    </row>
    <row r="39" spans="1:13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M39">
        <v>2000</v>
      </c>
    </row>
    <row r="40" spans="1:13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M40">
        <f>SUM(M37:M39)</f>
        <v>6000</v>
      </c>
    </row>
    <row r="41" spans="1:13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</row>
    <row r="42" spans="1:13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</row>
    <row r="43" spans="1:13" x14ac:dyDescent="0.25">
      <c r="A43" s="10"/>
      <c r="B43" s="157"/>
      <c r="C43" s="129"/>
      <c r="D43" s="10"/>
      <c r="E43" s="129"/>
      <c r="F43" s="129"/>
      <c r="G43" s="129"/>
      <c r="H43" s="129"/>
    </row>
    <row r="44" spans="1:13" x14ac:dyDescent="0.25">
      <c r="A44" s="169" t="s">
        <v>293</v>
      </c>
      <c r="B44" s="156"/>
      <c r="C44" s="157"/>
      <c r="D44" s="10"/>
      <c r="E44" s="92" t="s">
        <v>112</v>
      </c>
      <c r="F44" s="92"/>
      <c r="G44" s="12" t="s">
        <v>113</v>
      </c>
      <c r="H44" s="12" t="s">
        <v>114</v>
      </c>
      <c r="I44" s="129"/>
    </row>
    <row r="45" spans="1:13" x14ac:dyDescent="0.25">
      <c r="A45" s="10" t="s">
        <v>221</v>
      </c>
      <c r="B45" s="10"/>
      <c r="C45" s="10">
        <v>3500</v>
      </c>
      <c r="D45" s="10"/>
      <c r="E45" s="12" t="s">
        <v>317</v>
      </c>
      <c r="F45" s="12"/>
      <c r="G45" s="12" t="s">
        <v>305</v>
      </c>
      <c r="H45" s="129"/>
    </row>
    <row r="46" spans="1:13" x14ac:dyDescent="0.25">
      <c r="A46" s="10"/>
      <c r="B46" s="10"/>
      <c r="C46" s="10"/>
      <c r="D46" s="10"/>
      <c r="E46" s="129"/>
      <c r="F46" s="129"/>
      <c r="G46" s="129"/>
      <c r="H46" s="129"/>
      <c r="I46" s="129"/>
    </row>
    <row r="47" spans="1:13" x14ac:dyDescent="0.25">
      <c r="A47" s="170" t="s">
        <v>316</v>
      </c>
      <c r="B47" s="10"/>
      <c r="C47" s="159">
        <v>25000</v>
      </c>
      <c r="D47" s="10"/>
      <c r="E47" s="12" t="s">
        <v>116</v>
      </c>
      <c r="F47" s="129" t="s">
        <v>318</v>
      </c>
      <c r="G47" s="129"/>
      <c r="H47" s="129"/>
    </row>
    <row r="48" spans="1:13" x14ac:dyDescent="0.25">
      <c r="A48" s="158"/>
      <c r="B48" s="158"/>
      <c r="C48" s="159"/>
      <c r="D48" s="10"/>
      <c r="E48" s="12"/>
      <c r="F48" s="129"/>
      <c r="G48" s="129"/>
      <c r="H48" s="129"/>
    </row>
    <row r="49" spans="1:8" x14ac:dyDescent="0.25">
      <c r="A49" s="170"/>
      <c r="B49" s="10"/>
      <c r="C49" s="10"/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95400</v>
      </c>
      <c r="C50" s="155">
        <f>SUM(C42:C49)</f>
        <v>36132</v>
      </c>
      <c r="D50" s="155">
        <f>B50-C50</f>
        <v>59268</v>
      </c>
      <c r="E50" s="12"/>
      <c r="F50" s="129"/>
      <c r="G50" s="12"/>
      <c r="H50" s="12"/>
    </row>
    <row r="51" spans="1:8" x14ac:dyDescent="0.25">
      <c r="F51" s="129"/>
      <c r="G51" s="12"/>
      <c r="H51" s="129"/>
    </row>
    <row r="52" spans="1:8" x14ac:dyDescent="0.25">
      <c r="F52" s="129"/>
      <c r="G52" s="129"/>
      <c r="H52" s="129"/>
    </row>
    <row r="53" spans="1:8" x14ac:dyDescent="0.25">
      <c r="F53" s="129"/>
      <c r="G53" s="129"/>
      <c r="H53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31" sqref="A31"/>
    </sheetView>
  </sheetViews>
  <sheetFormatPr defaultRowHeight="15" x14ac:dyDescent="0.25"/>
  <cols>
    <col min="1" max="1" width="16.42578125" customWidth="1"/>
    <col min="2" max="2" width="11.28515625" customWidth="1"/>
    <col min="3" max="3" width="11" customWidth="1"/>
    <col min="4" max="4" width="10.5703125" customWidth="1"/>
    <col min="5" max="5" width="7.42578125" customWidth="1"/>
    <col min="7" max="7" width="8.28515625" customWidth="1"/>
    <col min="8" max="8" width="7.855468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320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</row>
    <row r="5" spans="1:8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</row>
    <row r="6" spans="1:8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</row>
    <row r="7" spans="1:8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</row>
    <row r="8" spans="1:8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</row>
    <row r="9" spans="1:8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</row>
    <row r="10" spans="1:8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</row>
    <row r="11" spans="1:8" x14ac:dyDescent="0.25">
      <c r="A11" s="129"/>
      <c r="B11" s="173">
        <v>8</v>
      </c>
      <c r="C11" s="178"/>
      <c r="D11" s="178"/>
      <c r="E11" s="174"/>
      <c r="F11" s="174"/>
      <c r="G11" s="174"/>
      <c r="H11" s="174"/>
    </row>
    <row r="12" spans="1:8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</row>
    <row r="13" spans="1:8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</row>
    <row r="14" spans="1:8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</row>
    <row r="15" spans="1:8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</row>
    <row r="16" spans="1:8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</row>
    <row r="17" spans="1:8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</row>
    <row r="18" spans="1:8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</row>
    <row r="19" spans="1:8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</row>
    <row r="20" spans="1:8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</row>
    <row r="21" spans="1:8" x14ac:dyDescent="0.25">
      <c r="A21" s="172"/>
      <c r="B21" s="173">
        <v>18</v>
      </c>
      <c r="C21" s="178"/>
      <c r="D21" s="178"/>
      <c r="E21" s="174"/>
      <c r="F21" s="174"/>
      <c r="G21" s="174"/>
      <c r="H21" s="174"/>
    </row>
    <row r="22" spans="1:8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</row>
    <row r="23" spans="1:8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</row>
    <row r="24" spans="1:8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</row>
    <row r="25" spans="1:8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</row>
    <row r="26" spans="1:8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</row>
    <row r="27" spans="1:8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</row>
    <row r="28" spans="1:8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</row>
    <row r="29" spans="1:8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</row>
    <row r="30" spans="1:8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</row>
    <row r="31" spans="1:8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</row>
    <row r="32" spans="1:8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</row>
    <row r="33" spans="1:8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</row>
    <row r="34" spans="1:8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</row>
    <row r="35" spans="1:8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</row>
    <row r="36" spans="1:8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</row>
    <row r="37" spans="1:8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</row>
    <row r="38" spans="1:8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</row>
    <row r="39" spans="1:8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8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8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</row>
    <row r="42" spans="1:8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</row>
    <row r="43" spans="1:8" x14ac:dyDescent="0.25">
      <c r="A43" s="10"/>
      <c r="B43" s="157"/>
      <c r="C43" s="129"/>
      <c r="D43" s="10"/>
      <c r="E43" s="129"/>
      <c r="F43" s="129"/>
      <c r="G43" s="129"/>
      <c r="H43" s="129"/>
    </row>
    <row r="44" spans="1:8" x14ac:dyDescent="0.25">
      <c r="A44" s="169" t="s">
        <v>293</v>
      </c>
      <c r="B44" s="156"/>
      <c r="C44" s="157"/>
      <c r="D44" s="10"/>
      <c r="E44" s="92" t="s">
        <v>112</v>
      </c>
      <c r="F44" s="92"/>
      <c r="G44" s="12" t="s">
        <v>113</v>
      </c>
      <c r="H44" s="12" t="s">
        <v>114</v>
      </c>
    </row>
    <row r="45" spans="1:8" x14ac:dyDescent="0.25">
      <c r="A45" s="10" t="s">
        <v>221</v>
      </c>
      <c r="B45" s="10"/>
      <c r="C45" s="10">
        <v>15000</v>
      </c>
      <c r="D45" s="10"/>
      <c r="E45" s="12" t="s">
        <v>317</v>
      </c>
      <c r="F45" s="12"/>
      <c r="G45" s="12" t="s">
        <v>305</v>
      </c>
      <c r="H45" s="129"/>
    </row>
    <row r="46" spans="1:8" x14ac:dyDescent="0.25">
      <c r="A46" s="10" t="s">
        <v>319</v>
      </c>
      <c r="B46" s="10"/>
      <c r="C46" s="10">
        <v>5800</v>
      </c>
      <c r="D46" s="10"/>
      <c r="E46" s="129"/>
      <c r="F46" s="129"/>
      <c r="G46" s="129"/>
      <c r="H46" s="129"/>
    </row>
    <row r="47" spans="1:8" x14ac:dyDescent="0.25">
      <c r="A47" s="170" t="s">
        <v>316</v>
      </c>
      <c r="B47" s="10"/>
      <c r="C47" s="159">
        <v>25000</v>
      </c>
      <c r="D47" s="10"/>
      <c r="E47" s="12" t="s">
        <v>116</v>
      </c>
      <c r="F47" s="129" t="s">
        <v>318</v>
      </c>
      <c r="G47" s="129"/>
      <c r="H47" s="129"/>
    </row>
    <row r="48" spans="1:8" x14ac:dyDescent="0.25">
      <c r="A48" s="158" t="s">
        <v>321</v>
      </c>
      <c r="B48" s="158"/>
      <c r="C48" s="159">
        <v>20000</v>
      </c>
      <c r="D48" s="10"/>
      <c r="E48" s="12"/>
      <c r="F48" s="129"/>
      <c r="G48" s="129"/>
      <c r="H48" s="129"/>
    </row>
    <row r="49" spans="1:8" x14ac:dyDescent="0.25">
      <c r="A49" s="170" t="s">
        <v>322</v>
      </c>
      <c r="B49" s="10"/>
      <c r="C49" s="10">
        <v>21968</v>
      </c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95400</v>
      </c>
      <c r="C50" s="155">
        <f>SUM(C42:C49)</f>
        <v>95400</v>
      </c>
      <c r="D50" s="155">
        <f>B50-C50</f>
        <v>0</v>
      </c>
      <c r="E50" s="12"/>
      <c r="F50" s="129"/>
      <c r="G50" s="12"/>
      <c r="H50" s="12"/>
    </row>
    <row r="51" spans="1:8" x14ac:dyDescent="0.25">
      <c r="A51" s="129"/>
      <c r="B51" s="129"/>
      <c r="C51" s="129"/>
      <c r="D51" s="129"/>
      <c r="E51" s="129"/>
      <c r="F51" s="129"/>
      <c r="G51" s="12"/>
      <c r="H51" s="129"/>
    </row>
    <row r="52" spans="1:8" x14ac:dyDescent="0.25">
      <c r="A52" s="129"/>
      <c r="B52" s="129"/>
      <c r="C52" s="129"/>
      <c r="D52" s="129"/>
      <c r="E52" s="129"/>
      <c r="F52" s="129"/>
      <c r="G52" s="129"/>
      <c r="H52" s="129"/>
    </row>
    <row r="53" spans="1:8" x14ac:dyDescent="0.25">
      <c r="A53" s="129"/>
      <c r="B53" s="129"/>
      <c r="C53" s="129"/>
      <c r="D53" s="129"/>
      <c r="E53" s="129"/>
      <c r="F53" s="129"/>
      <c r="G53" s="129"/>
      <c r="H53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6" workbookViewId="0">
      <selection activeCell="O13" sqref="O13"/>
    </sheetView>
  </sheetViews>
  <sheetFormatPr defaultRowHeight="15" x14ac:dyDescent="0.25"/>
  <cols>
    <col min="1" max="1" width="17.5703125" customWidth="1"/>
    <col min="2" max="2" width="11.42578125" customWidth="1"/>
    <col min="3" max="3" width="10.42578125" customWidth="1"/>
    <col min="4" max="4" width="11.140625" customWidth="1"/>
  </cols>
  <sheetData>
    <row r="1" spans="1:9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9" ht="15.75" x14ac:dyDescent="0.25">
      <c r="A2" s="98" t="s">
        <v>312</v>
      </c>
      <c r="B2" s="98"/>
      <c r="C2" s="98"/>
      <c r="D2" s="98"/>
      <c r="E2" s="129"/>
      <c r="F2" s="98"/>
      <c r="G2" s="98"/>
      <c r="H2" s="98"/>
    </row>
    <row r="3" spans="1:9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</row>
    <row r="4" spans="1:9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  <c r="I4" s="10"/>
    </row>
    <row r="5" spans="1:9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  <c r="I5" s="10"/>
    </row>
    <row r="6" spans="1:9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</row>
    <row r="7" spans="1:9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/>
    </row>
    <row r="8" spans="1:9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  <c r="I8" s="10"/>
    </row>
    <row r="9" spans="1:9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/>
    </row>
    <row r="10" spans="1:9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  <c r="I10" s="10"/>
    </row>
    <row r="11" spans="1:9" x14ac:dyDescent="0.25">
      <c r="A11" s="129"/>
      <c r="B11" s="173">
        <v>8</v>
      </c>
      <c r="C11" s="178"/>
      <c r="D11" s="178"/>
      <c r="E11" s="174"/>
      <c r="F11" s="174"/>
      <c r="G11" s="174"/>
      <c r="H11" s="174"/>
      <c r="I11" s="10"/>
    </row>
    <row r="12" spans="1:9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  <c r="I12" s="10"/>
    </row>
    <row r="13" spans="1:9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/>
    </row>
    <row r="14" spans="1:9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</row>
    <row r="15" spans="1:9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/>
    </row>
    <row r="16" spans="1:9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/>
    </row>
    <row r="17" spans="1:9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</row>
    <row r="18" spans="1:9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/>
    </row>
    <row r="19" spans="1:9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/>
    </row>
    <row r="20" spans="1:9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  <c r="I20" s="10"/>
    </row>
    <row r="21" spans="1:9" x14ac:dyDescent="0.25">
      <c r="A21" s="172"/>
      <c r="B21" s="173">
        <v>18</v>
      </c>
      <c r="C21" s="178"/>
      <c r="D21" s="178"/>
      <c r="E21" s="174"/>
      <c r="F21" s="174"/>
      <c r="G21" s="174"/>
      <c r="H21" s="174"/>
      <c r="I21" s="10"/>
    </row>
    <row r="22" spans="1:9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3100</v>
      </c>
    </row>
    <row r="23" spans="1:9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10"/>
    </row>
    <row r="24" spans="1:9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10"/>
    </row>
    <row r="25" spans="1:9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  <c r="I25" s="10"/>
    </row>
    <row r="26" spans="1:9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  <c r="I26" s="10">
        <v>3500</v>
      </c>
    </row>
    <row r="27" spans="1:9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  <c r="I27" s="10"/>
    </row>
    <row r="28" spans="1:9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10"/>
    </row>
    <row r="29" spans="1:9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/>
    </row>
    <row r="30" spans="1:9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  <c r="I30" s="10"/>
    </row>
    <row r="31" spans="1:9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10"/>
    </row>
    <row r="32" spans="1:9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/>
    </row>
    <row r="33" spans="1:10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</row>
    <row r="34" spans="1:10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/>
    </row>
    <row r="35" spans="1:10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/>
    </row>
    <row r="36" spans="1:10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10">
        <v>33000</v>
      </c>
    </row>
    <row r="37" spans="1:10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/>
    </row>
    <row r="38" spans="1:10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  <c r="I38" s="10">
        <f>SUM(I4:I37)</f>
        <v>48000</v>
      </c>
      <c r="J38" s="185"/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>
        <f>B42*I38</f>
        <v>3840</v>
      </c>
    </row>
    <row r="41" spans="1:10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  <c r="I41">
        <f>I38-I40</f>
        <v>44160</v>
      </c>
    </row>
    <row r="42" spans="1:10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</row>
    <row r="43" spans="1:10" x14ac:dyDescent="0.25">
      <c r="A43" s="10"/>
      <c r="B43" s="157"/>
      <c r="C43" s="129"/>
      <c r="D43" s="10"/>
      <c r="E43" s="129"/>
      <c r="F43" s="129"/>
      <c r="G43" s="129"/>
      <c r="H43" s="129"/>
    </row>
    <row r="44" spans="1:10" x14ac:dyDescent="0.25">
      <c r="A44" s="169" t="s">
        <v>293</v>
      </c>
      <c r="B44" s="156"/>
      <c r="C44" s="157"/>
      <c r="D44" s="10"/>
      <c r="E44" s="92" t="s">
        <v>112</v>
      </c>
      <c r="F44" s="92"/>
      <c r="G44" s="12" t="s">
        <v>113</v>
      </c>
      <c r="H44" s="12" t="s">
        <v>114</v>
      </c>
    </row>
    <row r="45" spans="1:10" x14ac:dyDescent="0.25">
      <c r="A45" s="10" t="s">
        <v>221</v>
      </c>
      <c r="B45" s="10"/>
      <c r="C45" s="10">
        <v>15000</v>
      </c>
      <c r="D45" s="10"/>
      <c r="E45" s="12" t="s">
        <v>317</v>
      </c>
      <c r="F45" s="12"/>
      <c r="G45" s="12" t="s">
        <v>305</v>
      </c>
      <c r="H45" s="129"/>
    </row>
    <row r="46" spans="1:10" x14ac:dyDescent="0.25">
      <c r="A46" s="10" t="s">
        <v>319</v>
      </c>
      <c r="B46" s="10"/>
      <c r="C46" s="10">
        <v>8300</v>
      </c>
      <c r="D46" s="10"/>
      <c r="E46" s="129"/>
      <c r="F46" s="129"/>
      <c r="G46" s="129"/>
      <c r="H46" s="129"/>
    </row>
    <row r="47" spans="1:10" x14ac:dyDescent="0.25">
      <c r="A47" s="170" t="s">
        <v>316</v>
      </c>
      <c r="B47" s="10"/>
      <c r="C47" s="159">
        <v>25000</v>
      </c>
      <c r="D47" s="10"/>
      <c r="E47" s="12" t="s">
        <v>116</v>
      </c>
      <c r="F47" s="129" t="s">
        <v>318</v>
      </c>
      <c r="G47" s="129"/>
      <c r="H47" s="129">
        <v>43000</v>
      </c>
    </row>
    <row r="48" spans="1:10" x14ac:dyDescent="0.25">
      <c r="A48" s="158"/>
      <c r="B48" s="158"/>
      <c r="C48" s="159"/>
      <c r="D48" s="10"/>
      <c r="E48" s="12"/>
      <c r="F48" s="129"/>
      <c r="G48" s="129"/>
      <c r="H48" s="129"/>
    </row>
    <row r="49" spans="1:8" x14ac:dyDescent="0.25">
      <c r="A49" s="170"/>
      <c r="B49" s="10"/>
      <c r="C49" s="10"/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95400</v>
      </c>
      <c r="C50" s="155">
        <f>SUM(C42:C49)</f>
        <v>55932</v>
      </c>
      <c r="D50" s="155">
        <f>B50-C50</f>
        <v>39468</v>
      </c>
      <c r="E50" s="12"/>
      <c r="F50" s="129"/>
      <c r="G50" s="12"/>
      <c r="H50" s="12"/>
    </row>
    <row r="51" spans="1:8" x14ac:dyDescent="0.25">
      <c r="A51" s="129"/>
      <c r="B51" s="129"/>
      <c r="C51" s="129"/>
      <c r="D51" s="129"/>
      <c r="E51" s="129"/>
      <c r="F51" s="129"/>
      <c r="G51" s="12"/>
      <c r="H51" s="129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17" sqref="I17"/>
    </sheetView>
  </sheetViews>
  <sheetFormatPr defaultRowHeight="15" x14ac:dyDescent="0.25"/>
  <cols>
    <col min="1" max="1" width="22.85546875" customWidth="1"/>
    <col min="2" max="2" width="13.28515625" customWidth="1"/>
  </cols>
  <sheetData>
    <row r="1" spans="1:6" s="129" customFormat="1" x14ac:dyDescent="0.25">
      <c r="A1" s="129" t="s">
        <v>333</v>
      </c>
    </row>
    <row r="2" spans="1:6" x14ac:dyDescent="0.25">
      <c r="A2" s="129" t="s">
        <v>334</v>
      </c>
    </row>
    <row r="3" spans="1:6" x14ac:dyDescent="0.25">
      <c r="A3" s="10" t="s">
        <v>323</v>
      </c>
      <c r="B3" s="82" t="s">
        <v>2</v>
      </c>
      <c r="C3" s="82" t="s">
        <v>5</v>
      </c>
      <c r="D3" s="83" t="s">
        <v>19</v>
      </c>
      <c r="E3" s="83" t="s">
        <v>235</v>
      </c>
      <c r="F3" s="83" t="s">
        <v>290</v>
      </c>
    </row>
    <row r="4" spans="1:6" x14ac:dyDescent="0.25">
      <c r="A4" s="172" t="s">
        <v>302</v>
      </c>
      <c r="B4" s="173">
        <v>2</v>
      </c>
      <c r="C4" s="174">
        <v>3300</v>
      </c>
      <c r="D4" s="174">
        <f>C4</f>
        <v>3300</v>
      </c>
      <c r="E4" s="10">
        <v>1000</v>
      </c>
      <c r="F4" s="10">
        <f>D4-E4</f>
        <v>2300</v>
      </c>
    </row>
    <row r="5" spans="1:6" x14ac:dyDescent="0.25">
      <c r="A5" s="175" t="s">
        <v>315</v>
      </c>
      <c r="B5" s="173">
        <v>6</v>
      </c>
      <c r="C5" s="174">
        <v>2700</v>
      </c>
      <c r="D5" s="174">
        <f t="shared" ref="D5:D14" si="0">C5</f>
        <v>2700</v>
      </c>
      <c r="E5" s="10">
        <v>2700</v>
      </c>
      <c r="F5" s="10">
        <f t="shared" ref="F5:F12" si="1">D5-E5</f>
        <v>0</v>
      </c>
    </row>
    <row r="6" spans="1:6" x14ac:dyDescent="0.25">
      <c r="A6" s="172" t="s">
        <v>332</v>
      </c>
      <c r="B6" s="173">
        <v>10</v>
      </c>
      <c r="C6" s="174">
        <v>2700</v>
      </c>
      <c r="D6" s="174">
        <f t="shared" si="0"/>
        <v>2700</v>
      </c>
      <c r="E6" s="10">
        <v>2700</v>
      </c>
      <c r="F6" s="10">
        <f t="shared" si="1"/>
        <v>0</v>
      </c>
    </row>
    <row r="7" spans="1:6" x14ac:dyDescent="0.25">
      <c r="A7" s="172" t="s">
        <v>324</v>
      </c>
      <c r="B7" s="173">
        <v>13</v>
      </c>
      <c r="C7" s="174">
        <v>2700</v>
      </c>
      <c r="D7" s="174">
        <f t="shared" si="0"/>
        <v>2700</v>
      </c>
      <c r="E7" s="10">
        <v>1000</v>
      </c>
      <c r="F7" s="10">
        <f t="shared" si="1"/>
        <v>1700</v>
      </c>
    </row>
    <row r="8" spans="1:6" x14ac:dyDescent="0.25">
      <c r="A8" s="172" t="s">
        <v>313</v>
      </c>
      <c r="B8" s="173">
        <v>21</v>
      </c>
      <c r="C8" s="174">
        <v>2700</v>
      </c>
      <c r="D8" s="174">
        <f t="shared" si="0"/>
        <v>2700</v>
      </c>
      <c r="E8" s="10">
        <v>2700</v>
      </c>
      <c r="F8" s="10">
        <f t="shared" si="1"/>
        <v>0</v>
      </c>
    </row>
    <row r="9" spans="1:6" x14ac:dyDescent="0.25">
      <c r="A9" s="172" t="s">
        <v>281</v>
      </c>
      <c r="B9" s="173">
        <v>22</v>
      </c>
      <c r="C9" s="174">
        <v>2700</v>
      </c>
      <c r="D9" s="174">
        <f t="shared" si="0"/>
        <v>2700</v>
      </c>
      <c r="E9" s="10">
        <v>2700</v>
      </c>
      <c r="F9" s="10">
        <f t="shared" si="1"/>
        <v>0</v>
      </c>
    </row>
    <row r="10" spans="1:6" x14ac:dyDescent="0.25">
      <c r="A10" s="172" t="s">
        <v>325</v>
      </c>
      <c r="B10" s="173">
        <v>26</v>
      </c>
      <c r="C10" s="176">
        <v>3700</v>
      </c>
      <c r="D10" s="174">
        <f t="shared" si="0"/>
        <v>3700</v>
      </c>
      <c r="E10" s="10">
        <v>3700</v>
      </c>
      <c r="F10" s="10">
        <f t="shared" si="1"/>
        <v>0</v>
      </c>
    </row>
    <row r="11" spans="1:6" x14ac:dyDescent="0.25">
      <c r="A11" s="172" t="s">
        <v>326</v>
      </c>
      <c r="B11" s="173">
        <v>32</v>
      </c>
      <c r="C11" s="174">
        <v>3300</v>
      </c>
      <c r="D11" s="174">
        <f t="shared" si="0"/>
        <v>3300</v>
      </c>
      <c r="E11" s="10">
        <v>1000</v>
      </c>
      <c r="F11" s="10">
        <f t="shared" si="1"/>
        <v>2300</v>
      </c>
    </row>
    <row r="12" spans="1:6" x14ac:dyDescent="0.25">
      <c r="A12" s="172" t="s">
        <v>327</v>
      </c>
      <c r="B12" s="173">
        <v>34</v>
      </c>
      <c r="C12" s="174">
        <v>3000</v>
      </c>
      <c r="D12" s="174">
        <f t="shared" si="0"/>
        <v>3000</v>
      </c>
      <c r="E12" s="10">
        <v>3000</v>
      </c>
      <c r="F12" s="10">
        <f t="shared" si="1"/>
        <v>0</v>
      </c>
    </row>
    <row r="13" spans="1:6" s="129" customFormat="1" x14ac:dyDescent="0.25">
      <c r="A13" s="172" t="s">
        <v>267</v>
      </c>
      <c r="B13" s="173">
        <v>18</v>
      </c>
      <c r="C13" s="174">
        <v>3000</v>
      </c>
      <c r="D13" s="174">
        <f t="shared" si="0"/>
        <v>3000</v>
      </c>
      <c r="E13" s="10">
        <v>3000</v>
      </c>
      <c r="F13" s="10"/>
    </row>
    <row r="14" spans="1:6" s="129" customFormat="1" x14ac:dyDescent="0.25">
      <c r="A14" s="172" t="s">
        <v>344</v>
      </c>
      <c r="B14" s="173">
        <v>8</v>
      </c>
      <c r="C14" s="174">
        <v>2700</v>
      </c>
      <c r="D14" s="174">
        <f t="shared" si="0"/>
        <v>2700</v>
      </c>
      <c r="E14" s="10">
        <v>2700</v>
      </c>
      <c r="F14" s="10"/>
    </row>
    <row r="15" spans="1:6" s="129" customFormat="1" x14ac:dyDescent="0.25">
      <c r="A15" s="172"/>
      <c r="B15" s="173"/>
      <c r="C15" s="174"/>
      <c r="D15" s="174"/>
      <c r="E15" s="10"/>
      <c r="F15" s="10"/>
    </row>
    <row r="16" spans="1:6" s="129" customFormat="1" x14ac:dyDescent="0.25">
      <c r="A16" s="175"/>
      <c r="B16" s="187"/>
      <c r="C16" s="188"/>
      <c r="D16" s="189"/>
      <c r="E16" s="190"/>
      <c r="F16" s="190"/>
    </row>
    <row r="17" spans="1:7" x14ac:dyDescent="0.25">
      <c r="A17" s="175" t="s">
        <v>4</v>
      </c>
      <c r="B17" s="105"/>
      <c r="C17" s="162">
        <f>SUM(C4:C14)</f>
        <v>32500</v>
      </c>
      <c r="D17" s="105">
        <f>SUM(D4:D14)</f>
        <v>32500</v>
      </c>
      <c r="E17" s="10">
        <f>SUM(E4:E14)</f>
        <v>26200</v>
      </c>
      <c r="F17" s="10">
        <f>SUM(F4:F13)</f>
        <v>6300</v>
      </c>
      <c r="G17">
        <f>F4+F11</f>
        <v>4600</v>
      </c>
    </row>
    <row r="18" spans="1:7" x14ac:dyDescent="0.25">
      <c r="A18" s="180" t="s">
        <v>25</v>
      </c>
      <c r="B18" s="174">
        <v>26200</v>
      </c>
    </row>
    <row r="19" spans="1:7" s="129" customFormat="1" x14ac:dyDescent="0.25">
      <c r="B19" s="174"/>
    </row>
    <row r="20" spans="1:7" x14ac:dyDescent="0.25">
      <c r="A20" s="181" t="s">
        <v>330</v>
      </c>
      <c r="B20" s="10" t="s">
        <v>235</v>
      </c>
    </row>
    <row r="21" spans="1:7" x14ac:dyDescent="0.25">
      <c r="A21" s="10" t="s">
        <v>235</v>
      </c>
      <c r="B21" s="174">
        <v>6800</v>
      </c>
    </row>
    <row r="22" spans="1:7" x14ac:dyDescent="0.25">
      <c r="A22" s="10" t="s">
        <v>328</v>
      </c>
      <c r="B22" s="174">
        <v>3700</v>
      </c>
    </row>
    <row r="23" spans="1:7" x14ac:dyDescent="0.25">
      <c r="A23" s="10" t="s">
        <v>329</v>
      </c>
      <c r="B23" s="174">
        <v>2700</v>
      </c>
    </row>
    <row r="24" spans="1:7" x14ac:dyDescent="0.25">
      <c r="A24" s="182">
        <v>42697</v>
      </c>
      <c r="B24" s="174">
        <v>3000</v>
      </c>
    </row>
    <row r="25" spans="1:7" x14ac:dyDescent="0.25">
      <c r="A25" s="183">
        <v>42589</v>
      </c>
      <c r="B25" s="174">
        <v>2700</v>
      </c>
    </row>
    <row r="26" spans="1:7" x14ac:dyDescent="0.25">
      <c r="A26" s="10" t="s">
        <v>331</v>
      </c>
      <c r="B26" s="10">
        <f>SUM(B21:B25)</f>
        <v>18900</v>
      </c>
    </row>
    <row r="27" spans="1:7" x14ac:dyDescent="0.25">
      <c r="A27" s="184" t="s">
        <v>31</v>
      </c>
      <c r="B27" s="105">
        <f>B18-B26</f>
        <v>7300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7" workbookViewId="0">
      <selection activeCell="C34" sqref="C34"/>
    </sheetView>
  </sheetViews>
  <sheetFormatPr defaultRowHeight="15" x14ac:dyDescent="0.25"/>
  <cols>
    <col min="1" max="1" width="16.85546875" customWidth="1"/>
    <col min="2" max="2" width="11.140625" customWidth="1"/>
    <col min="3" max="3" width="10.7109375" customWidth="1"/>
    <col min="4" max="4" width="10.42578125" customWidth="1"/>
    <col min="6" max="6" width="7.140625" customWidth="1"/>
    <col min="7" max="7" width="6.28515625" customWidth="1"/>
    <col min="8" max="8" width="7" customWidth="1"/>
    <col min="9" max="9" width="8.42578125" customWidth="1"/>
  </cols>
  <sheetData>
    <row r="1" spans="1:9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</row>
    <row r="2" spans="1:9" ht="15.75" x14ac:dyDescent="0.25">
      <c r="A2" s="98" t="s">
        <v>335</v>
      </c>
      <c r="B2" s="98"/>
      <c r="C2" s="98"/>
      <c r="D2" s="98"/>
      <c r="E2" s="129"/>
      <c r="F2" s="98"/>
      <c r="G2" s="98"/>
      <c r="H2" s="98"/>
      <c r="I2" s="129"/>
    </row>
    <row r="3" spans="1:9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</row>
    <row r="4" spans="1:9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  <c r="I4" s="10"/>
    </row>
    <row r="5" spans="1:9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  <c r="I5" s="10"/>
    </row>
    <row r="6" spans="1:9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</row>
    <row r="7" spans="1:9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/>
    </row>
    <row r="8" spans="1:9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  <c r="I8" s="10"/>
    </row>
    <row r="9" spans="1:9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/>
    </row>
    <row r="10" spans="1:9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  <c r="I10" s="10"/>
    </row>
    <row r="11" spans="1:9" x14ac:dyDescent="0.25">
      <c r="A11" s="129"/>
      <c r="B11" s="173">
        <v>8</v>
      </c>
      <c r="C11" s="178"/>
      <c r="D11" s="178"/>
      <c r="E11" s="174"/>
      <c r="F11" s="174"/>
      <c r="G11" s="174"/>
      <c r="H11" s="174"/>
      <c r="I11" s="10"/>
    </row>
    <row r="12" spans="1:9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  <c r="I12" s="10"/>
    </row>
    <row r="13" spans="1:9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/>
    </row>
    <row r="14" spans="1:9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</row>
    <row r="15" spans="1:9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/>
    </row>
    <row r="16" spans="1:9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/>
    </row>
    <row r="17" spans="1:12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</row>
    <row r="18" spans="1:12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/>
    </row>
    <row r="19" spans="1:12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/>
    </row>
    <row r="20" spans="1:12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  <c r="I20" s="10"/>
    </row>
    <row r="21" spans="1:12" x14ac:dyDescent="0.25">
      <c r="A21" s="172"/>
      <c r="B21" s="173">
        <v>18</v>
      </c>
      <c r="C21" s="178"/>
      <c r="D21" s="178"/>
      <c r="E21" s="174"/>
      <c r="F21" s="174"/>
      <c r="G21" s="174"/>
      <c r="H21" s="174"/>
      <c r="I21" s="10"/>
    </row>
    <row r="22" spans="1:12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3100</v>
      </c>
    </row>
    <row r="23" spans="1:12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10"/>
    </row>
    <row r="24" spans="1:12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10"/>
    </row>
    <row r="25" spans="1:12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  <c r="I25" s="10"/>
    </row>
    <row r="26" spans="1:12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  <c r="I26" s="10">
        <v>3500</v>
      </c>
    </row>
    <row r="27" spans="1:12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  <c r="I27" s="10"/>
      <c r="L27">
        <v>95400</v>
      </c>
    </row>
    <row r="28" spans="1:12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10"/>
    </row>
    <row r="29" spans="1:12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/>
    </row>
    <row r="30" spans="1:12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  <c r="I30" s="10"/>
      <c r="L30">
        <f>SUM(L27:L29)</f>
        <v>95400</v>
      </c>
    </row>
    <row r="31" spans="1:12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10"/>
    </row>
    <row r="32" spans="1:12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/>
    </row>
    <row r="33" spans="1:13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M33">
        <v>2700</v>
      </c>
    </row>
    <row r="34" spans="1:13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/>
      <c r="M34">
        <v>2700</v>
      </c>
    </row>
    <row r="35" spans="1:13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/>
      <c r="M35">
        <f>SUM(M33:M34)</f>
        <v>5400</v>
      </c>
    </row>
    <row r="36" spans="1:13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10">
        <v>33000</v>
      </c>
    </row>
    <row r="37" spans="1:13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/>
    </row>
    <row r="38" spans="1:13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  <c r="I38" s="10">
        <f>SUM(I4:I37)</f>
        <v>48000</v>
      </c>
    </row>
    <row r="39" spans="1:13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</row>
    <row r="40" spans="1:13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</row>
    <row r="41" spans="1:13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  <c r="I41" s="129"/>
    </row>
    <row r="42" spans="1:13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  <c r="I42" s="129"/>
    </row>
    <row r="43" spans="1:13" x14ac:dyDescent="0.25">
      <c r="A43" s="10"/>
      <c r="B43" s="157"/>
      <c r="C43" s="129"/>
      <c r="D43" s="10"/>
      <c r="E43" s="129"/>
      <c r="F43" s="129"/>
      <c r="G43" s="129"/>
      <c r="H43" s="129"/>
      <c r="I43" s="129"/>
    </row>
    <row r="44" spans="1:13" x14ac:dyDescent="0.25">
      <c r="A44" s="169" t="s">
        <v>293</v>
      </c>
      <c r="B44" s="157">
        <f>B41-C42</f>
        <v>87768</v>
      </c>
      <c r="D44" s="10"/>
      <c r="E44" s="92" t="s">
        <v>112</v>
      </c>
      <c r="F44" s="92"/>
      <c r="G44" s="12" t="s">
        <v>113</v>
      </c>
      <c r="H44" s="12" t="s">
        <v>114</v>
      </c>
      <c r="I44" s="129"/>
    </row>
    <row r="45" spans="1:13" x14ac:dyDescent="0.25">
      <c r="A45" s="170" t="s">
        <v>316</v>
      </c>
      <c r="B45" s="10"/>
      <c r="C45" s="159">
        <v>30000</v>
      </c>
      <c r="D45" s="10"/>
      <c r="E45" s="12" t="s">
        <v>317</v>
      </c>
      <c r="F45" s="12"/>
      <c r="G45" s="12" t="s">
        <v>305</v>
      </c>
      <c r="H45" s="129"/>
      <c r="I45" s="129"/>
    </row>
    <row r="46" spans="1:13" x14ac:dyDescent="0.25">
      <c r="A46" s="10" t="s">
        <v>337</v>
      </c>
      <c r="B46" s="10"/>
      <c r="C46" s="10">
        <v>57768</v>
      </c>
      <c r="D46" s="10"/>
      <c r="E46" s="129"/>
      <c r="F46" s="129"/>
      <c r="G46" s="129"/>
      <c r="H46" s="129"/>
      <c r="I46" s="129"/>
    </row>
    <row r="47" spans="1:13" x14ac:dyDescent="0.25">
      <c r="D47" s="10"/>
      <c r="E47" s="12" t="s">
        <v>116</v>
      </c>
      <c r="F47" s="129" t="s">
        <v>318</v>
      </c>
      <c r="G47" s="129"/>
      <c r="H47" s="129"/>
      <c r="I47" s="129"/>
    </row>
    <row r="48" spans="1:13" x14ac:dyDescent="0.25">
      <c r="A48" s="158"/>
      <c r="B48" s="158"/>
      <c r="C48" s="159"/>
      <c r="D48" s="10"/>
      <c r="E48" s="12"/>
      <c r="F48" s="129"/>
      <c r="G48" s="129"/>
      <c r="H48" s="129"/>
      <c r="I48" s="129"/>
    </row>
    <row r="49" spans="1:9" x14ac:dyDescent="0.25">
      <c r="A49" s="170"/>
      <c r="B49" s="10"/>
      <c r="C49" s="10"/>
      <c r="D49" s="157"/>
      <c r="E49" s="96"/>
      <c r="F49" s="129"/>
      <c r="G49" s="12"/>
      <c r="H49" s="12"/>
      <c r="I49" s="129"/>
    </row>
    <row r="50" spans="1:9" x14ac:dyDescent="0.25">
      <c r="A50" s="171" t="s">
        <v>4</v>
      </c>
      <c r="B50" s="155">
        <f>B41+B43</f>
        <v>95400</v>
      </c>
      <c r="C50" s="155">
        <f>SUM(C42:C49)</f>
        <v>95400</v>
      </c>
      <c r="D50" s="155">
        <f>B50-C50</f>
        <v>0</v>
      </c>
      <c r="E50" s="12"/>
      <c r="F50" s="129"/>
      <c r="G50" s="12" t="s">
        <v>336</v>
      </c>
      <c r="H50" s="12"/>
      <c r="I50" s="129"/>
    </row>
    <row r="51" spans="1:9" x14ac:dyDescent="0.25">
      <c r="A51" s="129"/>
      <c r="B51" s="129"/>
      <c r="C51" s="129"/>
      <c r="D51" s="129"/>
      <c r="E51" s="129"/>
      <c r="F51" s="129"/>
      <c r="G51" s="12"/>
      <c r="H51" s="129"/>
      <c r="I51" s="129"/>
    </row>
  </sheetData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7" workbookViewId="0">
      <selection activeCell="H31" sqref="H31"/>
    </sheetView>
  </sheetViews>
  <sheetFormatPr defaultRowHeight="15" x14ac:dyDescent="0.25"/>
  <cols>
    <col min="1" max="1" width="13.140625" customWidth="1"/>
    <col min="2" max="2" width="11.5703125" customWidth="1"/>
    <col min="3" max="3" width="11.42578125" customWidth="1"/>
    <col min="4" max="4" width="7.85546875" customWidth="1"/>
    <col min="5" max="5" width="8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</row>
    <row r="2" spans="1:10" ht="15.75" x14ac:dyDescent="0.25">
      <c r="A2" s="98" t="s">
        <v>339</v>
      </c>
      <c r="B2" s="98"/>
      <c r="C2" s="98"/>
      <c r="D2" s="98"/>
      <c r="E2" s="129"/>
      <c r="F2" s="98"/>
      <c r="G2" s="98"/>
      <c r="H2" s="98"/>
      <c r="I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E4+F4+G4</f>
        <v>4600</v>
      </c>
      <c r="I4" s="10">
        <v>4600</v>
      </c>
      <c r="J4" s="10">
        <f>H4-I4</f>
        <v>0</v>
      </c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>
        <v>3400</v>
      </c>
      <c r="J5" s="10">
        <f t="shared" ref="J5:J38" si="1">H5-I5</f>
        <v>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3800</v>
      </c>
      <c r="J7" s="10">
        <f t="shared" si="1"/>
        <v>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3900</v>
      </c>
      <c r="F8" s="174">
        <v>100</v>
      </c>
      <c r="G8" s="174">
        <v>3600</v>
      </c>
      <c r="H8" s="174">
        <f t="shared" si="0"/>
        <v>7600</v>
      </c>
      <c r="I8" s="10">
        <v>7600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>
        <v>3000</v>
      </c>
      <c r="F10" s="174">
        <v>100</v>
      </c>
      <c r="G10" s="174">
        <v>2700</v>
      </c>
      <c r="H10" s="174">
        <f t="shared" si="0"/>
        <v>5800</v>
      </c>
      <c r="I10" s="10">
        <v>3000</v>
      </c>
      <c r="J10" s="10">
        <f t="shared" si="1"/>
        <v>2800</v>
      </c>
    </row>
    <row r="11" spans="1:10" x14ac:dyDescent="0.25">
      <c r="A11" s="129"/>
      <c r="B11" s="173">
        <v>8</v>
      </c>
      <c r="C11" s="178"/>
      <c r="D11" s="178"/>
      <c r="E11" s="174"/>
      <c r="F11" s="174"/>
      <c r="G11" s="174"/>
      <c r="H11" s="174">
        <f t="shared" si="0"/>
        <v>0</v>
      </c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600</v>
      </c>
      <c r="F12" s="174">
        <v>100</v>
      </c>
      <c r="G12" s="174">
        <v>2700</v>
      </c>
      <c r="H12" s="174">
        <f t="shared" si="0"/>
        <v>3400</v>
      </c>
      <c r="I12" s="10">
        <v>2200</v>
      </c>
      <c r="J12" s="10">
        <f t="shared" si="1"/>
        <v>1200</v>
      </c>
    </row>
    <row r="13" spans="1:10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0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0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/>
      <c r="J19" s="10">
        <f t="shared" si="1"/>
        <v>2800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0" x14ac:dyDescent="0.25">
      <c r="A21" s="172" t="s">
        <v>267</v>
      </c>
      <c r="B21" s="173">
        <v>18</v>
      </c>
      <c r="C21" s="178"/>
      <c r="D21" s="178"/>
      <c r="E21" s="174"/>
      <c r="F21" s="174"/>
      <c r="G21" s="174"/>
      <c r="H21" s="174">
        <f t="shared" si="0"/>
        <v>0</v>
      </c>
      <c r="I21" s="10"/>
      <c r="J21" s="10">
        <f t="shared" si="1"/>
        <v>0</v>
      </c>
    </row>
    <row r="22" spans="1:10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2800</v>
      </c>
      <c r="J22" s="10">
        <f t="shared" si="1"/>
        <v>0</v>
      </c>
    </row>
    <row r="23" spans="1:10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10"/>
      <c r="J23" s="10">
        <f t="shared" si="1"/>
        <v>2800</v>
      </c>
    </row>
    <row r="24" spans="1:10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10">
        <v>2000</v>
      </c>
      <c r="J24" s="10">
        <f t="shared" si="1"/>
        <v>800</v>
      </c>
    </row>
    <row r="25" spans="1:10" x14ac:dyDescent="0.25">
      <c r="A25" s="172" t="s">
        <v>267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  <c r="I25" s="10"/>
      <c r="J25" s="10">
        <f t="shared" si="1"/>
        <v>2800</v>
      </c>
    </row>
    <row r="26" spans="1:10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  <c r="I26" s="10">
        <v>3500</v>
      </c>
      <c r="J26" s="10">
        <f t="shared" si="1"/>
        <v>100</v>
      </c>
    </row>
    <row r="27" spans="1:10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10"/>
      <c r="J28" s="10">
        <f t="shared" si="1"/>
        <v>3700</v>
      </c>
    </row>
    <row r="29" spans="1:10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3800</v>
      </c>
      <c r="J29" s="10">
        <f t="shared" si="1"/>
        <v>0</v>
      </c>
    </row>
    <row r="30" spans="1:10" x14ac:dyDescent="0.25">
      <c r="A30" s="172" t="s">
        <v>163</v>
      </c>
      <c r="B30" s="173">
        <v>27</v>
      </c>
      <c r="C30" s="178"/>
      <c r="D30" s="178"/>
      <c r="E30" s="177">
        <v>5700</v>
      </c>
      <c r="F30" s="174">
        <v>100</v>
      </c>
      <c r="G30" s="177">
        <v>3500</v>
      </c>
      <c r="H30" s="174">
        <f t="shared" si="0"/>
        <v>9300</v>
      </c>
      <c r="I30" s="10">
        <v>4700</v>
      </c>
      <c r="J30" s="10">
        <f t="shared" si="1"/>
        <v>4600</v>
      </c>
    </row>
    <row r="31" spans="1:10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10"/>
      <c r="J31" s="10">
        <f t="shared" si="1"/>
        <v>3600</v>
      </c>
    </row>
    <row r="32" spans="1:10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/>
      <c r="J32" s="10">
        <f t="shared" si="1"/>
        <v>3400</v>
      </c>
    </row>
    <row r="33" spans="1:15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>
        <v>3400</v>
      </c>
      <c r="J33" s="10">
        <f t="shared" si="1"/>
        <v>0</v>
      </c>
    </row>
    <row r="34" spans="1:15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>
        <v>3200</v>
      </c>
      <c r="J34" s="10">
        <f t="shared" si="1"/>
        <v>0</v>
      </c>
    </row>
    <row r="35" spans="1:15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5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10">
        <v>3300</v>
      </c>
      <c r="J36" s="10">
        <f t="shared" si="1"/>
        <v>100</v>
      </c>
    </row>
    <row r="37" spans="1:15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/>
      <c r="J37" s="10">
        <f t="shared" si="1"/>
        <v>3100</v>
      </c>
    </row>
    <row r="38" spans="1:15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111700</v>
      </c>
      <c r="I38" s="10">
        <f>SUM(I4:I37)</f>
        <v>79900</v>
      </c>
      <c r="J38" s="10">
        <f t="shared" si="1"/>
        <v>31800</v>
      </c>
    </row>
    <row r="39" spans="1:15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</row>
    <row r="40" spans="1:15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O40">
        <v>3000</v>
      </c>
    </row>
    <row r="41" spans="1:15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  <c r="I41" s="129"/>
      <c r="O41">
        <v>2200</v>
      </c>
    </row>
    <row r="42" spans="1:15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  <c r="I42" s="129"/>
      <c r="O42">
        <v>800</v>
      </c>
    </row>
    <row r="43" spans="1:15" x14ac:dyDescent="0.25">
      <c r="A43" s="10"/>
      <c r="B43" s="157"/>
      <c r="C43" s="129"/>
      <c r="D43" s="10"/>
      <c r="E43" s="129"/>
      <c r="F43" s="129"/>
      <c r="G43" s="129"/>
      <c r="H43" s="129"/>
      <c r="I43" s="129"/>
      <c r="O43">
        <f>SUM(O40:O42)</f>
        <v>6000</v>
      </c>
    </row>
    <row r="44" spans="1:15" x14ac:dyDescent="0.25">
      <c r="A44" s="169" t="s">
        <v>293</v>
      </c>
      <c r="B44" s="157">
        <f>B41-C42</f>
        <v>87768</v>
      </c>
      <c r="C44" s="129"/>
      <c r="D44" s="10"/>
      <c r="E44" s="92" t="s">
        <v>112</v>
      </c>
      <c r="F44" s="92"/>
      <c r="G44" s="12" t="s">
        <v>113</v>
      </c>
      <c r="H44" s="12" t="s">
        <v>114</v>
      </c>
      <c r="I44" s="129"/>
    </row>
    <row r="45" spans="1:15" x14ac:dyDescent="0.25">
      <c r="A45" s="170" t="s">
        <v>316</v>
      </c>
      <c r="B45" s="10"/>
      <c r="C45" s="159">
        <v>30000</v>
      </c>
      <c r="D45" s="10"/>
      <c r="E45" s="12" t="s">
        <v>317</v>
      </c>
      <c r="F45" s="12"/>
      <c r="G45" s="12" t="s">
        <v>305</v>
      </c>
      <c r="H45" s="129"/>
      <c r="I45" s="129"/>
    </row>
    <row r="46" spans="1:15" x14ac:dyDescent="0.25">
      <c r="A46" s="10" t="s">
        <v>319</v>
      </c>
      <c r="B46" s="10"/>
      <c r="C46" s="10">
        <v>2000</v>
      </c>
      <c r="D46" s="10"/>
      <c r="E46" s="129"/>
      <c r="F46" s="129"/>
      <c r="G46" s="129"/>
      <c r="H46" s="129"/>
      <c r="I46" s="129"/>
    </row>
    <row r="47" spans="1:15" x14ac:dyDescent="0.25">
      <c r="A47" s="185" t="s">
        <v>221</v>
      </c>
      <c r="B47" s="129"/>
      <c r="C47" s="129">
        <v>1000</v>
      </c>
      <c r="D47" s="10"/>
      <c r="E47" s="12" t="s">
        <v>116</v>
      </c>
      <c r="F47" s="129" t="s">
        <v>318</v>
      </c>
      <c r="G47" s="129"/>
      <c r="H47" s="129"/>
      <c r="I47" s="129"/>
    </row>
    <row r="48" spans="1:15" x14ac:dyDescent="0.25">
      <c r="A48" s="158" t="s">
        <v>338</v>
      </c>
      <c r="B48" s="158"/>
      <c r="C48" s="159">
        <v>3600</v>
      </c>
      <c r="D48" s="10"/>
      <c r="E48" s="12"/>
      <c r="F48" s="129"/>
      <c r="G48" s="129"/>
      <c r="H48" s="129"/>
      <c r="I48" s="129"/>
    </row>
    <row r="49" spans="1:12" x14ac:dyDescent="0.25">
      <c r="A49" s="170" t="s">
        <v>340</v>
      </c>
      <c r="B49" s="10"/>
      <c r="C49" s="10">
        <v>51168</v>
      </c>
      <c r="D49" s="157"/>
      <c r="E49" s="96"/>
      <c r="F49" s="129"/>
      <c r="G49" s="12"/>
      <c r="H49" s="12"/>
      <c r="I49" s="129"/>
      <c r="J49" s="186"/>
      <c r="K49">
        <f>I49*J49</f>
        <v>0</v>
      </c>
      <c r="L49">
        <f>I49-K49</f>
        <v>0</v>
      </c>
    </row>
    <row r="50" spans="1:12" x14ac:dyDescent="0.25">
      <c r="A50" s="171" t="s">
        <v>4</v>
      </c>
      <c r="B50" s="155">
        <v>87768</v>
      </c>
      <c r="C50" s="155">
        <f>SUM(C45:C49)</f>
        <v>87768</v>
      </c>
      <c r="D50" s="155">
        <f>B50-C50</f>
        <v>0</v>
      </c>
      <c r="E50" s="12"/>
      <c r="F50" s="129"/>
      <c r="G50" s="12" t="s">
        <v>336</v>
      </c>
      <c r="H50" s="12"/>
      <c r="I50" s="129"/>
    </row>
    <row r="51" spans="1:12" x14ac:dyDescent="0.25">
      <c r="A51" s="129"/>
      <c r="B51" s="129"/>
      <c r="C51" s="129"/>
      <c r="D51" s="129"/>
      <c r="E51" s="129"/>
      <c r="F51" s="129"/>
      <c r="G51" s="12"/>
      <c r="H51" s="129"/>
      <c r="I51" s="129"/>
    </row>
    <row r="52" spans="1:12" x14ac:dyDescent="0.25">
      <c r="A52" s="129"/>
      <c r="B52" s="129"/>
      <c r="C52" s="129"/>
      <c r="D52" s="129"/>
      <c r="E52" s="129"/>
      <c r="F52" s="129"/>
      <c r="G52" s="129"/>
      <c r="H52" s="129"/>
      <c r="I52" s="129"/>
    </row>
  </sheetData>
  <pageMargins left="0.25" right="0.25" top="0.25" bottom="0.2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7" workbookViewId="0">
      <selection activeCell="F49" sqref="F49"/>
    </sheetView>
  </sheetViews>
  <sheetFormatPr defaultRowHeight="15" x14ac:dyDescent="0.25"/>
  <cols>
    <col min="1" max="1" width="14.7109375" customWidth="1"/>
    <col min="2" max="2" width="10.42578125" customWidth="1"/>
    <col min="3" max="3" width="11.5703125" customWidth="1"/>
    <col min="4" max="4" width="10.710937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341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E4+F4+G4</f>
        <v>4600</v>
      </c>
      <c r="I4" s="10">
        <v>4600</v>
      </c>
      <c r="J4" s="10">
        <f>H4-I4</f>
        <v>0</v>
      </c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/>
      <c r="J5" s="10">
        <f t="shared" ref="J5:J37" si="1">H5-I5</f>
        <v>3400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</row>
    <row r="11" spans="1:10" x14ac:dyDescent="0.25">
      <c r="A11" s="175" t="s">
        <v>345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/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</row>
    <row r="13" spans="1:10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0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0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>
        <v>2800</v>
      </c>
      <c r="J19" s="10">
        <f t="shared" si="1"/>
        <v>0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0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</row>
    <row r="22" spans="1:10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2800</v>
      </c>
      <c r="J22" s="10">
        <f t="shared" si="1"/>
        <v>0</v>
      </c>
    </row>
    <row r="23" spans="1:10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0">
        <v>4000</v>
      </c>
      <c r="J23" s="10">
        <f t="shared" si="1"/>
        <v>1600</v>
      </c>
    </row>
    <row r="24" spans="1:10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0">
        <v>3600</v>
      </c>
      <c r="J24" s="10">
        <f t="shared" si="1"/>
        <v>0</v>
      </c>
    </row>
    <row r="25" spans="1:10" x14ac:dyDescent="0.25">
      <c r="A25" s="172" t="s">
        <v>267</v>
      </c>
      <c r="B25" s="173">
        <v>22</v>
      </c>
      <c r="C25" s="178"/>
      <c r="D25" s="178"/>
      <c r="E25" s="174">
        <v>2800</v>
      </c>
      <c r="F25" s="174">
        <v>100</v>
      </c>
      <c r="G25" s="174">
        <v>2700</v>
      </c>
      <c r="H25" s="174">
        <f t="shared" si="0"/>
        <v>5600</v>
      </c>
      <c r="I25" s="10"/>
      <c r="J25" s="10">
        <f t="shared" si="1"/>
        <v>5600</v>
      </c>
    </row>
    <row r="26" spans="1:10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0">
        <v>3700</v>
      </c>
      <c r="J26" s="10">
        <f t="shared" si="1"/>
        <v>0</v>
      </c>
    </row>
    <row r="27" spans="1:10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0">
        <v>4000</v>
      </c>
      <c r="J28" s="10">
        <f t="shared" si="1"/>
        <v>0</v>
      </c>
    </row>
    <row r="29" spans="1:10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3700</v>
      </c>
      <c r="J29" s="10">
        <f t="shared" si="1"/>
        <v>100</v>
      </c>
    </row>
    <row r="30" spans="1:10" x14ac:dyDescent="0.25">
      <c r="A30" s="172" t="s">
        <v>64</v>
      </c>
      <c r="B30" s="173">
        <v>27</v>
      </c>
      <c r="C30" s="178"/>
      <c r="D30" s="178"/>
      <c r="E30" s="177"/>
      <c r="F30" s="174"/>
      <c r="G30" s="177"/>
      <c r="H30" s="174"/>
      <c r="I30" s="10"/>
      <c r="J30" s="10">
        <f t="shared" si="1"/>
        <v>0</v>
      </c>
    </row>
    <row r="31" spans="1:10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0">
        <v>4850</v>
      </c>
      <c r="J31" s="10">
        <f t="shared" si="1"/>
        <v>2350</v>
      </c>
    </row>
    <row r="32" spans="1:10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>
        <v>3100</v>
      </c>
      <c r="J32" s="10">
        <f t="shared" si="1"/>
        <v>300</v>
      </c>
    </row>
    <row r="33" spans="1:10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J33" s="10">
        <f t="shared" si="1"/>
        <v>3400</v>
      </c>
    </row>
    <row r="34" spans="1:10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>
        <v>3200</v>
      </c>
      <c r="J34" s="10">
        <f t="shared" si="1"/>
        <v>0</v>
      </c>
    </row>
    <row r="35" spans="1:10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0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</row>
    <row r="37" spans="1:10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>
        <f t="shared" si="1"/>
        <v>-100</v>
      </c>
    </row>
    <row r="38" spans="1:10" x14ac:dyDescent="0.25">
      <c r="A38" s="33" t="s">
        <v>25</v>
      </c>
      <c r="B38" s="10"/>
      <c r="C38" s="10"/>
      <c r="D38" s="10"/>
      <c r="E38" s="10">
        <f>SUM(E4:E37)</f>
        <v>11700</v>
      </c>
      <c r="F38" s="10">
        <f>SUM(F4:F37)</f>
        <v>3100</v>
      </c>
      <c r="G38" s="10">
        <f>SUM(G4:G37)</f>
        <v>94900</v>
      </c>
      <c r="H38" s="10">
        <f>SUM(H4:H37)</f>
        <v>109700</v>
      </c>
      <c r="I38" s="10">
        <f>SUM(I4:I37)</f>
        <v>91150</v>
      </c>
      <c r="J38" s="10">
        <f>J5+J7+J12+J23+J25+J29+J31+J32+J33+J36+J37</f>
        <v>18550</v>
      </c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0" x14ac:dyDescent="0.25">
      <c r="A41" s="105" t="s">
        <v>291</v>
      </c>
      <c r="B41" s="155">
        <f>G38</f>
        <v>94900</v>
      </c>
      <c r="C41" s="10">
        <v>0</v>
      </c>
      <c r="D41" s="10"/>
      <c r="E41" s="129"/>
      <c r="F41" s="129"/>
      <c r="G41" s="129"/>
      <c r="H41" s="129"/>
      <c r="I41" s="129"/>
      <c r="J41" s="129"/>
    </row>
    <row r="42" spans="1:10" x14ac:dyDescent="0.25">
      <c r="A42" s="10" t="s">
        <v>292</v>
      </c>
      <c r="B42" s="156">
        <v>0.08</v>
      </c>
      <c r="C42" s="157">
        <f>B42*B41</f>
        <v>7592</v>
      </c>
      <c r="D42" s="10"/>
      <c r="E42" s="129"/>
      <c r="F42" s="129"/>
      <c r="G42" s="129"/>
      <c r="H42" s="129"/>
      <c r="I42" s="129"/>
      <c r="J42" s="129"/>
    </row>
    <row r="43" spans="1:10" x14ac:dyDescent="0.25">
      <c r="A43" s="10"/>
      <c r="B43" s="157"/>
      <c r="C43" s="129"/>
      <c r="D43" s="10"/>
      <c r="E43" s="129"/>
      <c r="F43" s="129"/>
      <c r="G43" s="129"/>
      <c r="H43" s="129"/>
      <c r="I43" s="129"/>
      <c r="J43" s="129"/>
    </row>
    <row r="44" spans="1:10" x14ac:dyDescent="0.25">
      <c r="A44" s="169" t="s">
        <v>293</v>
      </c>
      <c r="B44" s="157">
        <f>B41-C42</f>
        <v>87308</v>
      </c>
      <c r="C44" s="129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</row>
    <row r="45" spans="1:10" x14ac:dyDescent="0.25">
      <c r="A45" s="170" t="s">
        <v>316</v>
      </c>
      <c r="B45" s="10"/>
      <c r="C45" s="159">
        <v>30000</v>
      </c>
      <c r="D45" s="10"/>
      <c r="E45" s="12" t="s">
        <v>317</v>
      </c>
      <c r="F45" s="12"/>
      <c r="G45" s="12" t="s">
        <v>305</v>
      </c>
      <c r="H45" s="129"/>
      <c r="I45" s="129"/>
      <c r="J45" s="129"/>
    </row>
    <row r="46" spans="1:10" x14ac:dyDescent="0.25">
      <c r="A46" s="10" t="s">
        <v>221</v>
      </c>
      <c r="B46" s="10"/>
      <c r="C46" s="10">
        <v>1200</v>
      </c>
      <c r="D46" s="10"/>
      <c r="E46" s="129"/>
      <c r="F46" s="129"/>
      <c r="G46" s="129"/>
      <c r="H46" s="129"/>
      <c r="I46" s="129"/>
      <c r="J46" s="129"/>
    </row>
    <row r="47" spans="1:10" x14ac:dyDescent="0.25">
      <c r="A47" s="185" t="s">
        <v>342</v>
      </c>
      <c r="B47" s="129"/>
      <c r="C47" s="129">
        <f>H15</f>
        <v>2800</v>
      </c>
      <c r="D47" s="10"/>
      <c r="E47" s="12" t="s">
        <v>116</v>
      </c>
      <c r="F47" s="129" t="s">
        <v>318</v>
      </c>
      <c r="G47" s="129"/>
      <c r="H47" s="129"/>
      <c r="I47" s="129"/>
      <c r="J47" s="129"/>
    </row>
    <row r="48" spans="1:10" x14ac:dyDescent="0.25">
      <c r="A48" s="158" t="s">
        <v>343</v>
      </c>
      <c r="B48" s="158"/>
      <c r="C48" s="159">
        <v>55792</v>
      </c>
      <c r="D48" s="10"/>
      <c r="E48" s="12"/>
      <c r="F48" s="129"/>
      <c r="G48" s="129"/>
      <c r="H48" s="129"/>
      <c r="I48" s="191">
        <f>C45+C48</f>
        <v>85792</v>
      </c>
      <c r="J48" s="129"/>
    </row>
    <row r="49" spans="1:10" x14ac:dyDescent="0.25">
      <c r="A49" s="170"/>
      <c r="B49" s="10"/>
      <c r="C49" s="10"/>
      <c r="D49" s="157"/>
      <c r="E49" s="96"/>
      <c r="F49" s="129"/>
      <c r="G49" s="12"/>
      <c r="H49" s="12"/>
      <c r="I49" s="129"/>
      <c r="J49" s="186"/>
    </row>
    <row r="50" spans="1:10" x14ac:dyDescent="0.25">
      <c r="A50" s="171" t="s">
        <v>4</v>
      </c>
      <c r="B50" s="155">
        <f>B44</f>
        <v>87308</v>
      </c>
      <c r="C50" s="155">
        <f>SUM(C45:C49)</f>
        <v>89792</v>
      </c>
      <c r="D50" s="155">
        <f>B50-C50</f>
        <v>-2484</v>
      </c>
      <c r="E50" s="12"/>
      <c r="F50" s="129"/>
      <c r="G50" s="12" t="s">
        <v>336</v>
      </c>
      <c r="H50" s="12"/>
      <c r="I50" s="129"/>
      <c r="J50" s="129"/>
    </row>
    <row r="51" spans="1:10" x14ac:dyDescent="0.25">
      <c r="A51" s="129"/>
      <c r="B51" s="129"/>
      <c r="C51" s="129"/>
      <c r="D51" s="129"/>
      <c r="E51" s="129"/>
      <c r="F51" s="129"/>
      <c r="G51" s="12"/>
      <c r="H51" s="129"/>
      <c r="I51" s="129"/>
      <c r="J51" s="129"/>
    </row>
  </sheetData>
  <pageMargins left="0.25" right="0.25" top="0.25" bottom="0.25" header="0.3" footer="0.3"/>
  <pageSetup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7" workbookViewId="0">
      <selection activeCell="H47" sqref="H47"/>
    </sheetView>
  </sheetViews>
  <sheetFormatPr defaultRowHeight="15" x14ac:dyDescent="0.25"/>
  <cols>
    <col min="1" max="1" width="13.5703125" customWidth="1"/>
    <col min="2" max="2" width="12.5703125" customWidth="1"/>
    <col min="3" max="3" width="11.5703125" customWidth="1"/>
    <col min="4" max="4" width="9.28515625" customWidth="1"/>
    <col min="5" max="5" width="6.42578125" customWidth="1"/>
    <col min="6" max="6" width="7.140625" customWidth="1"/>
    <col min="7" max="7" width="7.5703125" customWidth="1"/>
    <col min="8" max="8" width="8.28515625" customWidth="1"/>
    <col min="9" max="9" width="7" customWidth="1"/>
    <col min="10" max="10" width="7.710937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351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10">
        <v>4600</v>
      </c>
      <c r="J4" s="10"/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/>
      <c r="J5" s="10">
        <f t="shared" ref="J5:J36" si="1">H5-I5</f>
        <v>3400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</row>
    <row r="11" spans="1:10" x14ac:dyDescent="0.25">
      <c r="A11" s="175" t="s">
        <v>345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</row>
    <row r="13" spans="1:10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4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4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4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10">
        <v>2800</v>
      </c>
      <c r="J19" s="10">
        <f t="shared" si="1"/>
        <v>2000</v>
      </c>
    </row>
    <row r="20" spans="1:14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4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</row>
    <row r="22" spans="1:14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2800</v>
      </c>
      <c r="J22" s="10">
        <f t="shared" si="1"/>
        <v>0</v>
      </c>
      <c r="N22">
        <v>3000</v>
      </c>
    </row>
    <row r="23" spans="1:14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0">
        <v>4000</v>
      </c>
      <c r="J23" s="10">
        <f t="shared" si="1"/>
        <v>1600</v>
      </c>
      <c r="N23">
        <v>2700</v>
      </c>
    </row>
    <row r="24" spans="1:14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0">
        <v>3600</v>
      </c>
      <c r="J24" s="10">
        <f t="shared" si="1"/>
        <v>0</v>
      </c>
      <c r="N24">
        <v>8000</v>
      </c>
    </row>
    <row r="25" spans="1:14" x14ac:dyDescent="0.25">
      <c r="A25" s="172" t="s">
        <v>267</v>
      </c>
      <c r="B25" s="173">
        <v>22</v>
      </c>
      <c r="C25" s="178"/>
      <c r="D25" s="178"/>
      <c r="E25" s="174">
        <v>2800</v>
      </c>
      <c r="F25" s="174">
        <v>100</v>
      </c>
      <c r="G25" s="174">
        <v>2700</v>
      </c>
      <c r="H25" s="174">
        <f t="shared" si="0"/>
        <v>5600</v>
      </c>
      <c r="I25" s="10"/>
      <c r="J25" s="10">
        <f t="shared" si="1"/>
        <v>5600</v>
      </c>
    </row>
    <row r="26" spans="1:14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0">
        <v>3700</v>
      </c>
      <c r="J26" s="10">
        <f t="shared" si="1"/>
        <v>0</v>
      </c>
    </row>
    <row r="27" spans="1:14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4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0">
        <v>4000</v>
      </c>
      <c r="J28" s="10">
        <f t="shared" si="1"/>
        <v>0</v>
      </c>
    </row>
    <row r="29" spans="1:14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3700</v>
      </c>
      <c r="J29" s="10">
        <f t="shared" si="1"/>
        <v>100</v>
      </c>
    </row>
    <row r="30" spans="1:14" x14ac:dyDescent="0.25">
      <c r="A30" s="172" t="s">
        <v>64</v>
      </c>
      <c r="B30" s="173">
        <v>27</v>
      </c>
      <c r="C30" s="178"/>
      <c r="D30" s="178"/>
      <c r="E30" s="177"/>
      <c r="F30" s="174">
        <v>100</v>
      </c>
      <c r="G30" s="177">
        <v>3000</v>
      </c>
      <c r="H30" s="174">
        <f t="shared" si="0"/>
        <v>3100</v>
      </c>
      <c r="I30" s="10"/>
      <c r="J30" s="10">
        <f t="shared" si="1"/>
        <v>3100</v>
      </c>
    </row>
    <row r="31" spans="1:14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0">
        <v>4850</v>
      </c>
      <c r="J31" s="10">
        <f t="shared" si="1"/>
        <v>2350</v>
      </c>
    </row>
    <row r="32" spans="1:14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>
        <v>3100</v>
      </c>
      <c r="J32" s="10">
        <f t="shared" si="1"/>
        <v>300</v>
      </c>
    </row>
    <row r="33" spans="1:10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J33" s="10">
        <f t="shared" si="1"/>
        <v>3400</v>
      </c>
    </row>
    <row r="34" spans="1:10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>E34+F34+G34</f>
        <v>3200</v>
      </c>
      <c r="I34" s="10">
        <v>3200</v>
      </c>
      <c r="J34" s="10">
        <f t="shared" si="1"/>
        <v>0</v>
      </c>
    </row>
    <row r="35" spans="1:10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0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</row>
    <row r="37" spans="1:10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/>
    </row>
    <row r="38" spans="1:10" x14ac:dyDescent="0.25">
      <c r="A38" s="33" t="s">
        <v>25</v>
      </c>
      <c r="B38" s="10"/>
      <c r="C38" s="10"/>
      <c r="D38" s="10"/>
      <c r="E38" s="10">
        <f t="shared" ref="E38:J38" si="2">SUM(E4:E37)</f>
        <v>13700</v>
      </c>
      <c r="F38" s="10">
        <f t="shared" si="2"/>
        <v>3200</v>
      </c>
      <c r="G38" s="10">
        <f t="shared" si="2"/>
        <v>97800</v>
      </c>
      <c r="H38" s="10">
        <f t="shared" si="2"/>
        <v>114700</v>
      </c>
      <c r="I38" s="10">
        <f t="shared" si="2"/>
        <v>91150</v>
      </c>
      <c r="J38" s="10">
        <f t="shared" si="2"/>
        <v>23750</v>
      </c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0" x14ac:dyDescent="0.25">
      <c r="A41" s="105" t="s">
        <v>291</v>
      </c>
      <c r="B41" s="155">
        <f>G38</f>
        <v>97800</v>
      </c>
      <c r="C41" s="10">
        <v>0</v>
      </c>
      <c r="D41" s="10"/>
      <c r="E41" s="129"/>
      <c r="F41" s="129"/>
      <c r="G41" s="129"/>
      <c r="H41" s="20"/>
      <c r="I41" s="129"/>
      <c r="J41" s="129"/>
    </row>
    <row r="42" spans="1:10" x14ac:dyDescent="0.25">
      <c r="A42" s="10" t="s">
        <v>292</v>
      </c>
      <c r="B42" s="156">
        <v>0.08</v>
      </c>
      <c r="C42" s="157">
        <f>B42*B41</f>
        <v>7824</v>
      </c>
      <c r="D42" s="10"/>
      <c r="E42" s="129"/>
      <c r="F42" s="129"/>
      <c r="G42" s="129"/>
      <c r="H42" s="129"/>
      <c r="I42" s="129"/>
      <c r="J42" s="129"/>
    </row>
    <row r="43" spans="1:10" x14ac:dyDescent="0.25">
      <c r="A43" s="10" t="s">
        <v>348</v>
      </c>
      <c r="B43" s="54">
        <v>3000</v>
      </c>
      <c r="C43" s="10"/>
      <c r="D43" s="163"/>
      <c r="E43" s="129"/>
      <c r="F43" s="129"/>
      <c r="G43" s="129"/>
      <c r="H43" s="129"/>
      <c r="I43" s="129"/>
      <c r="J43" s="129"/>
    </row>
    <row r="44" spans="1:10" x14ac:dyDescent="0.25">
      <c r="A44" t="s">
        <v>349</v>
      </c>
      <c r="B44">
        <v>3500</v>
      </c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</row>
    <row r="45" spans="1:10" x14ac:dyDescent="0.25">
      <c r="A45" t="s">
        <v>355</v>
      </c>
      <c r="B45">
        <v>-2484</v>
      </c>
      <c r="C45" s="10"/>
      <c r="D45" s="10"/>
      <c r="E45" s="12" t="s">
        <v>317</v>
      </c>
      <c r="F45" s="12"/>
      <c r="G45" s="12" t="s">
        <v>305</v>
      </c>
      <c r="H45" s="129"/>
      <c r="I45" s="129"/>
      <c r="J45" s="129"/>
    </row>
    <row r="46" spans="1:10" s="129" customFormat="1" x14ac:dyDescent="0.25">
      <c r="B46" s="20">
        <f>B41+B43+B44+B45</f>
        <v>101816</v>
      </c>
      <c r="C46" s="10"/>
      <c r="D46" s="10"/>
      <c r="E46" s="12"/>
      <c r="F46" s="12"/>
      <c r="G46" s="12"/>
    </row>
    <row r="47" spans="1:10" x14ac:dyDescent="0.25">
      <c r="A47" s="169" t="s">
        <v>293</v>
      </c>
      <c r="B47" s="54"/>
      <c r="C47" s="10"/>
      <c r="D47" s="163"/>
      <c r="E47" s="129"/>
      <c r="F47" s="129"/>
      <c r="G47" s="129"/>
      <c r="H47" s="129"/>
      <c r="I47" s="129"/>
      <c r="J47" s="129"/>
    </row>
    <row r="48" spans="1:10" x14ac:dyDescent="0.25">
      <c r="A48" s="170" t="s">
        <v>316</v>
      </c>
      <c r="B48" s="10"/>
      <c r="C48" s="159">
        <v>30000</v>
      </c>
      <c r="D48" s="10"/>
      <c r="E48" s="12" t="s">
        <v>116</v>
      </c>
      <c r="F48" s="129" t="s">
        <v>318</v>
      </c>
      <c r="G48" s="129"/>
      <c r="H48" s="129"/>
      <c r="I48" s="129"/>
      <c r="J48" s="129"/>
    </row>
    <row r="49" spans="1:10" x14ac:dyDescent="0.25">
      <c r="A49" s="10" t="s">
        <v>221</v>
      </c>
      <c r="B49" s="10"/>
      <c r="C49" s="10"/>
      <c r="D49" s="10"/>
      <c r="E49" s="96"/>
      <c r="F49" s="129"/>
      <c r="G49" s="12"/>
      <c r="H49" s="12"/>
      <c r="I49" s="129"/>
      <c r="J49" s="186"/>
    </row>
    <row r="50" spans="1:10" x14ac:dyDescent="0.25">
      <c r="A50" s="158" t="s">
        <v>357</v>
      </c>
      <c r="B50" s="158"/>
      <c r="C50" s="159">
        <v>62336</v>
      </c>
      <c r="D50" s="10"/>
      <c r="E50" s="129"/>
      <c r="F50" s="129"/>
      <c r="G50" s="12"/>
      <c r="H50" s="129"/>
      <c r="I50" s="129"/>
      <c r="J50" s="129"/>
    </row>
    <row r="51" spans="1:10" x14ac:dyDescent="0.25">
      <c r="A51" s="171" t="s">
        <v>4</v>
      </c>
      <c r="B51" s="155">
        <f>B46</f>
        <v>101816</v>
      </c>
      <c r="C51" s="155">
        <f>SUM(C42:C50)</f>
        <v>100160</v>
      </c>
      <c r="D51" s="155">
        <f>B51-C51</f>
        <v>1656</v>
      </c>
      <c r="E51" s="129"/>
      <c r="F51" s="129"/>
      <c r="G51" s="129"/>
      <c r="H51" s="129"/>
      <c r="I51" s="129"/>
      <c r="J51" s="129"/>
    </row>
    <row r="52" spans="1:10" x14ac:dyDescent="0.25">
      <c r="E52" s="129"/>
      <c r="F52" s="191"/>
      <c r="G52" s="129"/>
      <c r="H52" s="129"/>
      <c r="I52" s="129"/>
      <c r="J52" s="129"/>
    </row>
  </sheetData>
  <pageMargins left="0.25" right="0.25" top="0.25" bottom="0.25" header="0.3" footer="0.3"/>
  <pageSetup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7" workbookViewId="0">
      <selection activeCell="L42" sqref="L42"/>
    </sheetView>
  </sheetViews>
  <sheetFormatPr defaultRowHeight="15" x14ac:dyDescent="0.25"/>
  <cols>
    <col min="1" max="1" width="13.28515625" customWidth="1"/>
    <col min="2" max="3" width="11.7109375" customWidth="1"/>
    <col min="4" max="4" width="10.42578125" customWidth="1"/>
    <col min="5" max="5" width="11" bestFit="1" customWidth="1"/>
    <col min="6" max="6" width="10.5703125" bestFit="1" customWidth="1"/>
    <col min="8" max="8" width="7.28515625" customWidth="1"/>
    <col min="9" max="9" width="7.42578125" customWidth="1"/>
    <col min="10" max="10" width="7.57031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352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10">
        <v>4600</v>
      </c>
      <c r="J4" s="10"/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/>
      <c r="J5" s="10">
        <f t="shared" ref="J5:J36" si="1">H5-I5</f>
        <v>3400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</row>
    <row r="11" spans="1:10" x14ac:dyDescent="0.25">
      <c r="A11" s="175" t="s">
        <v>345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</row>
    <row r="13" spans="1:10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1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1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10">
        <v>2800</v>
      </c>
      <c r="J19" s="10">
        <f t="shared" si="1"/>
        <v>2000</v>
      </c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1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</row>
    <row r="22" spans="1:11" x14ac:dyDescent="0.25">
      <c r="A22" s="172" t="s">
        <v>278</v>
      </c>
      <c r="B22" s="173">
        <v>19</v>
      </c>
      <c r="C22" s="193"/>
      <c r="D22" s="193"/>
      <c r="E22" s="194"/>
      <c r="F22" s="194">
        <v>100</v>
      </c>
      <c r="G22" s="194">
        <v>2700</v>
      </c>
      <c r="H22" s="194">
        <f t="shared" si="0"/>
        <v>2800</v>
      </c>
      <c r="I22" s="105">
        <v>2800</v>
      </c>
      <c r="J22" s="105">
        <f t="shared" si="1"/>
        <v>0</v>
      </c>
      <c r="K22" s="197">
        <v>3100</v>
      </c>
    </row>
    <row r="23" spans="1:11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0">
        <v>4000</v>
      </c>
      <c r="J23" s="10">
        <f t="shared" si="1"/>
        <v>1600</v>
      </c>
      <c r="K23" t="s">
        <v>354</v>
      </c>
    </row>
    <row r="24" spans="1:11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0">
        <v>3600</v>
      </c>
      <c r="J24" s="10">
        <f t="shared" si="1"/>
        <v>0</v>
      </c>
    </row>
    <row r="25" spans="1:11" x14ac:dyDescent="0.25">
      <c r="A25" s="172" t="s">
        <v>267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1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0">
        <v>3700</v>
      </c>
      <c r="J26" s="10">
        <f t="shared" si="1"/>
        <v>0</v>
      </c>
    </row>
    <row r="27" spans="1:11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1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0">
        <v>4000</v>
      </c>
      <c r="J28" s="10">
        <f t="shared" si="1"/>
        <v>0</v>
      </c>
    </row>
    <row r="29" spans="1:11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3700</v>
      </c>
      <c r="J29" s="10">
        <f t="shared" si="1"/>
        <v>100</v>
      </c>
    </row>
    <row r="30" spans="1:11" x14ac:dyDescent="0.25">
      <c r="A30" s="172" t="s">
        <v>64</v>
      </c>
      <c r="B30" s="195">
        <v>27</v>
      </c>
      <c r="C30" s="193"/>
      <c r="D30" s="193"/>
      <c r="E30" s="196"/>
      <c r="F30" s="194">
        <v>100</v>
      </c>
      <c r="G30" s="196">
        <v>3000</v>
      </c>
      <c r="H30" s="194">
        <f t="shared" si="0"/>
        <v>3100</v>
      </c>
      <c r="I30" s="105"/>
      <c r="J30" s="105">
        <f t="shared" si="1"/>
        <v>3100</v>
      </c>
      <c r="K30">
        <v>3500</v>
      </c>
    </row>
    <row r="31" spans="1:11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0">
        <v>4850</v>
      </c>
      <c r="J31" s="10">
        <f t="shared" si="1"/>
        <v>2350</v>
      </c>
    </row>
    <row r="32" spans="1:11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>
        <v>3100</v>
      </c>
      <c r="J32" s="10">
        <f t="shared" si="1"/>
        <v>300</v>
      </c>
    </row>
    <row r="33" spans="1:11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J33" s="10">
        <f t="shared" si="1"/>
        <v>3400</v>
      </c>
    </row>
    <row r="34" spans="1:11" x14ac:dyDescent="0.25">
      <c r="A34" s="172" t="s">
        <v>282</v>
      </c>
      <c r="B34" s="195">
        <v>31</v>
      </c>
      <c r="C34" s="193"/>
      <c r="D34" s="193"/>
      <c r="E34" s="194"/>
      <c r="F34" s="194">
        <v>100</v>
      </c>
      <c r="G34" s="194">
        <v>3100</v>
      </c>
      <c r="H34" s="194">
        <f t="shared" si="0"/>
        <v>3200</v>
      </c>
      <c r="I34" s="105">
        <v>3200</v>
      </c>
      <c r="J34" s="105">
        <f t="shared" si="1"/>
        <v>0</v>
      </c>
      <c r="K34" s="197">
        <v>3300</v>
      </c>
    </row>
    <row r="35" spans="1:11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1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</row>
    <row r="37" spans="1:11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/>
    </row>
    <row r="38" spans="1:11" x14ac:dyDescent="0.25">
      <c r="A38" s="33" t="s">
        <v>25</v>
      </c>
      <c r="B38" s="10"/>
      <c r="C38" s="10"/>
      <c r="D38" s="10"/>
      <c r="E38" s="10">
        <f t="shared" ref="E38:J38" si="2">SUM(E4:E37)</f>
        <v>10900</v>
      </c>
      <c r="F38" s="10">
        <f t="shared" si="2"/>
        <v>3100</v>
      </c>
      <c r="G38" s="10">
        <f t="shared" si="2"/>
        <v>95100</v>
      </c>
      <c r="H38" s="10">
        <f t="shared" si="2"/>
        <v>109100</v>
      </c>
      <c r="I38" s="10">
        <f t="shared" si="2"/>
        <v>91150</v>
      </c>
      <c r="J38" s="10">
        <f t="shared" si="2"/>
        <v>18150</v>
      </c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1" x14ac:dyDescent="0.25">
      <c r="A41" s="105" t="s">
        <v>291</v>
      </c>
      <c r="B41" s="155">
        <f>G38</f>
        <v>95100</v>
      </c>
      <c r="C41" s="10">
        <v>0</v>
      </c>
      <c r="D41" s="10"/>
      <c r="E41" s="129"/>
      <c r="F41" s="129"/>
      <c r="G41" s="129"/>
      <c r="H41" s="129"/>
      <c r="I41" s="129"/>
      <c r="J41" s="129"/>
    </row>
    <row r="42" spans="1:11" x14ac:dyDescent="0.25">
      <c r="A42" s="10" t="s">
        <v>292</v>
      </c>
      <c r="B42" s="156">
        <v>0.08</v>
      </c>
      <c r="C42" s="157">
        <f>B42*B41</f>
        <v>7608</v>
      </c>
      <c r="D42" s="10"/>
      <c r="E42" s="129"/>
      <c r="F42" s="129"/>
      <c r="G42" s="129"/>
      <c r="H42" s="129"/>
      <c r="I42" s="129"/>
      <c r="J42" s="129"/>
    </row>
    <row r="43" spans="1:11" x14ac:dyDescent="0.25">
      <c r="A43" s="198" t="s">
        <v>220</v>
      </c>
      <c r="B43" s="199">
        <v>5800</v>
      </c>
      <c r="C43" s="129"/>
      <c r="D43" s="198"/>
      <c r="E43" s="129"/>
      <c r="F43" s="129"/>
      <c r="G43" s="129"/>
      <c r="H43" s="129"/>
      <c r="I43" s="129"/>
      <c r="J43" s="129"/>
    </row>
    <row r="44" spans="1:11" x14ac:dyDescent="0.25">
      <c r="A44" s="157">
        <f>B41+B43</f>
        <v>100900</v>
      </c>
      <c r="B44" s="10">
        <v>1656</v>
      </c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</row>
    <row r="45" spans="1:11" x14ac:dyDescent="0.25">
      <c r="A45" s="10"/>
      <c r="B45" s="157">
        <f>SUM(B41:B44)</f>
        <v>102556.08</v>
      </c>
      <c r="C45" s="10"/>
      <c r="D45" s="10"/>
      <c r="E45" s="12" t="s">
        <v>317</v>
      </c>
      <c r="F45" s="12"/>
      <c r="G45" s="12" t="s">
        <v>305</v>
      </c>
      <c r="H45" s="129"/>
      <c r="I45" s="129"/>
      <c r="J45" s="129"/>
    </row>
    <row r="46" spans="1:11" x14ac:dyDescent="0.25">
      <c r="A46" s="200" t="s">
        <v>293</v>
      </c>
      <c r="B46" s="201"/>
      <c r="C46" s="129"/>
      <c r="D46" s="190"/>
      <c r="E46" s="12"/>
      <c r="F46" s="12"/>
      <c r="G46" s="12"/>
      <c r="H46" s="129"/>
      <c r="I46" s="129"/>
      <c r="J46" s="129"/>
    </row>
    <row r="47" spans="1:11" s="129" customFormat="1" x14ac:dyDescent="0.25">
      <c r="A47" s="169" t="s">
        <v>350</v>
      </c>
      <c r="C47" s="157"/>
      <c r="D47" s="10"/>
      <c r="E47" s="12"/>
      <c r="F47" s="12"/>
      <c r="G47" s="12"/>
    </row>
    <row r="48" spans="1:11" x14ac:dyDescent="0.25">
      <c r="A48" s="192" t="s">
        <v>221</v>
      </c>
      <c r="B48" s="129"/>
      <c r="C48" s="157">
        <v>200</v>
      </c>
      <c r="D48" s="10"/>
      <c r="E48" s="129"/>
      <c r="F48" s="129"/>
      <c r="G48" s="129"/>
      <c r="H48" s="129"/>
      <c r="I48" s="129"/>
      <c r="J48" s="129"/>
    </row>
    <row r="49" spans="1:10" x14ac:dyDescent="0.25">
      <c r="A49" s="170" t="s">
        <v>316</v>
      </c>
      <c r="B49" s="10"/>
      <c r="C49" s="159">
        <v>30000</v>
      </c>
      <c r="D49" s="10"/>
      <c r="E49" s="12" t="s">
        <v>116</v>
      </c>
      <c r="F49" s="129" t="s">
        <v>318</v>
      </c>
      <c r="G49" s="129"/>
      <c r="H49" s="129"/>
      <c r="I49" s="129"/>
      <c r="J49" s="129"/>
    </row>
    <row r="50" spans="1:10" x14ac:dyDescent="0.25">
      <c r="A50" s="158" t="s">
        <v>353</v>
      </c>
      <c r="B50" s="158"/>
      <c r="C50" s="10">
        <v>63092</v>
      </c>
      <c r="D50" s="10"/>
      <c r="E50" s="12"/>
      <c r="F50" s="129"/>
      <c r="G50" s="129"/>
      <c r="H50" s="129"/>
      <c r="I50" s="191"/>
      <c r="J50" s="129"/>
    </row>
    <row r="51" spans="1:10" x14ac:dyDescent="0.25">
      <c r="A51" s="171" t="s">
        <v>4</v>
      </c>
      <c r="B51" s="155">
        <f>B45</f>
        <v>102556.08</v>
      </c>
      <c r="C51" s="155">
        <f>C42+C48+C49+C50</f>
        <v>100900</v>
      </c>
      <c r="D51" s="155">
        <f>B51-C51</f>
        <v>1656.0800000000017</v>
      </c>
    </row>
    <row r="53" spans="1:10" x14ac:dyDescent="0.25">
      <c r="E53" s="20">
        <f>C48+C49+C50</f>
        <v>93292</v>
      </c>
      <c r="F53" s="20">
        <f>B43+E53</f>
        <v>99092</v>
      </c>
    </row>
  </sheetData>
  <pageMargins left="0.25" right="0.25" top="0.1" bottom="0.1" header="0.3" footer="0.3"/>
  <pageSetup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4" workbookViewId="0">
      <selection activeCell="F34" sqref="F34"/>
    </sheetView>
  </sheetViews>
  <sheetFormatPr defaultRowHeight="15" x14ac:dyDescent="0.25"/>
  <cols>
    <col min="1" max="1" width="9.5703125" customWidth="1"/>
    <col min="2" max="2" width="11.140625" customWidth="1"/>
    <col min="3" max="3" width="10.28515625" customWidth="1"/>
    <col min="4" max="4" width="10.85546875" customWidth="1"/>
    <col min="5" max="5" width="7.7109375" customWidth="1"/>
    <col min="6" max="6" width="10.5703125" bestFit="1" customWidth="1"/>
    <col min="7" max="7" width="8" customWidth="1"/>
    <col min="8" max="8" width="8.42578125" customWidth="1"/>
    <col min="9" max="9" width="6.28515625" customWidth="1"/>
    <col min="10" max="10" width="6.4257812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129"/>
    </row>
    <row r="2" spans="1:11" ht="15.75" x14ac:dyDescent="0.25">
      <c r="A2" s="98" t="s">
        <v>356</v>
      </c>
      <c r="B2" s="98"/>
      <c r="C2" s="98"/>
      <c r="D2" s="98"/>
      <c r="E2" s="129"/>
      <c r="F2" s="98"/>
      <c r="G2" s="98"/>
      <c r="H2" s="98"/>
      <c r="I2" s="129"/>
      <c r="J2" s="129"/>
      <c r="K2" s="12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  <c r="K3" s="129"/>
    </row>
    <row r="4" spans="1:11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10">
        <v>4600</v>
      </c>
      <c r="J4" s="10"/>
      <c r="K4" s="129"/>
    </row>
    <row r="5" spans="1:11" x14ac:dyDescent="0.25">
      <c r="A5" s="172" t="s">
        <v>302</v>
      </c>
      <c r="B5" s="173">
        <v>2</v>
      </c>
      <c r="C5" s="178"/>
      <c r="D5" s="178"/>
      <c r="E5" s="174"/>
      <c r="F5" s="174"/>
      <c r="G5" s="174"/>
      <c r="H5" s="174"/>
      <c r="I5" s="10"/>
      <c r="J5" s="10"/>
      <c r="K5" s="129"/>
    </row>
    <row r="6" spans="1:11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10">
        <v>2800</v>
      </c>
      <c r="J6" s="10">
        <f t="shared" ref="J6:J36" si="1">H6-I6</f>
        <v>0</v>
      </c>
      <c r="K6" s="129"/>
    </row>
    <row r="7" spans="1:11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  <c r="K7" s="129"/>
    </row>
    <row r="8" spans="1:11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  <c r="K8" s="129"/>
    </row>
    <row r="9" spans="1:11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  <c r="K9" s="129"/>
    </row>
    <row r="10" spans="1:11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  <c r="K10" s="176">
        <v>2850</v>
      </c>
    </row>
    <row r="11" spans="1:11" x14ac:dyDescent="0.25">
      <c r="A11" s="175" t="s">
        <v>345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  <c r="I11" s="10"/>
      <c r="J11" s="10">
        <f t="shared" si="1"/>
        <v>2800</v>
      </c>
      <c r="K11" s="129">
        <v>2850</v>
      </c>
    </row>
    <row r="12" spans="1:11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  <c r="K12" s="129"/>
    </row>
    <row r="13" spans="1:11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  <c r="K13" s="129"/>
    </row>
    <row r="14" spans="1:11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  <c r="K14" s="129"/>
    </row>
    <row r="15" spans="1:11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  <c r="K15" s="129"/>
    </row>
    <row r="16" spans="1:11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  <c r="K16" s="129"/>
    </row>
    <row r="17" spans="1:11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  <c r="K17" s="129"/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  <c r="K18" s="129"/>
    </row>
    <row r="19" spans="1:11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10">
        <v>2800</v>
      </c>
      <c r="J19" s="10">
        <f t="shared" si="1"/>
        <v>2000</v>
      </c>
      <c r="K19" s="129"/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  <c r="K20" s="129"/>
    </row>
    <row r="21" spans="1:11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  <c r="K21" s="129"/>
    </row>
    <row r="22" spans="1:11" x14ac:dyDescent="0.25">
      <c r="A22" s="172" t="s">
        <v>278</v>
      </c>
      <c r="B22" s="173">
        <v>19</v>
      </c>
      <c r="C22" s="193"/>
      <c r="D22" s="193"/>
      <c r="E22" s="194"/>
      <c r="F22" s="174">
        <v>100</v>
      </c>
      <c r="G22" s="174">
        <v>2700</v>
      </c>
      <c r="H22" s="174">
        <f t="shared" si="0"/>
        <v>2800</v>
      </c>
      <c r="I22" s="158">
        <v>2800</v>
      </c>
      <c r="J22" s="158">
        <f t="shared" si="1"/>
        <v>0</v>
      </c>
      <c r="K22" s="197">
        <v>3100</v>
      </c>
    </row>
    <row r="23" spans="1:11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58">
        <v>4000</v>
      </c>
      <c r="J23" s="158">
        <f t="shared" si="1"/>
        <v>1600</v>
      </c>
      <c r="K23" s="129" t="s">
        <v>354</v>
      </c>
    </row>
    <row r="24" spans="1:11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58">
        <v>3600</v>
      </c>
      <c r="J24" s="158">
        <f t="shared" si="1"/>
        <v>0</v>
      </c>
      <c r="K24" s="129"/>
    </row>
    <row r="25" spans="1:11" x14ac:dyDescent="0.25">
      <c r="A25" s="172" t="s">
        <v>267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/>
      <c r="I25" s="158"/>
      <c r="J25" s="158"/>
      <c r="K25" s="129"/>
    </row>
    <row r="26" spans="1:11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58">
        <v>3700</v>
      </c>
      <c r="J26" s="158">
        <f t="shared" si="1"/>
        <v>0</v>
      </c>
      <c r="K26" s="129"/>
    </row>
    <row r="27" spans="1:11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58"/>
      <c r="J27" s="158">
        <f t="shared" si="1"/>
        <v>0</v>
      </c>
      <c r="K27" s="129"/>
    </row>
    <row r="28" spans="1:11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58">
        <v>4000</v>
      </c>
      <c r="J28" s="158">
        <f t="shared" si="1"/>
        <v>0</v>
      </c>
      <c r="K28" s="129"/>
    </row>
    <row r="29" spans="1:11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58">
        <v>3700</v>
      </c>
      <c r="J29" s="158">
        <f t="shared" si="1"/>
        <v>100</v>
      </c>
      <c r="K29" s="129"/>
    </row>
    <row r="30" spans="1:11" x14ac:dyDescent="0.25">
      <c r="A30" s="172" t="s">
        <v>64</v>
      </c>
      <c r="B30" s="195">
        <v>27</v>
      </c>
      <c r="C30" s="193"/>
      <c r="D30" s="193"/>
      <c r="E30" s="196"/>
      <c r="F30" s="174">
        <v>100</v>
      </c>
      <c r="G30" s="177">
        <v>3000</v>
      </c>
      <c r="H30" s="174">
        <f t="shared" si="0"/>
        <v>3100</v>
      </c>
      <c r="I30" s="158"/>
      <c r="J30" s="158">
        <f t="shared" si="1"/>
        <v>3100</v>
      </c>
      <c r="K30" s="129">
        <v>3500</v>
      </c>
    </row>
    <row r="31" spans="1:11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58">
        <v>4850</v>
      </c>
      <c r="J31" s="158">
        <f t="shared" si="1"/>
        <v>2350</v>
      </c>
      <c r="K31" s="129"/>
    </row>
    <row r="32" spans="1:11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58">
        <v>3100</v>
      </c>
      <c r="J32" s="158">
        <f t="shared" si="1"/>
        <v>300</v>
      </c>
      <c r="K32" s="129"/>
    </row>
    <row r="33" spans="1:11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58"/>
      <c r="J33" s="158">
        <f t="shared" si="1"/>
        <v>3400</v>
      </c>
      <c r="K33" s="129"/>
    </row>
    <row r="34" spans="1:11" x14ac:dyDescent="0.25">
      <c r="A34" s="172" t="s">
        <v>282</v>
      </c>
      <c r="B34" s="195">
        <v>31</v>
      </c>
      <c r="C34" s="193"/>
      <c r="D34" s="193"/>
      <c r="E34" s="194"/>
      <c r="F34" s="174">
        <v>100</v>
      </c>
      <c r="G34" s="174">
        <v>3100</v>
      </c>
      <c r="H34" s="174">
        <f t="shared" si="0"/>
        <v>3200</v>
      </c>
      <c r="I34" s="158">
        <v>3200</v>
      </c>
      <c r="J34" s="158">
        <f t="shared" si="1"/>
        <v>0</v>
      </c>
      <c r="K34" s="197">
        <v>3300</v>
      </c>
    </row>
    <row r="35" spans="1:11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  <c r="K35" s="129"/>
    </row>
    <row r="36" spans="1:11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  <c r="K36" s="129"/>
    </row>
    <row r="37" spans="1:11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/>
      <c r="K37" s="129"/>
    </row>
    <row r="38" spans="1:11" x14ac:dyDescent="0.25">
      <c r="A38" s="33" t="s">
        <v>25</v>
      </c>
      <c r="B38" s="10"/>
      <c r="C38" s="10"/>
      <c r="D38" s="10"/>
      <c r="E38" s="10">
        <f t="shared" ref="E38:J38" si="2">SUM(E4:E37)</f>
        <v>10900</v>
      </c>
      <c r="F38" s="10">
        <f t="shared" si="2"/>
        <v>3200</v>
      </c>
      <c r="G38" s="10">
        <f>SUM(G4:G37)</f>
        <v>97200</v>
      </c>
      <c r="H38" s="10">
        <f t="shared" si="2"/>
        <v>108500</v>
      </c>
      <c r="I38" s="10">
        <f t="shared" si="2"/>
        <v>91150</v>
      </c>
      <c r="J38" s="10">
        <f t="shared" si="2"/>
        <v>17550</v>
      </c>
      <c r="K38" s="129"/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  <c r="K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  <c r="K40" s="129"/>
    </row>
    <row r="41" spans="1:11" x14ac:dyDescent="0.25">
      <c r="A41" s="105" t="s">
        <v>291</v>
      </c>
      <c r="B41" s="155">
        <f>G38</f>
        <v>97200</v>
      </c>
      <c r="C41" s="10">
        <v>0</v>
      </c>
      <c r="D41" s="10"/>
      <c r="E41" s="129"/>
      <c r="F41" s="129"/>
      <c r="G41" s="129"/>
      <c r="H41" s="129"/>
      <c r="I41" s="129"/>
      <c r="J41" s="129"/>
      <c r="K41" s="129"/>
    </row>
    <row r="42" spans="1:11" x14ac:dyDescent="0.25">
      <c r="A42" s="10" t="s">
        <v>292</v>
      </c>
      <c r="B42" s="156">
        <v>0.08</v>
      </c>
      <c r="C42" s="157">
        <f>B42*B41</f>
        <v>7776</v>
      </c>
      <c r="D42" s="10"/>
      <c r="E42" s="129"/>
      <c r="F42" s="129"/>
      <c r="G42" s="129"/>
      <c r="H42" s="129"/>
      <c r="I42" s="129"/>
      <c r="J42" s="129"/>
      <c r="K42" s="129"/>
    </row>
    <row r="43" spans="1:11" x14ac:dyDescent="0.25">
      <c r="A43" s="198"/>
      <c r="B43" s="199"/>
      <c r="C43" s="129"/>
      <c r="D43" s="198"/>
      <c r="E43" s="129"/>
      <c r="F43" s="129"/>
      <c r="G43" s="129"/>
      <c r="H43" s="129"/>
      <c r="I43" s="129"/>
      <c r="J43" s="129"/>
      <c r="K43" s="129"/>
    </row>
    <row r="44" spans="1:11" x14ac:dyDescent="0.25">
      <c r="A44" s="157"/>
      <c r="B44" s="10"/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  <c r="K44" s="129"/>
    </row>
    <row r="45" spans="1:11" x14ac:dyDescent="0.25">
      <c r="A45" s="10"/>
      <c r="B45" s="157"/>
      <c r="C45" s="10"/>
      <c r="D45" s="10"/>
      <c r="E45" s="12" t="s">
        <v>317</v>
      </c>
      <c r="F45" s="12"/>
      <c r="G45" s="12" t="s">
        <v>305</v>
      </c>
      <c r="H45" s="129"/>
      <c r="I45" s="129"/>
      <c r="J45" s="129"/>
      <c r="K45" s="129"/>
    </row>
    <row r="46" spans="1:11" x14ac:dyDescent="0.25">
      <c r="A46" s="200" t="s">
        <v>293</v>
      </c>
      <c r="B46" s="201"/>
      <c r="C46" s="129"/>
      <c r="D46" s="190"/>
      <c r="E46" s="12"/>
      <c r="F46" s="12"/>
      <c r="G46" s="12"/>
      <c r="H46" s="129"/>
      <c r="I46" s="129"/>
      <c r="J46" s="129"/>
      <c r="K46" s="129"/>
    </row>
    <row r="47" spans="1:11" x14ac:dyDescent="0.25">
      <c r="A47" s="169" t="s">
        <v>350</v>
      </c>
      <c r="B47" s="129"/>
      <c r="C47" s="157"/>
      <c r="D47" s="10"/>
      <c r="E47" s="12"/>
      <c r="F47" s="12"/>
      <c r="G47" s="12"/>
      <c r="H47" s="129"/>
      <c r="I47" s="129"/>
      <c r="J47" s="129"/>
      <c r="K47" s="129"/>
    </row>
    <row r="48" spans="1:11" x14ac:dyDescent="0.25">
      <c r="A48" s="192" t="s">
        <v>221</v>
      </c>
      <c r="B48" s="129"/>
      <c r="C48" s="157">
        <v>3000</v>
      </c>
      <c r="D48" s="10"/>
      <c r="E48" s="129"/>
      <c r="F48" s="129"/>
      <c r="G48" s="129"/>
      <c r="H48" s="129"/>
      <c r="I48" s="129"/>
      <c r="J48" s="129"/>
      <c r="K48" s="129"/>
    </row>
    <row r="49" spans="1:11" x14ac:dyDescent="0.25">
      <c r="A49" s="170" t="s">
        <v>316</v>
      </c>
      <c r="B49" s="10"/>
      <c r="C49" s="159">
        <v>6400</v>
      </c>
      <c r="D49" s="10"/>
      <c r="E49" s="12" t="s">
        <v>116</v>
      </c>
      <c r="F49" s="129" t="s">
        <v>318</v>
      </c>
      <c r="G49" s="129"/>
      <c r="H49" s="129"/>
      <c r="I49" s="129"/>
      <c r="J49" s="129"/>
      <c r="K49" s="129"/>
    </row>
    <row r="50" spans="1:11" x14ac:dyDescent="0.25">
      <c r="A50" s="158" t="s">
        <v>353</v>
      </c>
      <c r="B50" s="158"/>
      <c r="C50" s="10">
        <v>80024</v>
      </c>
      <c r="D50" s="10"/>
      <c r="E50" s="12"/>
      <c r="F50" s="129"/>
      <c r="G50" s="129"/>
      <c r="H50" s="129"/>
      <c r="I50" s="191"/>
      <c r="J50" s="129"/>
      <c r="K50" s="129"/>
    </row>
    <row r="51" spans="1:11" x14ac:dyDescent="0.25">
      <c r="A51" s="171" t="s">
        <v>4</v>
      </c>
      <c r="B51" s="155">
        <v>97200</v>
      </c>
      <c r="C51" s="155">
        <f>C42+C48+C49+C50</f>
        <v>97200</v>
      </c>
      <c r="D51" s="155">
        <f>B51-C51</f>
        <v>0</v>
      </c>
      <c r="E51" s="129"/>
      <c r="F51" s="20">
        <f>C48+C49+C50</f>
        <v>89424</v>
      </c>
      <c r="G51" s="129"/>
      <c r="H51" s="129"/>
      <c r="I51" s="129"/>
      <c r="J51" s="129"/>
      <c r="K51" s="129"/>
    </row>
    <row r="52" spans="1:11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</row>
    <row r="53" spans="1:11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</row>
  </sheetData>
  <pageMargins left="0.5" right="0.5" top="0.25" bottom="0.25" header="0.3" footer="0.3"/>
  <pageSetup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B47" sqref="B47"/>
    </sheetView>
  </sheetViews>
  <sheetFormatPr defaultRowHeight="15" x14ac:dyDescent="0.25"/>
  <cols>
    <col min="1" max="1" width="13.7109375" customWidth="1"/>
    <col min="2" max="2" width="15.42578125" customWidth="1"/>
    <col min="3" max="3" width="13.7109375" customWidth="1"/>
    <col min="4" max="4" width="11.85546875" customWidth="1"/>
    <col min="5" max="5" width="10.5703125" bestFit="1" customWidth="1"/>
    <col min="6" max="6" width="9.5703125" bestFit="1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129"/>
    </row>
    <row r="2" spans="1:11" ht="15.75" x14ac:dyDescent="0.25">
      <c r="A2" s="98" t="s">
        <v>360</v>
      </c>
      <c r="B2" s="98"/>
      <c r="C2" s="98"/>
      <c r="D2" s="98"/>
      <c r="E2" s="129"/>
      <c r="F2" s="98"/>
      <c r="G2" s="98"/>
      <c r="H2" s="98"/>
      <c r="I2" s="129"/>
      <c r="J2" s="129"/>
      <c r="K2" s="12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  <c r="K3" s="129"/>
    </row>
    <row r="4" spans="1:11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/>
      <c r="K4" s="129"/>
    </row>
    <row r="5" spans="1:11" x14ac:dyDescent="0.25">
      <c r="A5" s="172"/>
      <c r="B5" s="173"/>
      <c r="C5" s="178"/>
      <c r="D5" s="178"/>
      <c r="E5" s="174"/>
      <c r="F5" s="174"/>
      <c r="G5" s="174"/>
      <c r="H5" s="174"/>
      <c r="I5" s="105"/>
      <c r="J5" s="10"/>
      <c r="K5" s="129"/>
    </row>
    <row r="6" spans="1:11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202">
        <v>2700</v>
      </c>
      <c r="J6" s="10">
        <f t="shared" ref="J6:J36" si="1">H6-I6</f>
        <v>100</v>
      </c>
      <c r="K6" s="129"/>
    </row>
    <row r="7" spans="1:11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202">
        <v>5000</v>
      </c>
      <c r="J7" s="10">
        <f t="shared" si="1"/>
        <v>-1200</v>
      </c>
      <c r="K7" s="129"/>
    </row>
    <row r="8" spans="1:11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202">
        <v>4400</v>
      </c>
      <c r="J8" s="10">
        <f t="shared" si="1"/>
        <v>-700</v>
      </c>
      <c r="K8" s="129"/>
    </row>
    <row r="9" spans="1:11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202">
        <v>2800</v>
      </c>
      <c r="J9" s="10">
        <f t="shared" si="1"/>
        <v>0</v>
      </c>
      <c r="K9" s="129"/>
    </row>
    <row r="10" spans="1:11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202">
        <v>2000</v>
      </c>
      <c r="J10" s="10">
        <f t="shared" si="1"/>
        <v>800</v>
      </c>
      <c r="K10" s="129"/>
    </row>
    <row r="11" spans="1:11" x14ac:dyDescent="0.25">
      <c r="A11" s="175" t="s">
        <v>361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  <c r="I11" s="10"/>
      <c r="J11" s="10">
        <f t="shared" si="1"/>
        <v>2800</v>
      </c>
      <c r="K11" s="129"/>
    </row>
    <row r="12" spans="1:11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202">
        <v>2800</v>
      </c>
      <c r="J12" s="10">
        <f t="shared" si="1"/>
        <v>1200</v>
      </c>
      <c r="K12" s="129"/>
    </row>
    <row r="13" spans="1:11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202">
        <v>2500</v>
      </c>
      <c r="J13" s="10">
        <f t="shared" si="1"/>
        <v>300</v>
      </c>
      <c r="K13" s="129"/>
    </row>
    <row r="14" spans="1:11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  <c r="K14" s="129"/>
    </row>
    <row r="15" spans="1:11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>
        <v>2300</v>
      </c>
      <c r="J15" s="10">
        <f t="shared" si="1"/>
        <v>500</v>
      </c>
      <c r="K15" s="129"/>
    </row>
    <row r="16" spans="1:11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5">
        <v>2800</v>
      </c>
      <c r="J16" s="10">
        <f t="shared" si="1"/>
        <v>0</v>
      </c>
      <c r="K16" s="129"/>
    </row>
    <row r="17" spans="1:11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2800</v>
      </c>
      <c r="J17" s="10">
        <f t="shared" si="1"/>
        <v>0</v>
      </c>
      <c r="K17" s="129"/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>
        <v>2700</v>
      </c>
      <c r="J18" s="10">
        <f t="shared" si="1"/>
        <v>100</v>
      </c>
      <c r="K18" s="129"/>
    </row>
    <row r="19" spans="1:11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202">
        <v>3000</v>
      </c>
      <c r="J19" s="10">
        <f t="shared" si="1"/>
        <v>1800</v>
      </c>
      <c r="K19" s="129"/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2800</v>
      </c>
      <c r="J20" s="10">
        <f t="shared" si="1"/>
        <v>0</v>
      </c>
      <c r="K20" s="129"/>
    </row>
    <row r="21" spans="1:11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>
        <v>3100</v>
      </c>
      <c r="J21" s="10">
        <f t="shared" si="1"/>
        <v>0</v>
      </c>
      <c r="K21" s="129"/>
    </row>
    <row r="22" spans="1:11" x14ac:dyDescent="0.25">
      <c r="A22" s="172" t="s">
        <v>278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0"/>
        <v>3100</v>
      </c>
      <c r="I22" s="105">
        <v>2800</v>
      </c>
      <c r="J22" s="105">
        <f t="shared" si="1"/>
        <v>300</v>
      </c>
      <c r="K22" s="129"/>
    </row>
    <row r="23" spans="1:11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202">
        <v>2800</v>
      </c>
      <c r="J23" s="10">
        <f>H23-I23</f>
        <v>2800</v>
      </c>
      <c r="K23" s="129"/>
    </row>
    <row r="24" spans="1:11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202">
        <v>3600</v>
      </c>
      <c r="J24" s="10">
        <f t="shared" si="1"/>
        <v>0</v>
      </c>
      <c r="K24" s="129"/>
    </row>
    <row r="25" spans="1:11" x14ac:dyDescent="0.25">
      <c r="A25" s="172" t="s">
        <v>267</v>
      </c>
      <c r="B25" s="173">
        <v>22</v>
      </c>
      <c r="C25" s="178"/>
      <c r="D25" s="178"/>
      <c r="E25" s="174"/>
      <c r="F25" s="174">
        <v>1000</v>
      </c>
      <c r="G25" s="174">
        <v>2700</v>
      </c>
      <c r="H25" s="174"/>
      <c r="I25" s="10"/>
      <c r="J25" s="10"/>
      <c r="K25" s="129"/>
    </row>
    <row r="26" spans="1:11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202">
        <v>3800</v>
      </c>
      <c r="J26" s="10">
        <f t="shared" si="1"/>
        <v>-100</v>
      </c>
      <c r="K26" s="129" t="s">
        <v>358</v>
      </c>
    </row>
    <row r="27" spans="1:11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  <c r="K27" s="129"/>
    </row>
    <row r="28" spans="1:11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202">
        <v>3800</v>
      </c>
      <c r="J28" s="10">
        <f t="shared" si="1"/>
        <v>200</v>
      </c>
      <c r="K28" s="129" t="s">
        <v>358</v>
      </c>
    </row>
    <row r="29" spans="1:11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5">
        <v>3700</v>
      </c>
      <c r="J29" s="10">
        <f t="shared" si="1"/>
        <v>100</v>
      </c>
      <c r="K29" s="129"/>
    </row>
    <row r="30" spans="1:11" x14ac:dyDescent="0.25">
      <c r="A30" s="172" t="s">
        <v>267</v>
      </c>
      <c r="B30" s="195">
        <v>27</v>
      </c>
      <c r="C30" s="193"/>
      <c r="D30" s="193"/>
      <c r="E30" s="196"/>
      <c r="F30" s="194">
        <v>100</v>
      </c>
      <c r="G30" s="196">
        <v>3400</v>
      </c>
      <c r="H30" s="194">
        <f t="shared" si="0"/>
        <v>3500</v>
      </c>
      <c r="I30" s="105"/>
      <c r="J30" s="105">
        <f t="shared" si="1"/>
        <v>3500</v>
      </c>
      <c r="K30" s="129"/>
    </row>
    <row r="31" spans="1:11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202">
        <v>4000</v>
      </c>
      <c r="J31" s="10">
        <f t="shared" si="1"/>
        <v>3200</v>
      </c>
      <c r="K31" s="129"/>
    </row>
    <row r="32" spans="1:11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5">
        <v>3100</v>
      </c>
      <c r="J32" s="10">
        <f t="shared" si="1"/>
        <v>300</v>
      </c>
      <c r="K32" s="129"/>
    </row>
    <row r="33" spans="1:11" x14ac:dyDescent="0.25">
      <c r="A33" s="172"/>
      <c r="B33" s="173"/>
      <c r="C33" s="178"/>
      <c r="D33" s="178"/>
      <c r="E33" s="174"/>
      <c r="F33" s="174"/>
      <c r="G33" s="174"/>
      <c r="H33" s="174"/>
      <c r="I33" s="202"/>
      <c r="J33" s="10"/>
      <c r="K33" s="129"/>
    </row>
    <row r="34" spans="1:11" x14ac:dyDescent="0.25">
      <c r="A34" s="172"/>
      <c r="B34" s="195"/>
      <c r="C34" s="193"/>
      <c r="D34" s="193"/>
      <c r="E34" s="194"/>
      <c r="F34" s="194"/>
      <c r="G34" s="194"/>
      <c r="H34" s="194"/>
      <c r="I34" s="105"/>
      <c r="J34" s="105"/>
      <c r="K34" s="129"/>
    </row>
    <row r="35" spans="1:11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>
        <v>3400</v>
      </c>
      <c r="J35" s="10">
        <f t="shared" si="1"/>
        <v>0</v>
      </c>
      <c r="K35" s="129"/>
    </row>
    <row r="36" spans="1:11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202">
        <v>3300</v>
      </c>
      <c r="J36" s="10">
        <f t="shared" si="1"/>
        <v>200</v>
      </c>
      <c r="K36" s="129"/>
    </row>
    <row r="37" spans="1:11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202">
        <v>3300</v>
      </c>
      <c r="J37" s="10"/>
      <c r="K37" s="129"/>
    </row>
    <row r="38" spans="1:11" x14ac:dyDescent="0.25">
      <c r="A38" s="33" t="s">
        <v>25</v>
      </c>
      <c r="B38" s="10"/>
      <c r="C38" s="10"/>
      <c r="D38" s="10"/>
      <c r="E38" s="10">
        <f t="shared" ref="E38:J38" si="2">SUM(E4:E37)</f>
        <v>10900</v>
      </c>
      <c r="F38" s="10">
        <f t="shared" si="2"/>
        <v>3900</v>
      </c>
      <c r="G38" s="10">
        <f t="shared" si="2"/>
        <v>91500</v>
      </c>
      <c r="H38" s="10">
        <f t="shared" si="2"/>
        <v>102600</v>
      </c>
      <c r="I38" s="202">
        <f t="shared" si="2"/>
        <v>86600</v>
      </c>
      <c r="J38" s="10">
        <f t="shared" si="2"/>
        <v>16200</v>
      </c>
      <c r="K38" s="129"/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  <c r="K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86"/>
      <c r="F40" s="129"/>
      <c r="G40" s="3"/>
      <c r="H40" s="129"/>
      <c r="I40" s="129"/>
      <c r="J40" s="129"/>
      <c r="K40" s="129"/>
    </row>
    <row r="41" spans="1:11" x14ac:dyDescent="0.25">
      <c r="A41" s="105" t="s">
        <v>291</v>
      </c>
      <c r="B41" s="155">
        <f>G38</f>
        <v>91500</v>
      </c>
      <c r="C41" s="10">
        <v>0</v>
      </c>
      <c r="D41" s="10"/>
      <c r="E41" s="129"/>
      <c r="F41" s="129"/>
      <c r="G41" s="129"/>
      <c r="H41" s="129"/>
      <c r="I41" s="129">
        <v>2700</v>
      </c>
      <c r="J41" s="129"/>
      <c r="K41" s="129"/>
    </row>
    <row r="42" spans="1:11" x14ac:dyDescent="0.25">
      <c r="A42" s="10" t="s">
        <v>292</v>
      </c>
      <c r="B42" s="156">
        <v>0.08</v>
      </c>
      <c r="C42" s="157">
        <f>B42*B41</f>
        <v>7320</v>
      </c>
      <c r="D42" s="10"/>
      <c r="E42" s="129"/>
      <c r="F42" s="129"/>
      <c r="G42" s="129"/>
      <c r="H42" s="129"/>
      <c r="I42" s="129">
        <v>800</v>
      </c>
      <c r="J42" s="129"/>
      <c r="K42" s="129"/>
    </row>
    <row r="43" spans="1:11" x14ac:dyDescent="0.25">
      <c r="A43" s="198" t="s">
        <v>220</v>
      </c>
      <c r="B43" s="199">
        <v>3500</v>
      </c>
      <c r="C43" s="129"/>
      <c r="D43" s="198"/>
      <c r="E43" s="129"/>
      <c r="F43" s="129"/>
      <c r="G43" s="129"/>
      <c r="H43" s="129"/>
      <c r="I43" s="129">
        <f>SUM(I41:I42)</f>
        <v>3500</v>
      </c>
      <c r="J43" s="129"/>
      <c r="K43" s="129"/>
    </row>
    <row r="44" spans="1:11" x14ac:dyDescent="0.25">
      <c r="A44" s="157" t="s">
        <v>362</v>
      </c>
      <c r="B44" s="10">
        <v>4800</v>
      </c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  <c r="K44" s="129"/>
    </row>
    <row r="45" spans="1:11" s="129" customFormat="1" x14ac:dyDescent="0.25">
      <c r="A45" s="157" t="s">
        <v>363</v>
      </c>
      <c r="B45" s="10">
        <v>2300</v>
      </c>
      <c r="C45" s="10"/>
      <c r="D45" s="10"/>
      <c r="E45" s="92"/>
      <c r="F45" s="92"/>
      <c r="G45" s="12"/>
      <c r="H45" s="12"/>
    </row>
    <row r="46" spans="1:11" x14ac:dyDescent="0.25">
      <c r="A46" s="10"/>
      <c r="B46" s="157">
        <f>B41+B43+B44+B45</f>
        <v>102100</v>
      </c>
      <c r="C46" s="10"/>
      <c r="D46" s="10"/>
      <c r="E46" s="12" t="s">
        <v>317</v>
      </c>
      <c r="F46" s="12"/>
      <c r="G46" s="12" t="s">
        <v>305</v>
      </c>
      <c r="H46" s="129"/>
      <c r="I46" s="129"/>
      <c r="J46" s="129"/>
      <c r="K46" s="129"/>
    </row>
    <row r="47" spans="1:11" x14ac:dyDescent="0.25">
      <c r="A47" s="200" t="s">
        <v>293</v>
      </c>
      <c r="B47" s="201"/>
      <c r="C47" s="129"/>
      <c r="D47" s="190"/>
      <c r="E47" s="12"/>
      <c r="F47" s="12"/>
      <c r="G47" s="12"/>
      <c r="H47" s="129"/>
      <c r="I47" s="129"/>
      <c r="J47" s="129"/>
      <c r="K47" s="129"/>
    </row>
    <row r="48" spans="1:11" x14ac:dyDescent="0.25">
      <c r="A48" s="169"/>
      <c r="B48" s="129"/>
      <c r="C48" s="157"/>
      <c r="D48" s="10"/>
      <c r="E48" s="12"/>
      <c r="F48" s="12"/>
      <c r="G48" s="12"/>
      <c r="H48" s="129"/>
      <c r="I48" s="129"/>
      <c r="J48" s="129"/>
      <c r="K48" s="129"/>
    </row>
    <row r="49" spans="1:11" x14ac:dyDescent="0.25">
      <c r="A49" s="192" t="s">
        <v>221</v>
      </c>
      <c r="B49" s="129"/>
      <c r="C49" s="157">
        <v>1000</v>
      </c>
      <c r="D49" s="10"/>
      <c r="E49" s="129"/>
      <c r="F49" s="129"/>
      <c r="G49" s="129"/>
      <c r="H49" s="129"/>
      <c r="I49" s="129"/>
      <c r="J49" s="129"/>
      <c r="K49" s="129"/>
    </row>
    <row r="50" spans="1:11" x14ac:dyDescent="0.25">
      <c r="A50" s="170" t="s">
        <v>316</v>
      </c>
      <c r="B50" s="10"/>
      <c r="C50" s="159">
        <v>30000</v>
      </c>
      <c r="D50" s="10"/>
      <c r="E50" s="12" t="s">
        <v>116</v>
      </c>
      <c r="F50" s="129" t="s">
        <v>318</v>
      </c>
      <c r="G50" s="129"/>
      <c r="H50" s="129"/>
      <c r="I50" s="129"/>
      <c r="J50" s="129"/>
      <c r="K50" s="129"/>
    </row>
    <row r="51" spans="1:11" x14ac:dyDescent="0.25">
      <c r="A51" s="158" t="s">
        <v>364</v>
      </c>
      <c r="B51" s="158"/>
      <c r="C51" s="10">
        <v>55000</v>
      </c>
      <c r="D51" s="10"/>
      <c r="E51" s="12"/>
      <c r="F51" s="129"/>
      <c r="G51" s="129"/>
      <c r="H51" s="129"/>
      <c r="I51" s="191"/>
      <c r="J51" s="129"/>
      <c r="K51" s="129"/>
    </row>
    <row r="52" spans="1:11" x14ac:dyDescent="0.25">
      <c r="A52" s="185" t="s">
        <v>365</v>
      </c>
      <c r="B52" s="129"/>
      <c r="C52" s="10">
        <v>3500</v>
      </c>
      <c r="D52" s="10"/>
      <c r="E52" s="96"/>
      <c r="F52" s="129"/>
      <c r="G52" s="12"/>
      <c r="H52" s="12"/>
      <c r="I52" s="129"/>
      <c r="J52" s="186"/>
      <c r="K52" s="129"/>
    </row>
    <row r="53" spans="1:11" x14ac:dyDescent="0.25">
      <c r="A53" s="185" t="s">
        <v>366</v>
      </c>
      <c r="B53" s="190"/>
      <c r="C53" s="159"/>
      <c r="D53" s="10"/>
      <c r="E53" s="12"/>
      <c r="F53" s="129"/>
      <c r="G53" s="12" t="s">
        <v>336</v>
      </c>
      <c r="H53" s="12"/>
      <c r="I53" s="129"/>
      <c r="J53" s="129"/>
      <c r="K53" s="129"/>
    </row>
    <row r="54" spans="1:11" x14ac:dyDescent="0.25">
      <c r="A54" s="170"/>
      <c r="B54" s="10"/>
      <c r="C54" s="10"/>
      <c r="D54" s="157"/>
      <c r="E54" s="129"/>
      <c r="F54" s="129"/>
      <c r="G54" s="12"/>
      <c r="H54" s="129"/>
      <c r="I54" s="129"/>
      <c r="J54" s="129"/>
      <c r="K54" s="129"/>
    </row>
    <row r="55" spans="1:11" x14ac:dyDescent="0.25">
      <c r="A55" s="171" t="s">
        <v>4</v>
      </c>
      <c r="B55" s="155">
        <f>B46</f>
        <v>102100</v>
      </c>
      <c r="C55" s="155">
        <f>SUM(C42:C54)</f>
        <v>96820</v>
      </c>
      <c r="D55" s="155">
        <f>B55-C55</f>
        <v>5280</v>
      </c>
      <c r="E55" s="129">
        <v>3500</v>
      </c>
      <c r="F55" s="20">
        <f>D55-E55</f>
        <v>1780</v>
      </c>
      <c r="G55" s="129"/>
      <c r="H55" s="129"/>
      <c r="I55" s="129"/>
      <c r="J55" s="129"/>
      <c r="K55" s="129"/>
    </row>
    <row r="57" spans="1:11" x14ac:dyDescent="0.25">
      <c r="E57" s="20">
        <f>C49+C50+C51+C52</f>
        <v>89500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22" workbookViewId="0">
      <selection activeCell="F63" sqref="F63"/>
    </sheetView>
  </sheetViews>
  <sheetFormatPr defaultRowHeight="15" x14ac:dyDescent="0.25"/>
  <cols>
    <col min="1" max="1" width="14.5703125" customWidth="1"/>
    <col min="2" max="2" width="10.85546875" customWidth="1"/>
    <col min="3" max="3" width="12" customWidth="1"/>
    <col min="4" max="4" width="10.28515625" customWidth="1"/>
    <col min="5" max="5" width="8" customWidth="1"/>
    <col min="6" max="6" width="7.28515625" customWidth="1"/>
    <col min="7" max="7" width="10.42578125" customWidth="1"/>
    <col min="8" max="8" width="11.42578125" customWidth="1"/>
    <col min="9" max="9" width="11.5703125" customWidth="1"/>
    <col min="10" max="10" width="7.85546875" customWidth="1"/>
    <col min="11" max="11" width="10.28515625" bestFit="1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360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/>
    </row>
    <row r="5" spans="1:10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/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202">
        <v>2800</v>
      </c>
      <c r="J6" s="10">
        <f t="shared" ref="J6:J38" si="1">H6-I6</f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202">
        <v>4000</v>
      </c>
      <c r="J7" s="10">
        <f t="shared" si="1"/>
        <v>-200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202">
        <v>4000</v>
      </c>
      <c r="J8" s="10">
        <f t="shared" si="1"/>
        <v>-300</v>
      </c>
    </row>
    <row r="9" spans="1:10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202"/>
      <c r="J9" s="10">
        <f t="shared" si="1"/>
        <v>2800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202">
        <v>2500</v>
      </c>
      <c r="J10" s="10">
        <f t="shared" si="1"/>
        <v>300</v>
      </c>
    </row>
    <row r="11" spans="1:10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202">
        <v>3000</v>
      </c>
      <c r="J12" s="10">
        <f t="shared" si="1"/>
        <v>1000</v>
      </c>
    </row>
    <row r="13" spans="1:10" x14ac:dyDescent="0.25">
      <c r="A13" s="175" t="s">
        <v>371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202">
        <v>2800</v>
      </c>
      <c r="J13" s="10">
        <f t="shared" si="1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/>
      <c r="J15" s="10">
        <f t="shared" si="1"/>
        <v>2800</v>
      </c>
    </row>
    <row r="16" spans="1:10" x14ac:dyDescent="0.25">
      <c r="A16" s="172" t="s">
        <v>369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202">
        <v>2800</v>
      </c>
      <c r="J16" s="10">
        <f t="shared" si="1"/>
        <v>0</v>
      </c>
    </row>
    <row r="17" spans="1:13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0</v>
      </c>
      <c r="J17" s="10">
        <f t="shared" si="1"/>
        <v>2800</v>
      </c>
    </row>
    <row r="18" spans="1:13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>
        <v>2800</v>
      </c>
      <c r="J18" s="10">
        <f t="shared" si="1"/>
        <v>0</v>
      </c>
    </row>
    <row r="19" spans="1:13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202"/>
      <c r="J19" s="10">
        <f t="shared" si="1"/>
        <v>2800</v>
      </c>
    </row>
    <row r="20" spans="1:13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1500</v>
      </c>
      <c r="J20" s="10">
        <f t="shared" si="1"/>
        <v>1300</v>
      </c>
    </row>
    <row r="21" spans="1:13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/>
      <c r="J21" s="10">
        <f t="shared" si="1"/>
        <v>3100</v>
      </c>
    </row>
    <row r="22" spans="1:13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0"/>
        <v>3100</v>
      </c>
      <c r="I22" s="202">
        <v>3100</v>
      </c>
      <c r="J22" s="105">
        <f t="shared" si="1"/>
        <v>0</v>
      </c>
      <c r="M22">
        <v>1500</v>
      </c>
    </row>
    <row r="23" spans="1:13" x14ac:dyDescent="0.25">
      <c r="A23" s="172" t="s">
        <v>273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202">
        <v>2800</v>
      </c>
      <c r="J23" s="10">
        <f>H23-I23</f>
        <v>0</v>
      </c>
      <c r="M23">
        <f>4500-2800</f>
        <v>1700</v>
      </c>
    </row>
    <row r="24" spans="1:13" x14ac:dyDescent="0.25">
      <c r="A24" s="172" t="s">
        <v>346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202">
        <v>2800</v>
      </c>
      <c r="J24" s="10"/>
    </row>
    <row r="25" spans="1:13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3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3700</v>
      </c>
      <c r="H26" s="174">
        <f>F26+G26</f>
        <v>3800</v>
      </c>
      <c r="I26" s="202">
        <v>3800</v>
      </c>
      <c r="J26" s="10">
        <f t="shared" si="1"/>
        <v>0</v>
      </c>
    </row>
    <row r="27" spans="1:13" ht="9.75" customHeight="1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</row>
    <row r="28" spans="1:13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202">
        <v>3000</v>
      </c>
      <c r="J28" s="10">
        <f t="shared" si="1"/>
        <v>700</v>
      </c>
    </row>
    <row r="29" spans="1:13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>F29+G29</f>
        <v>3800</v>
      </c>
      <c r="I29" s="202">
        <v>3700</v>
      </c>
      <c r="J29" s="10">
        <f t="shared" si="1"/>
        <v>100</v>
      </c>
    </row>
    <row r="30" spans="1:13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3700</v>
      </c>
      <c r="H30" s="194">
        <f>F30+G30</f>
        <v>3800</v>
      </c>
      <c r="I30" s="202">
        <v>3800</v>
      </c>
      <c r="J30" s="105">
        <f t="shared" si="1"/>
        <v>0</v>
      </c>
    </row>
    <row r="31" spans="1:13" x14ac:dyDescent="0.25">
      <c r="A31" s="172" t="s">
        <v>262</v>
      </c>
      <c r="B31" s="173">
        <v>28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202">
        <v>2000</v>
      </c>
      <c r="J31" s="10">
        <f t="shared" si="1"/>
        <v>1600</v>
      </c>
    </row>
    <row r="32" spans="1:13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202">
        <v>1000</v>
      </c>
      <c r="J32" s="10">
        <f t="shared" si="1"/>
        <v>2400</v>
      </c>
      <c r="K32" t="s">
        <v>381</v>
      </c>
    </row>
    <row r="33" spans="1:14" x14ac:dyDescent="0.25">
      <c r="A33" s="172" t="s">
        <v>64</v>
      </c>
      <c r="B33" s="173">
        <v>30</v>
      </c>
      <c r="C33" s="178"/>
      <c r="D33" s="178"/>
      <c r="E33" s="174"/>
      <c r="F33" s="174"/>
      <c r="G33" s="174"/>
      <c r="H33" s="174"/>
      <c r="I33" s="202"/>
      <c r="J33" s="10"/>
    </row>
    <row r="34" spans="1:14" x14ac:dyDescent="0.25">
      <c r="A34" s="172" t="s">
        <v>64</v>
      </c>
      <c r="B34" s="173">
        <v>31</v>
      </c>
      <c r="C34" s="178"/>
      <c r="D34" s="178"/>
      <c r="E34" s="176"/>
      <c r="F34" s="174">
        <v>100</v>
      </c>
      <c r="G34" s="176">
        <v>3700</v>
      </c>
      <c r="H34" s="174">
        <f>E34+F34+G34</f>
        <v>3800</v>
      </c>
      <c r="I34" s="202">
        <v>2800</v>
      </c>
      <c r="J34" s="105"/>
      <c r="K34" t="s">
        <v>267</v>
      </c>
    </row>
    <row r="35" spans="1:14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/>
      <c r="J35" s="10">
        <f t="shared" si="1"/>
        <v>3400</v>
      </c>
    </row>
    <row r="36" spans="1:14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202">
        <v>3300</v>
      </c>
      <c r="J36" s="10">
        <f t="shared" si="1"/>
        <v>100</v>
      </c>
    </row>
    <row r="37" spans="1:14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202">
        <v>3200</v>
      </c>
      <c r="J37" s="10">
        <f t="shared" si="1"/>
        <v>-100</v>
      </c>
    </row>
    <row r="38" spans="1:14" x14ac:dyDescent="0.25">
      <c r="A38" s="33" t="s">
        <v>25</v>
      </c>
      <c r="B38" s="10"/>
      <c r="C38" s="10"/>
      <c r="D38" s="10"/>
      <c r="E38" s="192">
        <f>SUM(E4:E37)</f>
        <v>1200</v>
      </c>
      <c r="F38" s="192">
        <f>SUM(F4:F37)</f>
        <v>2900</v>
      </c>
      <c r="G38" s="192">
        <f>SUM(G4:G37)</f>
        <v>90300</v>
      </c>
      <c r="H38" s="192">
        <f>SUM(H4:H37)</f>
        <v>94400</v>
      </c>
      <c r="I38" s="210">
        <f>SUM(I4:I37)</f>
        <v>68800</v>
      </c>
      <c r="J38" s="192">
        <f t="shared" si="1"/>
        <v>25600</v>
      </c>
    </row>
    <row r="39" spans="1:14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  <c r="N39" t="str">
        <f>I3</f>
        <v>PAID</v>
      </c>
    </row>
    <row r="40" spans="1:14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4" x14ac:dyDescent="0.25">
      <c r="A41" s="105" t="s">
        <v>291</v>
      </c>
      <c r="B41" s="155">
        <f>G38</f>
        <v>90300</v>
      </c>
      <c r="C41" s="10">
        <v>0</v>
      </c>
      <c r="D41" s="10"/>
      <c r="E41" s="10"/>
      <c r="F41" s="105" t="s">
        <v>291</v>
      </c>
      <c r="G41" s="155">
        <f>I38</f>
        <v>68800</v>
      </c>
      <c r="H41" s="10">
        <v>0</v>
      </c>
      <c r="I41" s="10"/>
      <c r="J41" s="10"/>
    </row>
    <row r="42" spans="1:14" x14ac:dyDescent="0.25">
      <c r="A42" s="10" t="s">
        <v>292</v>
      </c>
      <c r="B42" s="156">
        <v>0.08</v>
      </c>
      <c r="C42" s="157">
        <f>B42*B41</f>
        <v>7224</v>
      </c>
      <c r="D42" s="10"/>
      <c r="E42" s="10"/>
      <c r="F42" s="10" t="s">
        <v>292</v>
      </c>
      <c r="G42" s="156">
        <v>0.08</v>
      </c>
      <c r="H42" s="157">
        <f>G42*G41</f>
        <v>5504</v>
      </c>
      <c r="I42" s="10"/>
      <c r="J42" s="10"/>
    </row>
    <row r="43" spans="1:14" x14ac:dyDescent="0.25">
      <c r="A43" s="198" t="s">
        <v>368</v>
      </c>
      <c r="B43" s="199">
        <v>5280</v>
      </c>
      <c r="C43" s="129"/>
      <c r="D43" s="198"/>
      <c r="E43" s="10"/>
      <c r="F43" s="198" t="s">
        <v>368</v>
      </c>
      <c r="G43" s="199">
        <v>5280</v>
      </c>
      <c r="H43" s="129"/>
      <c r="I43" s="198"/>
      <c r="J43" s="10"/>
    </row>
    <row r="44" spans="1:14" x14ac:dyDescent="0.25">
      <c r="A44" s="157"/>
      <c r="B44" s="10"/>
      <c r="C44" s="10"/>
      <c r="D44" s="10"/>
      <c r="E44" s="10"/>
      <c r="F44" s="157"/>
      <c r="G44" s="10"/>
      <c r="H44" s="10"/>
      <c r="I44" s="10"/>
      <c r="J44" s="10"/>
    </row>
    <row r="45" spans="1:14" x14ac:dyDescent="0.25">
      <c r="A45" s="157"/>
      <c r="B45" s="10"/>
      <c r="C45" s="10"/>
      <c r="D45" s="10"/>
      <c r="E45" s="10"/>
      <c r="F45" s="157"/>
      <c r="G45" s="10"/>
      <c r="H45" s="10"/>
      <c r="I45" s="10"/>
      <c r="J45" s="10"/>
    </row>
    <row r="46" spans="1:14" x14ac:dyDescent="0.25">
      <c r="A46" s="10"/>
      <c r="B46" s="157">
        <f>B41+B43+B44+B45</f>
        <v>95580</v>
      </c>
      <c r="C46" s="10"/>
      <c r="D46" s="10"/>
      <c r="E46" s="10"/>
      <c r="F46" s="10"/>
      <c r="G46" s="157">
        <f>G41+G43+G44+G45</f>
        <v>74080</v>
      </c>
      <c r="H46" s="10"/>
      <c r="I46" s="10"/>
      <c r="J46" s="10"/>
    </row>
    <row r="47" spans="1:14" x14ac:dyDescent="0.25">
      <c r="A47" s="200" t="s">
        <v>293</v>
      </c>
      <c r="B47" s="201"/>
      <c r="C47" s="129"/>
      <c r="D47" s="190"/>
      <c r="E47" s="10"/>
      <c r="F47" s="200" t="s">
        <v>293</v>
      </c>
      <c r="G47" s="157"/>
      <c r="H47" s="129"/>
      <c r="I47" s="190"/>
      <c r="J47" s="10"/>
    </row>
    <row r="48" spans="1:14" x14ac:dyDescent="0.25">
      <c r="A48" s="169"/>
      <c r="B48" s="10"/>
      <c r="C48" s="157"/>
      <c r="D48" s="10"/>
      <c r="E48" s="10"/>
      <c r="F48" s="192" t="s">
        <v>221</v>
      </c>
      <c r="G48" s="10"/>
      <c r="H48" s="157"/>
      <c r="I48" s="10"/>
      <c r="J48" s="10"/>
    </row>
    <row r="49" spans="1:11" x14ac:dyDescent="0.25">
      <c r="A49" s="209">
        <v>43076</v>
      </c>
      <c r="B49" s="10"/>
      <c r="C49" s="157">
        <v>48520</v>
      </c>
      <c r="D49" s="10"/>
      <c r="E49" s="10"/>
      <c r="F49" s="170" t="s">
        <v>316</v>
      </c>
      <c r="G49" s="10"/>
      <c r="H49" s="157"/>
      <c r="I49" s="10"/>
      <c r="J49" s="10"/>
    </row>
    <row r="50" spans="1:11" x14ac:dyDescent="0.25">
      <c r="A50" s="170" t="s">
        <v>316</v>
      </c>
      <c r="B50" s="10"/>
      <c r="C50" s="159">
        <v>30000</v>
      </c>
      <c r="D50" s="10"/>
      <c r="E50" s="10"/>
      <c r="G50" s="10"/>
      <c r="H50" s="159"/>
      <c r="I50" s="10"/>
      <c r="J50" s="10"/>
    </row>
    <row r="51" spans="1:11" x14ac:dyDescent="0.25">
      <c r="A51" s="158" t="s">
        <v>319</v>
      </c>
      <c r="B51" s="158"/>
      <c r="C51" s="10">
        <v>2350</v>
      </c>
      <c r="D51" s="10"/>
      <c r="E51" s="8"/>
      <c r="F51" s="158"/>
      <c r="G51" s="158"/>
      <c r="H51" s="10"/>
      <c r="I51" s="10"/>
      <c r="J51" s="10"/>
    </row>
    <row r="52" spans="1:11" x14ac:dyDescent="0.25">
      <c r="A52" s="205" t="s">
        <v>372</v>
      </c>
      <c r="B52" s="10"/>
      <c r="C52" s="10">
        <v>1000</v>
      </c>
      <c r="D52" s="10"/>
      <c r="E52" s="204"/>
      <c r="F52" s="205"/>
      <c r="G52" s="10"/>
      <c r="H52" s="10"/>
      <c r="I52" s="10"/>
      <c r="J52" s="156"/>
    </row>
    <row r="53" spans="1:11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</row>
    <row r="54" spans="1:11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</row>
    <row r="55" spans="1:11" x14ac:dyDescent="0.25">
      <c r="A55" s="171" t="s">
        <v>4</v>
      </c>
      <c r="B55" s="155">
        <f>B46</f>
        <v>95580</v>
      </c>
      <c r="C55" s="155">
        <f>SUM(C42:C54)</f>
        <v>89094</v>
      </c>
      <c r="D55" s="155">
        <f>B55-C55</f>
        <v>6486</v>
      </c>
      <c r="E55" s="10"/>
      <c r="F55" s="171" t="s">
        <v>4</v>
      </c>
      <c r="G55" s="155">
        <f>G46</f>
        <v>74080</v>
      </c>
      <c r="H55" s="155">
        <f>SUM(H42:H54)</f>
        <v>5504</v>
      </c>
      <c r="I55" s="155">
        <f>G55-H55</f>
        <v>68576</v>
      </c>
      <c r="J55" s="10">
        <v>54492</v>
      </c>
      <c r="K55" s="20">
        <f>I55-J55</f>
        <v>14084</v>
      </c>
    </row>
    <row r="57" spans="1:11" x14ac:dyDescent="0.25">
      <c r="B57" s="92" t="s">
        <v>112</v>
      </c>
      <c r="C57" s="92"/>
      <c r="D57" s="12" t="s">
        <v>113</v>
      </c>
      <c r="E57" s="12" t="s">
        <v>114</v>
      </c>
    </row>
    <row r="58" spans="1:11" x14ac:dyDescent="0.25">
      <c r="B58" s="92"/>
      <c r="C58" s="92"/>
      <c r="D58" s="12"/>
      <c r="E58" s="12"/>
    </row>
    <row r="59" spans="1:11" x14ac:dyDescent="0.25">
      <c r="B59" s="12" t="s">
        <v>317</v>
      </c>
      <c r="C59" s="12"/>
      <c r="D59" s="12" t="s">
        <v>305</v>
      </c>
      <c r="E59" s="129"/>
    </row>
    <row r="60" spans="1:11" x14ac:dyDescent="0.25">
      <c r="B60" s="12"/>
      <c r="C60" s="12"/>
      <c r="D60" s="12"/>
      <c r="E60" s="129"/>
    </row>
    <row r="61" spans="1:11" x14ac:dyDescent="0.25">
      <c r="B61" s="12"/>
      <c r="C61" s="12"/>
      <c r="D61" s="12"/>
      <c r="E61" s="129"/>
    </row>
    <row r="62" spans="1:11" x14ac:dyDescent="0.25">
      <c r="B62" s="129"/>
      <c r="C62" s="129"/>
      <c r="D62" s="129"/>
      <c r="E62" s="129"/>
    </row>
    <row r="63" spans="1:11" x14ac:dyDescent="0.25">
      <c r="B63" s="12" t="s">
        <v>116</v>
      </c>
      <c r="C63" s="129" t="s">
        <v>318</v>
      </c>
      <c r="D63" s="129"/>
      <c r="E63" s="129"/>
    </row>
  </sheetData>
  <pageMargins left="0.25" right="0.25" top="0.75" bottom="0.75" header="0.3" footer="0.3"/>
  <pageSetup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13" workbookViewId="0">
      <selection activeCell="G15" sqref="G15"/>
    </sheetView>
  </sheetViews>
  <sheetFormatPr defaultRowHeight="15" x14ac:dyDescent="0.25"/>
  <cols>
    <col min="1" max="1" width="14.28515625" customWidth="1"/>
    <col min="2" max="2" width="11.140625" customWidth="1"/>
    <col min="3" max="3" width="10.85546875" customWidth="1"/>
    <col min="4" max="4" width="10.5703125" customWidth="1"/>
    <col min="5" max="5" width="7.85546875" customWidth="1"/>
    <col min="6" max="6" width="9.7109375" bestFit="1" customWidth="1"/>
    <col min="7" max="7" width="11.140625" customWidth="1"/>
    <col min="8" max="8" width="10.28515625" customWidth="1"/>
    <col min="9" max="9" width="12.7109375" customWidth="1"/>
    <col min="10" max="10" width="7.7109375" customWidth="1"/>
    <col min="11" max="11" width="11.28515625" customWidth="1"/>
    <col min="12" max="12" width="10.5703125" bestFit="1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129"/>
    </row>
    <row r="2" spans="1:11" ht="15.75" x14ac:dyDescent="0.25">
      <c r="A2" s="98" t="s">
        <v>391</v>
      </c>
      <c r="B2" s="98"/>
      <c r="C2" s="98"/>
      <c r="D2" s="98"/>
      <c r="E2" s="129"/>
      <c r="F2" s="98"/>
      <c r="G2" s="98"/>
      <c r="H2" s="98"/>
      <c r="I2" s="129"/>
      <c r="J2" s="129"/>
      <c r="K2" s="12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  <c r="K3" s="129"/>
    </row>
    <row r="4" spans="1:11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  <c r="K4" s="129"/>
    </row>
    <row r="5" spans="1:11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>
        <f>H5-I5</f>
        <v>0</v>
      </c>
      <c r="K5" s="129"/>
    </row>
    <row r="6" spans="1:11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202">
        <v>2800</v>
      </c>
      <c r="J6" s="10">
        <f>H6-I6</f>
        <v>0</v>
      </c>
      <c r="K6" s="129"/>
    </row>
    <row r="7" spans="1:11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0"/>
        <v>3900</v>
      </c>
      <c r="I7" s="202">
        <v>3800</v>
      </c>
      <c r="J7" s="10">
        <f t="shared" ref="J7:J38" si="1">H7-I7</f>
        <v>100</v>
      </c>
      <c r="K7" s="129"/>
    </row>
    <row r="8" spans="1:11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0"/>
        <v>4100</v>
      </c>
      <c r="I8" s="202">
        <v>4000</v>
      </c>
      <c r="J8" s="10">
        <f t="shared" si="1"/>
        <v>100</v>
      </c>
      <c r="K8" s="129"/>
    </row>
    <row r="9" spans="1:11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202">
        <v>2600</v>
      </c>
      <c r="J9" s="10">
        <f t="shared" si="1"/>
        <v>200</v>
      </c>
      <c r="K9" s="129"/>
    </row>
    <row r="10" spans="1:11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202"/>
      <c r="J10" s="10">
        <f t="shared" si="1"/>
        <v>2800</v>
      </c>
      <c r="K10" s="129"/>
    </row>
    <row r="11" spans="1:11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  <c r="K11" s="129"/>
    </row>
    <row r="12" spans="1:11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202">
        <v>2800</v>
      </c>
      <c r="J12" s="10">
        <f t="shared" si="1"/>
        <v>1200</v>
      </c>
      <c r="K12" s="129"/>
    </row>
    <row r="13" spans="1:11" x14ac:dyDescent="0.25">
      <c r="A13" s="175" t="s">
        <v>371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202">
        <v>2800</v>
      </c>
      <c r="J13" s="10">
        <f t="shared" si="1"/>
        <v>0</v>
      </c>
      <c r="K13" s="129"/>
    </row>
    <row r="14" spans="1:11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  <c r="K14" s="129"/>
    </row>
    <row r="15" spans="1:11" x14ac:dyDescent="0.25">
      <c r="A15" s="172" t="s">
        <v>374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/>
      <c r="J15" s="10">
        <f t="shared" si="1"/>
        <v>2800</v>
      </c>
      <c r="K15" s="129"/>
    </row>
    <row r="16" spans="1:11" x14ac:dyDescent="0.25">
      <c r="A16" s="172" t="s">
        <v>267</v>
      </c>
      <c r="B16" s="173">
        <v>13</v>
      </c>
      <c r="C16" s="178"/>
      <c r="D16" s="178"/>
      <c r="E16" s="174"/>
      <c r="F16" s="174"/>
      <c r="G16" s="174"/>
      <c r="H16" s="174"/>
      <c r="I16" s="202"/>
      <c r="J16" s="10">
        <f t="shared" si="1"/>
        <v>0</v>
      </c>
      <c r="K16" s="129"/>
    </row>
    <row r="17" spans="1:11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2800</v>
      </c>
      <c r="J17" s="10">
        <f t="shared" si="1"/>
        <v>0</v>
      </c>
      <c r="K17" s="129"/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/>
      <c r="J18" s="10">
        <f t="shared" si="1"/>
        <v>2800</v>
      </c>
      <c r="K18" s="129"/>
    </row>
    <row r="19" spans="1:11" x14ac:dyDescent="0.25">
      <c r="A19" s="172" t="s">
        <v>51</v>
      </c>
      <c r="B19" s="173">
        <v>16</v>
      </c>
      <c r="C19" s="178"/>
      <c r="D19" s="178"/>
      <c r="E19" s="174">
        <v>2180</v>
      </c>
      <c r="F19" s="174">
        <v>100</v>
      </c>
      <c r="G19" s="174">
        <v>2700</v>
      </c>
      <c r="H19" s="174">
        <f t="shared" si="0"/>
        <v>4980</v>
      </c>
      <c r="I19" s="202">
        <v>1700</v>
      </c>
      <c r="J19" s="10">
        <f t="shared" si="1"/>
        <v>3280</v>
      </c>
      <c r="K19" s="129"/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2800</v>
      </c>
      <c r="J20" s="10">
        <f t="shared" si="1"/>
        <v>0</v>
      </c>
      <c r="K20" s="129"/>
    </row>
    <row r="21" spans="1:11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>
        <v>3100</v>
      </c>
      <c r="J21" s="10">
        <f t="shared" si="1"/>
        <v>0</v>
      </c>
      <c r="K21" s="129"/>
    </row>
    <row r="22" spans="1:11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0"/>
        <v>3100</v>
      </c>
      <c r="I22" s="202"/>
      <c r="J22" s="105">
        <f t="shared" si="1"/>
        <v>3100</v>
      </c>
      <c r="K22" s="129"/>
    </row>
    <row r="23" spans="1:11" x14ac:dyDescent="0.25">
      <c r="A23" s="172" t="s">
        <v>273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202"/>
      <c r="J23" s="10">
        <f>H23-I23</f>
        <v>2800</v>
      </c>
      <c r="K23" s="129"/>
    </row>
    <row r="24" spans="1:11" x14ac:dyDescent="0.25">
      <c r="A24" s="172" t="s">
        <v>346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202"/>
      <c r="J24" s="10"/>
      <c r="K24" s="129"/>
    </row>
    <row r="25" spans="1:11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  <c r="K25" s="129"/>
    </row>
    <row r="26" spans="1:11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3700</v>
      </c>
      <c r="H26" s="174">
        <f>F26+G26</f>
        <v>3800</v>
      </c>
      <c r="I26" s="202">
        <v>3800</v>
      </c>
      <c r="J26" s="10">
        <f t="shared" si="1"/>
        <v>0</v>
      </c>
      <c r="K26" s="129"/>
    </row>
    <row r="27" spans="1:11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  <c r="K27" s="129"/>
    </row>
    <row r="28" spans="1:11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202">
        <v>3800</v>
      </c>
      <c r="J28" s="10">
        <f t="shared" si="1"/>
        <v>-100</v>
      </c>
      <c r="K28" s="129"/>
    </row>
    <row r="29" spans="1:11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>F29+G29</f>
        <v>3800</v>
      </c>
      <c r="I29" s="202">
        <v>3800</v>
      </c>
      <c r="J29" s="10">
        <f t="shared" si="1"/>
        <v>0</v>
      </c>
      <c r="K29" s="129"/>
    </row>
    <row r="30" spans="1:11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3700</v>
      </c>
      <c r="H30" s="194">
        <f>F30+G30</f>
        <v>3800</v>
      </c>
      <c r="I30" s="202"/>
      <c r="J30" s="105">
        <f t="shared" si="1"/>
        <v>3800</v>
      </c>
      <c r="K30" s="129"/>
    </row>
    <row r="31" spans="1:11" x14ac:dyDescent="0.25">
      <c r="A31" s="172" t="s">
        <v>262</v>
      </c>
      <c r="B31" s="173">
        <v>28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202">
        <v>3000</v>
      </c>
      <c r="J31" s="10">
        <f t="shared" si="1"/>
        <v>600</v>
      </c>
      <c r="K31" s="129"/>
    </row>
    <row r="32" spans="1:11" x14ac:dyDescent="0.25">
      <c r="A32" s="172" t="s">
        <v>384</v>
      </c>
      <c r="B32" s="173">
        <v>29</v>
      </c>
      <c r="C32" s="178"/>
      <c r="D32" s="178">
        <v>2000</v>
      </c>
      <c r="E32" s="174"/>
      <c r="F32" s="174">
        <v>100</v>
      </c>
      <c r="G32" s="174">
        <v>3300</v>
      </c>
      <c r="H32" s="174">
        <f t="shared" si="0"/>
        <v>3400</v>
      </c>
      <c r="I32" s="202">
        <v>3500</v>
      </c>
      <c r="J32" s="10">
        <f t="shared" si="1"/>
        <v>-100</v>
      </c>
      <c r="K32" s="129"/>
    </row>
    <row r="33" spans="1:11" x14ac:dyDescent="0.25">
      <c r="A33" s="172" t="s">
        <v>64</v>
      </c>
      <c r="B33" s="173">
        <v>30</v>
      </c>
      <c r="C33" s="178"/>
      <c r="D33" s="178"/>
      <c r="E33" s="174"/>
      <c r="F33" s="174"/>
      <c r="G33" s="174"/>
      <c r="H33" s="174"/>
      <c r="I33" s="202"/>
      <c r="J33" s="10"/>
      <c r="K33" s="129"/>
    </row>
    <row r="34" spans="1:11" x14ac:dyDescent="0.25">
      <c r="A34" s="172" t="s">
        <v>64</v>
      </c>
      <c r="B34" s="173">
        <v>31</v>
      </c>
      <c r="C34" s="178"/>
      <c r="D34" s="178"/>
      <c r="E34" s="176"/>
      <c r="F34" s="174"/>
      <c r="G34" s="176"/>
      <c r="H34" s="174"/>
      <c r="I34" s="202"/>
      <c r="J34" s="105"/>
      <c r="K34" s="129"/>
    </row>
    <row r="35" spans="1:11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>
        <v>3000</v>
      </c>
      <c r="J35" s="10">
        <f t="shared" si="1"/>
        <v>400</v>
      </c>
      <c r="K35" s="129"/>
    </row>
    <row r="36" spans="1:11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202">
        <v>3300</v>
      </c>
      <c r="J36" s="10">
        <f t="shared" si="1"/>
        <v>100</v>
      </c>
      <c r="K36" s="129"/>
    </row>
    <row r="37" spans="1:11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202">
        <v>3100</v>
      </c>
      <c r="J37" s="10">
        <f t="shared" si="1"/>
        <v>0</v>
      </c>
      <c r="K37" s="129"/>
    </row>
    <row r="38" spans="1:11" x14ac:dyDescent="0.25">
      <c r="A38" s="33" t="s">
        <v>25</v>
      </c>
      <c r="B38" s="10"/>
      <c r="C38" s="10"/>
      <c r="D38" s="10"/>
      <c r="E38" s="192">
        <f>SUM(E4:E37)</f>
        <v>3380</v>
      </c>
      <c r="F38" s="192">
        <f>SUM(F4:F37)</f>
        <v>2700</v>
      </c>
      <c r="G38" s="192">
        <f>SUM(G4:G37)</f>
        <v>84400</v>
      </c>
      <c r="H38" s="192">
        <f>SUM(H4:H37)</f>
        <v>90480</v>
      </c>
      <c r="I38" s="210">
        <f>SUM(I4:I37)</f>
        <v>63800</v>
      </c>
      <c r="J38" s="192">
        <f t="shared" si="1"/>
        <v>26680</v>
      </c>
      <c r="K38" s="129"/>
    </row>
    <row r="39" spans="1:11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  <c r="K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  <c r="K40" s="129"/>
    </row>
    <row r="41" spans="1:11" x14ac:dyDescent="0.25">
      <c r="A41" s="105" t="s">
        <v>291</v>
      </c>
      <c r="B41" s="155">
        <f>G38</f>
        <v>84400</v>
      </c>
      <c r="C41" s="10">
        <v>0</v>
      </c>
      <c r="D41" s="10"/>
      <c r="E41" s="10"/>
      <c r="F41" s="105" t="s">
        <v>291</v>
      </c>
      <c r="G41" s="155">
        <f>I38</f>
        <v>63800</v>
      </c>
      <c r="H41" s="10">
        <v>0</v>
      </c>
      <c r="I41" s="10"/>
      <c r="J41" s="10"/>
      <c r="K41" s="20">
        <v>86600</v>
      </c>
    </row>
    <row r="42" spans="1:11" x14ac:dyDescent="0.25">
      <c r="A42" s="10" t="s">
        <v>292</v>
      </c>
      <c r="B42" s="156">
        <v>0.08</v>
      </c>
      <c r="C42" s="157">
        <f>B42*B41</f>
        <v>6752</v>
      </c>
      <c r="D42" s="10"/>
      <c r="E42" s="10"/>
      <c r="F42" s="10" t="s">
        <v>292</v>
      </c>
      <c r="G42" s="156">
        <v>0.08</v>
      </c>
      <c r="H42" s="157">
        <f>G42*G41</f>
        <v>5104</v>
      </c>
      <c r="I42" s="10"/>
      <c r="J42" s="10"/>
      <c r="K42" s="129">
        <v>21000</v>
      </c>
    </row>
    <row r="43" spans="1:11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  <c r="K43" s="129">
        <v>30000</v>
      </c>
    </row>
    <row r="44" spans="1:11" x14ac:dyDescent="0.25">
      <c r="A44" s="157"/>
      <c r="B44" s="157">
        <f>B41-C42</f>
        <v>77648</v>
      </c>
      <c r="C44" s="10"/>
      <c r="D44" s="10"/>
      <c r="E44" s="10"/>
      <c r="F44" s="157"/>
      <c r="G44" s="10"/>
      <c r="H44" s="10"/>
      <c r="I44" s="10"/>
      <c r="J44" s="10"/>
      <c r="K44" s="20">
        <f>K41-K42-K43</f>
        <v>35600</v>
      </c>
    </row>
    <row r="45" spans="1:11" x14ac:dyDescent="0.25">
      <c r="A45" s="10" t="s">
        <v>385</v>
      </c>
      <c r="B45">
        <v>2000</v>
      </c>
      <c r="C45" s="10"/>
      <c r="D45" s="10"/>
      <c r="E45" s="10"/>
      <c r="F45" s="157"/>
      <c r="G45" s="10"/>
      <c r="H45" s="10"/>
      <c r="I45" s="10"/>
      <c r="J45" s="10"/>
      <c r="K45" s="129"/>
    </row>
    <row r="46" spans="1:11" x14ac:dyDescent="0.25">
      <c r="B46" s="20">
        <f>B44+B45</f>
        <v>79648</v>
      </c>
      <c r="C46" s="10"/>
      <c r="D46" s="10"/>
      <c r="E46" s="10"/>
      <c r="F46" s="10"/>
      <c r="G46" s="157">
        <f>G41+G43+G44+G45</f>
        <v>63800</v>
      </c>
      <c r="H46" s="10"/>
      <c r="I46" s="10"/>
      <c r="J46" s="10"/>
      <c r="K46" s="129"/>
    </row>
    <row r="47" spans="1:11" x14ac:dyDescent="0.25">
      <c r="A47" s="200" t="s">
        <v>293</v>
      </c>
      <c r="B47" s="201"/>
      <c r="C47" s="129"/>
      <c r="D47" s="190"/>
      <c r="E47" s="10"/>
      <c r="F47" s="200" t="s">
        <v>293</v>
      </c>
      <c r="G47" s="157"/>
      <c r="H47" s="129"/>
      <c r="I47" s="190"/>
      <c r="J47" s="10"/>
      <c r="K47" s="129"/>
    </row>
    <row r="48" spans="1:11" x14ac:dyDescent="0.25">
      <c r="A48" s="211">
        <v>42712</v>
      </c>
      <c r="B48" s="129"/>
      <c r="C48" s="10">
        <v>21000</v>
      </c>
      <c r="D48" s="10"/>
      <c r="E48" s="10"/>
      <c r="F48" s="211">
        <v>42712</v>
      </c>
      <c r="G48" s="10"/>
      <c r="H48" s="10">
        <v>21000</v>
      </c>
      <c r="I48" s="10"/>
      <c r="J48" s="10"/>
      <c r="K48" s="129"/>
    </row>
    <row r="49" spans="1:12" x14ac:dyDescent="0.25">
      <c r="A49" s="170" t="s">
        <v>316</v>
      </c>
      <c r="B49" s="129"/>
      <c r="C49" s="10">
        <v>30000</v>
      </c>
      <c r="D49" s="10"/>
      <c r="E49" s="10"/>
      <c r="F49" s="170" t="s">
        <v>316</v>
      </c>
      <c r="G49" s="10"/>
      <c r="H49" s="10">
        <v>30000</v>
      </c>
      <c r="I49" s="10"/>
      <c r="J49" s="10"/>
      <c r="K49" s="129"/>
      <c r="L49" s="20">
        <f>B41+B45</f>
        <v>86400</v>
      </c>
    </row>
    <row r="50" spans="1:12" x14ac:dyDescent="0.25">
      <c r="A50" s="129" t="s">
        <v>386</v>
      </c>
      <c r="B50" s="10"/>
      <c r="C50" s="159">
        <v>15310</v>
      </c>
      <c r="D50" s="10"/>
      <c r="E50" s="10"/>
      <c r="F50" s="129" t="s">
        <v>386</v>
      </c>
      <c r="G50" s="10"/>
      <c r="H50" s="159">
        <v>15310</v>
      </c>
      <c r="I50" s="10"/>
      <c r="J50" s="10"/>
      <c r="K50" s="129"/>
    </row>
    <row r="51" spans="1:12" x14ac:dyDescent="0.25">
      <c r="A51" s="158" t="s">
        <v>387</v>
      </c>
      <c r="B51" s="158"/>
      <c r="C51" s="10">
        <v>6000</v>
      </c>
      <c r="D51" s="10"/>
      <c r="E51" s="8"/>
      <c r="F51" s="158" t="s">
        <v>387</v>
      </c>
      <c r="G51" s="158"/>
      <c r="H51" s="10">
        <v>6000</v>
      </c>
      <c r="I51" s="10"/>
      <c r="J51" s="10"/>
      <c r="K51" s="129"/>
    </row>
    <row r="52" spans="1:12" x14ac:dyDescent="0.25">
      <c r="A52" s="205" t="s">
        <v>388</v>
      </c>
      <c r="B52" s="10"/>
      <c r="C52" s="10">
        <v>2000</v>
      </c>
      <c r="D52" s="10"/>
      <c r="E52" s="204"/>
      <c r="F52" s="205" t="s">
        <v>388</v>
      </c>
      <c r="G52" s="10"/>
      <c r="H52" s="10">
        <v>2000</v>
      </c>
      <c r="I52" s="10"/>
      <c r="J52" s="156"/>
      <c r="K52" s="129"/>
    </row>
    <row r="53" spans="1:12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  <c r="K53" s="129"/>
    </row>
    <row r="54" spans="1:12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  <c r="K54" s="129"/>
    </row>
    <row r="55" spans="1:12" x14ac:dyDescent="0.25">
      <c r="A55" s="171" t="s">
        <v>4</v>
      </c>
      <c r="B55" s="155">
        <f>B46</f>
        <v>79648</v>
      </c>
      <c r="C55" s="155">
        <f>SUM(C48:C54)</f>
        <v>74310</v>
      </c>
      <c r="D55" s="155">
        <f>B55-C55</f>
        <v>5338</v>
      </c>
      <c r="E55" s="10">
        <f>J38</f>
        <v>26680</v>
      </c>
      <c r="F55" s="171" t="s">
        <v>4</v>
      </c>
      <c r="G55" s="155">
        <f>G46</f>
        <v>63800</v>
      </c>
      <c r="H55" s="155">
        <f>SUM(H42:H54)</f>
        <v>79414</v>
      </c>
      <c r="I55" s="155">
        <f>G55-H55</f>
        <v>-15614</v>
      </c>
      <c r="J55" s="10">
        <f>J38</f>
        <v>26680</v>
      </c>
      <c r="K55" s="20">
        <f>I55-J55</f>
        <v>-42294</v>
      </c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  <row r="57" spans="1:12" x14ac:dyDescent="0.25">
      <c r="A57" s="129"/>
      <c r="B57" s="92" t="s">
        <v>112</v>
      </c>
      <c r="C57" s="92"/>
      <c r="D57" s="12" t="s">
        <v>113</v>
      </c>
      <c r="E57" s="12" t="s">
        <v>114</v>
      </c>
      <c r="F57" s="129"/>
      <c r="G57" s="129"/>
      <c r="H57" s="129"/>
      <c r="I57" s="129"/>
      <c r="J57" s="129"/>
      <c r="K57" s="129"/>
    </row>
    <row r="58" spans="1:12" x14ac:dyDescent="0.25">
      <c r="A58" s="129"/>
      <c r="B58" s="92"/>
      <c r="C58" s="92"/>
      <c r="D58" s="12"/>
      <c r="E58" s="12"/>
      <c r="F58" s="129"/>
      <c r="G58" s="129"/>
      <c r="H58" s="129"/>
      <c r="I58" s="129"/>
      <c r="J58" s="129"/>
      <c r="K58" s="129"/>
    </row>
    <row r="59" spans="1:12" x14ac:dyDescent="0.25">
      <c r="A59" s="129"/>
      <c r="B59" s="12" t="s">
        <v>317</v>
      </c>
      <c r="C59" s="12"/>
      <c r="D59" s="12" t="s">
        <v>305</v>
      </c>
      <c r="E59" s="129"/>
      <c r="F59" s="129"/>
      <c r="G59" s="129"/>
      <c r="H59" s="129"/>
      <c r="I59" s="129"/>
      <c r="J59" s="129"/>
      <c r="K59" s="129"/>
    </row>
  </sheetData>
  <pageMargins left="0.25" right="0.25" top="0.15" bottom="0.1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22" workbookViewId="0">
      <selection activeCell="C56" sqref="C56"/>
    </sheetView>
  </sheetViews>
  <sheetFormatPr defaultRowHeight="15" x14ac:dyDescent="0.25"/>
  <cols>
    <col min="1" max="2" width="10.85546875" customWidth="1"/>
    <col min="3" max="3" width="11.28515625" customWidth="1"/>
    <col min="4" max="4" width="10.42578125" customWidth="1"/>
    <col min="6" max="6" width="12.42578125" customWidth="1"/>
    <col min="7" max="7" width="11.85546875" customWidth="1"/>
    <col min="8" max="8" width="10.42578125" customWidth="1"/>
    <col min="9" max="9" width="11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394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</row>
    <row r="5" spans="1:10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>
        <f t="shared" ref="J5:J38" si="0">H5-I5</f>
        <v>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1">E6+F6+G6</f>
        <v>2800</v>
      </c>
      <c r="I6" s="202">
        <v>2800</v>
      </c>
      <c r="J6" s="10">
        <f t="shared" si="0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1"/>
        <v>3900</v>
      </c>
      <c r="I7" s="202">
        <v>4000</v>
      </c>
      <c r="J7" s="10">
        <f t="shared" si="0"/>
        <v>-100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1"/>
        <v>4100</v>
      </c>
      <c r="I8" s="202">
        <v>2800</v>
      </c>
      <c r="J8" s="10">
        <f t="shared" si="0"/>
        <v>1300</v>
      </c>
    </row>
    <row r="9" spans="1:10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1"/>
        <v>2800</v>
      </c>
      <c r="I9" s="202">
        <v>2800</v>
      </c>
      <c r="J9" s="10">
        <f t="shared" si="0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>
        <v>3743</v>
      </c>
      <c r="F10" s="174">
        <v>100</v>
      </c>
      <c r="G10" s="174">
        <v>2700</v>
      </c>
      <c r="H10" s="174">
        <f t="shared" si="1"/>
        <v>6543</v>
      </c>
      <c r="I10" s="202">
        <v>3500</v>
      </c>
      <c r="J10" s="10">
        <f t="shared" si="0"/>
        <v>3043</v>
      </c>
    </row>
    <row r="11" spans="1:10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0"/>
        <v>0</v>
      </c>
    </row>
    <row r="12" spans="1:10" x14ac:dyDescent="0.25">
      <c r="A12" s="172" t="s">
        <v>64</v>
      </c>
      <c r="B12" s="173">
        <v>9</v>
      </c>
      <c r="C12" s="178"/>
      <c r="D12" s="178"/>
      <c r="E12" s="174">
        <v>1200</v>
      </c>
      <c r="F12" s="174"/>
      <c r="G12" s="174"/>
      <c r="H12" s="174"/>
      <c r="I12" s="202"/>
      <c r="J12" s="10">
        <f t="shared" si="0"/>
        <v>0</v>
      </c>
    </row>
    <row r="13" spans="1:10" x14ac:dyDescent="0.25">
      <c r="A13" s="175" t="s">
        <v>371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1"/>
        <v>2800</v>
      </c>
      <c r="I13" s="202">
        <v>2800</v>
      </c>
      <c r="J13" s="10">
        <f t="shared" si="0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1"/>
        <v>2800</v>
      </c>
      <c r="I14" s="202">
        <v>2800</v>
      </c>
      <c r="J14" s="10">
        <f t="shared" si="0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>
        <v>3050</v>
      </c>
      <c r="F15" s="174">
        <v>100</v>
      </c>
      <c r="G15" s="174">
        <v>2800</v>
      </c>
      <c r="H15" s="174">
        <f t="shared" si="1"/>
        <v>5950</v>
      </c>
      <c r="I15" s="202">
        <v>2800</v>
      </c>
      <c r="J15" s="10">
        <f t="shared" si="0"/>
        <v>3150</v>
      </c>
    </row>
    <row r="16" spans="1:10" x14ac:dyDescent="0.25">
      <c r="A16" s="172"/>
      <c r="B16" s="173">
        <v>13</v>
      </c>
      <c r="C16" s="178"/>
      <c r="D16" s="178"/>
      <c r="E16" s="174"/>
      <c r="F16" s="174"/>
      <c r="G16" s="174">
        <v>2700</v>
      </c>
      <c r="H16" s="174"/>
      <c r="I16" s="202"/>
      <c r="J16" s="10">
        <f t="shared" si="0"/>
        <v>0</v>
      </c>
    </row>
    <row r="17" spans="1:10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1"/>
        <v>2800</v>
      </c>
      <c r="I17" s="105">
        <v>2800</v>
      </c>
      <c r="J17" s="10">
        <f t="shared" si="0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1"/>
        <v>2800</v>
      </c>
      <c r="I18" s="202">
        <v>2750</v>
      </c>
      <c r="J18" s="10">
        <f t="shared" si="0"/>
        <v>50</v>
      </c>
    </row>
    <row r="19" spans="1:10" x14ac:dyDescent="0.25">
      <c r="A19" s="172" t="s">
        <v>51</v>
      </c>
      <c r="B19" s="173">
        <v>16</v>
      </c>
      <c r="C19" s="178"/>
      <c r="D19" s="178"/>
      <c r="E19" s="174">
        <v>3181</v>
      </c>
      <c r="F19" s="174">
        <v>100</v>
      </c>
      <c r="G19" s="174">
        <v>2700</v>
      </c>
      <c r="H19" s="174">
        <f t="shared" si="1"/>
        <v>5981</v>
      </c>
      <c r="I19" s="202">
        <v>2900</v>
      </c>
      <c r="J19" s="10">
        <f t="shared" si="0"/>
        <v>3081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1"/>
        <v>2800</v>
      </c>
      <c r="I20" s="202">
        <v>1500</v>
      </c>
      <c r="J20" s="10">
        <f t="shared" si="0"/>
        <v>1300</v>
      </c>
    </row>
    <row r="21" spans="1:10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1"/>
        <v>3100</v>
      </c>
      <c r="I21" s="105">
        <v>3100</v>
      </c>
      <c r="J21" s="10">
        <f t="shared" si="0"/>
        <v>0</v>
      </c>
    </row>
    <row r="22" spans="1:10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1"/>
        <v>3100</v>
      </c>
      <c r="I22" s="202">
        <v>2600</v>
      </c>
      <c r="J22" s="105">
        <f t="shared" si="0"/>
        <v>500</v>
      </c>
    </row>
    <row r="23" spans="1:10" x14ac:dyDescent="0.25">
      <c r="A23" s="172" t="s">
        <v>64</v>
      </c>
      <c r="B23" s="173">
        <v>20</v>
      </c>
      <c r="C23" s="178"/>
      <c r="D23" s="178"/>
      <c r="E23" s="174"/>
      <c r="F23" s="174"/>
      <c r="G23" s="174"/>
      <c r="H23" s="174"/>
      <c r="I23" s="202"/>
      <c r="J23" s="10">
        <f>H23-I23</f>
        <v>0</v>
      </c>
    </row>
    <row r="24" spans="1:10" x14ac:dyDescent="0.25">
      <c r="A24" s="172" t="s">
        <v>346</v>
      </c>
      <c r="B24" s="173">
        <v>21</v>
      </c>
      <c r="C24" s="178"/>
      <c r="D24" s="178"/>
      <c r="E24" s="174">
        <v>5600</v>
      </c>
      <c r="F24" s="174">
        <v>100</v>
      </c>
      <c r="G24" s="174">
        <v>2700</v>
      </c>
      <c r="H24" s="174">
        <f t="shared" si="1"/>
        <v>8400</v>
      </c>
      <c r="I24" s="202">
        <v>2800</v>
      </c>
      <c r="J24" s="10"/>
    </row>
    <row r="25" spans="1:10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0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3700</v>
      </c>
      <c r="H26" s="174">
        <f>F26+G26</f>
        <v>3800</v>
      </c>
      <c r="I26" s="202">
        <v>3800</v>
      </c>
      <c r="J26" s="10">
        <f t="shared" si="0"/>
        <v>0</v>
      </c>
    </row>
    <row r="27" spans="1:10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1"/>
        <v>0</v>
      </c>
      <c r="I27" s="105"/>
      <c r="J27" s="10">
        <f t="shared" si="0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1"/>
        <v>3700</v>
      </c>
      <c r="I28" s="202">
        <v>3800</v>
      </c>
      <c r="J28" s="10">
        <f t="shared" si="0"/>
        <v>-100</v>
      </c>
    </row>
    <row r="29" spans="1:10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>F29+G29</f>
        <v>3800</v>
      </c>
      <c r="I29" s="202">
        <v>3800</v>
      </c>
      <c r="J29" s="10">
        <f t="shared" si="0"/>
        <v>0</v>
      </c>
    </row>
    <row r="30" spans="1:10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3700</v>
      </c>
      <c r="H30" s="194">
        <f>F30+G30</f>
        <v>3800</v>
      </c>
      <c r="I30" s="202">
        <v>3800</v>
      </c>
      <c r="J30" s="105">
        <f t="shared" si="0"/>
        <v>0</v>
      </c>
    </row>
    <row r="31" spans="1:10" x14ac:dyDescent="0.25">
      <c r="A31" s="172" t="s">
        <v>262</v>
      </c>
      <c r="B31" s="173">
        <v>28</v>
      </c>
      <c r="C31" s="178"/>
      <c r="D31" s="178"/>
      <c r="E31" s="177"/>
      <c r="F31" s="174">
        <v>100</v>
      </c>
      <c r="G31" s="177">
        <v>3500</v>
      </c>
      <c r="H31" s="174">
        <f t="shared" si="1"/>
        <v>3600</v>
      </c>
      <c r="I31" s="202">
        <v>3500</v>
      </c>
      <c r="J31" s="10">
        <f t="shared" si="0"/>
        <v>100</v>
      </c>
    </row>
    <row r="32" spans="1:10" x14ac:dyDescent="0.25">
      <c r="A32" s="172" t="s">
        <v>384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1"/>
        <v>3400</v>
      </c>
      <c r="I32" s="202">
        <v>3500</v>
      </c>
      <c r="J32" s="10">
        <f t="shared" si="0"/>
        <v>-100</v>
      </c>
    </row>
    <row r="33" spans="1:10" x14ac:dyDescent="0.25">
      <c r="A33" s="172" t="s">
        <v>64</v>
      </c>
      <c r="B33" s="173">
        <v>30</v>
      </c>
      <c r="C33" s="178"/>
      <c r="D33" s="178"/>
      <c r="E33" s="174"/>
      <c r="F33" s="174"/>
      <c r="G33" s="174"/>
      <c r="H33" s="174"/>
      <c r="I33" s="202"/>
      <c r="J33" s="10"/>
    </row>
    <row r="34" spans="1:10" x14ac:dyDescent="0.25">
      <c r="A34" s="172" t="s">
        <v>64</v>
      </c>
      <c r="B34" s="173">
        <v>31</v>
      </c>
      <c r="C34" s="178"/>
      <c r="D34" s="178"/>
      <c r="E34" s="176"/>
      <c r="F34" s="174"/>
      <c r="G34" s="176"/>
      <c r="H34" s="174"/>
      <c r="I34" s="202"/>
      <c r="J34" s="105"/>
    </row>
    <row r="35" spans="1:10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1"/>
        <v>3400</v>
      </c>
      <c r="I35" s="105">
        <v>3000</v>
      </c>
      <c r="J35" s="10">
        <f t="shared" si="0"/>
        <v>400</v>
      </c>
    </row>
    <row r="36" spans="1:10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1"/>
        <v>3400</v>
      </c>
      <c r="I36" s="202">
        <v>3300</v>
      </c>
      <c r="J36" s="10">
        <f t="shared" si="0"/>
        <v>100</v>
      </c>
    </row>
    <row r="37" spans="1:10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3300</v>
      </c>
      <c r="H37" s="174">
        <f t="shared" si="1"/>
        <v>3400</v>
      </c>
      <c r="I37" s="202">
        <v>3100</v>
      </c>
      <c r="J37" s="10">
        <f t="shared" si="0"/>
        <v>300</v>
      </c>
    </row>
    <row r="38" spans="1:10" x14ac:dyDescent="0.25">
      <c r="A38" s="33" t="s">
        <v>25</v>
      </c>
      <c r="B38" s="10"/>
      <c r="C38" s="10"/>
      <c r="D38" s="10"/>
      <c r="E38" s="192">
        <f>SUM(E4:E37)</f>
        <v>16774</v>
      </c>
      <c r="F38" s="192">
        <f>SUM(F4:F37)</f>
        <v>2500</v>
      </c>
      <c r="G38" s="192">
        <f>SUM(G4:G37)</f>
        <v>82100</v>
      </c>
      <c r="H38" s="192">
        <f>SUM(H4:H37)</f>
        <v>97474</v>
      </c>
      <c r="I38" s="210">
        <f>SUM(I4:I37)</f>
        <v>78850</v>
      </c>
      <c r="J38" s="192">
        <f t="shared" si="0"/>
        <v>18624</v>
      </c>
    </row>
    <row r="39" spans="1:10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0" x14ac:dyDescent="0.25">
      <c r="A41" s="105" t="s">
        <v>291</v>
      </c>
      <c r="B41" s="155">
        <f>G38</f>
        <v>82100</v>
      </c>
      <c r="C41" s="10">
        <v>0</v>
      </c>
      <c r="D41" s="10"/>
      <c r="E41" s="10"/>
      <c r="F41" s="105" t="s">
        <v>291</v>
      </c>
      <c r="G41" s="155">
        <f>I38</f>
        <v>78850</v>
      </c>
      <c r="H41" s="10">
        <v>0</v>
      </c>
      <c r="I41" s="10"/>
      <c r="J41" s="10"/>
    </row>
    <row r="42" spans="1:10" x14ac:dyDescent="0.25">
      <c r="A42" s="10" t="s">
        <v>292</v>
      </c>
      <c r="B42" s="156">
        <v>0.08</v>
      </c>
      <c r="C42" s="157">
        <f>B42*B41</f>
        <v>6568</v>
      </c>
      <c r="D42" s="10"/>
      <c r="E42" s="10"/>
      <c r="F42" s="10" t="s">
        <v>292</v>
      </c>
      <c r="G42" s="156">
        <v>0.08</v>
      </c>
      <c r="H42" s="157">
        <f>G42*G41</f>
        <v>6308</v>
      </c>
      <c r="I42" s="10"/>
      <c r="J42" s="10"/>
    </row>
    <row r="43" spans="1:10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</row>
    <row r="44" spans="1:10" x14ac:dyDescent="0.25">
      <c r="A44" s="157"/>
      <c r="B44" s="157">
        <f>B41-C42</f>
        <v>75532</v>
      </c>
      <c r="C44" s="10"/>
      <c r="D44" s="10"/>
      <c r="E44" s="10"/>
      <c r="F44" s="157"/>
      <c r="G44" s="10"/>
      <c r="H44" s="10"/>
      <c r="I44" s="10"/>
      <c r="J44" s="10"/>
    </row>
    <row r="45" spans="1:10" x14ac:dyDescent="0.25">
      <c r="A45" s="10" t="s">
        <v>385</v>
      </c>
      <c r="B45" s="129">
        <v>2000</v>
      </c>
      <c r="C45" s="10"/>
      <c r="D45" s="10"/>
      <c r="E45" s="10"/>
      <c r="F45" s="157"/>
      <c r="G45" s="10"/>
      <c r="H45" s="10"/>
      <c r="I45" s="10"/>
      <c r="J45" s="10"/>
    </row>
    <row r="46" spans="1:10" x14ac:dyDescent="0.25">
      <c r="A46" s="129"/>
      <c r="B46" s="20">
        <f>B44+B45</f>
        <v>77532</v>
      </c>
      <c r="C46" s="10"/>
      <c r="D46" s="10"/>
      <c r="E46" s="10"/>
      <c r="F46" s="10"/>
      <c r="G46" s="157">
        <f>G41+G43+G44+G45</f>
        <v>78850</v>
      </c>
      <c r="H46" s="10"/>
      <c r="I46" s="10"/>
      <c r="J46" s="10"/>
    </row>
    <row r="47" spans="1:10" x14ac:dyDescent="0.25">
      <c r="A47" s="200" t="s">
        <v>293</v>
      </c>
      <c r="B47" s="201"/>
      <c r="C47" s="129"/>
      <c r="D47" s="190"/>
      <c r="E47" s="10"/>
      <c r="F47" s="200" t="s">
        <v>293</v>
      </c>
      <c r="G47" s="157"/>
      <c r="H47" s="129"/>
      <c r="I47" s="190"/>
      <c r="J47" s="10"/>
    </row>
    <row r="48" spans="1:10" x14ac:dyDescent="0.25">
      <c r="A48" s="211" t="s">
        <v>389</v>
      </c>
      <c r="B48" s="129"/>
      <c r="C48" s="10">
        <v>1200</v>
      </c>
      <c r="D48" s="10"/>
      <c r="E48" s="10"/>
      <c r="F48" s="211">
        <v>42712</v>
      </c>
      <c r="G48" s="10"/>
      <c r="H48" s="10">
        <v>1200</v>
      </c>
      <c r="I48" s="10"/>
      <c r="J48" s="10"/>
    </row>
    <row r="49" spans="1:15" x14ac:dyDescent="0.25">
      <c r="A49" s="170" t="s">
        <v>316</v>
      </c>
      <c r="B49" s="129"/>
      <c r="C49" s="10">
        <v>30000</v>
      </c>
      <c r="D49" s="10"/>
      <c r="E49" s="10"/>
      <c r="F49" s="170" t="s">
        <v>316</v>
      </c>
      <c r="G49" s="10"/>
      <c r="H49" s="10">
        <v>30000</v>
      </c>
      <c r="I49" s="10"/>
      <c r="J49" s="10"/>
    </row>
    <row r="50" spans="1:15" x14ac:dyDescent="0.25">
      <c r="A50" s="212" t="s">
        <v>293</v>
      </c>
      <c r="B50" s="10"/>
      <c r="C50" s="159">
        <v>30000</v>
      </c>
      <c r="D50" s="10"/>
      <c r="E50" s="10"/>
      <c r="F50" s="129"/>
      <c r="G50" s="10"/>
      <c r="H50" s="159"/>
      <c r="I50" s="10"/>
      <c r="J50" s="10"/>
    </row>
    <row r="51" spans="1:15" x14ac:dyDescent="0.25">
      <c r="A51" s="158"/>
      <c r="B51" s="158"/>
      <c r="C51" s="10">
        <v>13480</v>
      </c>
      <c r="D51" s="10"/>
      <c r="E51" s="8"/>
      <c r="F51" s="158"/>
      <c r="G51" s="158"/>
      <c r="H51" s="10"/>
      <c r="I51" s="10"/>
      <c r="J51" s="10"/>
    </row>
    <row r="52" spans="1:15" x14ac:dyDescent="0.25">
      <c r="A52" s="205"/>
      <c r="B52" s="10"/>
      <c r="C52" s="10"/>
      <c r="D52" s="10"/>
      <c r="E52" s="204"/>
      <c r="F52" s="205"/>
      <c r="G52" s="10"/>
      <c r="H52" s="10"/>
      <c r="I52" s="10"/>
      <c r="J52" s="156"/>
    </row>
    <row r="53" spans="1:15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  <c r="M53">
        <v>2800</v>
      </c>
      <c r="N53">
        <v>8</v>
      </c>
      <c r="O53" t="s">
        <v>390</v>
      </c>
    </row>
    <row r="54" spans="1:15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</row>
    <row r="55" spans="1:15" x14ac:dyDescent="0.25">
      <c r="A55" s="171" t="s">
        <v>4</v>
      </c>
      <c r="B55" s="155">
        <f>B46</f>
        <v>77532</v>
      </c>
      <c r="C55" s="155">
        <f>SUM(C48:C54)</f>
        <v>74680</v>
      </c>
      <c r="D55" s="155">
        <f>B55-C55</f>
        <v>2852</v>
      </c>
      <c r="E55" s="10">
        <f>J38</f>
        <v>18624</v>
      </c>
      <c r="F55" s="171" t="s">
        <v>4</v>
      </c>
      <c r="G55" s="155">
        <f>G46</f>
        <v>78850</v>
      </c>
      <c r="H55" s="155">
        <f>SUM(H42:H54)</f>
        <v>37508</v>
      </c>
      <c r="I55" s="155">
        <f>G55-H55</f>
        <v>41342</v>
      </c>
      <c r="J55" s="10">
        <f>J38</f>
        <v>18624</v>
      </c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</row>
    <row r="57" spans="1:15" x14ac:dyDescent="0.25">
      <c r="A57" s="129"/>
      <c r="B57" s="92" t="s">
        <v>112</v>
      </c>
      <c r="C57" s="92"/>
      <c r="D57" s="12" t="s">
        <v>113</v>
      </c>
      <c r="E57" s="12" t="s">
        <v>114</v>
      </c>
      <c r="F57" s="129"/>
      <c r="G57" s="129"/>
      <c r="H57" s="129"/>
      <c r="I57" s="129"/>
      <c r="J57" s="129"/>
    </row>
    <row r="58" spans="1:15" x14ac:dyDescent="0.25">
      <c r="A58" s="129"/>
      <c r="B58" s="92"/>
      <c r="C58" s="92"/>
      <c r="D58" s="12"/>
      <c r="E58" s="12"/>
      <c r="F58" s="129"/>
      <c r="G58" s="129"/>
      <c r="H58" s="129"/>
      <c r="I58" s="129"/>
      <c r="J58" s="129"/>
    </row>
    <row r="59" spans="1:15" x14ac:dyDescent="0.25">
      <c r="A59" s="129"/>
      <c r="B59" s="12" t="s">
        <v>317</v>
      </c>
      <c r="C59" s="12"/>
      <c r="D59" s="12" t="s">
        <v>305</v>
      </c>
      <c r="E59" s="129"/>
      <c r="F59" s="129"/>
      <c r="G59" s="129"/>
      <c r="H59" s="129"/>
      <c r="I59" s="129"/>
      <c r="J59" s="129"/>
    </row>
    <row r="60" spans="1:15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</row>
    <row r="61" spans="1:15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19" workbookViewId="0">
      <selection activeCell="F36" sqref="F36"/>
    </sheetView>
  </sheetViews>
  <sheetFormatPr defaultRowHeight="15" x14ac:dyDescent="0.25"/>
  <cols>
    <col min="1" max="1" width="15.5703125" customWidth="1"/>
    <col min="2" max="2" width="11.7109375" customWidth="1"/>
    <col min="3" max="3" width="11.140625" customWidth="1"/>
    <col min="4" max="4" width="10.5703125" customWidth="1"/>
    <col min="6" max="6" width="9.85546875" customWidth="1"/>
    <col min="7" max="7" width="10.28515625" customWidth="1"/>
    <col min="8" max="8" width="10.5703125" customWidth="1"/>
    <col min="9" max="9" width="11.42578125" customWidth="1"/>
    <col min="10" max="10" width="8.1406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360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</row>
    <row r="5" spans="1:10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>
        <f t="shared" ref="J5:J38" si="0">H5-I5</f>
        <v>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1">E6+F6+G6</f>
        <v>2800</v>
      </c>
      <c r="I6" s="202">
        <v>2800</v>
      </c>
      <c r="J6" s="10">
        <f t="shared" si="0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1"/>
        <v>3900</v>
      </c>
      <c r="I7" s="202">
        <v>4000</v>
      </c>
      <c r="J7" s="10"/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1"/>
        <v>4100</v>
      </c>
      <c r="I8" s="202">
        <v>4000</v>
      </c>
      <c r="J8" s="10">
        <f t="shared" si="0"/>
        <v>100</v>
      </c>
    </row>
    <row r="9" spans="1:10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1"/>
        <v>2800</v>
      </c>
      <c r="I9" s="202">
        <v>2800</v>
      </c>
      <c r="J9" s="10">
        <f t="shared" si="0"/>
        <v>0</v>
      </c>
    </row>
    <row r="10" spans="1:10" x14ac:dyDescent="0.25">
      <c r="A10" s="172" t="s">
        <v>64</v>
      </c>
      <c r="B10" s="173">
        <v>7</v>
      </c>
      <c r="C10" s="178"/>
      <c r="D10" s="178"/>
      <c r="E10" s="174">
        <v>3043</v>
      </c>
      <c r="F10" s="174"/>
      <c r="G10" s="174"/>
      <c r="H10" s="174"/>
      <c r="I10" s="202"/>
      <c r="J10" s="10">
        <f t="shared" si="0"/>
        <v>0</v>
      </c>
    </row>
    <row r="11" spans="1:10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0"/>
        <v>0</v>
      </c>
    </row>
    <row r="12" spans="1:10" x14ac:dyDescent="0.25">
      <c r="A12" s="172" t="s">
        <v>64</v>
      </c>
      <c r="B12" s="173">
        <v>9</v>
      </c>
      <c r="C12" s="178"/>
      <c r="D12" s="178"/>
      <c r="E12" s="174"/>
      <c r="F12" s="174"/>
      <c r="G12" s="174"/>
      <c r="H12" s="174"/>
      <c r="I12" s="202"/>
      <c r="J12" s="10">
        <f t="shared" si="0"/>
        <v>0</v>
      </c>
    </row>
    <row r="13" spans="1:10" x14ac:dyDescent="0.25">
      <c r="A13" s="175" t="s">
        <v>64</v>
      </c>
      <c r="B13" s="173">
        <v>10</v>
      </c>
      <c r="C13" s="178"/>
      <c r="D13" s="178"/>
      <c r="E13" s="174"/>
      <c r="F13" s="174"/>
      <c r="G13" s="174"/>
      <c r="H13" s="174"/>
      <c r="I13" s="202"/>
      <c r="J13" s="10">
        <f t="shared" si="0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1"/>
        <v>2800</v>
      </c>
      <c r="I14" s="202">
        <v>2800</v>
      </c>
      <c r="J14" s="10">
        <f t="shared" si="0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>
        <v>3150</v>
      </c>
      <c r="F15" s="174">
        <v>100</v>
      </c>
      <c r="G15" s="174">
        <v>2700</v>
      </c>
      <c r="H15" s="174">
        <f t="shared" si="1"/>
        <v>5950</v>
      </c>
      <c r="I15" s="202">
        <v>2800</v>
      </c>
      <c r="J15" s="10">
        <f t="shared" si="0"/>
        <v>3150</v>
      </c>
    </row>
    <row r="16" spans="1:10" x14ac:dyDescent="0.25">
      <c r="A16" s="172" t="s">
        <v>384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/>
      <c r="I16" s="202"/>
      <c r="J16" s="10">
        <f t="shared" si="0"/>
        <v>0</v>
      </c>
    </row>
    <row r="17" spans="1:13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1"/>
        <v>2800</v>
      </c>
      <c r="I17" s="105">
        <v>2800</v>
      </c>
      <c r="J17" s="10">
        <f t="shared" si="0"/>
        <v>0</v>
      </c>
      <c r="K17" s="174"/>
    </row>
    <row r="18" spans="1:13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1"/>
        <v>2800</v>
      </c>
      <c r="I18" s="202">
        <v>2750</v>
      </c>
      <c r="J18" s="10">
        <f t="shared" si="0"/>
        <v>50</v>
      </c>
      <c r="K18" s="10"/>
      <c r="M18">
        <v>3800</v>
      </c>
    </row>
    <row r="19" spans="1:13" x14ac:dyDescent="0.25">
      <c r="A19" s="172" t="s">
        <v>51</v>
      </c>
      <c r="B19" s="173">
        <v>16</v>
      </c>
      <c r="C19" s="178"/>
      <c r="D19" s="178"/>
      <c r="E19" s="174">
        <v>3181</v>
      </c>
      <c r="F19" s="174"/>
      <c r="G19" s="174"/>
      <c r="H19" s="174"/>
      <c r="I19" s="202"/>
      <c r="J19" s="10">
        <f t="shared" si="0"/>
        <v>0</v>
      </c>
      <c r="K19" s="10"/>
      <c r="M19">
        <v>380</v>
      </c>
    </row>
    <row r="20" spans="1:13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1"/>
        <v>2800</v>
      </c>
      <c r="I20" s="202">
        <v>2800</v>
      </c>
      <c r="J20" s="10">
        <f t="shared" si="0"/>
        <v>0</v>
      </c>
      <c r="K20" s="10"/>
      <c r="M20">
        <f>SUM(M18:M19)</f>
        <v>4180</v>
      </c>
    </row>
    <row r="21" spans="1:13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1"/>
        <v>3100</v>
      </c>
      <c r="I21" s="105">
        <v>3000</v>
      </c>
      <c r="J21" s="10">
        <f t="shared" si="0"/>
        <v>100</v>
      </c>
      <c r="K21" s="10"/>
    </row>
    <row r="22" spans="1:13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1"/>
        <v>3100</v>
      </c>
      <c r="I22" s="202">
        <v>2600</v>
      </c>
      <c r="J22" s="105">
        <f t="shared" si="0"/>
        <v>500</v>
      </c>
      <c r="K22" s="10"/>
    </row>
    <row r="23" spans="1:13" x14ac:dyDescent="0.25">
      <c r="A23" s="172" t="s">
        <v>64</v>
      </c>
      <c r="B23" s="173">
        <v>20</v>
      </c>
      <c r="C23" s="178"/>
      <c r="D23" s="178"/>
      <c r="E23" s="174"/>
      <c r="F23" s="174"/>
      <c r="G23" s="174"/>
      <c r="H23" s="174"/>
      <c r="I23" s="202"/>
      <c r="J23" s="10">
        <f>H23-I23</f>
        <v>0</v>
      </c>
    </row>
    <row r="24" spans="1:13" x14ac:dyDescent="0.25">
      <c r="A24" s="172" t="s">
        <v>346</v>
      </c>
      <c r="B24" s="173">
        <v>21</v>
      </c>
      <c r="C24" s="178"/>
      <c r="D24" s="178"/>
      <c r="E24" s="174">
        <v>5600</v>
      </c>
      <c r="F24" s="174">
        <v>100</v>
      </c>
      <c r="G24" s="174">
        <v>2700</v>
      </c>
      <c r="H24" s="174">
        <f t="shared" si="1"/>
        <v>8400</v>
      </c>
      <c r="I24" s="202">
        <v>2800</v>
      </c>
      <c r="J24" s="10"/>
    </row>
    <row r="25" spans="1:13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3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3600</v>
      </c>
      <c r="H26" s="174">
        <f>F26+G26</f>
        <v>3700</v>
      </c>
      <c r="I26" s="202">
        <v>3800</v>
      </c>
      <c r="J26" s="10"/>
    </row>
    <row r="27" spans="1:13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1"/>
        <v>0</v>
      </c>
      <c r="I27" s="105"/>
      <c r="J27" s="10">
        <f t="shared" si="0"/>
        <v>0</v>
      </c>
    </row>
    <row r="28" spans="1:13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1"/>
        <v>3700</v>
      </c>
      <c r="I28" s="202">
        <v>3800</v>
      </c>
      <c r="J28" s="10"/>
    </row>
    <row r="29" spans="1:13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3600</v>
      </c>
      <c r="H29" s="174">
        <f>F29+G29</f>
        <v>3700</v>
      </c>
      <c r="I29" s="202">
        <v>3700</v>
      </c>
      <c r="J29" s="10">
        <f t="shared" si="0"/>
        <v>0</v>
      </c>
    </row>
    <row r="30" spans="1:13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3600</v>
      </c>
      <c r="H30" s="194">
        <f>F30+G30</f>
        <v>3700</v>
      </c>
      <c r="I30" s="202">
        <v>3800</v>
      </c>
      <c r="J30" s="105"/>
    </row>
    <row r="31" spans="1:13" x14ac:dyDescent="0.25">
      <c r="A31" s="172" t="s">
        <v>262</v>
      </c>
      <c r="B31" s="173" t="s">
        <v>153</v>
      </c>
      <c r="C31" s="178"/>
      <c r="D31" s="178"/>
      <c r="E31" s="177"/>
      <c r="F31" s="174">
        <v>100</v>
      </c>
      <c r="G31" s="177">
        <v>3500</v>
      </c>
      <c r="H31" s="174">
        <f t="shared" si="1"/>
        <v>3600</v>
      </c>
      <c r="I31" s="202">
        <v>3500</v>
      </c>
      <c r="J31" s="10">
        <f t="shared" si="0"/>
        <v>100</v>
      </c>
    </row>
    <row r="32" spans="1:13" x14ac:dyDescent="0.25">
      <c r="A32" s="172" t="s">
        <v>384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1"/>
        <v>3400</v>
      </c>
      <c r="I32" s="202">
        <v>3500</v>
      </c>
      <c r="J32" s="10"/>
    </row>
    <row r="33" spans="1:10" x14ac:dyDescent="0.25">
      <c r="A33" s="172" t="s">
        <v>371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1"/>
        <v>3400</v>
      </c>
      <c r="I33" s="202">
        <v>3400</v>
      </c>
      <c r="J33" s="10"/>
    </row>
    <row r="34" spans="1:10" x14ac:dyDescent="0.25">
      <c r="A34" s="172" t="s">
        <v>64</v>
      </c>
      <c r="B34" s="173">
        <v>31</v>
      </c>
      <c r="C34" s="178"/>
      <c r="D34" s="178"/>
      <c r="E34" s="176"/>
      <c r="F34" s="174"/>
      <c r="G34" s="176"/>
      <c r="H34" s="174"/>
      <c r="I34" s="202"/>
      <c r="J34" s="105"/>
    </row>
    <row r="35" spans="1:10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1"/>
        <v>3400</v>
      </c>
      <c r="I35" s="105">
        <v>3000</v>
      </c>
      <c r="J35" s="10">
        <f t="shared" si="0"/>
        <v>400</v>
      </c>
    </row>
    <row r="36" spans="1:10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3200</v>
      </c>
      <c r="H36" s="174">
        <f t="shared" si="1"/>
        <v>3300</v>
      </c>
      <c r="I36" s="202">
        <v>3300</v>
      </c>
      <c r="J36" s="10">
        <f t="shared" si="0"/>
        <v>0</v>
      </c>
    </row>
    <row r="37" spans="1:10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3200</v>
      </c>
      <c r="H37" s="174">
        <f t="shared" si="1"/>
        <v>3300</v>
      </c>
      <c r="I37" s="202">
        <v>3300</v>
      </c>
      <c r="J37" s="10">
        <f t="shared" si="0"/>
        <v>0</v>
      </c>
    </row>
    <row r="38" spans="1:10" x14ac:dyDescent="0.25">
      <c r="A38" s="33" t="s">
        <v>25</v>
      </c>
      <c r="B38" s="10"/>
      <c r="C38" s="10"/>
      <c r="D38" s="10"/>
      <c r="E38" s="192">
        <f>SUM(E4:E37)</f>
        <v>14974</v>
      </c>
      <c r="F38" s="192">
        <f>SUM(F4:F37)</f>
        <v>2400</v>
      </c>
      <c r="G38" s="192">
        <f>SUM(G4:G37)</f>
        <v>76700</v>
      </c>
      <c r="H38" s="192">
        <f>SUM(H4:H37)</f>
        <v>85050</v>
      </c>
      <c r="I38" s="210">
        <f>SUM(I4:I37)</f>
        <v>75550</v>
      </c>
      <c r="J38" s="192">
        <f t="shared" si="0"/>
        <v>9500</v>
      </c>
    </row>
    <row r="39" spans="1:10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0" x14ac:dyDescent="0.25">
      <c r="A41" s="105" t="s">
        <v>291</v>
      </c>
      <c r="B41" s="155">
        <f>G38</f>
        <v>76700</v>
      </c>
      <c r="C41" s="10">
        <v>0</v>
      </c>
      <c r="D41" s="10"/>
      <c r="E41" s="10"/>
      <c r="F41" s="105" t="s">
        <v>291</v>
      </c>
      <c r="G41" s="155">
        <f>I38</f>
        <v>75550</v>
      </c>
      <c r="H41" s="10">
        <v>0</v>
      </c>
      <c r="I41" s="10"/>
      <c r="J41" s="10"/>
    </row>
    <row r="42" spans="1:10" x14ac:dyDescent="0.25">
      <c r="A42" s="10" t="s">
        <v>292</v>
      </c>
      <c r="B42" s="156">
        <v>0.08</v>
      </c>
      <c r="C42" s="157">
        <f>B42*B41</f>
        <v>6136</v>
      </c>
      <c r="D42" s="10"/>
      <c r="E42" s="10"/>
      <c r="F42" s="10" t="s">
        <v>292</v>
      </c>
      <c r="G42" s="156">
        <v>0.08</v>
      </c>
      <c r="H42" s="157">
        <f>G42*G41</f>
        <v>6044</v>
      </c>
      <c r="I42" s="10"/>
      <c r="J42" s="10"/>
    </row>
    <row r="43" spans="1:10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</row>
    <row r="44" spans="1:10" x14ac:dyDescent="0.25">
      <c r="A44" s="157"/>
      <c r="B44" s="157">
        <f>B41-C42</f>
        <v>70564</v>
      </c>
      <c r="C44" s="10"/>
      <c r="D44" s="10"/>
      <c r="E44" s="10"/>
      <c r="F44" s="157"/>
      <c r="G44" s="10"/>
      <c r="H44" s="10"/>
      <c r="I44" s="10"/>
      <c r="J44" s="10"/>
    </row>
    <row r="45" spans="1:10" x14ac:dyDescent="0.25">
      <c r="A45" s="10" t="s">
        <v>385</v>
      </c>
      <c r="B45" s="129"/>
      <c r="C45" s="10"/>
      <c r="D45" s="10"/>
      <c r="E45" s="10"/>
      <c r="F45" s="157"/>
      <c r="G45" s="10"/>
      <c r="H45" s="10"/>
      <c r="I45" s="10"/>
      <c r="J45" s="10"/>
    </row>
    <row r="46" spans="1:10" x14ac:dyDescent="0.25">
      <c r="A46" s="129"/>
      <c r="B46" s="20">
        <f>B44+B45</f>
        <v>70564</v>
      </c>
      <c r="C46" s="198"/>
      <c r="D46" s="10"/>
      <c r="E46" s="10"/>
      <c r="F46" s="10"/>
      <c r="G46" s="157">
        <f>G41+G43+G44+G45</f>
        <v>75550</v>
      </c>
      <c r="H46" s="10"/>
      <c r="I46" s="10"/>
      <c r="J46" s="10"/>
    </row>
    <row r="47" spans="1:10" x14ac:dyDescent="0.25">
      <c r="A47" s="200" t="s">
        <v>293</v>
      </c>
      <c r="B47" s="157"/>
      <c r="C47" s="10"/>
      <c r="D47" s="190"/>
      <c r="E47" s="10"/>
      <c r="F47" s="200" t="s">
        <v>293</v>
      </c>
      <c r="G47" s="157"/>
      <c r="H47" s="129"/>
      <c r="I47" s="190"/>
      <c r="J47" s="10"/>
    </row>
    <row r="48" spans="1:10" x14ac:dyDescent="0.25">
      <c r="A48" s="211" t="s">
        <v>392</v>
      </c>
      <c r="B48" s="10"/>
      <c r="C48" s="10">
        <v>5600</v>
      </c>
      <c r="D48" s="10"/>
      <c r="E48" s="10"/>
      <c r="F48" s="211" t="s">
        <v>392</v>
      </c>
      <c r="G48" s="10"/>
      <c r="H48" s="10">
        <v>5600</v>
      </c>
      <c r="I48" s="10"/>
      <c r="J48" s="10"/>
    </row>
    <row r="49" spans="1:10" x14ac:dyDescent="0.25">
      <c r="A49" s="170"/>
      <c r="B49" s="10"/>
      <c r="C49" s="10"/>
      <c r="D49" s="10"/>
      <c r="E49" s="10"/>
      <c r="F49" s="170"/>
      <c r="G49" s="10"/>
      <c r="H49" s="10"/>
      <c r="I49" s="10"/>
      <c r="J49" s="10"/>
    </row>
    <row r="50" spans="1:10" x14ac:dyDescent="0.25">
      <c r="A50" s="212" t="s">
        <v>393</v>
      </c>
      <c r="B50" s="10"/>
      <c r="C50" s="159">
        <v>65148</v>
      </c>
      <c r="D50" s="10"/>
      <c r="E50" s="10"/>
      <c r="F50" s="212" t="s">
        <v>393</v>
      </c>
      <c r="G50" s="10"/>
      <c r="H50" s="159">
        <v>65148</v>
      </c>
      <c r="I50" s="10"/>
      <c r="J50" s="10"/>
    </row>
    <row r="51" spans="1:10" x14ac:dyDescent="0.25">
      <c r="A51" s="158"/>
      <c r="B51" s="158"/>
      <c r="C51" s="10"/>
      <c r="D51" s="10"/>
      <c r="E51" s="8"/>
      <c r="F51" s="158"/>
      <c r="G51" s="158"/>
      <c r="H51" s="10"/>
      <c r="I51" s="10"/>
      <c r="J51" s="10"/>
    </row>
    <row r="52" spans="1:10" x14ac:dyDescent="0.25">
      <c r="A52" s="205"/>
      <c r="B52" s="10"/>
      <c r="C52" s="10"/>
      <c r="D52" s="10"/>
      <c r="E52" s="204"/>
      <c r="F52" s="205"/>
      <c r="G52" s="10"/>
      <c r="H52" s="10"/>
      <c r="I52" s="10"/>
      <c r="J52" s="156"/>
    </row>
    <row r="53" spans="1:10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</row>
    <row r="54" spans="1:10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</row>
    <row r="55" spans="1:10" x14ac:dyDescent="0.25">
      <c r="A55" s="171" t="s">
        <v>4</v>
      </c>
      <c r="B55" s="155">
        <f>B46</f>
        <v>70564</v>
      </c>
      <c r="C55" s="155">
        <f>SUM(C48:C54)</f>
        <v>70748</v>
      </c>
      <c r="D55" s="155">
        <f>B55-C55</f>
        <v>-184</v>
      </c>
      <c r="E55" s="10">
        <f>J38</f>
        <v>9500</v>
      </c>
      <c r="F55" s="171" t="s">
        <v>4</v>
      </c>
      <c r="G55" s="155">
        <f>G46</f>
        <v>75550</v>
      </c>
      <c r="H55" s="155">
        <f>SUM(H42:H54)</f>
        <v>76792</v>
      </c>
      <c r="I55" s="155">
        <f>G55-H55</f>
        <v>-1242</v>
      </c>
      <c r="J55" s="10">
        <f>J38</f>
        <v>9500</v>
      </c>
    </row>
    <row r="56" spans="1:10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</row>
    <row r="57" spans="1:10" x14ac:dyDescent="0.25">
      <c r="A57" s="129"/>
      <c r="B57" s="92" t="s">
        <v>112</v>
      </c>
      <c r="C57" s="92"/>
      <c r="D57" s="12" t="s">
        <v>113</v>
      </c>
      <c r="E57" s="12" t="s">
        <v>114</v>
      </c>
      <c r="F57" s="129"/>
      <c r="G57" s="129"/>
      <c r="H57" s="129"/>
      <c r="I57" s="129"/>
      <c r="J57" s="129"/>
    </row>
    <row r="58" spans="1:10" x14ac:dyDescent="0.25">
      <c r="A58" s="129"/>
      <c r="B58" s="92"/>
      <c r="C58" s="92"/>
      <c r="D58" s="12"/>
      <c r="E58" s="12"/>
      <c r="F58" s="129"/>
      <c r="G58" s="129"/>
      <c r="H58" s="129"/>
      <c r="I58" s="129"/>
      <c r="J58" s="129"/>
    </row>
    <row r="59" spans="1:10" x14ac:dyDescent="0.25">
      <c r="A59" s="129"/>
      <c r="B59" s="12" t="s">
        <v>317</v>
      </c>
      <c r="C59" s="12"/>
      <c r="D59" s="12" t="s">
        <v>305</v>
      </c>
      <c r="E59" s="129"/>
      <c r="F59" s="129"/>
      <c r="G59" s="129"/>
      <c r="H59" s="129"/>
      <c r="I59" s="129"/>
      <c r="J59" s="129"/>
    </row>
    <row r="60" spans="1:10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</row>
    <row r="61" spans="1:10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</row>
    <row r="62" spans="1:10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</row>
  </sheetData>
  <pageMargins left="0.25" right="0.25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B53" sqref="B53"/>
    </sheetView>
  </sheetViews>
  <sheetFormatPr defaultRowHeight="15" x14ac:dyDescent="0.25"/>
  <cols>
    <col min="1" max="1" width="14.7109375" customWidth="1"/>
    <col min="2" max="2" width="10.7109375" customWidth="1"/>
    <col min="3" max="3" width="11.7109375" customWidth="1"/>
    <col min="4" max="4" width="11.140625" customWidth="1"/>
    <col min="5" max="5" width="6.140625" customWidth="1"/>
    <col min="6" max="6" width="7.5703125" customWidth="1"/>
    <col min="7" max="7" width="12" customWidth="1"/>
    <col min="8" max="8" width="10.28515625" customWidth="1"/>
    <col min="9" max="9" width="11.1406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398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</row>
    <row r="5" spans="1:10" x14ac:dyDescent="0.25">
      <c r="A5" s="172" t="s">
        <v>402</v>
      </c>
      <c r="B5" s="173">
        <v>2</v>
      </c>
      <c r="C5" s="178">
        <v>2800</v>
      </c>
      <c r="D5" s="178"/>
      <c r="E5" s="174"/>
      <c r="F5" s="174"/>
      <c r="G5" s="174">
        <v>2800</v>
      </c>
      <c r="H5" s="174">
        <f t="shared" ref="H5:H37" si="0">E5+F5+G5</f>
        <v>2800</v>
      </c>
      <c r="I5" s="105">
        <v>1030</v>
      </c>
      <c r="J5" s="10">
        <f t="shared" ref="J5:J38" si="1">H5-I5</f>
        <v>1770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202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0"/>
        <v>3900</v>
      </c>
      <c r="I7" s="202">
        <v>4000</v>
      </c>
      <c r="J7" s="10"/>
    </row>
    <row r="8" spans="1:10" x14ac:dyDescent="0.25">
      <c r="A8" s="172" t="s">
        <v>395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0"/>
        <v>4100</v>
      </c>
      <c r="I8" s="202">
        <v>4000</v>
      </c>
      <c r="J8" s="10"/>
    </row>
    <row r="9" spans="1:10" x14ac:dyDescent="0.25">
      <c r="A9" s="175" t="s">
        <v>400</v>
      </c>
      <c r="B9" s="173">
        <v>6</v>
      </c>
      <c r="C9" s="178"/>
      <c r="D9" s="178"/>
      <c r="E9" s="174"/>
      <c r="F9" s="174">
        <v>100</v>
      </c>
      <c r="G9" s="174">
        <v>2600</v>
      </c>
      <c r="H9" s="174">
        <f t="shared" si="0"/>
        <v>2700</v>
      </c>
      <c r="I9" s="202">
        <v>2600</v>
      </c>
      <c r="J9" s="10">
        <f t="shared" si="1"/>
        <v>100</v>
      </c>
    </row>
    <row r="10" spans="1:10" x14ac:dyDescent="0.25">
      <c r="A10" s="172" t="s">
        <v>64</v>
      </c>
      <c r="B10" s="173">
        <v>7</v>
      </c>
      <c r="C10" s="178"/>
      <c r="D10" s="178"/>
      <c r="E10" s="174">
        <v>3043</v>
      </c>
      <c r="F10" s="174"/>
      <c r="G10" s="174"/>
      <c r="H10" s="174">
        <f t="shared" si="0"/>
        <v>3043</v>
      </c>
      <c r="I10" s="202"/>
      <c r="J10" s="10">
        <f t="shared" si="1"/>
        <v>3043</v>
      </c>
    </row>
    <row r="11" spans="1:10" x14ac:dyDescent="0.25">
      <c r="A11" s="175" t="s">
        <v>401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  <c r="I11" s="10">
        <v>2800</v>
      </c>
      <c r="J11" s="10">
        <f t="shared" si="1"/>
        <v>0</v>
      </c>
    </row>
    <row r="12" spans="1:10" x14ac:dyDescent="0.25">
      <c r="A12" s="172" t="s">
        <v>64</v>
      </c>
      <c r="B12" s="173">
        <v>9</v>
      </c>
      <c r="C12" s="178"/>
      <c r="D12" s="178"/>
      <c r="E12" s="174"/>
      <c r="F12" s="174"/>
      <c r="G12" s="174"/>
      <c r="H12" s="174">
        <f t="shared" si="0"/>
        <v>0</v>
      </c>
      <c r="I12" s="202"/>
      <c r="J12" s="10">
        <f t="shared" si="1"/>
        <v>0</v>
      </c>
    </row>
    <row r="13" spans="1:10" x14ac:dyDescent="0.25">
      <c r="A13" s="175" t="s">
        <v>64</v>
      </c>
      <c r="B13" s="173">
        <v>10</v>
      </c>
      <c r="C13" s="178"/>
      <c r="D13" s="178"/>
      <c r="E13" s="174"/>
      <c r="F13" s="174"/>
      <c r="G13" s="174"/>
      <c r="H13" s="174">
        <f t="shared" si="0"/>
        <v>0</v>
      </c>
      <c r="I13" s="202"/>
      <c r="J13" s="10">
        <f t="shared" si="1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>
        <v>3000</v>
      </c>
      <c r="J15" s="10">
        <f t="shared" si="1"/>
        <v>-200</v>
      </c>
    </row>
    <row r="16" spans="1:10" x14ac:dyDescent="0.25">
      <c r="A16" s="172" t="s">
        <v>396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202">
        <v>2800</v>
      </c>
      <c r="J16" s="10">
        <f t="shared" si="1"/>
        <v>0</v>
      </c>
    </row>
    <row r="17" spans="1:10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2800</v>
      </c>
      <c r="J17" s="10">
        <f t="shared" si="1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>
        <v>2750</v>
      </c>
      <c r="J18" s="10">
        <f t="shared" si="1"/>
        <v>50</v>
      </c>
    </row>
    <row r="19" spans="1:10" x14ac:dyDescent="0.25">
      <c r="A19" s="172" t="s">
        <v>397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202">
        <v>2800</v>
      </c>
      <c r="J19" s="10">
        <f t="shared" si="1"/>
        <v>0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2800</v>
      </c>
      <c r="J20" s="10">
        <f t="shared" si="1"/>
        <v>0</v>
      </c>
    </row>
    <row r="21" spans="1:10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>
        <v>3000</v>
      </c>
      <c r="J21" s="10">
        <f t="shared" si="1"/>
        <v>100</v>
      </c>
    </row>
    <row r="22" spans="1:10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74">
        <f t="shared" si="0"/>
        <v>3100</v>
      </c>
      <c r="I22" s="202">
        <v>3000</v>
      </c>
      <c r="J22" s="105">
        <f t="shared" si="1"/>
        <v>100</v>
      </c>
    </row>
    <row r="23" spans="1:10" x14ac:dyDescent="0.25">
      <c r="A23" s="172" t="s">
        <v>346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202">
        <v>2800</v>
      </c>
      <c r="J23" s="105">
        <f t="shared" si="1"/>
        <v>0</v>
      </c>
    </row>
    <row r="24" spans="1:10" x14ac:dyDescent="0.25">
      <c r="A24" s="175" t="s">
        <v>64</v>
      </c>
      <c r="B24" s="173">
        <v>21</v>
      </c>
      <c r="C24" s="178"/>
      <c r="D24" s="178"/>
      <c r="H24" s="174">
        <f t="shared" si="0"/>
        <v>0</v>
      </c>
      <c r="I24" s="202"/>
      <c r="J24" s="10"/>
    </row>
    <row r="25" spans="1:10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>
        <f t="shared" si="0"/>
        <v>0</v>
      </c>
      <c r="I25" s="10"/>
      <c r="J25" s="10"/>
    </row>
    <row r="26" spans="1:10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3600</v>
      </c>
      <c r="H26" s="174">
        <f t="shared" si="0"/>
        <v>3700</v>
      </c>
      <c r="I26" s="202">
        <v>3800</v>
      </c>
      <c r="J26" s="10"/>
    </row>
    <row r="27" spans="1:10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202">
        <v>3800</v>
      </c>
      <c r="J28" s="10"/>
    </row>
    <row r="29" spans="1:10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3600</v>
      </c>
      <c r="H29" s="174">
        <f t="shared" si="0"/>
        <v>3700</v>
      </c>
      <c r="I29" s="202">
        <v>3800</v>
      </c>
      <c r="J29" s="10">
        <f t="shared" si="1"/>
        <v>-100</v>
      </c>
    </row>
    <row r="30" spans="1:10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3600</v>
      </c>
      <c r="H30" s="174">
        <f>E30+F30+G30</f>
        <v>3700</v>
      </c>
      <c r="I30" s="202">
        <v>3850</v>
      </c>
      <c r="J30" s="105"/>
    </row>
    <row r="31" spans="1:10" x14ac:dyDescent="0.25">
      <c r="A31" s="172" t="s">
        <v>262</v>
      </c>
      <c r="B31" s="173" t="s">
        <v>153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202">
        <v>4000</v>
      </c>
      <c r="J31" s="10">
        <f t="shared" si="1"/>
        <v>-400</v>
      </c>
    </row>
    <row r="32" spans="1:10" x14ac:dyDescent="0.25">
      <c r="A32" s="172"/>
      <c r="B32" s="173">
        <v>29</v>
      </c>
      <c r="C32" s="178"/>
      <c r="D32" s="178"/>
      <c r="E32" s="174"/>
      <c r="F32" s="174"/>
      <c r="G32" s="174"/>
      <c r="H32" s="174">
        <f t="shared" si="0"/>
        <v>0</v>
      </c>
      <c r="I32" s="202"/>
      <c r="J32" s="10"/>
    </row>
    <row r="33" spans="1:12" x14ac:dyDescent="0.25">
      <c r="A33" s="172" t="s">
        <v>371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202">
        <v>3400</v>
      </c>
      <c r="J33" s="10"/>
    </row>
    <row r="34" spans="1:12" x14ac:dyDescent="0.25">
      <c r="A34" s="172" t="s">
        <v>267</v>
      </c>
      <c r="B34" s="173">
        <v>31</v>
      </c>
      <c r="C34" s="178"/>
      <c r="D34" s="178"/>
      <c r="E34" s="176"/>
      <c r="F34" s="174">
        <v>100</v>
      </c>
      <c r="G34" s="176">
        <v>3300</v>
      </c>
      <c r="H34" s="174">
        <f t="shared" si="0"/>
        <v>3400</v>
      </c>
      <c r="I34" s="202">
        <v>3400</v>
      </c>
      <c r="J34" s="105"/>
    </row>
    <row r="35" spans="1:12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>
        <v>3000</v>
      </c>
      <c r="J35" s="10">
        <f t="shared" si="1"/>
        <v>400</v>
      </c>
    </row>
    <row r="36" spans="1:12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3200</v>
      </c>
      <c r="H36" s="174">
        <f t="shared" si="0"/>
        <v>3300</v>
      </c>
      <c r="I36" s="202">
        <v>3300</v>
      </c>
      <c r="J36" s="10">
        <f t="shared" si="1"/>
        <v>0</v>
      </c>
      <c r="L36">
        <v>3300</v>
      </c>
    </row>
    <row r="37" spans="1:12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3200</v>
      </c>
      <c r="H37" s="174">
        <f t="shared" si="0"/>
        <v>3300</v>
      </c>
      <c r="I37" s="202">
        <v>3300</v>
      </c>
      <c r="J37" s="10">
        <f t="shared" si="1"/>
        <v>0</v>
      </c>
      <c r="L37">
        <v>3300</v>
      </c>
    </row>
    <row r="38" spans="1:12" x14ac:dyDescent="0.25">
      <c r="A38" s="33" t="s">
        <v>25</v>
      </c>
      <c r="B38" s="10"/>
      <c r="C38" s="10"/>
      <c r="D38" s="10"/>
      <c r="E38" s="192">
        <f>SUM(E4:E37)</f>
        <v>3043</v>
      </c>
      <c r="F38" s="192">
        <f>SUM(F4:F37)</f>
        <v>2600</v>
      </c>
      <c r="G38" s="192">
        <f>SUM(G4:G37)</f>
        <v>84800</v>
      </c>
      <c r="H38" s="192">
        <f>SUM(H4:H37)</f>
        <v>90443</v>
      </c>
      <c r="I38" s="210">
        <f>SUM(I4:I37)</f>
        <v>85930</v>
      </c>
      <c r="J38" s="192">
        <f t="shared" si="1"/>
        <v>4513</v>
      </c>
      <c r="L38">
        <f>SUM(L36:L37)</f>
        <v>6600</v>
      </c>
    </row>
    <row r="39" spans="1:12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</row>
    <row r="40" spans="1:12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2" x14ac:dyDescent="0.25">
      <c r="A41" s="105" t="s">
        <v>291</v>
      </c>
      <c r="B41" s="155">
        <f>G38</f>
        <v>84800</v>
      </c>
      <c r="C41" s="10">
        <v>0</v>
      </c>
      <c r="D41" s="10"/>
      <c r="E41" s="10"/>
      <c r="F41" s="105" t="s">
        <v>291</v>
      </c>
      <c r="G41" s="155">
        <f>I38</f>
        <v>85930</v>
      </c>
      <c r="H41" s="10">
        <v>0</v>
      </c>
      <c r="I41" s="10"/>
      <c r="J41" s="10"/>
    </row>
    <row r="42" spans="1:12" x14ac:dyDescent="0.25">
      <c r="A42" s="10" t="s">
        <v>292</v>
      </c>
      <c r="B42" s="156">
        <v>0.08</v>
      </c>
      <c r="C42" s="157">
        <f>B42*B41</f>
        <v>6784</v>
      </c>
      <c r="D42" s="10"/>
      <c r="E42" s="10"/>
      <c r="F42" s="10" t="s">
        <v>292</v>
      </c>
      <c r="G42" s="156">
        <v>0.08</v>
      </c>
      <c r="H42" s="157">
        <f>G42*G41</f>
        <v>6874.4000000000005</v>
      </c>
      <c r="I42" s="10"/>
      <c r="J42" s="10"/>
    </row>
    <row r="43" spans="1:12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</row>
    <row r="44" spans="1:12" x14ac:dyDescent="0.25">
      <c r="A44" s="157"/>
      <c r="B44" s="157">
        <f>B41-C42</f>
        <v>78016</v>
      </c>
      <c r="C44" s="157">
        <f>B41+B45+B46</f>
        <v>89200</v>
      </c>
      <c r="D44" s="10"/>
      <c r="E44" s="10"/>
      <c r="F44" s="157"/>
      <c r="G44" s="10"/>
      <c r="H44" s="10"/>
      <c r="I44" s="10"/>
      <c r="J44" s="10"/>
    </row>
    <row r="45" spans="1:12" x14ac:dyDescent="0.25">
      <c r="A45" s="10" t="s">
        <v>385</v>
      </c>
      <c r="B45" s="10">
        <v>1600</v>
      </c>
      <c r="C45" s="10"/>
      <c r="D45" s="10"/>
      <c r="E45" s="10"/>
      <c r="F45" s="157"/>
      <c r="G45" s="10"/>
      <c r="H45" s="10"/>
      <c r="I45" s="10"/>
      <c r="J45" s="10"/>
    </row>
    <row r="46" spans="1:12" s="129" customFormat="1" x14ac:dyDescent="0.25">
      <c r="A46" s="205" t="s">
        <v>385</v>
      </c>
      <c r="B46" s="10">
        <v>2800</v>
      </c>
      <c r="C46" s="198"/>
      <c r="D46" s="10"/>
      <c r="E46" s="10"/>
      <c r="F46" s="157"/>
      <c r="G46" s="10"/>
      <c r="H46" s="10"/>
      <c r="I46" s="10"/>
      <c r="J46" s="10"/>
    </row>
    <row r="47" spans="1:12" x14ac:dyDescent="0.25">
      <c r="A47" s="129"/>
      <c r="B47" s="20">
        <f>B44+B45</f>
        <v>79616</v>
      </c>
      <c r="C47" s="198"/>
      <c r="D47" s="10"/>
      <c r="E47" s="10"/>
      <c r="F47" s="10"/>
      <c r="G47" s="157">
        <f>G41+G43+G44+G45</f>
        <v>85930</v>
      </c>
      <c r="H47" s="10"/>
      <c r="I47" s="10"/>
      <c r="J47" s="10"/>
    </row>
    <row r="48" spans="1:12" x14ac:dyDescent="0.25">
      <c r="A48" s="200" t="s">
        <v>293</v>
      </c>
      <c r="B48" s="157"/>
      <c r="C48" s="10"/>
      <c r="D48" s="190"/>
      <c r="E48" s="10"/>
      <c r="F48" s="200" t="s">
        <v>293</v>
      </c>
      <c r="G48" s="157"/>
      <c r="H48" s="129"/>
      <c r="I48" s="190"/>
      <c r="J48" s="10"/>
    </row>
    <row r="49" spans="1:10" x14ac:dyDescent="0.25">
      <c r="A49" s="211" t="s">
        <v>221</v>
      </c>
      <c r="B49" s="10"/>
      <c r="C49" s="10">
        <v>3000</v>
      </c>
      <c r="D49" s="10"/>
      <c r="E49" s="10"/>
      <c r="F49" s="211" t="s">
        <v>392</v>
      </c>
      <c r="G49" s="10"/>
      <c r="H49" s="10"/>
      <c r="I49" s="10"/>
      <c r="J49" s="10"/>
    </row>
    <row r="50" spans="1:10" x14ac:dyDescent="0.25">
      <c r="A50" s="170" t="s">
        <v>399</v>
      </c>
      <c r="B50" s="10"/>
      <c r="C50" s="10">
        <v>69164</v>
      </c>
      <c r="D50" s="10"/>
      <c r="E50" s="10"/>
      <c r="F50" s="170"/>
      <c r="G50" s="10"/>
      <c r="H50" s="10"/>
      <c r="I50" s="10"/>
      <c r="J50" s="10"/>
    </row>
    <row r="51" spans="1:10" x14ac:dyDescent="0.25">
      <c r="A51" s="213">
        <v>43057</v>
      </c>
      <c r="B51" s="10"/>
      <c r="C51" s="159">
        <v>3500</v>
      </c>
      <c r="D51" s="10"/>
      <c r="E51" s="10"/>
      <c r="F51" s="212" t="s">
        <v>393</v>
      </c>
      <c r="G51" s="10"/>
      <c r="H51" s="159"/>
      <c r="I51" s="10"/>
      <c r="J51" s="10"/>
    </row>
    <row r="52" spans="1:10" x14ac:dyDescent="0.25">
      <c r="A52" s="171" t="s">
        <v>4</v>
      </c>
      <c r="B52" s="155">
        <f>B47</f>
        <v>79616</v>
      </c>
      <c r="C52" s="155">
        <f>SUM(C49:C51)</f>
        <v>75664</v>
      </c>
      <c r="D52" s="155">
        <f>B52-C52</f>
        <v>3952</v>
      </c>
      <c r="E52" s="10">
        <f>J38</f>
        <v>4513</v>
      </c>
      <c r="F52" s="171" t="s">
        <v>4</v>
      </c>
      <c r="G52" s="155">
        <f>G47</f>
        <v>85930</v>
      </c>
      <c r="H52" s="155">
        <f>SUM(H42:H51)</f>
        <v>6874.4000000000005</v>
      </c>
      <c r="I52" s="155">
        <f>G52-H52</f>
        <v>79055.600000000006</v>
      </c>
      <c r="J52" s="10">
        <f>J38</f>
        <v>4513</v>
      </c>
    </row>
    <row r="53" spans="1:10" x14ac:dyDescent="0.25">
      <c r="A53" s="129"/>
      <c r="B53" s="92" t="s">
        <v>112</v>
      </c>
      <c r="C53" s="92"/>
      <c r="D53" s="12" t="s">
        <v>113</v>
      </c>
      <c r="E53" s="12" t="s">
        <v>114</v>
      </c>
      <c r="F53" s="129"/>
      <c r="G53" s="129"/>
      <c r="H53" s="129"/>
      <c r="I53" s="129"/>
      <c r="J53" s="129"/>
    </row>
    <row r="54" spans="1:10" x14ac:dyDescent="0.25">
      <c r="A54" s="129"/>
      <c r="B54" s="12" t="s">
        <v>317</v>
      </c>
      <c r="C54" s="12"/>
      <c r="D54" s="12" t="s">
        <v>305</v>
      </c>
      <c r="E54" s="129"/>
      <c r="G54" s="129"/>
      <c r="H54" s="129"/>
      <c r="I54" s="129"/>
      <c r="J54" s="129"/>
    </row>
    <row r="55" spans="1:10" x14ac:dyDescent="0.25">
      <c r="A55" s="129"/>
      <c r="B55" s="92"/>
      <c r="C55" s="92"/>
      <c r="D55" s="12"/>
      <c r="E55" s="12"/>
      <c r="F55" s="129"/>
      <c r="G55" s="129"/>
      <c r="H55" s="129"/>
      <c r="I55" s="129"/>
      <c r="J55" s="129"/>
    </row>
    <row r="56" spans="1:10" x14ac:dyDescent="0.25">
      <c r="A56" s="129"/>
      <c r="F56" s="129"/>
      <c r="G56" s="129"/>
      <c r="H56" s="129"/>
      <c r="I56" s="129"/>
      <c r="J56" s="129"/>
    </row>
  </sheetData>
  <pageMargins left="0.25" right="0.25" top="0.05" bottom="0.05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activeCell="I22" sqref="I22"/>
    </sheetView>
  </sheetViews>
  <sheetFormatPr defaultRowHeight="15" x14ac:dyDescent="0.25"/>
  <cols>
    <col min="1" max="1" width="16" customWidth="1"/>
    <col min="2" max="2" width="10.7109375" customWidth="1"/>
    <col min="3" max="3" width="8.85546875" customWidth="1"/>
    <col min="4" max="5" width="8.140625" customWidth="1"/>
    <col min="6" max="6" width="14" customWidth="1"/>
    <col min="7" max="7" width="8.140625" customWidth="1"/>
    <col min="8" max="8" width="10" customWidth="1"/>
    <col min="9" max="9" width="7.7109375" customWidth="1"/>
  </cols>
  <sheetData>
    <row r="1" spans="1:18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  <c r="K1" s="31"/>
    </row>
    <row r="2" spans="1:18" x14ac:dyDescent="0.25">
      <c r="A2" s="23" t="s">
        <v>407</v>
      </c>
      <c r="B2" s="23"/>
      <c r="C2" s="23"/>
      <c r="D2" s="23"/>
      <c r="E2" s="31"/>
      <c r="F2" s="23"/>
      <c r="G2" s="23"/>
      <c r="H2" s="23"/>
      <c r="I2" s="31"/>
      <c r="J2" s="31"/>
      <c r="K2" s="31"/>
    </row>
    <row r="3" spans="1:18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0" t="s">
        <v>84</v>
      </c>
      <c r="J3" s="110" t="s">
        <v>290</v>
      </c>
    </row>
    <row r="4" spans="1:18" x14ac:dyDescent="0.25">
      <c r="A4" s="177" t="s">
        <v>6</v>
      </c>
      <c r="B4" s="216">
        <v>1</v>
      </c>
      <c r="C4" s="177"/>
      <c r="D4" s="177"/>
      <c r="E4" s="217"/>
      <c r="F4" s="217">
        <v>100</v>
      </c>
      <c r="G4" s="217">
        <v>4400</v>
      </c>
      <c r="H4" s="217">
        <f>E4+F4+G4</f>
        <v>4500</v>
      </c>
      <c r="I4" s="218"/>
      <c r="J4" s="110">
        <f>H4-I4</f>
        <v>4500</v>
      </c>
      <c r="K4" s="177" t="s">
        <v>421</v>
      </c>
      <c r="L4" s="216">
        <v>1</v>
      </c>
      <c r="M4" s="177"/>
      <c r="N4" s="177"/>
      <c r="O4" s="217"/>
      <c r="P4" s="217">
        <v>100</v>
      </c>
      <c r="Q4" s="217">
        <v>4400</v>
      </c>
      <c r="R4" s="217">
        <f>O4+P4+Q4</f>
        <v>4500</v>
      </c>
    </row>
    <row r="5" spans="1:18" x14ac:dyDescent="0.25">
      <c r="A5" s="177" t="s">
        <v>402</v>
      </c>
      <c r="B5" s="216">
        <v>2</v>
      </c>
      <c r="C5" s="177">
        <v>2800</v>
      </c>
      <c r="D5" s="177"/>
      <c r="E5" s="217"/>
      <c r="F5" s="217"/>
      <c r="G5" s="217">
        <v>2800</v>
      </c>
      <c r="H5" s="217">
        <f t="shared" ref="H5:H37" si="0">E5+F5+G5</f>
        <v>2800</v>
      </c>
      <c r="I5" s="119"/>
      <c r="J5" s="110">
        <f t="shared" ref="J5:J38" si="1">H5-I5</f>
        <v>2800</v>
      </c>
      <c r="K5" s="219" t="s">
        <v>418</v>
      </c>
      <c r="L5" s="216">
        <v>2</v>
      </c>
      <c r="M5" s="177"/>
      <c r="N5" s="177"/>
      <c r="O5" s="217"/>
      <c r="P5" s="217">
        <v>100</v>
      </c>
      <c r="Q5" s="217">
        <v>3000</v>
      </c>
      <c r="R5" s="217">
        <f t="shared" ref="R5:R37" si="2">O5+P5+Q5</f>
        <v>3100</v>
      </c>
    </row>
    <row r="6" spans="1:18" x14ac:dyDescent="0.25">
      <c r="A6" s="177" t="s">
        <v>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 t="shared" si="0"/>
        <v>2800</v>
      </c>
      <c r="I6" s="218"/>
      <c r="J6" s="110">
        <f t="shared" si="1"/>
        <v>2800</v>
      </c>
      <c r="K6" s="177" t="s">
        <v>422</v>
      </c>
      <c r="L6" s="216">
        <v>3</v>
      </c>
      <c r="M6" s="177"/>
      <c r="N6" s="177"/>
      <c r="O6" s="217"/>
      <c r="P6" s="217">
        <v>100</v>
      </c>
      <c r="Q6" s="217">
        <v>2700</v>
      </c>
      <c r="R6" s="217">
        <f t="shared" si="2"/>
        <v>2800</v>
      </c>
    </row>
    <row r="7" spans="1:18" x14ac:dyDescent="0.25">
      <c r="A7" s="177" t="s">
        <v>89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si="0"/>
        <v>3900</v>
      </c>
      <c r="I7" s="218"/>
      <c r="J7" s="110"/>
      <c r="K7" s="219" t="s">
        <v>423</v>
      </c>
      <c r="L7" s="216">
        <v>4</v>
      </c>
      <c r="M7" s="177"/>
      <c r="N7" s="177"/>
      <c r="O7" s="217"/>
      <c r="P7" s="217">
        <v>100</v>
      </c>
      <c r="Q7" s="217">
        <v>3800</v>
      </c>
      <c r="R7" s="217">
        <f t="shared" si="2"/>
        <v>3900</v>
      </c>
    </row>
    <row r="8" spans="1:18" x14ac:dyDescent="0.25">
      <c r="A8" s="177" t="s">
        <v>395</v>
      </c>
      <c r="B8" s="216">
        <v>5</v>
      </c>
      <c r="C8" s="177"/>
      <c r="D8" s="177"/>
      <c r="E8" s="217">
        <v>0</v>
      </c>
      <c r="F8" s="217">
        <v>100</v>
      </c>
      <c r="G8" s="217">
        <v>4000</v>
      </c>
      <c r="H8" s="217">
        <f t="shared" si="0"/>
        <v>4100</v>
      </c>
      <c r="I8" s="218"/>
      <c r="J8" s="110"/>
      <c r="K8" s="177" t="s">
        <v>417</v>
      </c>
      <c r="L8" s="216">
        <v>5</v>
      </c>
      <c r="M8" s="177"/>
      <c r="N8" s="177"/>
      <c r="O8" s="217"/>
      <c r="P8" s="217">
        <v>100</v>
      </c>
      <c r="Q8" s="217">
        <v>3800</v>
      </c>
      <c r="R8" s="217">
        <f t="shared" si="2"/>
        <v>3900</v>
      </c>
    </row>
    <row r="9" spans="1:18" x14ac:dyDescent="0.25">
      <c r="A9" s="219" t="s">
        <v>400</v>
      </c>
      <c r="B9" s="216">
        <v>6</v>
      </c>
      <c r="C9" s="177"/>
      <c r="D9" s="177"/>
      <c r="E9" s="217"/>
      <c r="F9" s="217">
        <v>100</v>
      </c>
      <c r="G9" s="217">
        <v>2600</v>
      </c>
      <c r="H9" s="217">
        <f t="shared" si="0"/>
        <v>2700</v>
      </c>
      <c r="I9" s="218"/>
      <c r="J9" s="110">
        <f t="shared" si="1"/>
        <v>2700</v>
      </c>
      <c r="K9" s="177" t="s">
        <v>420</v>
      </c>
      <c r="L9" s="216">
        <v>6</v>
      </c>
      <c r="M9" s="177"/>
      <c r="N9" s="177"/>
      <c r="O9" s="217"/>
      <c r="P9" s="217"/>
      <c r="Q9" s="217"/>
      <c r="R9" s="217"/>
    </row>
    <row r="10" spans="1:18" x14ac:dyDescent="0.25">
      <c r="A10" s="177" t="s">
        <v>64</v>
      </c>
      <c r="B10" s="216">
        <v>7</v>
      </c>
      <c r="C10" s="177"/>
      <c r="D10" s="177"/>
      <c r="E10" s="217">
        <v>3043</v>
      </c>
      <c r="F10" s="217"/>
      <c r="G10" s="217"/>
      <c r="H10" s="217">
        <f t="shared" si="0"/>
        <v>3043</v>
      </c>
      <c r="I10" s="218"/>
      <c r="J10" s="110">
        <f t="shared" si="1"/>
        <v>3043</v>
      </c>
      <c r="K10" s="177" t="s">
        <v>420</v>
      </c>
      <c r="L10" s="216">
        <v>7</v>
      </c>
      <c r="M10" s="177"/>
      <c r="N10" s="177"/>
      <c r="O10" s="217"/>
      <c r="P10" s="217"/>
      <c r="Q10" s="217"/>
      <c r="R10" s="217"/>
    </row>
    <row r="11" spans="1:18" x14ac:dyDescent="0.25">
      <c r="A11" s="219" t="s">
        <v>401</v>
      </c>
      <c r="B11" s="216">
        <v>8</v>
      </c>
      <c r="C11" s="177"/>
      <c r="D11" s="177"/>
      <c r="E11" s="217"/>
      <c r="F11" s="217">
        <v>100</v>
      </c>
      <c r="G11" s="217"/>
      <c r="H11" s="217">
        <f t="shared" si="0"/>
        <v>100</v>
      </c>
      <c r="I11" s="110"/>
      <c r="J11" s="110">
        <f t="shared" si="1"/>
        <v>100</v>
      </c>
      <c r="K11" s="177" t="s">
        <v>416</v>
      </c>
      <c r="L11" s="216">
        <v>8</v>
      </c>
      <c r="M11" s="177"/>
      <c r="N11" s="177"/>
      <c r="O11" s="217"/>
      <c r="P11" s="217">
        <v>100</v>
      </c>
      <c r="Q11" s="217">
        <v>2500</v>
      </c>
      <c r="R11" s="217">
        <f t="shared" si="2"/>
        <v>2600</v>
      </c>
    </row>
    <row r="12" spans="1:18" x14ac:dyDescent="0.25">
      <c r="A12" s="177" t="s">
        <v>64</v>
      </c>
      <c r="B12" s="216">
        <v>9</v>
      </c>
      <c r="C12" s="177"/>
      <c r="D12" s="177"/>
      <c r="E12" s="217"/>
      <c r="F12" s="217"/>
      <c r="G12" s="217">
        <v>2600</v>
      </c>
      <c r="H12" s="217">
        <f t="shared" si="0"/>
        <v>2600</v>
      </c>
      <c r="I12" s="218"/>
      <c r="J12" s="110">
        <f t="shared" si="1"/>
        <v>2600</v>
      </c>
      <c r="K12" s="177" t="s">
        <v>416</v>
      </c>
      <c r="L12" s="216">
        <v>9</v>
      </c>
      <c r="M12" s="177"/>
      <c r="N12" s="177"/>
      <c r="O12" s="217"/>
      <c r="P12" s="217"/>
      <c r="Q12" s="217">
        <v>2500</v>
      </c>
      <c r="R12" s="217">
        <f t="shared" si="2"/>
        <v>2500</v>
      </c>
    </row>
    <row r="13" spans="1:18" x14ac:dyDescent="0.25">
      <c r="A13" s="219" t="s">
        <v>64</v>
      </c>
      <c r="B13" s="216">
        <v>10</v>
      </c>
      <c r="C13" s="177"/>
      <c r="D13" s="177"/>
      <c r="E13" s="217"/>
      <c r="F13" s="217"/>
      <c r="G13" s="217">
        <v>2600</v>
      </c>
      <c r="H13" s="217">
        <f t="shared" si="0"/>
        <v>2600</v>
      </c>
      <c r="I13" s="218"/>
      <c r="J13" s="110">
        <f t="shared" si="1"/>
        <v>2600</v>
      </c>
      <c r="K13" s="177" t="s">
        <v>267</v>
      </c>
      <c r="L13" s="216">
        <v>10</v>
      </c>
      <c r="M13" s="177"/>
      <c r="N13" s="177"/>
      <c r="O13" s="217"/>
      <c r="P13" s="217">
        <v>100</v>
      </c>
      <c r="Q13" s="217">
        <v>2700</v>
      </c>
      <c r="R13" s="217">
        <f t="shared" si="2"/>
        <v>2800</v>
      </c>
    </row>
    <row r="14" spans="1:18" x14ac:dyDescent="0.25">
      <c r="A14" s="177" t="s">
        <v>373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0"/>
        <v>2800</v>
      </c>
      <c r="I14" s="218"/>
      <c r="J14" s="110">
        <f t="shared" si="1"/>
        <v>2800</v>
      </c>
      <c r="K14" s="177" t="s">
        <v>373</v>
      </c>
      <c r="L14" s="216">
        <v>11</v>
      </c>
      <c r="M14" s="177"/>
      <c r="N14" s="177"/>
      <c r="O14" s="217"/>
      <c r="P14" s="217">
        <v>100</v>
      </c>
      <c r="Q14" s="217">
        <v>2700</v>
      </c>
      <c r="R14" s="217">
        <f t="shared" si="2"/>
        <v>2800</v>
      </c>
    </row>
    <row r="15" spans="1:18" x14ac:dyDescent="0.25">
      <c r="A15" s="177" t="s">
        <v>374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0"/>
        <v>2800</v>
      </c>
      <c r="I15" s="218"/>
      <c r="J15" s="110">
        <f t="shared" si="1"/>
        <v>2800</v>
      </c>
      <c r="K15" s="177" t="s">
        <v>424</v>
      </c>
      <c r="L15" s="216">
        <v>12</v>
      </c>
      <c r="M15" s="177"/>
      <c r="N15" s="177"/>
      <c r="O15" s="217"/>
      <c r="P15" s="217">
        <v>100</v>
      </c>
      <c r="Q15" s="217">
        <v>2700</v>
      </c>
      <c r="R15" s="217">
        <f t="shared" si="2"/>
        <v>2800</v>
      </c>
    </row>
    <row r="16" spans="1:18" ht="12.75" customHeight="1" x14ac:dyDescent="0.25">
      <c r="A16" s="177" t="s">
        <v>396</v>
      </c>
      <c r="B16" s="216">
        <v>13</v>
      </c>
      <c r="C16" s="177"/>
      <c r="D16" s="177"/>
      <c r="E16" s="217"/>
      <c r="F16" s="217">
        <v>100</v>
      </c>
      <c r="G16" s="217">
        <v>2700</v>
      </c>
      <c r="H16" s="217">
        <f t="shared" si="0"/>
        <v>2800</v>
      </c>
      <c r="I16" s="218"/>
      <c r="J16" s="110">
        <f t="shared" si="1"/>
        <v>2800</v>
      </c>
      <c r="K16" s="219" t="s">
        <v>415</v>
      </c>
      <c r="L16" s="216">
        <v>13</v>
      </c>
      <c r="M16" s="177"/>
      <c r="N16" s="177"/>
      <c r="O16" s="217"/>
      <c r="P16" s="217">
        <v>100</v>
      </c>
      <c r="Q16" s="217">
        <v>2700</v>
      </c>
      <c r="R16" s="217">
        <f t="shared" si="2"/>
        <v>2800</v>
      </c>
    </row>
    <row r="17" spans="1:18" ht="13.5" customHeight="1" x14ac:dyDescent="0.25">
      <c r="A17" s="177" t="s">
        <v>375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0"/>
        <v>2800</v>
      </c>
      <c r="I17" s="119"/>
      <c r="J17" s="110">
        <f t="shared" si="1"/>
        <v>2800</v>
      </c>
      <c r="K17" s="177" t="s">
        <v>375</v>
      </c>
      <c r="L17" s="216">
        <v>14</v>
      </c>
      <c r="M17" s="177"/>
      <c r="N17" s="177"/>
      <c r="O17" s="217"/>
      <c r="P17" s="217">
        <v>100</v>
      </c>
      <c r="Q17" s="217">
        <v>2700</v>
      </c>
      <c r="R17" s="217">
        <f t="shared" si="2"/>
        <v>2800</v>
      </c>
    </row>
    <row r="18" spans="1:18" ht="11.25" customHeight="1" x14ac:dyDescent="0.25">
      <c r="A18" s="219" t="s">
        <v>275</v>
      </c>
      <c r="B18" s="216">
        <v>15</v>
      </c>
      <c r="C18" s="177"/>
      <c r="D18" s="177"/>
      <c r="E18" s="217"/>
      <c r="F18" s="217">
        <v>100</v>
      </c>
      <c r="G18" s="217">
        <v>2700</v>
      </c>
      <c r="H18" s="217">
        <f t="shared" si="0"/>
        <v>2800</v>
      </c>
      <c r="I18" s="218"/>
      <c r="J18" s="110">
        <f t="shared" si="1"/>
        <v>2800</v>
      </c>
      <c r="K18" s="219" t="s">
        <v>425</v>
      </c>
      <c r="L18" s="216">
        <v>15</v>
      </c>
      <c r="M18" s="177"/>
      <c r="N18" s="177"/>
      <c r="O18" s="177"/>
      <c r="P18" s="217">
        <v>100</v>
      </c>
      <c r="Q18" s="220">
        <v>2700</v>
      </c>
      <c r="R18" s="217">
        <f t="shared" si="2"/>
        <v>2800</v>
      </c>
    </row>
    <row r="19" spans="1:18" ht="12.75" customHeight="1" x14ac:dyDescent="0.25">
      <c r="A19" s="177" t="s">
        <v>397</v>
      </c>
      <c r="B19" s="216">
        <v>16</v>
      </c>
      <c r="C19" s="177"/>
      <c r="D19" s="177"/>
      <c r="E19" s="217"/>
      <c r="F19" s="217">
        <v>100</v>
      </c>
      <c r="G19" s="217">
        <v>2700</v>
      </c>
      <c r="H19" s="217">
        <f t="shared" si="0"/>
        <v>2800</v>
      </c>
      <c r="I19" s="218"/>
      <c r="J19" s="110">
        <f t="shared" si="1"/>
        <v>2800</v>
      </c>
      <c r="K19" s="177" t="s">
        <v>397</v>
      </c>
      <c r="L19" s="216">
        <v>16</v>
      </c>
      <c r="M19" s="177"/>
      <c r="N19" s="177"/>
      <c r="O19" s="217"/>
      <c r="P19" s="217">
        <v>100</v>
      </c>
      <c r="Q19" s="217">
        <v>2700</v>
      </c>
      <c r="R19" s="217">
        <f t="shared" si="2"/>
        <v>2800</v>
      </c>
    </row>
    <row r="20" spans="1:18" ht="12" customHeight="1" x14ac:dyDescent="0.25">
      <c r="A20" s="219" t="s">
        <v>277</v>
      </c>
      <c r="B20" s="216">
        <v>17</v>
      </c>
      <c r="C20" s="177"/>
      <c r="D20" s="177"/>
      <c r="E20" s="177"/>
      <c r="F20" s="217">
        <v>100</v>
      </c>
      <c r="G20" s="220">
        <v>2700</v>
      </c>
      <c r="H20" s="217">
        <f t="shared" si="0"/>
        <v>2800</v>
      </c>
      <c r="I20" s="218"/>
      <c r="J20" s="110">
        <f t="shared" si="1"/>
        <v>2800</v>
      </c>
      <c r="K20" s="177" t="s">
        <v>426</v>
      </c>
      <c r="L20" s="216">
        <v>17</v>
      </c>
      <c r="M20" s="196"/>
      <c r="N20" s="196"/>
      <c r="O20" s="221"/>
      <c r="P20" s="221">
        <v>100</v>
      </c>
      <c r="Q20" s="221">
        <v>2700</v>
      </c>
      <c r="R20" s="217">
        <f t="shared" si="2"/>
        <v>2800</v>
      </c>
    </row>
    <row r="21" spans="1:18" ht="10.5" customHeight="1" x14ac:dyDescent="0.25">
      <c r="A21" s="177" t="s">
        <v>376</v>
      </c>
      <c r="B21" s="216">
        <v>18</v>
      </c>
      <c r="C21" s="177"/>
      <c r="D21" s="177"/>
      <c r="E21" s="217"/>
      <c r="F21" s="217">
        <v>100</v>
      </c>
      <c r="G21" s="217">
        <v>3000</v>
      </c>
      <c r="H21" s="217">
        <f t="shared" si="0"/>
        <v>3100</v>
      </c>
      <c r="I21" s="119"/>
      <c r="J21" s="110">
        <f t="shared" si="1"/>
        <v>3100</v>
      </c>
      <c r="K21" s="177" t="s">
        <v>427</v>
      </c>
      <c r="L21" s="216">
        <v>18</v>
      </c>
      <c r="M21" s="177"/>
      <c r="N21" s="177"/>
      <c r="O21" s="217"/>
      <c r="P21" s="217">
        <v>100</v>
      </c>
      <c r="Q21" s="217">
        <v>2700</v>
      </c>
      <c r="R21" s="217">
        <f t="shared" si="2"/>
        <v>2800</v>
      </c>
    </row>
    <row r="22" spans="1:18" ht="13.5" customHeight="1" x14ac:dyDescent="0.25">
      <c r="A22" s="177" t="s">
        <v>377</v>
      </c>
      <c r="B22" s="216">
        <v>19</v>
      </c>
      <c r="C22" s="196"/>
      <c r="D22" s="196"/>
      <c r="E22" s="221"/>
      <c r="F22" s="221">
        <v>100</v>
      </c>
      <c r="G22" s="221">
        <v>3000</v>
      </c>
      <c r="H22" s="217">
        <f t="shared" si="0"/>
        <v>3100</v>
      </c>
      <c r="I22" s="218"/>
      <c r="J22" s="119">
        <f t="shared" si="1"/>
        <v>3100</v>
      </c>
      <c r="K22" s="219" t="s">
        <v>414</v>
      </c>
      <c r="L22" s="216">
        <v>19</v>
      </c>
      <c r="M22" s="177"/>
      <c r="N22" s="177"/>
      <c r="O22" s="31"/>
      <c r="P22" s="31">
        <v>100</v>
      </c>
      <c r="Q22" s="31">
        <v>3000</v>
      </c>
      <c r="R22" s="217">
        <f t="shared" si="2"/>
        <v>3100</v>
      </c>
    </row>
    <row r="23" spans="1:18" ht="10.5" customHeight="1" x14ac:dyDescent="0.25">
      <c r="A23" s="177" t="s">
        <v>346</v>
      </c>
      <c r="B23" s="216">
        <v>20</v>
      </c>
      <c r="C23" s="177"/>
      <c r="D23" s="177"/>
      <c r="E23" s="217"/>
      <c r="F23" s="217">
        <v>100</v>
      </c>
      <c r="G23" s="217">
        <v>2700</v>
      </c>
      <c r="H23" s="217">
        <f t="shared" si="0"/>
        <v>2800</v>
      </c>
      <c r="I23" s="218"/>
      <c r="J23" s="119">
        <f t="shared" si="1"/>
        <v>2800</v>
      </c>
      <c r="K23" s="177" t="s">
        <v>413</v>
      </c>
      <c r="L23" s="216">
        <v>20</v>
      </c>
      <c r="M23" s="177"/>
      <c r="N23" s="177"/>
      <c r="O23" s="217"/>
      <c r="P23" s="217">
        <v>100</v>
      </c>
      <c r="Q23" s="217">
        <v>2700</v>
      </c>
      <c r="R23" s="217">
        <f t="shared" si="2"/>
        <v>2800</v>
      </c>
    </row>
    <row r="24" spans="1:18" ht="12" customHeight="1" x14ac:dyDescent="0.25">
      <c r="A24" s="219" t="s">
        <v>64</v>
      </c>
      <c r="B24" s="216">
        <v>21</v>
      </c>
      <c r="C24" s="177"/>
      <c r="D24" s="177"/>
      <c r="E24" s="31"/>
      <c r="F24" s="31"/>
      <c r="G24" s="31"/>
      <c r="H24" s="217">
        <f t="shared" si="0"/>
        <v>0</v>
      </c>
      <c r="I24" s="218"/>
      <c r="J24" s="110"/>
      <c r="K24" s="219" t="s">
        <v>64</v>
      </c>
      <c r="L24" s="216">
        <v>21</v>
      </c>
      <c r="M24" s="177"/>
      <c r="N24" s="177"/>
      <c r="O24" s="217"/>
      <c r="P24" s="217"/>
      <c r="Q24" s="217"/>
      <c r="R24" s="217"/>
    </row>
    <row r="25" spans="1:18" ht="10.5" customHeight="1" x14ac:dyDescent="0.25">
      <c r="A25" s="177" t="s">
        <v>64</v>
      </c>
      <c r="B25" s="216">
        <v>22</v>
      </c>
      <c r="C25" s="177"/>
      <c r="D25" s="177"/>
      <c r="E25" s="217"/>
      <c r="F25" s="217"/>
      <c r="G25" s="217"/>
      <c r="H25" s="217">
        <f t="shared" si="0"/>
        <v>0</v>
      </c>
      <c r="I25" s="110"/>
      <c r="J25" s="110"/>
      <c r="K25" s="219" t="s">
        <v>64</v>
      </c>
      <c r="L25" s="216">
        <v>22</v>
      </c>
      <c r="M25" s="177"/>
      <c r="N25" s="177"/>
      <c r="O25" s="217"/>
      <c r="P25" s="217"/>
      <c r="Q25" s="217"/>
      <c r="R25" s="217"/>
    </row>
    <row r="26" spans="1:18" ht="11.25" customHeight="1" x14ac:dyDescent="0.25">
      <c r="A26" s="219" t="s">
        <v>383</v>
      </c>
      <c r="B26" s="216">
        <v>23</v>
      </c>
      <c r="C26" s="177"/>
      <c r="D26" s="177"/>
      <c r="E26" s="217"/>
      <c r="F26" s="217">
        <v>100</v>
      </c>
      <c r="G26" s="217">
        <v>3600</v>
      </c>
      <c r="H26" s="217">
        <f t="shared" si="0"/>
        <v>3700</v>
      </c>
      <c r="I26" s="218"/>
      <c r="J26" s="110"/>
      <c r="K26" s="177" t="s">
        <v>412</v>
      </c>
      <c r="L26" s="216">
        <v>23</v>
      </c>
      <c r="M26" s="177"/>
      <c r="N26" s="177"/>
      <c r="O26" s="217"/>
      <c r="P26" s="217">
        <v>100</v>
      </c>
      <c r="Q26" s="217">
        <v>3700</v>
      </c>
      <c r="R26" s="217">
        <f t="shared" si="2"/>
        <v>3800</v>
      </c>
    </row>
    <row r="27" spans="1:18" ht="11.25" customHeight="1" x14ac:dyDescent="0.25">
      <c r="A27" s="177" t="s">
        <v>378</v>
      </c>
      <c r="B27" s="216">
        <v>24</v>
      </c>
      <c r="C27" s="177"/>
      <c r="D27" s="177"/>
      <c r="E27" s="217"/>
      <c r="F27" s="217"/>
      <c r="G27" s="217"/>
      <c r="H27" s="217">
        <f t="shared" si="0"/>
        <v>0</v>
      </c>
      <c r="I27" s="119"/>
      <c r="J27" s="110">
        <f t="shared" si="1"/>
        <v>0</v>
      </c>
      <c r="K27" s="177" t="s">
        <v>37</v>
      </c>
      <c r="L27" s="216">
        <v>24</v>
      </c>
      <c r="M27" s="177"/>
      <c r="N27" s="177"/>
      <c r="O27" s="217"/>
      <c r="P27" s="217"/>
      <c r="Q27" s="217"/>
      <c r="R27" s="217"/>
    </row>
    <row r="28" spans="1:18" ht="11.25" customHeight="1" x14ac:dyDescent="0.25">
      <c r="A28" s="177" t="s">
        <v>121</v>
      </c>
      <c r="B28" s="216">
        <v>25</v>
      </c>
      <c r="C28" s="177"/>
      <c r="D28" s="177"/>
      <c r="E28" s="217"/>
      <c r="F28" s="217">
        <v>100</v>
      </c>
      <c r="G28" s="217">
        <v>3600</v>
      </c>
      <c r="H28" s="217">
        <f t="shared" si="0"/>
        <v>3700</v>
      </c>
      <c r="I28" s="218"/>
      <c r="J28" s="110"/>
      <c r="K28" s="177" t="s">
        <v>419</v>
      </c>
      <c r="L28" s="216">
        <v>25</v>
      </c>
      <c r="M28" s="177"/>
      <c r="N28" s="177"/>
      <c r="O28" s="217"/>
      <c r="P28" s="217">
        <v>100</v>
      </c>
      <c r="Q28" s="217">
        <v>3400</v>
      </c>
      <c r="R28" s="217">
        <f t="shared" si="2"/>
        <v>3500</v>
      </c>
    </row>
    <row r="29" spans="1:18" ht="12.75" customHeight="1" x14ac:dyDescent="0.25">
      <c r="A29" s="177" t="s">
        <v>379</v>
      </c>
      <c r="B29" s="216">
        <v>26</v>
      </c>
      <c r="C29" s="177"/>
      <c r="D29" s="177"/>
      <c r="E29" s="220"/>
      <c r="F29" s="217">
        <v>100</v>
      </c>
      <c r="G29" s="220">
        <v>3600</v>
      </c>
      <c r="H29" s="217">
        <f t="shared" si="0"/>
        <v>3700</v>
      </c>
      <c r="I29" s="218"/>
      <c r="J29" s="110">
        <f t="shared" si="1"/>
        <v>3700</v>
      </c>
      <c r="K29" s="177" t="s">
        <v>379</v>
      </c>
      <c r="L29" s="216">
        <v>26</v>
      </c>
      <c r="M29" s="177"/>
      <c r="N29" s="177"/>
      <c r="O29" s="220"/>
      <c r="P29" s="217">
        <v>100</v>
      </c>
      <c r="Q29" s="220">
        <v>3700</v>
      </c>
      <c r="R29" s="217">
        <f t="shared" si="2"/>
        <v>3800</v>
      </c>
    </row>
    <row r="30" spans="1:18" ht="12" customHeight="1" x14ac:dyDescent="0.25">
      <c r="A30" s="177" t="s">
        <v>380</v>
      </c>
      <c r="B30" s="222">
        <v>27</v>
      </c>
      <c r="C30" s="196"/>
      <c r="D30" s="196"/>
      <c r="E30" s="196"/>
      <c r="F30" s="221">
        <v>100</v>
      </c>
      <c r="G30" s="196">
        <v>3600</v>
      </c>
      <c r="H30" s="217">
        <f>E30+F30+G30</f>
        <v>3700</v>
      </c>
      <c r="I30" s="218"/>
      <c r="J30" s="119"/>
      <c r="K30" s="177" t="s">
        <v>428</v>
      </c>
      <c r="L30" s="222">
        <v>27</v>
      </c>
      <c r="M30" s="196"/>
      <c r="N30" s="196"/>
      <c r="O30" s="196"/>
      <c r="P30" s="221">
        <v>100</v>
      </c>
      <c r="Q30" s="196">
        <v>3700</v>
      </c>
      <c r="R30" s="217">
        <f t="shared" si="2"/>
        <v>3800</v>
      </c>
    </row>
    <row r="31" spans="1:18" ht="13.5" customHeight="1" x14ac:dyDescent="0.25">
      <c r="A31" s="177" t="s">
        <v>262</v>
      </c>
      <c r="B31" s="216" t="s">
        <v>153</v>
      </c>
      <c r="C31" s="177"/>
      <c r="D31" s="177"/>
      <c r="E31" s="177"/>
      <c r="F31" s="217">
        <v>100</v>
      </c>
      <c r="G31" s="177">
        <v>3500</v>
      </c>
      <c r="H31" s="217">
        <f t="shared" si="0"/>
        <v>3600</v>
      </c>
      <c r="I31" s="218"/>
      <c r="J31" s="110">
        <f t="shared" si="1"/>
        <v>3600</v>
      </c>
      <c r="K31" s="177" t="s">
        <v>429</v>
      </c>
      <c r="L31" s="216">
        <v>28</v>
      </c>
      <c r="M31" s="177"/>
      <c r="N31" s="177"/>
      <c r="O31" s="177"/>
      <c r="P31" s="217">
        <v>100</v>
      </c>
      <c r="Q31" s="177">
        <v>3400</v>
      </c>
      <c r="R31" s="217">
        <f t="shared" si="2"/>
        <v>3500</v>
      </c>
    </row>
    <row r="32" spans="1:18" ht="11.25" customHeight="1" x14ac:dyDescent="0.25">
      <c r="A32" s="177"/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0"/>
        <v>3400</v>
      </c>
      <c r="I32" s="218"/>
      <c r="J32" s="110"/>
      <c r="K32" s="177" t="s">
        <v>411</v>
      </c>
      <c r="L32" s="216">
        <v>29</v>
      </c>
      <c r="M32" s="177"/>
      <c r="N32" s="177"/>
      <c r="O32" s="217"/>
      <c r="P32" s="217">
        <v>100</v>
      </c>
      <c r="Q32" s="217">
        <v>3300</v>
      </c>
      <c r="R32" s="217">
        <f t="shared" si="2"/>
        <v>3400</v>
      </c>
    </row>
    <row r="33" spans="1:18" ht="12.75" customHeight="1" x14ac:dyDescent="0.25">
      <c r="A33" s="177" t="s">
        <v>371</v>
      </c>
      <c r="B33" s="216">
        <v>30</v>
      </c>
      <c r="C33" s="177"/>
      <c r="D33" s="177"/>
      <c r="E33" s="217"/>
      <c r="F33" s="217">
        <v>100</v>
      </c>
      <c r="G33" s="217">
        <v>3300</v>
      </c>
      <c r="H33" s="217">
        <f t="shared" si="0"/>
        <v>3400</v>
      </c>
      <c r="I33" s="218"/>
      <c r="J33" s="110"/>
      <c r="K33" s="177" t="s">
        <v>371</v>
      </c>
      <c r="L33" s="216">
        <v>30</v>
      </c>
      <c r="M33" s="177"/>
      <c r="N33" s="177"/>
      <c r="O33" s="217"/>
      <c r="P33" s="217">
        <v>100</v>
      </c>
      <c r="Q33" s="217">
        <v>3300</v>
      </c>
      <c r="R33" s="217">
        <f t="shared" si="2"/>
        <v>3400</v>
      </c>
    </row>
    <row r="34" spans="1:18" ht="12" customHeight="1" x14ac:dyDescent="0.25">
      <c r="A34" s="177" t="s">
        <v>267</v>
      </c>
      <c r="B34" s="216">
        <v>31</v>
      </c>
      <c r="C34" s="177"/>
      <c r="D34" s="177"/>
      <c r="E34" s="220"/>
      <c r="F34" s="217">
        <v>100</v>
      </c>
      <c r="G34" s="220">
        <v>3300</v>
      </c>
      <c r="H34" s="217">
        <f t="shared" si="0"/>
        <v>3400</v>
      </c>
      <c r="I34" s="218"/>
      <c r="J34" s="119"/>
      <c r="K34" s="177" t="s">
        <v>267</v>
      </c>
      <c r="L34" s="216">
        <v>31</v>
      </c>
      <c r="M34" s="177"/>
      <c r="N34" s="177"/>
      <c r="O34" s="220"/>
      <c r="P34" s="217">
        <v>100</v>
      </c>
      <c r="Q34" s="220">
        <v>3300</v>
      </c>
      <c r="R34" s="217">
        <f t="shared" si="2"/>
        <v>3400</v>
      </c>
    </row>
    <row r="35" spans="1:18" ht="12" customHeight="1" x14ac:dyDescent="0.25">
      <c r="A35" s="177" t="s">
        <v>382</v>
      </c>
      <c r="B35" s="216">
        <v>32</v>
      </c>
      <c r="C35" s="177"/>
      <c r="D35" s="177"/>
      <c r="E35" s="217"/>
      <c r="F35" s="217">
        <v>100</v>
      </c>
      <c r="G35" s="217">
        <v>3300</v>
      </c>
      <c r="H35" s="217">
        <f t="shared" si="0"/>
        <v>3400</v>
      </c>
      <c r="I35" s="119"/>
      <c r="J35" s="110">
        <f t="shared" si="1"/>
        <v>3400</v>
      </c>
      <c r="K35" s="177" t="s">
        <v>430</v>
      </c>
      <c r="L35" s="216">
        <v>32</v>
      </c>
      <c r="M35" s="177"/>
      <c r="N35" s="177"/>
      <c r="O35" s="217"/>
      <c r="P35" s="217">
        <v>100</v>
      </c>
      <c r="Q35" s="217">
        <v>3300</v>
      </c>
      <c r="R35" s="217">
        <f t="shared" si="2"/>
        <v>3400</v>
      </c>
    </row>
    <row r="36" spans="1:18" ht="11.25" customHeight="1" x14ac:dyDescent="0.25">
      <c r="A36" s="219" t="s">
        <v>213</v>
      </c>
      <c r="B36" s="216">
        <v>33</v>
      </c>
      <c r="C36" s="177"/>
      <c r="D36" s="177"/>
      <c r="E36" s="217"/>
      <c r="F36" s="217">
        <v>100</v>
      </c>
      <c r="G36" s="217">
        <v>3200</v>
      </c>
      <c r="H36" s="217">
        <f t="shared" si="0"/>
        <v>3300</v>
      </c>
      <c r="I36" s="218"/>
      <c r="J36" s="110">
        <f t="shared" si="1"/>
        <v>3300</v>
      </c>
      <c r="K36" s="219" t="s">
        <v>431</v>
      </c>
      <c r="L36" s="216">
        <v>33</v>
      </c>
      <c r="M36" s="177"/>
      <c r="N36" s="177"/>
      <c r="O36" s="217"/>
      <c r="P36" s="217">
        <v>100</v>
      </c>
      <c r="Q36" s="217">
        <v>3200</v>
      </c>
      <c r="R36" s="217">
        <f t="shared" si="2"/>
        <v>3300</v>
      </c>
    </row>
    <row r="37" spans="1:18" ht="12" customHeight="1" x14ac:dyDescent="0.25">
      <c r="A37" s="177" t="s">
        <v>359</v>
      </c>
      <c r="B37" s="216">
        <v>34</v>
      </c>
      <c r="C37" s="177"/>
      <c r="D37" s="177"/>
      <c r="E37" s="217"/>
      <c r="F37" s="217">
        <v>100</v>
      </c>
      <c r="G37" s="217">
        <v>3200</v>
      </c>
      <c r="H37" s="217">
        <f t="shared" si="0"/>
        <v>3300</v>
      </c>
      <c r="I37" s="218"/>
      <c r="J37" s="110">
        <f t="shared" si="1"/>
        <v>3300</v>
      </c>
      <c r="K37" s="177" t="s">
        <v>432</v>
      </c>
      <c r="L37" s="216">
        <v>34</v>
      </c>
      <c r="M37" s="177"/>
      <c r="N37" s="177"/>
      <c r="O37" s="217"/>
      <c r="P37" s="217">
        <v>100</v>
      </c>
      <c r="Q37" s="217">
        <v>3200</v>
      </c>
      <c r="R37" s="217">
        <f t="shared" si="2"/>
        <v>3300</v>
      </c>
    </row>
    <row r="38" spans="1:18" ht="12.75" customHeight="1" x14ac:dyDescent="0.25">
      <c r="A38" s="243" t="s">
        <v>25</v>
      </c>
      <c r="B38" s="231"/>
      <c r="C38" s="231"/>
      <c r="D38" s="231"/>
      <c r="E38" s="244">
        <f>SUM(E4:E37)</f>
        <v>3043</v>
      </c>
      <c r="F38" s="244">
        <f>SUM(F4:F37)</f>
        <v>2700</v>
      </c>
      <c r="G38" s="244">
        <f>SUM(G4:G37)</f>
        <v>90600</v>
      </c>
      <c r="H38" s="244">
        <f>SUM(H4:H37)</f>
        <v>96343</v>
      </c>
      <c r="I38" s="245">
        <f>SUM(I4:I37)</f>
        <v>0</v>
      </c>
      <c r="J38" s="244">
        <f t="shared" si="1"/>
        <v>96343</v>
      </c>
      <c r="K38" s="223" t="s">
        <v>25</v>
      </c>
      <c r="L38" s="110"/>
      <c r="M38" s="110"/>
      <c r="N38" s="110"/>
      <c r="O38" s="224"/>
      <c r="P38" s="224">
        <f>SUM(P4:P37)</f>
        <v>2800</v>
      </c>
      <c r="Q38" s="224">
        <f>SUM(Q4:Q37)</f>
        <v>90200</v>
      </c>
      <c r="R38" s="224">
        <f>SUM(R4:R37)</f>
        <v>93000</v>
      </c>
    </row>
    <row r="39" spans="1:18" s="248" customFormat="1" ht="12.75" customHeight="1" x14ac:dyDescent="0.25">
      <c r="A39" s="223"/>
      <c r="B39" s="110"/>
      <c r="C39" s="110"/>
      <c r="D39" s="110"/>
      <c r="E39" s="224"/>
      <c r="F39" s="224"/>
      <c r="G39" s="224"/>
      <c r="H39" s="224"/>
      <c r="I39" s="225"/>
      <c r="J39" s="224"/>
      <c r="K39" s="247"/>
    </row>
    <row r="40" spans="1:18" ht="13.5" customHeight="1" x14ac:dyDescent="0.25">
      <c r="A40" s="235" t="s">
        <v>286</v>
      </c>
      <c r="B40" s="236" t="s">
        <v>370</v>
      </c>
      <c r="C40" s="236"/>
      <c r="D40" s="246"/>
      <c r="E40" s="236"/>
      <c r="F40" s="236" t="s">
        <v>84</v>
      </c>
      <c r="G40" s="236"/>
      <c r="H40" s="236"/>
      <c r="I40" s="236"/>
      <c r="J40" s="236"/>
      <c r="K40" s="31"/>
    </row>
    <row r="41" spans="1:18" x14ac:dyDescent="0.25">
      <c r="A41" s="226" t="s">
        <v>287</v>
      </c>
      <c r="B41" s="226" t="s">
        <v>288</v>
      </c>
      <c r="C41" s="226" t="s">
        <v>289</v>
      </c>
      <c r="D41" s="226" t="s">
        <v>367</v>
      </c>
      <c r="E41" s="227"/>
      <c r="F41" s="226" t="s">
        <v>287</v>
      </c>
      <c r="G41" s="226" t="s">
        <v>288</v>
      </c>
      <c r="H41" s="226" t="s">
        <v>289</v>
      </c>
      <c r="I41" s="226" t="s">
        <v>367</v>
      </c>
      <c r="J41" s="110"/>
      <c r="K41" s="31"/>
    </row>
    <row r="42" spans="1:18" ht="13.5" customHeight="1" x14ac:dyDescent="0.25">
      <c r="A42" s="119" t="s">
        <v>408</v>
      </c>
      <c r="B42" s="228">
        <f>G38</f>
        <v>90600</v>
      </c>
      <c r="C42" s="110">
        <v>0</v>
      </c>
      <c r="D42" s="110"/>
      <c r="E42" s="110"/>
      <c r="F42" s="119" t="s">
        <v>409</v>
      </c>
      <c r="G42" s="228">
        <f>I38</f>
        <v>0</v>
      </c>
      <c r="H42" s="110">
        <v>0</v>
      </c>
      <c r="I42" s="110"/>
      <c r="J42" s="110"/>
      <c r="K42" s="31"/>
    </row>
    <row r="43" spans="1:18" x14ac:dyDescent="0.25">
      <c r="A43" s="110" t="s">
        <v>292</v>
      </c>
      <c r="B43" s="229">
        <v>0.1</v>
      </c>
      <c r="C43" s="230">
        <f>B43*B42</f>
        <v>9060</v>
      </c>
      <c r="D43" s="110"/>
      <c r="E43" s="110"/>
      <c r="F43" s="110" t="s">
        <v>292</v>
      </c>
      <c r="G43" s="229">
        <v>0.08</v>
      </c>
      <c r="H43" s="230">
        <f>G43*G42</f>
        <v>0</v>
      </c>
      <c r="I43" s="110"/>
      <c r="J43" s="110"/>
      <c r="K43" s="31"/>
    </row>
    <row r="44" spans="1:18" x14ac:dyDescent="0.25">
      <c r="A44" s="231" t="s">
        <v>368</v>
      </c>
      <c r="B44" s="232"/>
      <c r="C44" s="31"/>
      <c r="D44" s="231"/>
      <c r="E44" s="110"/>
      <c r="F44" s="231"/>
      <c r="G44" s="232"/>
      <c r="H44" s="31"/>
      <c r="I44" s="231"/>
      <c r="J44" s="110"/>
      <c r="K44" s="31"/>
    </row>
    <row r="45" spans="1:18" x14ac:dyDescent="0.25">
      <c r="A45" s="230"/>
      <c r="B45" s="230">
        <f>B42-C43</f>
        <v>81540</v>
      </c>
      <c r="C45" s="110"/>
      <c r="D45" s="110"/>
      <c r="E45" s="110"/>
      <c r="F45" s="230"/>
      <c r="G45" s="110"/>
      <c r="H45" s="110"/>
      <c r="I45" s="110"/>
      <c r="J45" s="110"/>
      <c r="K45" s="31"/>
    </row>
    <row r="46" spans="1:18" ht="10.5" customHeight="1" x14ac:dyDescent="0.25">
      <c r="A46" s="110"/>
      <c r="B46" s="31"/>
      <c r="C46" s="110"/>
      <c r="D46" s="110"/>
      <c r="E46" s="110"/>
      <c r="F46" s="230"/>
      <c r="G46" s="110"/>
      <c r="H46" s="110"/>
      <c r="I46" s="110"/>
      <c r="J46" s="110"/>
      <c r="K46" s="31"/>
    </row>
    <row r="47" spans="1:18" ht="9" customHeight="1" x14ac:dyDescent="0.25">
      <c r="A47" s="233"/>
      <c r="B47" s="31"/>
      <c r="C47" s="231"/>
      <c r="D47" s="110"/>
      <c r="E47" s="110"/>
      <c r="F47" s="230"/>
      <c r="G47" s="110"/>
      <c r="H47" s="110"/>
      <c r="I47" s="110"/>
      <c r="J47" s="110"/>
      <c r="K47" s="31"/>
    </row>
    <row r="48" spans="1:18" ht="9.75" customHeight="1" x14ac:dyDescent="0.25">
      <c r="A48" s="31"/>
      <c r="B48" s="234">
        <f>B45+B46</f>
        <v>81540</v>
      </c>
      <c r="C48" s="231"/>
      <c r="D48" s="110"/>
      <c r="E48" s="110"/>
      <c r="F48" s="110"/>
      <c r="G48" s="230">
        <f>G42+G44+G45+G46</f>
        <v>0</v>
      </c>
      <c r="H48" s="110"/>
      <c r="I48" s="110"/>
      <c r="J48" s="110"/>
      <c r="K48" s="31"/>
    </row>
    <row r="49" spans="1:11" x14ac:dyDescent="0.25">
      <c r="A49" s="235" t="s">
        <v>293</v>
      </c>
      <c r="B49" s="230"/>
      <c r="C49" s="110"/>
      <c r="D49" s="236"/>
      <c r="E49" s="110"/>
      <c r="F49" s="235" t="s">
        <v>293</v>
      </c>
      <c r="G49" s="230"/>
      <c r="H49" s="31"/>
      <c r="I49" s="236"/>
      <c r="J49" s="110"/>
      <c r="K49" s="31"/>
    </row>
    <row r="50" spans="1:11" ht="12" customHeight="1" x14ac:dyDescent="0.25">
      <c r="A50" s="237" t="s">
        <v>403</v>
      </c>
      <c r="B50" s="110"/>
      <c r="C50" s="110">
        <v>50000</v>
      </c>
      <c r="D50" s="110"/>
      <c r="E50" s="110"/>
      <c r="F50" s="237"/>
      <c r="G50" s="110"/>
      <c r="H50" s="110"/>
      <c r="I50" s="110"/>
      <c r="J50" s="110"/>
      <c r="K50" s="31"/>
    </row>
    <row r="51" spans="1:11" x14ac:dyDescent="0.25">
      <c r="A51" s="223" t="s">
        <v>405</v>
      </c>
      <c r="B51" s="110"/>
      <c r="C51" s="110">
        <v>31540</v>
      </c>
      <c r="D51" s="110"/>
      <c r="E51" s="110"/>
      <c r="F51" s="223"/>
      <c r="G51" s="110"/>
      <c r="H51" s="110"/>
      <c r="I51" s="110"/>
      <c r="J51" s="110"/>
      <c r="K51" s="31"/>
    </row>
    <row r="52" spans="1:11" ht="12" customHeight="1" x14ac:dyDescent="0.25">
      <c r="A52" s="238"/>
      <c r="B52" s="110"/>
      <c r="C52" s="239"/>
      <c r="D52" s="110"/>
      <c r="E52" s="110"/>
      <c r="F52" s="240"/>
      <c r="G52" s="110"/>
      <c r="H52" s="239"/>
      <c r="I52" s="110"/>
      <c r="J52" s="110"/>
      <c r="K52" s="31"/>
    </row>
    <row r="53" spans="1:11" x14ac:dyDescent="0.25">
      <c r="A53" s="241" t="s">
        <v>4</v>
      </c>
      <c r="B53" s="228">
        <f>B48</f>
        <v>81540</v>
      </c>
      <c r="C53" s="228">
        <f>SUM(C50:C52)</f>
        <v>81540</v>
      </c>
      <c r="D53" s="228">
        <f>B53-C53</f>
        <v>0</v>
      </c>
      <c r="E53" s="110">
        <f>J38</f>
        <v>96343</v>
      </c>
      <c r="F53" s="241" t="s">
        <v>4</v>
      </c>
      <c r="G53" s="228">
        <f>G48</f>
        <v>0</v>
      </c>
      <c r="H53" s="228">
        <f>SUM(H43:H52)</f>
        <v>0</v>
      </c>
      <c r="I53" s="228">
        <f>G53-H53</f>
        <v>0</v>
      </c>
      <c r="J53" s="110">
        <f>J38</f>
        <v>96343</v>
      </c>
      <c r="K53" s="31"/>
    </row>
    <row r="54" spans="1:11" x14ac:dyDescent="0.25">
      <c r="A54" s="31"/>
      <c r="B54" s="240" t="s">
        <v>112</v>
      </c>
      <c r="C54" s="240"/>
      <c r="D54" s="31" t="s">
        <v>113</v>
      </c>
      <c r="E54" s="31" t="s">
        <v>114</v>
      </c>
      <c r="F54" s="31"/>
      <c r="G54" s="31"/>
      <c r="H54" s="31"/>
      <c r="I54" s="31"/>
      <c r="J54" s="31"/>
      <c r="K54" s="31"/>
    </row>
    <row r="55" spans="1:11" x14ac:dyDescent="0.25">
      <c r="A55" s="31"/>
      <c r="B55" s="31" t="s">
        <v>317</v>
      </c>
      <c r="C55" s="31"/>
      <c r="D55" s="31" t="s">
        <v>305</v>
      </c>
      <c r="E55" s="31"/>
      <c r="F55" s="31"/>
      <c r="G55" s="31"/>
      <c r="H55" s="31"/>
      <c r="I55" s="31"/>
      <c r="J55" s="31"/>
      <c r="K55" s="31"/>
    </row>
    <row r="56" spans="1:11" x14ac:dyDescent="0.25">
      <c r="A56" s="242" t="s">
        <v>404</v>
      </c>
      <c r="B56" s="242"/>
      <c r="C56" s="31"/>
      <c r="D56" s="31"/>
      <c r="E56" s="31"/>
      <c r="F56" s="31"/>
      <c r="G56" s="31"/>
      <c r="H56" s="31"/>
      <c r="I56" s="31"/>
      <c r="J56" s="31"/>
      <c r="K56" s="31"/>
    </row>
    <row r="57" spans="1:11" x14ac:dyDescent="0.25">
      <c r="A57" s="242" t="s">
        <v>406</v>
      </c>
      <c r="B57" s="242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</sheetData>
  <pageMargins left="0.25" right="0.25" top="0.5" bottom="0.5" header="0.3" footer="0.3"/>
  <pageSetup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opLeftCell="A10" workbookViewId="0">
      <selection activeCell="B17" sqref="B17"/>
    </sheetView>
  </sheetViews>
  <sheetFormatPr defaultRowHeight="15" x14ac:dyDescent="0.25"/>
  <cols>
    <col min="1" max="1" width="12.42578125" customWidth="1"/>
  </cols>
  <sheetData>
    <row r="1" spans="1:11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1" x14ac:dyDescent="0.25">
      <c r="A2" s="23" t="s">
        <v>433</v>
      </c>
      <c r="B2" s="23"/>
      <c r="C2" s="23"/>
      <c r="D2" s="23"/>
      <c r="E2" s="31"/>
      <c r="F2" s="23"/>
      <c r="G2" s="23"/>
      <c r="H2" s="23"/>
      <c r="I2" s="31"/>
      <c r="J2" s="31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0" t="s">
        <v>84</v>
      </c>
      <c r="J3" s="110" t="s">
        <v>290</v>
      </c>
    </row>
    <row r="4" spans="1:11" x14ac:dyDescent="0.25">
      <c r="A4" s="177" t="s">
        <v>421</v>
      </c>
      <c r="B4" s="216">
        <v>1</v>
      </c>
      <c r="C4" s="177"/>
      <c r="D4" s="177"/>
      <c r="E4" s="217"/>
      <c r="F4" s="217">
        <v>100</v>
      </c>
      <c r="G4" s="217">
        <v>4400</v>
      </c>
      <c r="H4" s="217">
        <f>E4+F4+G4</f>
        <v>4500</v>
      </c>
      <c r="I4" s="218"/>
      <c r="J4" s="110"/>
      <c r="K4">
        <v>4500</v>
      </c>
    </row>
    <row r="5" spans="1:11" x14ac:dyDescent="0.25">
      <c r="A5" s="219" t="s">
        <v>418</v>
      </c>
      <c r="B5" s="216">
        <v>2</v>
      </c>
      <c r="C5" s="177"/>
      <c r="D5" s="177"/>
      <c r="E5" s="217"/>
      <c r="F5" s="217">
        <v>100</v>
      </c>
      <c r="G5" s="217">
        <v>3000</v>
      </c>
      <c r="H5" s="217">
        <f t="shared" ref="H5:H37" si="0">E5+F5+G5</f>
        <v>3100</v>
      </c>
      <c r="I5" s="218"/>
      <c r="J5" s="110"/>
      <c r="K5">
        <v>3300</v>
      </c>
    </row>
    <row r="6" spans="1:11" x14ac:dyDescent="0.25">
      <c r="A6" s="177" t="s">
        <v>422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 t="shared" si="0"/>
        <v>2800</v>
      </c>
      <c r="I6" s="218"/>
      <c r="J6" s="110"/>
    </row>
    <row r="7" spans="1:11" x14ac:dyDescent="0.25">
      <c r="A7" s="219" t="s">
        <v>423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si="0"/>
        <v>3900</v>
      </c>
      <c r="I7" s="110"/>
      <c r="J7" s="110">
        <f t="shared" ref="J7:J38" si="1">H7-I7</f>
        <v>3900</v>
      </c>
    </row>
    <row r="8" spans="1:11" x14ac:dyDescent="0.25">
      <c r="A8" s="177" t="s">
        <v>417</v>
      </c>
      <c r="B8" s="216">
        <v>5</v>
      </c>
      <c r="C8" s="177"/>
      <c r="D8" s="177"/>
      <c r="E8" s="217"/>
      <c r="F8" s="217">
        <v>100</v>
      </c>
      <c r="G8" s="217">
        <v>3900</v>
      </c>
      <c r="H8" s="217">
        <f t="shared" si="0"/>
        <v>4000</v>
      </c>
      <c r="I8" s="218">
        <v>2000</v>
      </c>
      <c r="J8" s="110">
        <f t="shared" si="1"/>
        <v>2000</v>
      </c>
    </row>
    <row r="9" spans="1:11" s="129" customFormat="1" x14ac:dyDescent="0.25">
      <c r="A9" s="177" t="s">
        <v>420</v>
      </c>
      <c r="B9" s="216">
        <v>6</v>
      </c>
      <c r="C9" s="177"/>
      <c r="D9" s="177"/>
      <c r="E9" s="217"/>
      <c r="F9" s="217"/>
      <c r="G9" s="217"/>
      <c r="H9" s="217"/>
      <c r="I9" s="218"/>
      <c r="J9" s="110"/>
    </row>
    <row r="10" spans="1:11" s="129" customFormat="1" x14ac:dyDescent="0.25">
      <c r="A10" s="177" t="s">
        <v>420</v>
      </c>
      <c r="B10" s="216">
        <v>7</v>
      </c>
      <c r="C10" s="177"/>
      <c r="D10" s="177"/>
      <c r="E10" s="217"/>
      <c r="F10" s="217"/>
      <c r="G10" s="217"/>
      <c r="H10" s="217"/>
      <c r="I10" s="218"/>
      <c r="J10" s="110"/>
    </row>
    <row r="11" spans="1:11" x14ac:dyDescent="0.25">
      <c r="A11" s="177" t="s">
        <v>416</v>
      </c>
      <c r="B11" s="216">
        <v>8</v>
      </c>
      <c r="C11" s="177"/>
      <c r="D11" s="177"/>
      <c r="E11" s="217"/>
      <c r="F11" s="217">
        <v>100</v>
      </c>
      <c r="G11" s="217">
        <v>2500</v>
      </c>
      <c r="H11" s="217">
        <f t="shared" si="0"/>
        <v>2600</v>
      </c>
      <c r="I11" s="218"/>
      <c r="J11" s="110">
        <f t="shared" si="1"/>
        <v>2600</v>
      </c>
    </row>
    <row r="12" spans="1:11" x14ac:dyDescent="0.25">
      <c r="A12" s="177" t="s">
        <v>416</v>
      </c>
      <c r="B12" s="216">
        <v>9</v>
      </c>
      <c r="C12" s="177"/>
      <c r="D12" s="177"/>
      <c r="E12" s="217"/>
      <c r="F12" s="217"/>
      <c r="G12" s="217">
        <v>2500</v>
      </c>
      <c r="H12" s="217">
        <f t="shared" si="0"/>
        <v>2500</v>
      </c>
      <c r="I12" s="218"/>
      <c r="J12" s="110">
        <f t="shared" si="1"/>
        <v>2500</v>
      </c>
    </row>
    <row r="13" spans="1:11" x14ac:dyDescent="0.25">
      <c r="A13" s="177" t="s">
        <v>267</v>
      </c>
      <c r="B13" s="216">
        <v>10</v>
      </c>
      <c r="C13" s="177"/>
      <c r="D13" s="177"/>
      <c r="E13" s="217"/>
      <c r="F13" s="217">
        <v>100</v>
      </c>
      <c r="G13" s="217">
        <v>2700</v>
      </c>
      <c r="H13" s="217">
        <f t="shared" si="0"/>
        <v>2800</v>
      </c>
      <c r="I13" s="218"/>
      <c r="J13" s="110">
        <f t="shared" si="1"/>
        <v>2800</v>
      </c>
    </row>
    <row r="14" spans="1:11" x14ac:dyDescent="0.25">
      <c r="A14" s="177" t="s">
        <v>373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0"/>
        <v>2800</v>
      </c>
      <c r="I14" s="218"/>
      <c r="J14" s="110">
        <f t="shared" si="1"/>
        <v>2800</v>
      </c>
    </row>
    <row r="15" spans="1:11" x14ac:dyDescent="0.25">
      <c r="A15" s="177" t="s">
        <v>424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0"/>
        <v>2800</v>
      </c>
      <c r="I15" s="119"/>
      <c r="J15" s="110">
        <f t="shared" si="1"/>
        <v>2800</v>
      </c>
    </row>
    <row r="16" spans="1:11" x14ac:dyDescent="0.25">
      <c r="A16" s="219" t="s">
        <v>415</v>
      </c>
      <c r="B16" s="216">
        <v>13</v>
      </c>
      <c r="C16" s="177"/>
      <c r="D16" s="177"/>
      <c r="E16" s="217"/>
      <c r="F16" s="217">
        <v>100</v>
      </c>
      <c r="G16" s="217">
        <v>2700</v>
      </c>
      <c r="H16" s="217">
        <f t="shared" si="0"/>
        <v>2800</v>
      </c>
      <c r="I16" s="218"/>
      <c r="J16" s="110">
        <f t="shared" si="1"/>
        <v>2800</v>
      </c>
    </row>
    <row r="17" spans="1:11" x14ac:dyDescent="0.25">
      <c r="A17" s="177" t="s">
        <v>375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0"/>
        <v>2800</v>
      </c>
      <c r="I17" s="218"/>
      <c r="J17" s="110">
        <f t="shared" si="1"/>
        <v>2800</v>
      </c>
    </row>
    <row r="18" spans="1:11" x14ac:dyDescent="0.25">
      <c r="A18" s="219" t="s">
        <v>434</v>
      </c>
      <c r="B18" s="216">
        <v>15</v>
      </c>
      <c r="C18" s="177"/>
      <c r="D18" s="177"/>
      <c r="E18" s="177"/>
      <c r="F18" s="217">
        <v>100</v>
      </c>
      <c r="G18" s="220">
        <v>5000</v>
      </c>
      <c r="H18" s="217">
        <f t="shared" si="0"/>
        <v>5100</v>
      </c>
      <c r="I18" s="218"/>
      <c r="J18" s="110">
        <f t="shared" si="1"/>
        <v>5100</v>
      </c>
    </row>
    <row r="19" spans="1:11" x14ac:dyDescent="0.25">
      <c r="A19" s="177" t="s">
        <v>397</v>
      </c>
      <c r="B19" s="216">
        <v>16</v>
      </c>
      <c r="C19" s="177"/>
      <c r="D19" s="177"/>
      <c r="E19" s="217"/>
      <c r="F19" s="217">
        <v>100</v>
      </c>
      <c r="G19" s="217">
        <v>2700</v>
      </c>
      <c r="H19" s="217">
        <f t="shared" si="0"/>
        <v>2800</v>
      </c>
      <c r="I19" s="119"/>
      <c r="J19" s="110">
        <f t="shared" si="1"/>
        <v>2800</v>
      </c>
    </row>
    <row r="20" spans="1:11" x14ac:dyDescent="0.25">
      <c r="A20" s="177" t="s">
        <v>426</v>
      </c>
      <c r="B20" s="216">
        <v>17</v>
      </c>
      <c r="C20" s="196"/>
      <c r="D20" s="196"/>
      <c r="E20" s="221"/>
      <c r="F20" s="221">
        <v>100</v>
      </c>
      <c r="G20" s="221">
        <v>2700</v>
      </c>
      <c r="H20" s="217">
        <f t="shared" si="0"/>
        <v>2800</v>
      </c>
      <c r="I20" s="218"/>
      <c r="J20" s="119">
        <f t="shared" si="1"/>
        <v>2800</v>
      </c>
    </row>
    <row r="21" spans="1:11" x14ac:dyDescent="0.25">
      <c r="A21" s="177" t="s">
        <v>427</v>
      </c>
      <c r="B21" s="216">
        <v>18</v>
      </c>
      <c r="C21" s="177"/>
      <c r="D21" s="177"/>
      <c r="E21" s="217"/>
      <c r="F21" s="217">
        <v>100</v>
      </c>
      <c r="G21" s="217">
        <v>2700</v>
      </c>
      <c r="H21" s="217">
        <f t="shared" si="0"/>
        <v>2800</v>
      </c>
      <c r="I21" s="218"/>
      <c r="J21" s="119">
        <f t="shared" si="1"/>
        <v>2800</v>
      </c>
      <c r="K21">
        <v>3000</v>
      </c>
    </row>
    <row r="22" spans="1:11" x14ac:dyDescent="0.25">
      <c r="A22" s="219" t="s">
        <v>414</v>
      </c>
      <c r="B22" s="216">
        <v>19</v>
      </c>
      <c r="C22" s="177"/>
      <c r="D22" s="177"/>
      <c r="E22" s="31"/>
      <c r="F22" s="31">
        <v>100</v>
      </c>
      <c r="G22" s="31">
        <v>3000</v>
      </c>
      <c r="H22" s="217">
        <f t="shared" si="0"/>
        <v>3100</v>
      </c>
      <c r="I22" s="218"/>
      <c r="J22" s="110"/>
      <c r="K22">
        <v>3000</v>
      </c>
    </row>
    <row r="23" spans="1:11" x14ac:dyDescent="0.25">
      <c r="A23" s="177" t="s">
        <v>413</v>
      </c>
      <c r="B23" s="216">
        <v>20</v>
      </c>
      <c r="C23" s="177"/>
      <c r="D23" s="177"/>
      <c r="E23" s="217"/>
      <c r="F23" s="217">
        <v>100</v>
      </c>
      <c r="G23" s="217">
        <v>2700</v>
      </c>
      <c r="H23" s="217">
        <f t="shared" si="0"/>
        <v>2800</v>
      </c>
      <c r="I23" s="110"/>
      <c r="J23" s="110"/>
    </row>
    <row r="24" spans="1:11" x14ac:dyDescent="0.25">
      <c r="A24" s="219" t="s">
        <v>64</v>
      </c>
      <c r="B24" s="216">
        <v>21</v>
      </c>
      <c r="C24" s="177"/>
      <c r="D24" s="177"/>
      <c r="E24" s="217"/>
      <c r="F24" s="217"/>
      <c r="G24" s="217"/>
      <c r="H24" s="217"/>
      <c r="I24" s="218"/>
      <c r="J24" s="110"/>
    </row>
    <row r="25" spans="1:11" s="129" customFormat="1" x14ac:dyDescent="0.25">
      <c r="A25" s="219" t="s">
        <v>64</v>
      </c>
      <c r="B25" s="216">
        <v>22</v>
      </c>
      <c r="C25" s="177"/>
      <c r="D25" s="177"/>
      <c r="E25" s="217"/>
      <c r="F25" s="217"/>
      <c r="G25" s="217"/>
      <c r="H25" s="217"/>
      <c r="I25" s="218"/>
      <c r="J25" s="110"/>
    </row>
    <row r="26" spans="1:11" x14ac:dyDescent="0.25">
      <c r="A26" s="177" t="s">
        <v>412</v>
      </c>
      <c r="B26" s="216">
        <v>23</v>
      </c>
      <c r="C26" s="177"/>
      <c r="D26" s="177"/>
      <c r="E26" s="217"/>
      <c r="F26" s="217">
        <v>100</v>
      </c>
      <c r="G26" s="217">
        <v>3700</v>
      </c>
      <c r="H26" s="217">
        <f t="shared" si="0"/>
        <v>3800</v>
      </c>
      <c r="I26" s="119"/>
      <c r="J26" s="110">
        <f t="shared" si="1"/>
        <v>3800</v>
      </c>
    </row>
    <row r="27" spans="1:11" s="129" customFormat="1" x14ac:dyDescent="0.25">
      <c r="A27" s="177" t="s">
        <v>37</v>
      </c>
      <c r="B27" s="216">
        <v>24</v>
      </c>
      <c r="C27" s="177"/>
      <c r="D27" s="177"/>
      <c r="E27" s="217"/>
      <c r="F27" s="217"/>
      <c r="G27" s="217"/>
      <c r="H27" s="217"/>
      <c r="I27" s="119"/>
      <c r="J27" s="110"/>
    </row>
    <row r="28" spans="1:11" x14ac:dyDescent="0.25">
      <c r="A28" s="177" t="s">
        <v>419</v>
      </c>
      <c r="B28" s="216">
        <v>25</v>
      </c>
      <c r="C28" s="177"/>
      <c r="D28" s="177"/>
      <c r="E28" s="217"/>
      <c r="F28" s="217">
        <v>100</v>
      </c>
      <c r="G28" s="217">
        <v>3400</v>
      </c>
      <c r="H28" s="217">
        <f t="shared" si="0"/>
        <v>3500</v>
      </c>
      <c r="I28" s="218"/>
      <c r="J28" s="110"/>
      <c r="K28">
        <v>3500</v>
      </c>
    </row>
    <row r="29" spans="1:11" x14ac:dyDescent="0.25">
      <c r="A29" s="177" t="s">
        <v>379</v>
      </c>
      <c r="B29" s="216">
        <v>26</v>
      </c>
      <c r="C29" s="177"/>
      <c r="D29" s="177"/>
      <c r="E29" s="220"/>
      <c r="F29" s="217">
        <v>100</v>
      </c>
      <c r="G29" s="220">
        <v>3700</v>
      </c>
      <c r="H29" s="217">
        <f t="shared" si="0"/>
        <v>3800</v>
      </c>
      <c r="I29" s="218"/>
      <c r="J29" s="110">
        <f t="shared" si="1"/>
        <v>3800</v>
      </c>
    </row>
    <row r="30" spans="1:11" x14ac:dyDescent="0.25">
      <c r="A30" s="177" t="s">
        <v>428</v>
      </c>
      <c r="B30" s="222">
        <v>27</v>
      </c>
      <c r="C30" s="196"/>
      <c r="D30" s="196"/>
      <c r="E30" s="196"/>
      <c r="F30" s="221">
        <v>100</v>
      </c>
      <c r="G30" s="196">
        <v>3700</v>
      </c>
      <c r="H30" s="217">
        <f t="shared" si="0"/>
        <v>3800</v>
      </c>
      <c r="I30" s="218"/>
      <c r="J30" s="119"/>
    </row>
    <row r="31" spans="1:11" x14ac:dyDescent="0.25">
      <c r="A31" s="177" t="s">
        <v>429</v>
      </c>
      <c r="B31" s="216">
        <v>28</v>
      </c>
      <c r="C31" s="177"/>
      <c r="D31" s="177"/>
      <c r="E31" s="177"/>
      <c r="F31" s="217">
        <v>100</v>
      </c>
      <c r="G31" s="177">
        <v>3400</v>
      </c>
      <c r="H31" s="217">
        <f t="shared" si="0"/>
        <v>3500</v>
      </c>
      <c r="I31" s="218"/>
      <c r="J31" s="110">
        <f t="shared" si="1"/>
        <v>3500</v>
      </c>
    </row>
    <row r="32" spans="1:11" x14ac:dyDescent="0.25">
      <c r="A32" s="177" t="s">
        <v>411</v>
      </c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0"/>
        <v>3400</v>
      </c>
      <c r="I32" s="218"/>
      <c r="J32" s="110"/>
    </row>
    <row r="33" spans="1:10" x14ac:dyDescent="0.25">
      <c r="A33" s="177" t="s">
        <v>371</v>
      </c>
      <c r="B33" s="216">
        <v>30</v>
      </c>
      <c r="C33" s="177"/>
      <c r="D33" s="177"/>
      <c r="E33" s="217"/>
      <c r="F33" s="217">
        <v>100</v>
      </c>
      <c r="G33" s="217">
        <v>3300</v>
      </c>
      <c r="H33" s="217">
        <f t="shared" si="0"/>
        <v>3400</v>
      </c>
      <c r="I33" s="218"/>
      <c r="J33" s="110"/>
    </row>
    <row r="34" spans="1:10" x14ac:dyDescent="0.25">
      <c r="A34" s="177" t="s">
        <v>267</v>
      </c>
      <c r="B34" s="216">
        <v>31</v>
      </c>
      <c r="C34" s="177"/>
      <c r="D34" s="177"/>
      <c r="E34" s="220"/>
      <c r="F34" s="217">
        <v>100</v>
      </c>
      <c r="G34" s="220">
        <v>3300</v>
      </c>
      <c r="H34" s="217">
        <f t="shared" si="0"/>
        <v>3400</v>
      </c>
      <c r="I34" s="218"/>
      <c r="J34" s="119"/>
    </row>
    <row r="35" spans="1:10" x14ac:dyDescent="0.25">
      <c r="A35" s="177" t="s">
        <v>430</v>
      </c>
      <c r="B35" s="216">
        <v>32</v>
      </c>
      <c r="C35" s="177"/>
      <c r="D35" s="177"/>
      <c r="E35" s="217"/>
      <c r="F35" s="217">
        <v>100</v>
      </c>
      <c r="G35" s="217">
        <v>3300</v>
      </c>
      <c r="H35" s="217">
        <f t="shared" si="0"/>
        <v>3400</v>
      </c>
      <c r="I35" s="119"/>
      <c r="J35" s="110">
        <f t="shared" si="1"/>
        <v>3400</v>
      </c>
    </row>
    <row r="36" spans="1:10" x14ac:dyDescent="0.25">
      <c r="A36" s="219" t="s">
        <v>431</v>
      </c>
      <c r="B36" s="216">
        <v>33</v>
      </c>
      <c r="C36" s="177"/>
      <c r="D36" s="177"/>
      <c r="E36" s="217"/>
      <c r="F36" s="217">
        <v>100</v>
      </c>
      <c r="G36" s="217">
        <v>3200</v>
      </c>
      <c r="H36" s="217">
        <f t="shared" si="0"/>
        <v>3300</v>
      </c>
      <c r="I36" s="218"/>
      <c r="J36" s="110">
        <f t="shared" si="1"/>
        <v>3300</v>
      </c>
    </row>
    <row r="37" spans="1:10" x14ac:dyDescent="0.25">
      <c r="A37" s="177" t="s">
        <v>432</v>
      </c>
      <c r="B37" s="216">
        <v>34</v>
      </c>
      <c r="C37" s="177"/>
      <c r="D37" s="177"/>
      <c r="E37" s="217"/>
      <c r="F37" s="217">
        <v>100</v>
      </c>
      <c r="G37" s="217">
        <v>3200</v>
      </c>
      <c r="H37" s="217">
        <f t="shared" si="0"/>
        <v>3300</v>
      </c>
      <c r="I37" s="218"/>
      <c r="J37" s="110">
        <f t="shared" si="1"/>
        <v>3300</v>
      </c>
    </row>
    <row r="38" spans="1:10" x14ac:dyDescent="0.25">
      <c r="A38" s="255" t="s">
        <v>4</v>
      </c>
      <c r="B38" s="110"/>
      <c r="C38" s="110"/>
      <c r="D38" s="110"/>
      <c r="E38" s="224"/>
      <c r="F38" s="224">
        <f>SUM(F4:F37)</f>
        <v>2800</v>
      </c>
      <c r="G38" s="224">
        <f>SUM(G4:G37)</f>
        <v>92600</v>
      </c>
      <c r="H38" s="224">
        <f>SUM(H4:H37)</f>
        <v>95400</v>
      </c>
      <c r="I38" s="225">
        <f>SUM(I4:I37)</f>
        <v>2000</v>
      </c>
      <c r="J38" s="224">
        <f t="shared" si="1"/>
        <v>93400</v>
      </c>
    </row>
    <row r="39" spans="1:10" x14ac:dyDescent="0.25">
      <c r="A39" s="240"/>
      <c r="B39" s="249"/>
      <c r="C39" s="249"/>
      <c r="D39" s="249"/>
      <c r="E39" s="250"/>
      <c r="F39" s="250"/>
      <c r="G39" s="250"/>
      <c r="H39" s="250"/>
      <c r="I39" s="251"/>
      <c r="J39" s="250"/>
    </row>
    <row r="40" spans="1:10" s="129" customFormat="1" x14ac:dyDescent="0.25">
      <c r="A40" s="240"/>
      <c r="B40" s="249"/>
      <c r="C40" s="249"/>
      <c r="D40" s="249"/>
      <c r="E40" s="250"/>
      <c r="F40" s="250"/>
      <c r="G40" s="250"/>
      <c r="H40" s="250"/>
      <c r="I40" s="251"/>
      <c r="J40" s="250"/>
    </row>
    <row r="41" spans="1:10" s="129" customFormat="1" x14ac:dyDescent="0.25">
      <c r="A41" s="240"/>
      <c r="B41" s="249"/>
      <c r="C41" s="249"/>
      <c r="D41" s="249"/>
      <c r="E41" s="250"/>
      <c r="F41" s="250"/>
      <c r="G41" s="250"/>
      <c r="H41" s="250"/>
      <c r="I41" s="251"/>
      <c r="J41" s="250"/>
    </row>
    <row r="42" spans="1:10" s="129" customFormat="1" x14ac:dyDescent="0.25">
      <c r="A42" s="240"/>
      <c r="B42" s="249"/>
      <c r="C42" s="249"/>
      <c r="D42" s="249"/>
      <c r="E42" s="250"/>
      <c r="F42" s="250"/>
      <c r="G42" s="250"/>
      <c r="H42" s="250"/>
      <c r="I42" s="251"/>
      <c r="J42" s="250"/>
    </row>
    <row r="43" spans="1:10" s="129" customFormat="1" x14ac:dyDescent="0.25">
      <c r="A43" s="240"/>
      <c r="B43" s="249"/>
      <c r="C43" s="249"/>
      <c r="D43" s="249"/>
      <c r="E43" s="250"/>
      <c r="F43" s="250"/>
      <c r="G43" s="250"/>
      <c r="H43" s="250"/>
      <c r="I43" s="251"/>
      <c r="J43" s="250"/>
    </row>
    <row r="44" spans="1:10" s="129" customFormat="1" x14ac:dyDescent="0.25">
      <c r="A44" s="240"/>
      <c r="B44" s="249"/>
      <c r="C44" s="249"/>
      <c r="D44" s="249"/>
      <c r="E44" s="250"/>
      <c r="F44" s="250"/>
      <c r="G44" s="250"/>
      <c r="H44" s="250"/>
      <c r="I44" s="251"/>
      <c r="J44" s="250"/>
    </row>
    <row r="45" spans="1:10" s="129" customFormat="1" x14ac:dyDescent="0.25">
      <c r="A45" s="240"/>
      <c r="B45" s="249"/>
      <c r="C45" s="249"/>
      <c r="D45" s="249"/>
      <c r="E45" s="250"/>
      <c r="F45" s="250"/>
      <c r="G45" s="250"/>
      <c r="H45" s="250"/>
      <c r="I45" s="251"/>
      <c r="J45" s="250"/>
    </row>
    <row r="46" spans="1:10" s="129" customFormat="1" x14ac:dyDescent="0.25">
      <c r="A46" s="240"/>
      <c r="B46" s="249"/>
      <c r="C46" s="249"/>
      <c r="D46" s="249"/>
      <c r="E46" s="250"/>
      <c r="F46" s="250"/>
      <c r="G46" s="250"/>
      <c r="H46" s="250"/>
      <c r="I46" s="251"/>
      <c r="J46" s="250"/>
    </row>
    <row r="47" spans="1:10" s="129" customFormat="1" x14ac:dyDescent="0.25">
      <c r="A47" s="240"/>
      <c r="B47" s="249"/>
      <c r="C47" s="249"/>
      <c r="D47" s="249"/>
      <c r="E47" s="250"/>
      <c r="F47" s="250"/>
      <c r="G47" s="250"/>
      <c r="H47" s="250"/>
      <c r="I47" s="251"/>
      <c r="J47" s="250"/>
    </row>
    <row r="48" spans="1:10" s="129" customFormat="1" x14ac:dyDescent="0.25">
      <c r="A48" s="240"/>
      <c r="B48" s="249"/>
      <c r="C48" s="249"/>
      <c r="D48" s="249"/>
      <c r="E48" s="250"/>
      <c r="F48" s="250"/>
      <c r="G48" s="250"/>
      <c r="H48" s="250"/>
      <c r="I48" s="251"/>
      <c r="J48" s="250"/>
    </row>
    <row r="49" spans="1:10" x14ac:dyDescent="0.25">
      <c r="A49" s="252" t="s">
        <v>286</v>
      </c>
      <c r="B49" s="110" t="s">
        <v>370</v>
      </c>
      <c r="C49" s="110"/>
      <c r="D49" s="253"/>
      <c r="E49" s="110"/>
      <c r="F49" s="110" t="s">
        <v>84</v>
      </c>
      <c r="G49" s="110"/>
      <c r="H49" s="110"/>
      <c r="I49" s="110"/>
      <c r="J49" s="110"/>
    </row>
    <row r="50" spans="1:10" x14ac:dyDescent="0.25">
      <c r="A50" s="226" t="s">
        <v>287</v>
      </c>
      <c r="B50" s="226" t="s">
        <v>288</v>
      </c>
      <c r="C50" s="226" t="s">
        <v>289</v>
      </c>
      <c r="D50" s="226" t="s">
        <v>367</v>
      </c>
      <c r="E50" s="227"/>
      <c r="F50" s="226" t="s">
        <v>287</v>
      </c>
      <c r="G50" s="226" t="s">
        <v>288</v>
      </c>
      <c r="H50" s="226" t="s">
        <v>289</v>
      </c>
      <c r="I50" s="226" t="s">
        <v>367</v>
      </c>
      <c r="J50" s="110"/>
    </row>
    <row r="51" spans="1:10" x14ac:dyDescent="0.25">
      <c r="A51" s="119" t="s">
        <v>245</v>
      </c>
      <c r="B51" s="228">
        <f>G38</f>
        <v>92600</v>
      </c>
      <c r="C51" s="110"/>
      <c r="D51" s="110"/>
      <c r="E51" s="110"/>
      <c r="F51" s="119" t="s">
        <v>245</v>
      </c>
      <c r="G51" s="228">
        <f>I38</f>
        <v>2000</v>
      </c>
      <c r="H51" s="110"/>
      <c r="I51" s="110"/>
      <c r="J51" s="110"/>
    </row>
    <row r="52" spans="1:10" x14ac:dyDescent="0.25">
      <c r="A52" s="110" t="s">
        <v>410</v>
      </c>
      <c r="B52" s="229">
        <v>0.1</v>
      </c>
      <c r="C52" s="230">
        <f>B52*B51</f>
        <v>9260</v>
      </c>
      <c r="D52" s="110"/>
      <c r="E52" s="110"/>
      <c r="F52" s="110" t="s">
        <v>410</v>
      </c>
      <c r="G52" s="229">
        <v>0.1</v>
      </c>
      <c r="H52" s="230">
        <f>C52</f>
        <v>9260</v>
      </c>
      <c r="I52" s="110"/>
      <c r="J52" s="110"/>
    </row>
    <row r="53" spans="1:10" x14ac:dyDescent="0.25">
      <c r="A53" s="110"/>
      <c r="B53" s="230"/>
      <c r="C53" s="110"/>
      <c r="D53" s="110"/>
      <c r="E53" s="110"/>
      <c r="F53" s="110"/>
      <c r="G53" s="230"/>
      <c r="H53" s="110"/>
      <c r="I53" s="110"/>
      <c r="J53" s="110"/>
    </row>
    <row r="54" spans="1:10" x14ac:dyDescent="0.25">
      <c r="A54" s="230"/>
      <c r="B54" s="230">
        <f>B51-C52</f>
        <v>83340</v>
      </c>
      <c r="C54" s="110"/>
      <c r="D54" s="110"/>
      <c r="E54" s="110"/>
      <c r="F54" s="230"/>
      <c r="G54" s="110"/>
      <c r="H54" s="110"/>
      <c r="I54" s="110"/>
      <c r="J54" s="110"/>
    </row>
    <row r="55" spans="1:10" x14ac:dyDescent="0.25">
      <c r="A55" s="110"/>
      <c r="B55" s="110"/>
      <c r="C55" s="110"/>
      <c r="D55" s="110"/>
      <c r="E55" s="110"/>
      <c r="F55" s="230"/>
      <c r="G55" s="110"/>
      <c r="H55" s="110"/>
      <c r="I55" s="110"/>
      <c r="J55" s="110"/>
    </row>
    <row r="56" spans="1:10" x14ac:dyDescent="0.25">
      <c r="A56" s="223"/>
      <c r="B56" s="110"/>
      <c r="C56" s="110"/>
      <c r="D56" s="110"/>
      <c r="E56" s="110"/>
      <c r="F56" s="230"/>
      <c r="G56" s="110"/>
      <c r="H56" s="110"/>
      <c r="I56" s="110"/>
      <c r="J56" s="110"/>
    </row>
    <row r="57" spans="1:10" x14ac:dyDescent="0.25">
      <c r="A57" s="110"/>
      <c r="B57" s="230">
        <f>B54+B55</f>
        <v>83340</v>
      </c>
      <c r="C57" s="110"/>
      <c r="D57" s="110"/>
      <c r="E57" s="110"/>
      <c r="F57" s="110"/>
      <c r="G57" s="230">
        <f>G51+G53+G54+G55</f>
        <v>2000</v>
      </c>
      <c r="H57" s="110"/>
      <c r="I57" s="110"/>
      <c r="J57" s="110"/>
    </row>
    <row r="58" spans="1:10" x14ac:dyDescent="0.25">
      <c r="A58" s="252" t="s">
        <v>293</v>
      </c>
      <c r="B58" s="230"/>
      <c r="C58" s="110"/>
      <c r="D58" s="110"/>
      <c r="E58" s="110"/>
      <c r="F58" s="252" t="s">
        <v>293</v>
      </c>
      <c r="G58" s="230"/>
      <c r="H58" s="110"/>
      <c r="I58" s="110"/>
      <c r="J58" s="110"/>
    </row>
    <row r="59" spans="1:10" x14ac:dyDescent="0.25">
      <c r="A59" s="237" t="s">
        <v>221</v>
      </c>
      <c r="B59" s="110"/>
      <c r="C59" s="110">
        <v>1570</v>
      </c>
      <c r="D59" s="110"/>
      <c r="E59" s="110"/>
      <c r="F59" s="237"/>
      <c r="G59" s="110"/>
      <c r="H59" s="110"/>
      <c r="I59" s="110"/>
      <c r="J59" s="110"/>
    </row>
    <row r="60" spans="1:10" x14ac:dyDescent="0.25">
      <c r="A60" s="254">
        <v>43112</v>
      </c>
      <c r="B60" s="110"/>
      <c r="C60" s="110">
        <v>79610</v>
      </c>
      <c r="D60" s="110"/>
      <c r="E60" s="110"/>
      <c r="F60" s="223"/>
      <c r="G60" s="110"/>
      <c r="H60" s="110"/>
      <c r="I60" s="110"/>
      <c r="J60" s="110"/>
    </row>
    <row r="61" spans="1:10" x14ac:dyDescent="0.25">
      <c r="A61" s="254">
        <v>43120</v>
      </c>
      <c r="B61" s="110"/>
      <c r="C61" s="239">
        <v>1400</v>
      </c>
      <c r="D61" s="110"/>
      <c r="E61" s="110"/>
      <c r="F61" s="223"/>
      <c r="G61" s="110"/>
      <c r="H61" s="239"/>
      <c r="I61" s="110"/>
      <c r="J61" s="110"/>
    </row>
    <row r="62" spans="1:10" x14ac:dyDescent="0.25">
      <c r="A62" s="241" t="s">
        <v>4</v>
      </c>
      <c r="B62" s="228">
        <f>B57</f>
        <v>83340</v>
      </c>
      <c r="C62" s="228">
        <f>SUM(C59:C61)</f>
        <v>82580</v>
      </c>
      <c r="D62" s="228">
        <f>B62-C62</f>
        <v>760</v>
      </c>
      <c r="E62" s="110">
        <f>J38</f>
        <v>93400</v>
      </c>
      <c r="F62" s="241" t="s">
        <v>4</v>
      </c>
      <c r="G62" s="228">
        <f>G57</f>
        <v>2000</v>
      </c>
      <c r="H62" s="228">
        <f>SUM(H52:H61)</f>
        <v>9260</v>
      </c>
      <c r="I62" s="228">
        <f>G62-H62</f>
        <v>-7260</v>
      </c>
      <c r="J62" s="110"/>
    </row>
    <row r="63" spans="1:10" x14ac:dyDescent="0.25">
      <c r="A63" s="31"/>
      <c r="H63" s="31"/>
      <c r="I63" s="31"/>
      <c r="J63" s="31"/>
    </row>
    <row r="64" spans="1:10" x14ac:dyDescent="0.25">
      <c r="A64" s="240" t="s">
        <v>112</v>
      </c>
      <c r="B64" s="240"/>
      <c r="D64" s="31" t="s">
        <v>113</v>
      </c>
      <c r="F64" s="31"/>
      <c r="G64" s="31" t="s">
        <v>114</v>
      </c>
      <c r="H64" s="31"/>
      <c r="I64" s="31"/>
      <c r="J64" s="31"/>
    </row>
    <row r="65" spans="1:10" x14ac:dyDescent="0.25">
      <c r="A65" s="31" t="s">
        <v>317</v>
      </c>
      <c r="B65" s="31"/>
      <c r="D65" s="31" t="s">
        <v>305</v>
      </c>
      <c r="E65" s="31"/>
      <c r="F65" s="31"/>
      <c r="G65" s="31"/>
      <c r="H65" s="31"/>
      <c r="I65" s="31"/>
      <c r="J65" s="31"/>
    </row>
    <row r="66" spans="1:10" x14ac:dyDescent="0.25">
      <c r="A66" s="242"/>
      <c r="B66" s="242"/>
      <c r="C66" s="31"/>
      <c r="D66" s="31"/>
      <c r="E66" s="31"/>
      <c r="F66" s="31"/>
      <c r="G66" s="31"/>
      <c r="H66" s="31"/>
      <c r="I66" s="31"/>
      <c r="J66" s="31"/>
    </row>
    <row r="67" spans="1:10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70" spans="1:10" x14ac:dyDescent="0.25">
      <c r="A70" s="242"/>
      <c r="B70" s="31"/>
      <c r="D70" s="31"/>
      <c r="E70" s="31"/>
      <c r="F70" s="31"/>
      <c r="G70" s="31"/>
    </row>
  </sheetData>
  <pageMargins left="0.25" right="0.25" top="0.75" bottom="0.75" header="0.3" footer="0.3"/>
  <pageSetup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6" workbookViewId="0">
      <selection activeCell="G40" sqref="G40"/>
    </sheetView>
  </sheetViews>
  <sheetFormatPr defaultRowHeight="15" x14ac:dyDescent="0.25"/>
  <cols>
    <col min="1" max="1" width="12.85546875" customWidth="1"/>
    <col min="6" max="6" width="8.28515625" customWidth="1"/>
    <col min="7" max="7" width="9.7109375" customWidth="1"/>
    <col min="8" max="8" width="9.42578125" customWidth="1"/>
    <col min="9" max="9" width="10.28515625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438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425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E4+F4+G4</f>
        <v>4600</v>
      </c>
      <c r="I4" s="218">
        <v>4500</v>
      </c>
      <c r="J4" s="110"/>
    </row>
    <row r="5" spans="1:10" x14ac:dyDescent="0.25">
      <c r="A5" s="219" t="s">
        <v>418</v>
      </c>
      <c r="B5" s="216">
        <v>2</v>
      </c>
      <c r="C5" s="177"/>
      <c r="D5" s="177"/>
      <c r="E5" s="217"/>
      <c r="F5" s="217">
        <v>100</v>
      </c>
      <c r="G5" s="217">
        <v>3000</v>
      </c>
      <c r="H5" s="217">
        <f t="shared" ref="H5:H34" si="0">E5+F5+G5</f>
        <v>3100</v>
      </c>
      <c r="I5" s="218">
        <v>3000</v>
      </c>
      <c r="J5" s="110"/>
    </row>
    <row r="6" spans="1:10" x14ac:dyDescent="0.25">
      <c r="A6" s="177" t="s">
        <v>422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 t="shared" si="0"/>
        <v>2800</v>
      </c>
      <c r="I6" s="218">
        <v>2800</v>
      </c>
      <c r="J6" s="110"/>
    </row>
    <row r="7" spans="1:10" x14ac:dyDescent="0.25">
      <c r="A7" s="219" t="s">
        <v>423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si="0"/>
        <v>3900</v>
      </c>
      <c r="I7" s="110">
        <v>3700</v>
      </c>
      <c r="J7" s="110"/>
    </row>
    <row r="8" spans="1:10" x14ac:dyDescent="0.25">
      <c r="A8" s="177" t="s">
        <v>417</v>
      </c>
      <c r="B8" s="216">
        <v>5</v>
      </c>
      <c r="C8" s="177"/>
      <c r="D8" s="177"/>
      <c r="E8" s="217">
        <v>2000</v>
      </c>
      <c r="F8" s="217">
        <v>100</v>
      </c>
      <c r="G8" s="217">
        <v>3900</v>
      </c>
      <c r="H8" s="217">
        <f t="shared" si="0"/>
        <v>6000</v>
      </c>
      <c r="I8" s="218">
        <v>4000</v>
      </c>
      <c r="J8" s="110">
        <f>H8-I8</f>
        <v>2000</v>
      </c>
    </row>
    <row r="9" spans="1:10" x14ac:dyDescent="0.25">
      <c r="A9" s="177" t="s">
        <v>420</v>
      </c>
      <c r="B9" s="256">
        <v>6</v>
      </c>
      <c r="C9" s="177"/>
      <c r="D9" s="177"/>
      <c r="E9" s="217"/>
      <c r="F9" s="217"/>
      <c r="G9" s="217"/>
      <c r="H9" s="217"/>
      <c r="I9" s="218"/>
      <c r="J9" s="110"/>
    </row>
    <row r="10" spans="1:10" x14ac:dyDescent="0.25">
      <c r="A10" s="177" t="s">
        <v>416</v>
      </c>
      <c r="B10" s="256">
        <v>7</v>
      </c>
      <c r="C10" s="177"/>
      <c r="D10" s="177"/>
      <c r="E10" s="217"/>
      <c r="F10" s="217">
        <v>100</v>
      </c>
      <c r="G10" s="217">
        <v>5000</v>
      </c>
      <c r="H10" s="217">
        <f t="shared" si="0"/>
        <v>5100</v>
      </c>
      <c r="I10" s="218">
        <v>5000</v>
      </c>
      <c r="J10" s="110"/>
    </row>
    <row r="11" spans="1:10" x14ac:dyDescent="0.25">
      <c r="A11" s="177" t="s">
        <v>402</v>
      </c>
      <c r="B11" s="256">
        <v>8</v>
      </c>
      <c r="C11" s="177"/>
      <c r="D11" s="177"/>
      <c r="E11" s="217"/>
      <c r="F11" s="217">
        <v>100</v>
      </c>
      <c r="G11" s="217">
        <v>2700</v>
      </c>
      <c r="H11" s="217">
        <f t="shared" si="0"/>
        <v>2800</v>
      </c>
      <c r="I11" s="218">
        <v>2700</v>
      </c>
      <c r="J11" s="110"/>
    </row>
    <row r="12" spans="1:10" x14ac:dyDescent="0.25">
      <c r="A12" s="177" t="s">
        <v>373</v>
      </c>
      <c r="B12" s="216">
        <v>9</v>
      </c>
      <c r="C12" s="177"/>
      <c r="D12" s="177"/>
      <c r="E12" s="217"/>
      <c r="F12" s="217">
        <v>100</v>
      </c>
      <c r="G12" s="217">
        <v>2700</v>
      </c>
      <c r="H12" s="217">
        <f t="shared" si="0"/>
        <v>2800</v>
      </c>
      <c r="I12" s="218">
        <v>2700</v>
      </c>
      <c r="J12" s="110"/>
    </row>
    <row r="13" spans="1:10" x14ac:dyDescent="0.25">
      <c r="A13" s="177" t="s">
        <v>424</v>
      </c>
      <c r="B13" s="216">
        <v>10</v>
      </c>
      <c r="C13" s="177"/>
      <c r="D13" s="177"/>
      <c r="E13" s="217">
        <v>3200</v>
      </c>
      <c r="F13" s="217">
        <v>100</v>
      </c>
      <c r="G13" s="217">
        <v>2700</v>
      </c>
      <c r="H13" s="217">
        <f t="shared" si="0"/>
        <v>6000</v>
      </c>
      <c r="I13" s="119"/>
      <c r="J13" s="110">
        <f>H13-I13</f>
        <v>6000</v>
      </c>
    </row>
    <row r="14" spans="1:10" x14ac:dyDescent="0.25">
      <c r="A14" s="219" t="s">
        <v>443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0"/>
        <v>2800</v>
      </c>
      <c r="I14" s="218">
        <v>2700</v>
      </c>
      <c r="J14" s="110"/>
    </row>
    <row r="15" spans="1:10" x14ac:dyDescent="0.25">
      <c r="A15" s="177" t="s">
        <v>375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0"/>
        <v>2800</v>
      </c>
      <c r="I15" s="218">
        <v>2700</v>
      </c>
      <c r="J15" s="110"/>
    </row>
    <row r="16" spans="1:10" x14ac:dyDescent="0.25">
      <c r="A16" s="219" t="s">
        <v>435</v>
      </c>
      <c r="B16" s="216">
        <v>13</v>
      </c>
      <c r="C16" s="177"/>
      <c r="D16" s="177"/>
      <c r="E16" s="177">
        <v>1830</v>
      </c>
      <c r="F16" s="217">
        <v>100</v>
      </c>
      <c r="G16" s="220">
        <v>2700</v>
      </c>
      <c r="H16" s="217">
        <f t="shared" si="0"/>
        <v>4630</v>
      </c>
      <c r="I16" s="218">
        <v>2700</v>
      </c>
      <c r="J16" s="110">
        <f>H16-I16</f>
        <v>1930</v>
      </c>
    </row>
    <row r="17" spans="1:10" x14ac:dyDescent="0.25">
      <c r="A17" s="177" t="s">
        <v>361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0"/>
        <v>2800</v>
      </c>
      <c r="I17" s="119">
        <v>2700</v>
      </c>
      <c r="J17" s="110"/>
    </row>
    <row r="18" spans="1:10" x14ac:dyDescent="0.25">
      <c r="A18" s="177" t="s">
        <v>426</v>
      </c>
      <c r="B18" s="216">
        <v>15</v>
      </c>
      <c r="C18" s="196"/>
      <c r="D18" s="196"/>
      <c r="E18" s="221"/>
      <c r="F18" s="221">
        <v>100</v>
      </c>
      <c r="G18" s="221">
        <v>2700</v>
      </c>
      <c r="H18" s="217">
        <f t="shared" si="0"/>
        <v>2800</v>
      </c>
      <c r="I18" s="218">
        <v>2700</v>
      </c>
      <c r="J18" s="119"/>
    </row>
    <row r="19" spans="1:10" x14ac:dyDescent="0.25">
      <c r="A19" s="177" t="s">
        <v>427</v>
      </c>
      <c r="B19" s="216">
        <v>16</v>
      </c>
      <c r="C19" s="177"/>
      <c r="D19" s="177"/>
      <c r="E19" s="217">
        <v>800</v>
      </c>
      <c r="F19" s="217">
        <v>100</v>
      </c>
      <c r="G19" s="217">
        <v>2700</v>
      </c>
      <c r="H19" s="217">
        <f t="shared" si="0"/>
        <v>3600</v>
      </c>
      <c r="I19" s="218"/>
      <c r="J19" s="119">
        <f>H19-I19</f>
        <v>3600</v>
      </c>
    </row>
    <row r="20" spans="1:10" x14ac:dyDescent="0.25">
      <c r="A20" s="219" t="s">
        <v>414</v>
      </c>
      <c r="B20" s="216">
        <v>17</v>
      </c>
      <c r="C20" s="177"/>
      <c r="D20" s="177"/>
      <c r="E20" s="110"/>
      <c r="F20" s="110">
        <v>100</v>
      </c>
      <c r="G20" s="31">
        <v>3000</v>
      </c>
      <c r="H20" s="217">
        <f t="shared" si="0"/>
        <v>3100</v>
      </c>
      <c r="I20" s="218">
        <v>3000</v>
      </c>
      <c r="J20" s="110"/>
    </row>
    <row r="21" spans="1:10" x14ac:dyDescent="0.25">
      <c r="A21" s="177" t="s">
        <v>346</v>
      </c>
      <c r="B21" s="216">
        <v>18</v>
      </c>
      <c r="C21" s="177"/>
      <c r="D21" s="177"/>
      <c r="E21" s="217"/>
      <c r="F21" s="217">
        <v>100</v>
      </c>
      <c r="G21" s="217">
        <v>2700</v>
      </c>
      <c r="H21" s="217">
        <f t="shared" si="0"/>
        <v>2800</v>
      </c>
      <c r="I21" s="110">
        <v>2700</v>
      </c>
      <c r="J21" s="110"/>
    </row>
    <row r="22" spans="1:10" x14ac:dyDescent="0.25">
      <c r="A22" s="177" t="s">
        <v>64</v>
      </c>
      <c r="B22" s="256">
        <v>19</v>
      </c>
      <c r="C22" s="177"/>
      <c r="D22" s="177"/>
      <c r="E22" s="217"/>
      <c r="F22" s="217"/>
      <c r="G22" s="217"/>
      <c r="H22" s="217"/>
      <c r="I22" s="218"/>
      <c r="J22" s="110"/>
    </row>
    <row r="23" spans="1:10" x14ac:dyDescent="0.25">
      <c r="A23" s="177" t="s">
        <v>412</v>
      </c>
      <c r="B23" s="216">
        <v>20</v>
      </c>
      <c r="C23" s="177"/>
      <c r="D23" s="177"/>
      <c r="E23" s="217"/>
      <c r="F23" s="217">
        <v>100</v>
      </c>
      <c r="G23" s="217">
        <v>3700</v>
      </c>
      <c r="H23" s="217">
        <f t="shared" si="0"/>
        <v>3800</v>
      </c>
      <c r="I23" s="119">
        <v>3700</v>
      </c>
      <c r="J23" s="110"/>
    </row>
    <row r="24" spans="1:10" x14ac:dyDescent="0.25">
      <c r="A24" s="177" t="s">
        <v>37</v>
      </c>
      <c r="B24" s="216">
        <v>21</v>
      </c>
      <c r="C24" s="177"/>
      <c r="D24" s="177"/>
      <c r="E24" s="217"/>
      <c r="F24" s="217"/>
      <c r="G24" s="217"/>
      <c r="H24" s="217"/>
      <c r="I24" s="119"/>
      <c r="J24" s="110"/>
    </row>
    <row r="25" spans="1:10" x14ac:dyDescent="0.25">
      <c r="A25" s="177" t="s">
        <v>436</v>
      </c>
      <c r="B25" s="216">
        <v>22</v>
      </c>
      <c r="C25" s="177"/>
      <c r="D25" s="177"/>
      <c r="E25" s="217"/>
      <c r="F25" s="217">
        <v>100</v>
      </c>
      <c r="G25" s="217">
        <v>3400</v>
      </c>
      <c r="H25" s="217">
        <f t="shared" si="0"/>
        <v>3500</v>
      </c>
      <c r="I25" s="218"/>
      <c r="J25" s="110"/>
    </row>
    <row r="26" spans="1:10" x14ac:dyDescent="0.25">
      <c r="A26" s="177" t="s">
        <v>379</v>
      </c>
      <c r="B26" s="216">
        <v>23</v>
      </c>
      <c r="C26" s="177"/>
      <c r="D26" s="177"/>
      <c r="E26" s="220"/>
      <c r="F26" s="217">
        <v>100</v>
      </c>
      <c r="G26" s="220">
        <v>3700</v>
      </c>
      <c r="H26" s="217">
        <f t="shared" si="0"/>
        <v>3800</v>
      </c>
      <c r="I26" s="218">
        <v>3700</v>
      </c>
      <c r="J26" s="110"/>
    </row>
    <row r="27" spans="1:10" x14ac:dyDescent="0.25">
      <c r="A27" s="177" t="s">
        <v>428</v>
      </c>
      <c r="B27" s="222">
        <v>24</v>
      </c>
      <c r="C27" s="196"/>
      <c r="D27" s="196"/>
      <c r="E27" s="196"/>
      <c r="F27" s="221">
        <v>100</v>
      </c>
      <c r="G27" s="196">
        <v>3700</v>
      </c>
      <c r="H27" s="217">
        <f t="shared" si="0"/>
        <v>3800</v>
      </c>
      <c r="I27" s="218">
        <v>3700</v>
      </c>
      <c r="J27" s="119"/>
    </row>
    <row r="28" spans="1:10" x14ac:dyDescent="0.25">
      <c r="A28" s="177" t="s">
        <v>429</v>
      </c>
      <c r="B28" s="216">
        <v>25</v>
      </c>
      <c r="C28" s="177"/>
      <c r="D28" s="177"/>
      <c r="E28" s="177">
        <v>1300</v>
      </c>
      <c r="F28" s="217">
        <v>100</v>
      </c>
      <c r="G28" s="177">
        <v>3300</v>
      </c>
      <c r="H28" s="217">
        <f t="shared" si="0"/>
        <v>4700</v>
      </c>
      <c r="I28" s="218">
        <v>3300</v>
      </c>
      <c r="J28" s="110">
        <f>H28-I28</f>
        <v>1400</v>
      </c>
    </row>
    <row r="29" spans="1:10" x14ac:dyDescent="0.25">
      <c r="A29" s="177" t="s">
        <v>411</v>
      </c>
      <c r="B29" s="216">
        <v>26</v>
      </c>
      <c r="C29" s="177"/>
      <c r="D29" s="177"/>
      <c r="E29" s="217"/>
      <c r="F29" s="217">
        <v>100</v>
      </c>
      <c r="G29" s="217">
        <v>3300</v>
      </c>
      <c r="H29" s="217">
        <f t="shared" si="0"/>
        <v>3400</v>
      </c>
      <c r="I29" s="218">
        <v>3300</v>
      </c>
      <c r="J29" s="110"/>
    </row>
    <row r="30" spans="1:10" x14ac:dyDescent="0.25">
      <c r="A30" s="177" t="s">
        <v>371</v>
      </c>
      <c r="B30" s="216">
        <v>27</v>
      </c>
      <c r="C30" s="177"/>
      <c r="D30" s="177"/>
      <c r="E30" s="217"/>
      <c r="F30" s="217">
        <v>100</v>
      </c>
      <c r="G30" s="217">
        <v>3300</v>
      </c>
      <c r="H30" s="217">
        <f t="shared" si="0"/>
        <v>3400</v>
      </c>
      <c r="I30" s="218">
        <v>3300</v>
      </c>
      <c r="J30" s="110"/>
    </row>
    <row r="31" spans="1:10" x14ac:dyDescent="0.25">
      <c r="A31" s="177" t="s">
        <v>437</v>
      </c>
      <c r="B31" s="216">
        <v>28</v>
      </c>
      <c r="C31" s="177"/>
      <c r="D31" s="177"/>
      <c r="E31" s="220"/>
      <c r="F31" s="217">
        <v>100</v>
      </c>
      <c r="G31" s="220">
        <v>3300</v>
      </c>
      <c r="H31" s="217">
        <f t="shared" si="0"/>
        <v>3400</v>
      </c>
      <c r="I31" s="218">
        <v>3300</v>
      </c>
      <c r="J31" s="119"/>
    </row>
    <row r="32" spans="1:10" x14ac:dyDescent="0.25">
      <c r="A32" s="177" t="s">
        <v>430</v>
      </c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0"/>
        <v>3400</v>
      </c>
      <c r="I32" s="218">
        <v>3300</v>
      </c>
      <c r="J32" s="110"/>
    </row>
    <row r="33" spans="1:10" x14ac:dyDescent="0.25">
      <c r="A33" s="219" t="s">
        <v>431</v>
      </c>
      <c r="B33" s="216">
        <v>30</v>
      </c>
      <c r="C33" s="177"/>
      <c r="D33" s="177"/>
      <c r="E33" s="217"/>
      <c r="F33" s="217">
        <v>100</v>
      </c>
      <c r="G33" s="217">
        <v>3200</v>
      </c>
      <c r="H33" s="217">
        <f t="shared" si="0"/>
        <v>3300</v>
      </c>
      <c r="I33" s="218">
        <v>3200</v>
      </c>
      <c r="J33" s="110"/>
    </row>
    <row r="34" spans="1:10" x14ac:dyDescent="0.25">
      <c r="A34" s="177" t="s">
        <v>432</v>
      </c>
      <c r="B34" s="216">
        <v>31</v>
      </c>
      <c r="C34" s="177"/>
      <c r="D34" s="177"/>
      <c r="E34" s="217"/>
      <c r="F34" s="217">
        <v>100</v>
      </c>
      <c r="G34" s="217">
        <v>3200</v>
      </c>
      <c r="H34" s="217">
        <f t="shared" si="0"/>
        <v>3300</v>
      </c>
      <c r="I34" s="218">
        <v>3200</v>
      </c>
      <c r="J34" s="110"/>
    </row>
    <row r="35" spans="1:10" x14ac:dyDescent="0.25">
      <c r="A35" s="255" t="s">
        <v>4</v>
      </c>
      <c r="B35" s="110"/>
      <c r="C35" s="110"/>
      <c r="D35" s="110"/>
      <c r="E35" s="224"/>
      <c r="F35" s="224">
        <f>SUM(F4:F34)</f>
        <v>2800</v>
      </c>
      <c r="G35" s="224">
        <f>SUM(G4:G34)</f>
        <v>90300</v>
      </c>
      <c r="H35" s="224">
        <f>SUM(H4:H34)</f>
        <v>102230</v>
      </c>
      <c r="I35" s="225">
        <f>SUM(I4:I34)</f>
        <v>81600</v>
      </c>
      <c r="J35" s="224">
        <f>SUM(J4:J34)</f>
        <v>14930</v>
      </c>
    </row>
    <row r="36" spans="1:10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</row>
    <row r="37" spans="1:10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</row>
    <row r="38" spans="1:10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</row>
    <row r="39" spans="1:10" x14ac:dyDescent="0.25">
      <c r="A39" s="119" t="s">
        <v>246</v>
      </c>
      <c r="B39" s="228">
        <f>G35</f>
        <v>90300</v>
      </c>
      <c r="C39" s="110"/>
      <c r="D39" s="110"/>
      <c r="E39" s="110"/>
      <c r="F39" s="119" t="s">
        <v>246</v>
      </c>
      <c r="G39" s="228">
        <f>I35</f>
        <v>81600</v>
      </c>
      <c r="H39" s="110"/>
      <c r="I39" s="110"/>
      <c r="J39" s="110"/>
    </row>
    <row r="40" spans="1:10" s="129" customFormat="1" x14ac:dyDescent="0.25">
      <c r="A40" s="119"/>
      <c r="B40" s="228"/>
      <c r="C40" s="110"/>
      <c r="D40" s="110"/>
      <c r="E40" s="110"/>
      <c r="F40" s="119"/>
      <c r="G40" s="228"/>
      <c r="H40" s="110"/>
      <c r="I40" s="110"/>
      <c r="J40" s="110"/>
    </row>
    <row r="41" spans="1:10" x14ac:dyDescent="0.25">
      <c r="A41" s="110" t="s">
        <v>410</v>
      </c>
      <c r="B41" s="229">
        <v>0.1</v>
      </c>
      <c r="C41" s="230">
        <f>B41*B39</f>
        <v>9030</v>
      </c>
      <c r="D41" s="110"/>
      <c r="E41" s="110"/>
      <c r="F41" s="110" t="s">
        <v>410</v>
      </c>
      <c r="G41" s="229">
        <v>0.1</v>
      </c>
      <c r="H41" s="230">
        <f>C41</f>
        <v>9030</v>
      </c>
      <c r="I41" s="110"/>
      <c r="J41" s="110"/>
    </row>
    <row r="42" spans="1:10" x14ac:dyDescent="0.25">
      <c r="A42" s="110" t="s">
        <v>220</v>
      </c>
      <c r="B42" s="230">
        <v>1800</v>
      </c>
      <c r="C42" s="110"/>
      <c r="D42" s="110"/>
      <c r="E42" s="110"/>
      <c r="F42" s="110"/>
      <c r="G42" s="230"/>
      <c r="H42" s="110"/>
      <c r="I42" s="110"/>
      <c r="J42" s="110"/>
    </row>
    <row r="43" spans="1:10" x14ac:dyDescent="0.25">
      <c r="A43" s="230"/>
      <c r="B43" s="230">
        <f>B39-C41</f>
        <v>81270</v>
      </c>
      <c r="C43" s="110"/>
      <c r="D43" s="110"/>
      <c r="E43" s="110"/>
      <c r="F43" s="230"/>
      <c r="G43" s="110"/>
      <c r="H43" s="110"/>
      <c r="I43" s="110"/>
      <c r="J43" s="110"/>
    </row>
    <row r="44" spans="1:10" x14ac:dyDescent="0.25">
      <c r="A44" s="252" t="s">
        <v>293</v>
      </c>
      <c r="B44" s="230"/>
      <c r="C44" s="110"/>
      <c r="D44" s="110"/>
      <c r="E44" s="110"/>
      <c r="F44" s="252" t="s">
        <v>293</v>
      </c>
      <c r="G44" s="230"/>
      <c r="H44" s="110"/>
      <c r="I44" s="110"/>
      <c r="J44" s="110"/>
    </row>
    <row r="45" spans="1:10" s="129" customFormat="1" x14ac:dyDescent="0.25">
      <c r="A45" s="252"/>
      <c r="B45" s="230"/>
      <c r="C45" s="110"/>
      <c r="D45" s="110"/>
      <c r="E45" s="110"/>
      <c r="F45" s="252"/>
      <c r="G45" s="230" t="s">
        <v>161</v>
      </c>
      <c r="H45" s="110">
        <v>2800</v>
      </c>
      <c r="I45" s="110"/>
      <c r="J45" s="110"/>
    </row>
    <row r="46" spans="1:10" x14ac:dyDescent="0.25">
      <c r="A46" s="237" t="s">
        <v>439</v>
      </c>
      <c r="B46" s="110"/>
      <c r="C46" s="110">
        <v>83070</v>
      </c>
      <c r="D46" s="110"/>
      <c r="E46" s="110"/>
      <c r="F46" s="237">
        <v>43143</v>
      </c>
      <c r="G46" s="110"/>
      <c r="H46" s="110">
        <v>83070</v>
      </c>
      <c r="I46" s="110"/>
      <c r="J46" s="110"/>
    </row>
    <row r="47" spans="1:10" x14ac:dyDescent="0.25">
      <c r="A47" s="241" t="s">
        <v>4</v>
      </c>
      <c r="B47" s="228">
        <f>B42+B43</f>
        <v>83070</v>
      </c>
      <c r="C47" s="228">
        <f>SUM(C46:C46)</f>
        <v>83070</v>
      </c>
      <c r="D47" s="228">
        <f>B47-C47</f>
        <v>0</v>
      </c>
      <c r="E47" s="110"/>
      <c r="F47" s="241" t="s">
        <v>4</v>
      </c>
      <c r="G47" s="228">
        <f>G39+G40</f>
        <v>81600</v>
      </c>
      <c r="H47" s="257">
        <f>SUM(H41:H46)</f>
        <v>94900</v>
      </c>
      <c r="I47" s="228">
        <f>G47-H47</f>
        <v>-13300</v>
      </c>
      <c r="J47" s="110"/>
    </row>
    <row r="48" spans="1:10" x14ac:dyDescent="0.25">
      <c r="A48" s="240" t="s">
        <v>112</v>
      </c>
      <c r="B48" s="240" t="s">
        <v>452</v>
      </c>
      <c r="C48" s="129"/>
      <c r="D48" s="31" t="s">
        <v>113</v>
      </c>
      <c r="E48" s="129"/>
      <c r="F48" s="31"/>
      <c r="G48" s="31" t="s">
        <v>114</v>
      </c>
      <c r="H48" s="31"/>
      <c r="I48" s="31"/>
      <c r="J48" s="31"/>
    </row>
    <row r="49" spans="1:10" x14ac:dyDescent="0.25">
      <c r="A49" s="31" t="s">
        <v>317</v>
      </c>
      <c r="B49" s="31"/>
      <c r="C49" s="129"/>
      <c r="D49" s="31" t="s">
        <v>305</v>
      </c>
      <c r="E49" s="31"/>
      <c r="F49" s="31"/>
      <c r="G49" s="31"/>
      <c r="H49" s="31"/>
      <c r="I49" s="31"/>
      <c r="J49" s="31"/>
    </row>
    <row r="62" spans="1:10" x14ac:dyDescent="0.25">
      <c r="A62" s="242"/>
      <c r="B62" s="242"/>
      <c r="C62" s="31"/>
      <c r="D62" s="31"/>
      <c r="E62" s="31"/>
      <c r="F62" s="31"/>
      <c r="G62" s="31"/>
      <c r="H62" s="31"/>
      <c r="I62" s="31"/>
      <c r="J62" s="31"/>
    </row>
  </sheetData>
  <pageMargins left="0.25" right="0.25" top="0.75" bottom="0.75" header="0.3" footer="0.3"/>
  <pageSetup orientation="portrait" horizontalDpi="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A19" workbookViewId="0">
      <selection activeCell="H54" sqref="H54"/>
    </sheetView>
  </sheetViews>
  <sheetFormatPr defaultRowHeight="15" x14ac:dyDescent="0.25"/>
  <cols>
    <col min="1" max="1" width="14.5703125" customWidth="1"/>
    <col min="4" max="4" width="10" customWidth="1"/>
    <col min="7" max="7" width="10.7109375" customWidth="1"/>
  </cols>
  <sheetData>
    <row r="1" spans="1:12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2" x14ac:dyDescent="0.25">
      <c r="A2" s="23" t="s">
        <v>447</v>
      </c>
      <c r="B2" s="23"/>
      <c r="C2" s="23"/>
      <c r="D2" s="23"/>
      <c r="E2" s="31"/>
      <c r="F2" s="23"/>
      <c r="G2" s="23"/>
      <c r="H2" s="23"/>
      <c r="I2" s="31"/>
      <c r="J2" s="31"/>
    </row>
    <row r="3" spans="1:12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2" x14ac:dyDescent="0.25">
      <c r="A4" s="177" t="s">
        <v>425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E4+F4+G4</f>
        <v>4600</v>
      </c>
      <c r="I4" s="218">
        <v>4500</v>
      </c>
      <c r="J4" s="110">
        <f>H4-I4</f>
        <v>100</v>
      </c>
    </row>
    <row r="5" spans="1:12" x14ac:dyDescent="0.25">
      <c r="A5" s="219" t="s">
        <v>418</v>
      </c>
      <c r="B5" s="216">
        <v>2</v>
      </c>
      <c r="C5" s="177"/>
      <c r="D5" s="177"/>
      <c r="E5" s="217"/>
      <c r="F5" s="217"/>
      <c r="G5" s="217">
        <v>3000</v>
      </c>
      <c r="H5" s="217">
        <f>E5+F5+G5</f>
        <v>3000</v>
      </c>
      <c r="I5" s="218">
        <v>3000</v>
      </c>
      <c r="J5" s="110">
        <f t="shared" ref="J5:J34" si="0">H5-I5</f>
        <v>0</v>
      </c>
      <c r="L5">
        <f>F6+F7+F11+F12+F14+F15+F16+F17+F18+F20+F21+F22+F23+F26+F27+F28+F29+F30+F31+F33+F34</f>
        <v>2100</v>
      </c>
    </row>
    <row r="6" spans="1:12" x14ac:dyDescent="0.25">
      <c r="A6" s="177" t="s">
        <v>422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>E6+F6+G6</f>
        <v>2800</v>
      </c>
      <c r="I6" s="218">
        <v>2800</v>
      </c>
      <c r="J6" s="110">
        <f t="shared" si="0"/>
        <v>0</v>
      </c>
    </row>
    <row r="7" spans="1:12" x14ac:dyDescent="0.25">
      <c r="A7" s="219" t="s">
        <v>423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ref="H7:H34" si="1">E7+F7+G7</f>
        <v>3900</v>
      </c>
      <c r="I7" s="110">
        <v>3900</v>
      </c>
      <c r="J7" s="110">
        <f t="shared" si="0"/>
        <v>0</v>
      </c>
    </row>
    <row r="8" spans="1:12" x14ac:dyDescent="0.25">
      <c r="A8" s="177" t="s">
        <v>417</v>
      </c>
      <c r="B8" s="216">
        <v>5</v>
      </c>
      <c r="C8" s="177"/>
      <c r="D8" s="177"/>
      <c r="E8" s="217">
        <v>2000</v>
      </c>
      <c r="F8" s="217">
        <v>100</v>
      </c>
      <c r="G8" s="217">
        <v>3900</v>
      </c>
      <c r="H8" s="217">
        <f t="shared" si="1"/>
        <v>6000</v>
      </c>
      <c r="I8" s="218">
        <v>5000</v>
      </c>
      <c r="J8" s="110">
        <f t="shared" si="0"/>
        <v>1000</v>
      </c>
    </row>
    <row r="9" spans="1:12" x14ac:dyDescent="0.25">
      <c r="A9" s="177" t="s">
        <v>446</v>
      </c>
      <c r="B9" s="256">
        <v>6</v>
      </c>
      <c r="C9" s="177"/>
      <c r="D9" s="177"/>
      <c r="E9" s="217"/>
      <c r="F9" s="217"/>
      <c r="G9" s="217"/>
      <c r="H9" s="217"/>
      <c r="I9" s="218"/>
      <c r="J9" s="110"/>
    </row>
    <row r="10" spans="1:12" x14ac:dyDescent="0.25">
      <c r="A10" s="177" t="s">
        <v>416</v>
      </c>
      <c r="B10" s="256">
        <v>7</v>
      </c>
      <c r="C10" s="177"/>
      <c r="D10" s="177"/>
      <c r="E10" s="217">
        <v>1200</v>
      </c>
      <c r="F10" s="217">
        <v>100</v>
      </c>
      <c r="G10" s="217">
        <v>5000</v>
      </c>
      <c r="H10" s="217">
        <f t="shared" si="1"/>
        <v>6300</v>
      </c>
      <c r="I10" s="218">
        <v>5000</v>
      </c>
      <c r="J10" s="110">
        <f t="shared" si="0"/>
        <v>1300</v>
      </c>
    </row>
    <row r="11" spans="1:12" x14ac:dyDescent="0.25">
      <c r="A11" s="177" t="s">
        <v>402</v>
      </c>
      <c r="B11" s="256">
        <v>8</v>
      </c>
      <c r="C11" s="177"/>
      <c r="D11" s="177"/>
      <c r="E11" s="217"/>
      <c r="F11" s="217">
        <v>100</v>
      </c>
      <c r="G11" s="217">
        <v>2700</v>
      </c>
      <c r="H11" s="217">
        <f t="shared" si="1"/>
        <v>2800</v>
      </c>
      <c r="I11" s="218">
        <v>2800</v>
      </c>
      <c r="J11" s="110">
        <f t="shared" si="0"/>
        <v>0</v>
      </c>
    </row>
    <row r="12" spans="1:12" x14ac:dyDescent="0.25">
      <c r="A12" s="177" t="s">
        <v>373</v>
      </c>
      <c r="B12" s="216">
        <v>9</v>
      </c>
      <c r="C12" s="177"/>
      <c r="D12" s="177"/>
      <c r="E12" s="217"/>
      <c r="F12" s="217">
        <v>100</v>
      </c>
      <c r="G12" s="217">
        <v>2700</v>
      </c>
      <c r="H12" s="217">
        <f t="shared" si="1"/>
        <v>2800</v>
      </c>
      <c r="I12" s="218">
        <v>2800</v>
      </c>
      <c r="J12" s="110">
        <f t="shared" si="0"/>
        <v>0</v>
      </c>
    </row>
    <row r="13" spans="1:12" x14ac:dyDescent="0.25">
      <c r="A13" s="177" t="s">
        <v>424</v>
      </c>
      <c r="B13" s="216">
        <v>10</v>
      </c>
      <c r="C13" s="177"/>
      <c r="D13" s="177"/>
      <c r="E13" s="217">
        <v>3600</v>
      </c>
      <c r="F13" s="217">
        <v>100</v>
      </c>
      <c r="G13" s="217">
        <v>2700</v>
      </c>
      <c r="H13" s="217">
        <f t="shared" si="1"/>
        <v>6400</v>
      </c>
      <c r="I13" s="119">
        <v>2800</v>
      </c>
      <c r="J13" s="110">
        <f t="shared" si="0"/>
        <v>3600</v>
      </c>
    </row>
    <row r="14" spans="1:12" x14ac:dyDescent="0.25">
      <c r="A14" s="219" t="s">
        <v>457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1"/>
        <v>2800</v>
      </c>
      <c r="I14" s="218">
        <v>2800</v>
      </c>
      <c r="J14" s="110">
        <f t="shared" si="0"/>
        <v>0</v>
      </c>
    </row>
    <row r="15" spans="1:12" x14ac:dyDescent="0.25">
      <c r="A15" s="177" t="s">
        <v>375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1"/>
        <v>2800</v>
      </c>
      <c r="I15" s="218">
        <v>2800</v>
      </c>
      <c r="J15" s="110">
        <f t="shared" si="0"/>
        <v>0</v>
      </c>
    </row>
    <row r="16" spans="1:12" x14ac:dyDescent="0.25">
      <c r="A16" s="219" t="s">
        <v>444</v>
      </c>
      <c r="B16" s="216">
        <v>13</v>
      </c>
      <c r="C16" s="177"/>
      <c r="D16" s="177">
        <v>2700</v>
      </c>
      <c r="E16" s="177"/>
      <c r="F16" s="217">
        <v>100</v>
      </c>
      <c r="G16" s="220">
        <v>2700</v>
      </c>
      <c r="H16" s="217">
        <f t="shared" si="1"/>
        <v>2800</v>
      </c>
      <c r="I16" s="218">
        <v>2800</v>
      </c>
      <c r="J16" s="110">
        <f t="shared" si="0"/>
        <v>0</v>
      </c>
    </row>
    <row r="17" spans="1:10" x14ac:dyDescent="0.25">
      <c r="A17" s="177" t="s">
        <v>361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177" t="s">
        <v>426</v>
      </c>
      <c r="B18" s="216">
        <v>15</v>
      </c>
      <c r="C18" s="196"/>
      <c r="D18" s="196"/>
      <c r="E18" s="221"/>
      <c r="F18" s="221">
        <v>100</v>
      </c>
      <c r="G18" s="221">
        <v>2700</v>
      </c>
      <c r="H18" s="217">
        <f t="shared" si="1"/>
        <v>2800</v>
      </c>
      <c r="I18" s="218">
        <v>2800</v>
      </c>
      <c r="J18" s="110">
        <f t="shared" si="0"/>
        <v>0</v>
      </c>
    </row>
    <row r="19" spans="1:10" x14ac:dyDescent="0.25">
      <c r="A19" s="177" t="s">
        <v>427</v>
      </c>
      <c r="B19" s="216">
        <v>16</v>
      </c>
      <c r="C19" s="177"/>
      <c r="D19" s="177"/>
      <c r="E19" s="217">
        <v>3500</v>
      </c>
      <c r="F19" s="217">
        <v>100</v>
      </c>
      <c r="G19" s="217">
        <v>2700</v>
      </c>
      <c r="H19" s="217">
        <f t="shared" si="1"/>
        <v>6300</v>
      </c>
      <c r="I19" s="218">
        <v>5900</v>
      </c>
      <c r="J19" s="110">
        <f t="shared" si="0"/>
        <v>400</v>
      </c>
    </row>
    <row r="20" spans="1:10" x14ac:dyDescent="0.25">
      <c r="A20" s="219" t="s">
        <v>414</v>
      </c>
      <c r="B20" s="216">
        <v>17</v>
      </c>
      <c r="C20" s="177"/>
      <c r="D20" s="177"/>
      <c r="E20" s="110"/>
      <c r="F20" s="110">
        <v>100</v>
      </c>
      <c r="G20" s="31">
        <v>3000</v>
      </c>
      <c r="H20" s="217">
        <f t="shared" si="1"/>
        <v>3100</v>
      </c>
      <c r="I20" s="218">
        <v>3100</v>
      </c>
      <c r="J20" s="110">
        <f t="shared" si="0"/>
        <v>0</v>
      </c>
    </row>
    <row r="21" spans="1:10" x14ac:dyDescent="0.25">
      <c r="A21" s="177" t="s">
        <v>346</v>
      </c>
      <c r="B21" s="216">
        <v>18</v>
      </c>
      <c r="C21" s="177"/>
      <c r="D21" s="177"/>
      <c r="E21" s="217"/>
      <c r="F21" s="217">
        <v>100</v>
      </c>
      <c r="G21" s="217">
        <v>2700</v>
      </c>
      <c r="H21" s="217">
        <f t="shared" si="1"/>
        <v>2800</v>
      </c>
      <c r="I21" s="110">
        <v>2800</v>
      </c>
      <c r="J21" s="110">
        <f t="shared" si="0"/>
        <v>0</v>
      </c>
    </row>
    <row r="22" spans="1:10" x14ac:dyDescent="0.25">
      <c r="A22" s="177" t="s">
        <v>440</v>
      </c>
      <c r="B22" s="256">
        <v>19</v>
      </c>
      <c r="C22" s="177"/>
      <c r="D22" s="177">
        <v>5500</v>
      </c>
      <c r="E22" s="217"/>
      <c r="F22" s="217">
        <v>100</v>
      </c>
      <c r="G22" s="217">
        <v>5500</v>
      </c>
      <c r="H22" s="217">
        <f t="shared" si="1"/>
        <v>5600</v>
      </c>
      <c r="I22" s="218">
        <v>5600</v>
      </c>
      <c r="J22" s="110">
        <f t="shared" si="0"/>
        <v>0</v>
      </c>
    </row>
    <row r="23" spans="1:10" x14ac:dyDescent="0.25">
      <c r="A23" s="177" t="s">
        <v>412</v>
      </c>
      <c r="B23" s="216">
        <v>20</v>
      </c>
      <c r="C23" s="177"/>
      <c r="D23" s="177"/>
      <c r="E23" s="217"/>
      <c r="F23" s="217">
        <v>100</v>
      </c>
      <c r="G23" s="217">
        <v>3700</v>
      </c>
      <c r="H23" s="217">
        <f t="shared" si="1"/>
        <v>3800</v>
      </c>
      <c r="I23" s="119">
        <v>3800</v>
      </c>
      <c r="J23" s="110">
        <f t="shared" si="0"/>
        <v>0</v>
      </c>
    </row>
    <row r="24" spans="1:10" x14ac:dyDescent="0.25">
      <c r="A24" s="177" t="s">
        <v>37</v>
      </c>
      <c r="B24" s="216">
        <v>21</v>
      </c>
      <c r="C24" s="177"/>
      <c r="D24" s="177"/>
      <c r="E24" s="217"/>
      <c r="F24" s="217"/>
      <c r="G24" s="217"/>
      <c r="H24" s="217">
        <f t="shared" si="1"/>
        <v>0</v>
      </c>
      <c r="I24" s="119"/>
      <c r="J24" s="110">
        <f t="shared" si="0"/>
        <v>0</v>
      </c>
    </row>
    <row r="25" spans="1:10" x14ac:dyDescent="0.25">
      <c r="A25" s="177" t="s">
        <v>435</v>
      </c>
      <c r="B25" s="216">
        <v>22</v>
      </c>
      <c r="C25" s="177"/>
      <c r="D25" s="177"/>
      <c r="E25" s="217"/>
      <c r="F25" s="217">
        <v>100</v>
      </c>
      <c r="G25" s="217">
        <v>3700</v>
      </c>
      <c r="H25" s="217">
        <f t="shared" si="1"/>
        <v>3800</v>
      </c>
      <c r="I25" s="218">
        <v>3500</v>
      </c>
      <c r="J25" s="110">
        <f t="shared" si="0"/>
        <v>300</v>
      </c>
    </row>
    <row r="26" spans="1:10" x14ac:dyDescent="0.25">
      <c r="A26" s="177" t="s">
        <v>379</v>
      </c>
      <c r="B26" s="216">
        <v>23</v>
      </c>
      <c r="C26" s="177"/>
      <c r="D26" s="177"/>
      <c r="E26" s="220"/>
      <c r="F26" s="217">
        <v>100</v>
      </c>
      <c r="G26" s="220">
        <v>3700</v>
      </c>
      <c r="H26" s="217">
        <f t="shared" si="1"/>
        <v>3800</v>
      </c>
      <c r="I26" s="218">
        <v>3800</v>
      </c>
      <c r="J26" s="110">
        <f t="shared" si="0"/>
        <v>0</v>
      </c>
    </row>
    <row r="27" spans="1:10" x14ac:dyDescent="0.25">
      <c r="A27" s="177" t="s">
        <v>428</v>
      </c>
      <c r="B27" s="222">
        <v>24</v>
      </c>
      <c r="C27" s="196"/>
      <c r="D27" s="196"/>
      <c r="E27" s="196"/>
      <c r="F27" s="221">
        <v>100</v>
      </c>
      <c r="G27" s="196">
        <v>3700</v>
      </c>
      <c r="H27" s="217">
        <f t="shared" si="1"/>
        <v>3800</v>
      </c>
      <c r="I27" s="218">
        <v>3800</v>
      </c>
      <c r="J27" s="110">
        <f t="shared" si="0"/>
        <v>0</v>
      </c>
    </row>
    <row r="28" spans="1:10" x14ac:dyDescent="0.25">
      <c r="A28" s="177" t="s">
        <v>429</v>
      </c>
      <c r="B28" s="216">
        <v>25</v>
      </c>
      <c r="C28" s="177"/>
      <c r="D28" s="177"/>
      <c r="E28" s="177"/>
      <c r="F28" s="217">
        <v>100</v>
      </c>
      <c r="G28" s="177">
        <v>3400</v>
      </c>
      <c r="H28" s="217">
        <f t="shared" si="1"/>
        <v>3500</v>
      </c>
      <c r="I28" s="218">
        <v>3500</v>
      </c>
      <c r="J28" s="110">
        <f t="shared" si="0"/>
        <v>0</v>
      </c>
    </row>
    <row r="29" spans="1:10" x14ac:dyDescent="0.25">
      <c r="A29" s="177" t="s">
        <v>448</v>
      </c>
      <c r="B29" s="216">
        <v>26</v>
      </c>
      <c r="C29" s="177"/>
      <c r="D29" s="177"/>
      <c r="E29" s="217"/>
      <c r="F29" s="217">
        <v>100</v>
      </c>
      <c r="G29" s="217">
        <v>3300</v>
      </c>
      <c r="H29" s="217">
        <f t="shared" si="1"/>
        <v>3400</v>
      </c>
      <c r="I29" s="218">
        <v>3400</v>
      </c>
      <c r="J29" s="110">
        <f t="shared" si="0"/>
        <v>0</v>
      </c>
    </row>
    <row r="30" spans="1:10" x14ac:dyDescent="0.25">
      <c r="A30" s="177" t="s">
        <v>371</v>
      </c>
      <c r="B30" s="216">
        <v>27</v>
      </c>
      <c r="C30" s="177"/>
      <c r="D30" s="177"/>
      <c r="E30" s="217"/>
      <c r="F30" s="217">
        <v>100</v>
      </c>
      <c r="G30" s="217">
        <v>3300</v>
      </c>
      <c r="H30" s="217">
        <f t="shared" si="1"/>
        <v>3400</v>
      </c>
      <c r="I30" s="218">
        <v>3400</v>
      </c>
      <c r="J30" s="110">
        <f t="shared" si="0"/>
        <v>0</v>
      </c>
    </row>
    <row r="31" spans="1:10" x14ac:dyDescent="0.25">
      <c r="A31" s="177" t="s">
        <v>437</v>
      </c>
      <c r="B31" s="216">
        <v>28</v>
      </c>
      <c r="C31" s="177"/>
      <c r="D31" s="177"/>
      <c r="E31" s="220"/>
      <c r="F31" s="217">
        <v>100</v>
      </c>
      <c r="G31" s="220">
        <v>3300</v>
      </c>
      <c r="H31" s="217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177" t="s">
        <v>430</v>
      </c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1"/>
        <v>3400</v>
      </c>
      <c r="I32" s="119"/>
      <c r="J32" s="110">
        <f t="shared" si="0"/>
        <v>3400</v>
      </c>
    </row>
    <row r="33" spans="1:16" x14ac:dyDescent="0.25">
      <c r="A33" s="219" t="s">
        <v>431</v>
      </c>
      <c r="B33" s="216">
        <v>30</v>
      </c>
      <c r="C33" s="177"/>
      <c r="D33" s="177"/>
      <c r="E33" s="217"/>
      <c r="F33" s="217">
        <v>100</v>
      </c>
      <c r="G33" s="217">
        <v>3200</v>
      </c>
      <c r="H33" s="217">
        <f t="shared" si="1"/>
        <v>3300</v>
      </c>
      <c r="I33" s="218">
        <v>3300</v>
      </c>
      <c r="J33" s="110">
        <f t="shared" si="0"/>
        <v>0</v>
      </c>
    </row>
    <row r="34" spans="1:16" x14ac:dyDescent="0.25">
      <c r="A34" s="177" t="s">
        <v>432</v>
      </c>
      <c r="B34" s="216">
        <v>31</v>
      </c>
      <c r="C34" s="177"/>
      <c r="D34" s="177"/>
      <c r="E34" s="217"/>
      <c r="F34" s="217">
        <v>100</v>
      </c>
      <c r="G34" s="217">
        <v>3200</v>
      </c>
      <c r="H34" s="217">
        <f t="shared" si="1"/>
        <v>3300</v>
      </c>
      <c r="I34" s="218">
        <v>3300</v>
      </c>
      <c r="J34" s="110">
        <f t="shared" si="0"/>
        <v>0</v>
      </c>
      <c r="P34" s="228" t="e">
        <f>#REF!</f>
        <v>#REF!</v>
      </c>
    </row>
    <row r="35" spans="1:16" x14ac:dyDescent="0.25">
      <c r="A35" s="255" t="s">
        <v>4</v>
      </c>
      <c r="B35" s="110"/>
      <c r="C35" s="110"/>
      <c r="D35" s="224">
        <f>SUM(D4:D34)</f>
        <v>8200</v>
      </c>
      <c r="E35" s="224"/>
      <c r="F35" s="224">
        <f>SUM(F4:F34)</f>
        <v>2800</v>
      </c>
      <c r="G35" s="224">
        <f>SUM(G4:G34)</f>
        <v>96200</v>
      </c>
      <c r="H35" s="224">
        <f>SUM(H4:H34)</f>
        <v>109300</v>
      </c>
      <c r="I35" s="225">
        <f>SUM(I4:I34)</f>
        <v>99200</v>
      </c>
      <c r="J35" s="224">
        <f>SUM(J4:J34)</f>
        <v>10100</v>
      </c>
    </row>
    <row r="36" spans="1:16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</row>
    <row r="37" spans="1:16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</row>
    <row r="38" spans="1:16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</row>
    <row r="39" spans="1:16" x14ac:dyDescent="0.25">
      <c r="A39" s="119" t="s">
        <v>179</v>
      </c>
      <c r="B39" s="228">
        <f>G35</f>
        <v>96200</v>
      </c>
      <c r="C39" s="110"/>
      <c r="D39" s="110"/>
      <c r="E39" s="110"/>
      <c r="F39" s="119" t="s">
        <v>179</v>
      </c>
      <c r="G39" s="228">
        <f>I35</f>
        <v>99200</v>
      </c>
      <c r="H39" s="110"/>
      <c r="I39" s="110"/>
      <c r="J39" s="110"/>
    </row>
    <row r="40" spans="1:16" s="129" customFormat="1" x14ac:dyDescent="0.25">
      <c r="A40" s="119"/>
      <c r="B40" s="228"/>
      <c r="C40" s="110"/>
      <c r="D40" s="110"/>
      <c r="E40" s="110"/>
      <c r="F40" s="119"/>
      <c r="G40" s="228">
        <f>'FEB18'!I47</f>
        <v>-13300</v>
      </c>
      <c r="H40" s="110"/>
      <c r="I40" s="110"/>
      <c r="J40" s="110"/>
    </row>
    <row r="41" spans="1:16" x14ac:dyDescent="0.25">
      <c r="A41" s="110" t="s">
        <v>410</v>
      </c>
      <c r="B41" s="229">
        <v>0.1</v>
      </c>
      <c r="C41" s="259">
        <f>B41*B39</f>
        <v>9620</v>
      </c>
      <c r="D41" s="110"/>
      <c r="E41" s="110"/>
      <c r="F41" s="110" t="s">
        <v>410</v>
      </c>
      <c r="G41" s="229">
        <v>0.1</v>
      </c>
      <c r="H41" s="259">
        <f>C41</f>
        <v>9620</v>
      </c>
      <c r="I41" s="110"/>
      <c r="J41" s="110"/>
    </row>
    <row r="42" spans="1:16" x14ac:dyDescent="0.25">
      <c r="A42" s="110" t="s">
        <v>450</v>
      </c>
      <c r="B42" s="230">
        <f>D22+D16</f>
        <v>8200</v>
      </c>
      <c r="C42" s="110"/>
      <c r="D42" s="110"/>
      <c r="E42" s="110"/>
      <c r="F42" s="110" t="s">
        <v>451</v>
      </c>
      <c r="G42" s="230">
        <f>B42</f>
        <v>8200</v>
      </c>
      <c r="H42" s="110"/>
      <c r="I42" s="110"/>
      <c r="J42" s="110"/>
    </row>
    <row r="43" spans="1:16" x14ac:dyDescent="0.25">
      <c r="A43" s="252" t="s">
        <v>293</v>
      </c>
      <c r="B43" s="230"/>
      <c r="C43" s="110"/>
      <c r="D43" s="110"/>
      <c r="E43" s="110"/>
      <c r="F43" s="252" t="s">
        <v>293</v>
      </c>
      <c r="G43" s="110"/>
      <c r="H43" s="110"/>
      <c r="I43" s="110"/>
      <c r="J43" s="110"/>
    </row>
    <row r="44" spans="1:16" x14ac:dyDescent="0.25">
      <c r="A44" s="10" t="s">
        <v>445</v>
      </c>
      <c r="B44" s="230"/>
      <c r="C44" s="110">
        <v>4500</v>
      </c>
      <c r="D44" s="110"/>
      <c r="E44" s="110"/>
      <c r="F44" s="129" t="s">
        <v>445</v>
      </c>
      <c r="G44" s="230"/>
      <c r="H44" s="110">
        <v>4500</v>
      </c>
      <c r="I44" s="110"/>
      <c r="J44" s="110"/>
    </row>
    <row r="45" spans="1:16" s="129" customFormat="1" x14ac:dyDescent="0.25">
      <c r="A45" s="10" t="s">
        <v>453</v>
      </c>
      <c r="B45" s="230"/>
      <c r="C45" s="110">
        <v>2000</v>
      </c>
      <c r="D45" s="110"/>
      <c r="E45" s="110"/>
      <c r="F45" s="129" t="s">
        <v>453</v>
      </c>
      <c r="G45" s="230"/>
      <c r="H45" s="110">
        <v>2000</v>
      </c>
      <c r="I45" s="110"/>
      <c r="J45" s="110"/>
    </row>
    <row r="46" spans="1:16" x14ac:dyDescent="0.25">
      <c r="A46" s="237" t="s">
        <v>449</v>
      </c>
      <c r="B46" s="110"/>
      <c r="C46" s="110">
        <v>89740</v>
      </c>
      <c r="D46" s="110"/>
      <c r="E46" s="110"/>
      <c r="F46" s="237" t="s">
        <v>449</v>
      </c>
      <c r="G46" s="110"/>
      <c r="H46" s="110">
        <v>89740</v>
      </c>
      <c r="I46" s="110"/>
      <c r="J46" s="110"/>
    </row>
    <row r="47" spans="1:16" s="129" customFormat="1" x14ac:dyDescent="0.25">
      <c r="A47" s="237" t="s">
        <v>426</v>
      </c>
      <c r="B47" s="110"/>
      <c r="C47" s="110">
        <v>1000</v>
      </c>
      <c r="D47" s="110"/>
      <c r="E47" s="110"/>
      <c r="F47" s="237" t="s">
        <v>426</v>
      </c>
      <c r="G47" s="110"/>
      <c r="H47" s="110">
        <v>1000</v>
      </c>
      <c r="I47" s="110"/>
      <c r="J47" s="110"/>
    </row>
    <row r="48" spans="1:16" s="129" customFormat="1" x14ac:dyDescent="0.25">
      <c r="A48" s="10"/>
      <c r="B48" s="10"/>
      <c r="C48" s="10"/>
      <c r="D48" s="110"/>
      <c r="E48" s="110"/>
      <c r="F48" s="129" t="s">
        <v>161</v>
      </c>
      <c r="H48" s="233">
        <f>F35</f>
        <v>2800</v>
      </c>
      <c r="I48" s="110"/>
      <c r="J48" s="110"/>
    </row>
    <row r="49" spans="1:10" x14ac:dyDescent="0.25">
      <c r="A49" s="241" t="s">
        <v>4</v>
      </c>
      <c r="B49" s="257">
        <f>B39+B42</f>
        <v>104400</v>
      </c>
      <c r="C49" s="257">
        <f>SUM(C41:C48)</f>
        <v>106860</v>
      </c>
      <c r="D49" s="257">
        <f>B49-C49</f>
        <v>-2460</v>
      </c>
      <c r="E49" s="110"/>
      <c r="F49" s="241" t="s">
        <v>4</v>
      </c>
      <c r="G49" s="258">
        <f>G39+G40+G42</f>
        <v>94100</v>
      </c>
      <c r="H49" s="257">
        <f>SUM(H41:H48)</f>
        <v>109660</v>
      </c>
      <c r="I49" s="257">
        <f>G49-H49</f>
        <v>-15560</v>
      </c>
      <c r="J49" s="110"/>
    </row>
    <row r="50" spans="1:10" x14ac:dyDescent="0.25">
      <c r="A50" s="240" t="s">
        <v>112</v>
      </c>
      <c r="B50" s="240"/>
      <c r="C50" s="129"/>
      <c r="D50" s="31" t="s">
        <v>113</v>
      </c>
      <c r="E50" s="129"/>
      <c r="F50" s="31"/>
      <c r="G50" s="31" t="s">
        <v>114</v>
      </c>
      <c r="H50" s="31"/>
      <c r="I50" s="31"/>
      <c r="J50" s="31"/>
    </row>
    <row r="51" spans="1:10" x14ac:dyDescent="0.25">
      <c r="A51" s="31" t="s">
        <v>442</v>
      </c>
      <c r="B51" s="31"/>
      <c r="C51" s="129"/>
      <c r="D51" t="s">
        <v>441</v>
      </c>
      <c r="E51" s="31"/>
      <c r="F51" s="31"/>
      <c r="G51" s="31" t="s">
        <v>305</v>
      </c>
      <c r="H51" s="31"/>
      <c r="I51" s="31"/>
      <c r="J51" s="31"/>
    </row>
  </sheetData>
  <pageMargins left="0.25" right="0.25" top="0.75" bottom="0.75" header="0.3" footer="0.3"/>
  <pageSetup orientation="portrait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19" workbookViewId="0">
      <selection activeCell="M48" sqref="M48"/>
    </sheetView>
  </sheetViews>
  <sheetFormatPr defaultRowHeight="15" x14ac:dyDescent="0.25"/>
  <cols>
    <col min="1" max="1" width="16" customWidth="1"/>
    <col min="7" max="7" width="9.85546875" bestFit="1" customWidth="1"/>
  </cols>
  <sheetData>
    <row r="1" spans="1:13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  <c r="K1" s="129"/>
    </row>
    <row r="2" spans="1:13" x14ac:dyDescent="0.25">
      <c r="A2" s="23" t="s">
        <v>454</v>
      </c>
      <c r="B2" s="23"/>
      <c r="C2" s="23"/>
      <c r="D2" s="23"/>
      <c r="E2" s="31"/>
      <c r="F2" s="23"/>
      <c r="G2" s="23"/>
      <c r="H2" s="23"/>
      <c r="I2" s="31"/>
      <c r="J2" s="31"/>
      <c r="K2" s="129"/>
    </row>
    <row r="3" spans="1:13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  <c r="K3" s="129"/>
    </row>
    <row r="4" spans="1:13" x14ac:dyDescent="0.25">
      <c r="A4" s="177" t="s">
        <v>275</v>
      </c>
      <c r="B4" s="216">
        <v>1</v>
      </c>
      <c r="C4" s="177"/>
      <c r="D4" s="177"/>
      <c r="E4" s="217">
        <v>100</v>
      </c>
      <c r="F4" s="217">
        <v>100</v>
      </c>
      <c r="G4" s="217">
        <v>4500</v>
      </c>
      <c r="H4" s="217">
        <f>E4+F4+G4</f>
        <v>4700</v>
      </c>
      <c r="I4" s="218">
        <v>4700</v>
      </c>
      <c r="J4" s="110">
        <f>H4-I4</f>
        <v>0</v>
      </c>
      <c r="K4" s="129"/>
    </row>
    <row r="5" spans="1:13" x14ac:dyDescent="0.25">
      <c r="A5" s="260" t="s">
        <v>459</v>
      </c>
      <c r="B5" s="222">
        <v>2</v>
      </c>
      <c r="C5" s="261"/>
      <c r="D5" s="261"/>
      <c r="E5" s="262"/>
      <c r="F5" s="262"/>
      <c r="G5" s="262">
        <v>3000</v>
      </c>
      <c r="H5" s="262">
        <f>E5+F5+G5</f>
        <v>3000</v>
      </c>
      <c r="I5" s="218">
        <v>3000</v>
      </c>
      <c r="J5" s="218">
        <f t="shared" ref="J5:J34" si="0">H5-I5</f>
        <v>0</v>
      </c>
      <c r="K5" s="129"/>
    </row>
    <row r="6" spans="1:13" x14ac:dyDescent="0.25">
      <c r="A6" s="261" t="s">
        <v>456</v>
      </c>
      <c r="B6" s="222">
        <v>3</v>
      </c>
      <c r="C6" s="261"/>
      <c r="D6" s="261">
        <v>2700</v>
      </c>
      <c r="E6" s="262"/>
      <c r="F6" s="262">
        <v>100</v>
      </c>
      <c r="G6" s="262">
        <v>2700</v>
      </c>
      <c r="H6" s="262">
        <f>E6+F6+G6</f>
        <v>2800</v>
      </c>
      <c r="I6" s="218">
        <v>2800</v>
      </c>
      <c r="J6" s="218">
        <f t="shared" si="0"/>
        <v>0</v>
      </c>
      <c r="K6" s="129"/>
      <c r="M6">
        <f>E4+F4+F6+F7+F8+F12+F14+F16+F17+F18+F20+F21+F23+F25+F26+F27+F28+F29+F30+F31+F33+F34</f>
        <v>2200</v>
      </c>
    </row>
    <row r="7" spans="1:13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3800</v>
      </c>
      <c r="H7" s="262">
        <f>E7+F7+G7</f>
        <v>3900</v>
      </c>
      <c r="I7" s="218">
        <v>3900</v>
      </c>
      <c r="J7" s="218">
        <f t="shared" si="0"/>
        <v>0</v>
      </c>
      <c r="K7" s="129"/>
    </row>
    <row r="8" spans="1:13" x14ac:dyDescent="0.25">
      <c r="A8" s="261" t="s">
        <v>417</v>
      </c>
      <c r="B8" s="222">
        <v>5</v>
      </c>
      <c r="C8" s="261"/>
      <c r="D8" s="261"/>
      <c r="E8" s="262">
        <v>1000</v>
      </c>
      <c r="F8" s="262">
        <v>100</v>
      </c>
      <c r="G8" s="262">
        <v>3900</v>
      </c>
      <c r="H8" s="262">
        <f>E8+F8+G8</f>
        <v>5000</v>
      </c>
      <c r="I8" s="218">
        <v>5500</v>
      </c>
      <c r="J8" s="218">
        <f t="shared" si="0"/>
        <v>-500</v>
      </c>
      <c r="K8" s="129"/>
    </row>
    <row r="9" spans="1:13" x14ac:dyDescent="0.25">
      <c r="A9" s="261" t="s">
        <v>446</v>
      </c>
      <c r="B9" s="263">
        <v>6</v>
      </c>
      <c r="C9" s="261"/>
      <c r="D9" s="261"/>
      <c r="E9" s="262"/>
      <c r="F9" s="262"/>
      <c r="G9" s="262"/>
      <c r="H9" s="262"/>
      <c r="I9" s="218"/>
      <c r="J9" s="218"/>
      <c r="K9" s="129"/>
    </row>
    <row r="10" spans="1:13" x14ac:dyDescent="0.25">
      <c r="A10" s="261" t="s">
        <v>416</v>
      </c>
      <c r="B10" s="263">
        <v>7</v>
      </c>
      <c r="C10" s="261"/>
      <c r="D10" s="261"/>
      <c r="E10" s="262">
        <v>1700</v>
      </c>
      <c r="F10" s="262">
        <v>100</v>
      </c>
      <c r="G10" s="262">
        <v>5000</v>
      </c>
      <c r="H10" s="262">
        <f t="shared" ref="H10:H34" si="1">E10+F10+G10</f>
        <v>6800</v>
      </c>
      <c r="I10" s="218">
        <v>3000</v>
      </c>
      <c r="J10" s="218">
        <f t="shared" si="0"/>
        <v>3800</v>
      </c>
      <c r="K10" s="129"/>
    </row>
    <row r="11" spans="1:13" x14ac:dyDescent="0.25">
      <c r="A11" s="261" t="s">
        <v>402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62">
        <f t="shared" si="1"/>
        <v>2800</v>
      </c>
      <c r="I11" s="218">
        <v>2800</v>
      </c>
      <c r="J11" s="218">
        <f t="shared" si="0"/>
        <v>0</v>
      </c>
      <c r="K11" s="129"/>
    </row>
    <row r="12" spans="1:13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62">
        <f t="shared" si="1"/>
        <v>2800</v>
      </c>
      <c r="I12" s="218">
        <v>2800</v>
      </c>
      <c r="J12" s="218">
        <f t="shared" si="0"/>
        <v>0</v>
      </c>
      <c r="K12" s="129"/>
    </row>
    <row r="13" spans="1:13" x14ac:dyDescent="0.25">
      <c r="A13" s="261" t="s">
        <v>446</v>
      </c>
      <c r="B13" s="222">
        <v>10</v>
      </c>
      <c r="C13" s="261"/>
      <c r="D13" s="261"/>
      <c r="E13" s="262">
        <v>3600</v>
      </c>
      <c r="F13" s="262"/>
      <c r="G13" s="262"/>
      <c r="H13" s="262"/>
      <c r="I13" s="218"/>
      <c r="J13" s="218">
        <f t="shared" si="0"/>
        <v>0</v>
      </c>
      <c r="K13" s="129"/>
    </row>
    <row r="14" spans="1:13" x14ac:dyDescent="0.25">
      <c r="A14" s="260" t="s">
        <v>457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62">
        <f t="shared" si="1"/>
        <v>2800</v>
      </c>
      <c r="I14" s="218">
        <v>2800</v>
      </c>
      <c r="J14" s="218">
        <f t="shared" si="0"/>
        <v>0</v>
      </c>
      <c r="K14" s="129"/>
    </row>
    <row r="15" spans="1:13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62">
        <f t="shared" si="1"/>
        <v>2800</v>
      </c>
      <c r="I15" s="218">
        <v>2800</v>
      </c>
      <c r="J15" s="218">
        <f t="shared" si="0"/>
        <v>0</v>
      </c>
      <c r="K15" s="129"/>
    </row>
    <row r="16" spans="1:13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62">
        <f t="shared" si="1"/>
        <v>2800</v>
      </c>
      <c r="I16" s="218">
        <v>2800</v>
      </c>
      <c r="J16" s="218">
        <f t="shared" si="0"/>
        <v>0</v>
      </c>
      <c r="K16" s="129"/>
    </row>
    <row r="17" spans="1:11" x14ac:dyDescent="0.25">
      <c r="A17" s="261" t="s">
        <v>397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62">
        <f t="shared" si="1"/>
        <v>2800</v>
      </c>
      <c r="I17" s="218">
        <v>2800</v>
      </c>
      <c r="J17" s="218">
        <f t="shared" si="0"/>
        <v>0</v>
      </c>
      <c r="K17" s="129"/>
    </row>
    <row r="18" spans="1:11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 t="shared" si="1"/>
        <v>2800</v>
      </c>
      <c r="I18" s="218">
        <v>2800</v>
      </c>
      <c r="J18" s="218">
        <f t="shared" si="0"/>
        <v>0</v>
      </c>
      <c r="K18" s="129"/>
    </row>
    <row r="19" spans="1:11" x14ac:dyDescent="0.25">
      <c r="A19" s="261" t="s">
        <v>427</v>
      </c>
      <c r="B19" s="222">
        <v>16</v>
      </c>
      <c r="C19" s="261"/>
      <c r="D19" s="261"/>
      <c r="E19" s="262">
        <v>400</v>
      </c>
      <c r="F19" s="262">
        <v>100</v>
      </c>
      <c r="G19" s="262">
        <v>2700</v>
      </c>
      <c r="H19" s="262">
        <f t="shared" si="1"/>
        <v>3200</v>
      </c>
      <c r="I19" s="218">
        <v>3100</v>
      </c>
      <c r="J19" s="218">
        <f t="shared" si="0"/>
        <v>100</v>
      </c>
      <c r="K19" s="129"/>
    </row>
    <row r="20" spans="1:11" x14ac:dyDescent="0.25">
      <c r="A20" s="260" t="s">
        <v>377</v>
      </c>
      <c r="B20" s="222">
        <v>17</v>
      </c>
      <c r="C20" s="261"/>
      <c r="D20" s="261"/>
      <c r="E20" s="218"/>
      <c r="F20" s="218">
        <v>100</v>
      </c>
      <c r="G20" s="265">
        <v>3000</v>
      </c>
      <c r="H20" s="262">
        <f t="shared" si="1"/>
        <v>3100</v>
      </c>
      <c r="I20" s="218">
        <v>3100</v>
      </c>
      <c r="J20" s="218">
        <f t="shared" si="0"/>
        <v>0</v>
      </c>
      <c r="K20" s="129"/>
    </row>
    <row r="21" spans="1:11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 t="shared" si="1"/>
        <v>2800</v>
      </c>
      <c r="I21" s="218">
        <v>2800</v>
      </c>
      <c r="J21" s="218">
        <f t="shared" si="0"/>
        <v>0</v>
      </c>
      <c r="K21" s="129"/>
    </row>
    <row r="22" spans="1:11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62"/>
      <c r="I22" s="218"/>
      <c r="J22" s="218">
        <f t="shared" si="0"/>
        <v>0</v>
      </c>
      <c r="K22" s="129"/>
    </row>
    <row r="23" spans="1:11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1"/>
        <v>3800</v>
      </c>
      <c r="I23" s="218">
        <v>3800</v>
      </c>
      <c r="J23" s="218">
        <f t="shared" si="0"/>
        <v>0</v>
      </c>
      <c r="K23" s="129"/>
    </row>
    <row r="24" spans="1:11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1"/>
        <v>0</v>
      </c>
      <c r="I24" s="218"/>
      <c r="J24" s="218">
        <f t="shared" si="0"/>
        <v>0</v>
      </c>
      <c r="K24" s="129"/>
    </row>
    <row r="25" spans="1:11" x14ac:dyDescent="0.25">
      <c r="A25" s="261" t="s">
        <v>435</v>
      </c>
      <c r="B25" s="222">
        <v>22</v>
      </c>
      <c r="C25" s="261"/>
      <c r="D25" s="261">
        <v>2600</v>
      </c>
      <c r="E25" s="262">
        <v>2600</v>
      </c>
      <c r="F25" s="262">
        <v>100</v>
      </c>
      <c r="G25" s="262">
        <v>3500</v>
      </c>
      <c r="H25" s="262">
        <f>E25+F25+G25</f>
        <v>6200</v>
      </c>
      <c r="I25" s="218">
        <v>5600</v>
      </c>
      <c r="J25" s="218">
        <f t="shared" si="0"/>
        <v>600</v>
      </c>
      <c r="K25" s="129"/>
    </row>
    <row r="26" spans="1:11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1"/>
        <v>3800</v>
      </c>
      <c r="I26" s="218">
        <v>3800</v>
      </c>
      <c r="J26" s="218">
        <f t="shared" si="0"/>
        <v>0</v>
      </c>
      <c r="K26" s="129"/>
    </row>
    <row r="27" spans="1:11" x14ac:dyDescent="0.25">
      <c r="A27" s="261" t="s">
        <v>380</v>
      </c>
      <c r="B27" s="222">
        <v>24</v>
      </c>
      <c r="C27" s="261"/>
      <c r="D27" s="261"/>
      <c r="E27" s="261"/>
      <c r="F27" s="262">
        <v>100</v>
      </c>
      <c r="G27" s="261">
        <v>3700</v>
      </c>
      <c r="H27" s="262">
        <f t="shared" si="1"/>
        <v>3800</v>
      </c>
      <c r="I27" s="218">
        <v>3800</v>
      </c>
      <c r="J27" s="218">
        <f t="shared" si="0"/>
        <v>0</v>
      </c>
      <c r="K27" s="129"/>
    </row>
    <row r="28" spans="1:11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1"/>
        <v>3500</v>
      </c>
      <c r="I28" s="218">
        <v>3500</v>
      </c>
      <c r="J28" s="218">
        <f t="shared" si="0"/>
        <v>0</v>
      </c>
      <c r="K28" s="129"/>
    </row>
    <row r="29" spans="1:11" x14ac:dyDescent="0.25">
      <c r="A29" s="261" t="s">
        <v>448</v>
      </c>
      <c r="B29" s="222">
        <v>26</v>
      </c>
      <c r="C29" s="261"/>
      <c r="D29" s="261"/>
      <c r="E29" s="262">
        <v>3500</v>
      </c>
      <c r="F29" s="262">
        <v>100</v>
      </c>
      <c r="G29" s="262">
        <v>3300</v>
      </c>
      <c r="H29" s="262">
        <f t="shared" si="1"/>
        <v>6900</v>
      </c>
      <c r="I29" s="218">
        <v>4500</v>
      </c>
      <c r="J29" s="218">
        <f t="shared" si="0"/>
        <v>2400</v>
      </c>
      <c r="K29" s="129"/>
    </row>
    <row r="30" spans="1:11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1"/>
        <v>3400</v>
      </c>
      <c r="I30" s="218">
        <v>3400</v>
      </c>
      <c r="J30" s="218">
        <f t="shared" si="0"/>
        <v>0</v>
      </c>
      <c r="K30" s="129"/>
    </row>
    <row r="31" spans="1:11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1"/>
        <v>3400</v>
      </c>
      <c r="I31" s="218">
        <v>3400</v>
      </c>
      <c r="J31" s="218">
        <f t="shared" si="0"/>
        <v>0</v>
      </c>
      <c r="K31" s="129"/>
    </row>
    <row r="32" spans="1:11" x14ac:dyDescent="0.25">
      <c r="A32" s="261" t="s">
        <v>382</v>
      </c>
      <c r="B32" s="222">
        <v>29</v>
      </c>
      <c r="C32" s="261"/>
      <c r="D32" s="261"/>
      <c r="E32" s="262">
        <v>3300</v>
      </c>
      <c r="F32" s="262">
        <v>100</v>
      </c>
      <c r="G32" s="262">
        <v>3300</v>
      </c>
      <c r="H32" s="262">
        <f t="shared" si="1"/>
        <v>6700</v>
      </c>
      <c r="I32" s="218">
        <v>6600</v>
      </c>
      <c r="J32" s="218">
        <f t="shared" si="0"/>
        <v>100</v>
      </c>
      <c r="K32" s="129"/>
    </row>
    <row r="33" spans="1:11" x14ac:dyDescent="0.25">
      <c r="A33" s="260" t="s">
        <v>431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1"/>
        <v>3300</v>
      </c>
      <c r="I33" s="218">
        <v>3300</v>
      </c>
      <c r="J33" s="218">
        <f t="shared" si="0"/>
        <v>0</v>
      </c>
      <c r="K33" s="129"/>
    </row>
    <row r="34" spans="1:11" x14ac:dyDescent="0.25">
      <c r="A34" s="261" t="s">
        <v>432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 t="shared" si="1"/>
        <v>3300</v>
      </c>
      <c r="I34" s="218">
        <v>3200</v>
      </c>
      <c r="J34" s="218">
        <f t="shared" si="0"/>
        <v>100</v>
      </c>
      <c r="K34" s="129"/>
    </row>
    <row r="35" spans="1:11" x14ac:dyDescent="0.25">
      <c r="A35" s="266" t="s">
        <v>4</v>
      </c>
      <c r="B35" s="218"/>
      <c r="C35" s="218"/>
      <c r="D35" s="218"/>
      <c r="E35" s="225"/>
      <c r="F35" s="225">
        <f>SUM(F4:F34)</f>
        <v>2600</v>
      </c>
      <c r="G35" s="225">
        <f>SUM(G4:G34)</f>
        <v>87800</v>
      </c>
      <c r="H35" s="225">
        <f>SUM(H4:H34)</f>
        <v>103000</v>
      </c>
      <c r="I35" s="225">
        <f>SUM(I4:I34)</f>
        <v>96400</v>
      </c>
      <c r="J35" s="225">
        <f>SUM(J4:J34)</f>
        <v>6600</v>
      </c>
      <c r="K35" s="129"/>
    </row>
    <row r="36" spans="1:11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  <c r="K36" s="129"/>
    </row>
    <row r="37" spans="1:11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  <c r="K37" s="129"/>
    </row>
    <row r="38" spans="1:11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  <c r="K38" s="129"/>
    </row>
    <row r="39" spans="1:11" x14ac:dyDescent="0.25">
      <c r="A39" s="119" t="s">
        <v>218</v>
      </c>
      <c r="B39" s="228">
        <f>G35</f>
        <v>87800</v>
      </c>
      <c r="C39" s="110"/>
      <c r="D39" s="110"/>
      <c r="E39" s="110"/>
      <c r="F39" s="119" t="s">
        <v>218</v>
      </c>
      <c r="G39" s="228">
        <f>I35</f>
        <v>96400</v>
      </c>
      <c r="H39" s="110"/>
      <c r="I39" s="110"/>
      <c r="J39" s="110"/>
      <c r="K39" s="129"/>
    </row>
    <row r="40" spans="1:11" s="129" customFormat="1" x14ac:dyDescent="0.25">
      <c r="A40" s="119" t="s">
        <v>368</v>
      </c>
      <c r="B40" s="228">
        <f>'MAR 18'!D49</f>
        <v>-2460</v>
      </c>
      <c r="C40" s="110"/>
      <c r="D40" s="110"/>
      <c r="E40" s="110"/>
      <c r="F40" s="119" t="s">
        <v>368</v>
      </c>
      <c r="G40" s="257">
        <f>'MAR 18'!I49</f>
        <v>-15560</v>
      </c>
      <c r="H40" s="110"/>
      <c r="I40" s="110"/>
      <c r="J40" s="110"/>
    </row>
    <row r="41" spans="1:11" x14ac:dyDescent="0.25">
      <c r="A41" s="110" t="s">
        <v>410</v>
      </c>
      <c r="B41" s="229">
        <v>0.1</v>
      </c>
      <c r="C41" s="259">
        <f>B41*B39</f>
        <v>8780</v>
      </c>
      <c r="D41" s="110"/>
      <c r="E41" s="110"/>
      <c r="F41" s="110" t="s">
        <v>410</v>
      </c>
      <c r="G41" s="229">
        <v>0.1</v>
      </c>
      <c r="H41" s="259">
        <f>C41</f>
        <v>8780</v>
      </c>
      <c r="I41" s="110"/>
      <c r="J41" s="110"/>
      <c r="K41" s="129"/>
    </row>
    <row r="42" spans="1:11" x14ac:dyDescent="0.25">
      <c r="A42" s="110" t="s">
        <v>220</v>
      </c>
      <c r="B42" s="230">
        <f>D25+D6</f>
        <v>5300</v>
      </c>
      <c r="C42" s="110"/>
      <c r="D42" s="110"/>
      <c r="E42" s="110"/>
      <c r="F42" s="110" t="s">
        <v>451</v>
      </c>
      <c r="G42" s="230">
        <f>B42</f>
        <v>5300</v>
      </c>
      <c r="H42" s="110"/>
      <c r="I42" s="110"/>
      <c r="J42" s="110"/>
      <c r="K42" s="129"/>
    </row>
    <row r="43" spans="1:11" x14ac:dyDescent="0.25">
      <c r="A43" s="252" t="s">
        <v>293</v>
      </c>
      <c r="B43" s="230"/>
      <c r="C43" s="110"/>
      <c r="D43" s="110"/>
      <c r="E43" s="110"/>
      <c r="F43" s="252" t="s">
        <v>293</v>
      </c>
      <c r="G43" s="110"/>
      <c r="H43" s="110"/>
      <c r="I43" s="110"/>
      <c r="J43" s="110"/>
      <c r="K43" s="129"/>
    </row>
    <row r="44" spans="1:11" x14ac:dyDescent="0.25">
      <c r="A44" s="10" t="s">
        <v>455</v>
      </c>
      <c r="B44" s="230"/>
      <c r="C44" s="110">
        <v>1000</v>
      </c>
      <c r="D44" s="110"/>
      <c r="E44" s="110"/>
      <c r="F44" s="10" t="s">
        <v>455</v>
      </c>
      <c r="G44" s="230"/>
      <c r="H44" s="110">
        <v>1000</v>
      </c>
      <c r="J44" s="110"/>
      <c r="K44" s="129"/>
    </row>
    <row r="45" spans="1:11" x14ac:dyDescent="0.25">
      <c r="A45" s="267">
        <v>43202</v>
      </c>
      <c r="B45" s="230"/>
      <c r="C45" s="110">
        <v>80680</v>
      </c>
      <c r="D45" s="110"/>
      <c r="E45" s="110"/>
      <c r="F45" s="10" t="s">
        <v>161</v>
      </c>
      <c r="G45" s="230"/>
      <c r="H45" s="110">
        <f>F35</f>
        <v>2600</v>
      </c>
      <c r="I45" s="110"/>
      <c r="J45" s="110"/>
      <c r="K45" s="129"/>
    </row>
    <row r="46" spans="1:11" x14ac:dyDescent="0.25">
      <c r="A46" s="237"/>
      <c r="B46" s="110"/>
      <c r="C46" s="110"/>
      <c r="D46" s="110"/>
      <c r="E46" s="110"/>
      <c r="F46" s="237">
        <v>43202</v>
      </c>
      <c r="G46" s="110"/>
      <c r="H46" s="110">
        <v>80680</v>
      </c>
      <c r="I46" s="110"/>
      <c r="J46" s="110"/>
      <c r="K46" s="129"/>
    </row>
    <row r="47" spans="1:11" x14ac:dyDescent="0.25">
      <c r="A47" s="237"/>
      <c r="B47" s="110"/>
      <c r="C47" s="110"/>
      <c r="D47" s="110"/>
      <c r="E47" s="110"/>
      <c r="F47" s="237"/>
      <c r="G47" s="110"/>
      <c r="H47" s="110"/>
      <c r="I47" s="110"/>
      <c r="J47" s="110"/>
      <c r="K47" s="129"/>
    </row>
    <row r="48" spans="1:11" x14ac:dyDescent="0.25">
      <c r="A48" s="241" t="s">
        <v>4</v>
      </c>
      <c r="B48" s="257">
        <f>B39+B40+B42</f>
        <v>90640</v>
      </c>
      <c r="C48" s="257">
        <f>SUM(C41:C47)</f>
        <v>90460</v>
      </c>
      <c r="D48" s="257">
        <f>B48-C48</f>
        <v>180</v>
      </c>
      <c r="E48" s="110"/>
      <c r="F48" s="241" t="s">
        <v>4</v>
      </c>
      <c r="G48" s="258">
        <f>G39+G40+G42</f>
        <v>86140</v>
      </c>
      <c r="H48" s="257">
        <f>SUM(H41:H47)</f>
        <v>93060</v>
      </c>
      <c r="I48" s="257">
        <f>G48-H48</f>
        <v>-6920</v>
      </c>
      <c r="J48" s="110"/>
      <c r="K48" s="129"/>
    </row>
    <row r="49" spans="1:11" x14ac:dyDescent="0.25">
      <c r="A49" s="240" t="s">
        <v>112</v>
      </c>
      <c r="B49" s="240"/>
      <c r="C49" s="129"/>
      <c r="D49" s="31" t="s">
        <v>113</v>
      </c>
      <c r="E49" s="129"/>
      <c r="F49" s="31"/>
      <c r="G49" s="31" t="s">
        <v>114</v>
      </c>
      <c r="H49" s="31"/>
      <c r="I49" s="31"/>
      <c r="J49" s="31"/>
      <c r="K49" s="129"/>
    </row>
    <row r="50" spans="1:11" x14ac:dyDescent="0.25">
      <c r="A50" s="31" t="s">
        <v>442</v>
      </c>
      <c r="B50" s="31"/>
      <c r="C50" s="129"/>
      <c r="D50" s="129" t="s">
        <v>441</v>
      </c>
      <c r="E50" s="31"/>
      <c r="F50" s="31"/>
      <c r="G50" s="31" t="s">
        <v>305</v>
      </c>
      <c r="H50" s="31"/>
      <c r="I50" s="31"/>
      <c r="J50" s="31"/>
      <c r="K50" s="332"/>
    </row>
  </sheetData>
  <pageMargins left="0.25" right="0.25" top="0.75" bottom="0.75" header="0.3" footer="0.3"/>
  <pageSetup paperSize="9" orientation="portrait" horizontalDpi="0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9" workbookViewId="0">
      <selection activeCell="I49" sqref="I49"/>
    </sheetView>
  </sheetViews>
  <sheetFormatPr defaultRowHeight="15" x14ac:dyDescent="0.25"/>
  <cols>
    <col min="1" max="1" width="16.140625" customWidth="1"/>
    <col min="2" max="2" width="7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464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0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2900</v>
      </c>
      <c r="H5" s="217">
        <f t="shared" ref="H5:H34" si="0">D5+E5+F5+G5</f>
        <v>3000</v>
      </c>
      <c r="I5" s="218">
        <v>3000</v>
      </c>
      <c r="J5" s="218">
        <f t="shared" ref="J5:J34" si="1">H5-I5</f>
        <v>0</v>
      </c>
    </row>
    <row r="6" spans="1:10" x14ac:dyDescent="0.25">
      <c r="A6" s="261" t="s">
        <v>456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218">
        <f t="shared" si="1"/>
        <v>0</v>
      </c>
    </row>
    <row r="7" spans="1:10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3800</v>
      </c>
      <c r="H7" s="217">
        <f t="shared" si="0"/>
        <v>3900</v>
      </c>
      <c r="I7" s="218">
        <v>3900</v>
      </c>
      <c r="J7" s="218">
        <f t="shared" si="1"/>
        <v>0</v>
      </c>
    </row>
    <row r="8" spans="1:10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218">
        <f t="shared" si="1"/>
        <v>0</v>
      </c>
    </row>
    <row r="9" spans="1:10" x14ac:dyDescent="0.25">
      <c r="A9" s="261" t="s">
        <v>446</v>
      </c>
      <c r="B9" s="263">
        <v>6</v>
      </c>
      <c r="C9" s="261"/>
      <c r="D9" s="261"/>
      <c r="E9" s="262"/>
      <c r="F9" s="262"/>
      <c r="G9" s="262"/>
      <c r="H9" s="217">
        <f t="shared" si="0"/>
        <v>0</v>
      </c>
      <c r="I9" s="218"/>
      <c r="J9" s="218"/>
    </row>
    <row r="10" spans="1:10" x14ac:dyDescent="0.25">
      <c r="A10" s="261" t="s">
        <v>416</v>
      </c>
      <c r="B10" s="263">
        <v>7</v>
      </c>
      <c r="C10" s="261"/>
      <c r="D10" s="261">
        <v>1700</v>
      </c>
      <c r="E10" s="262">
        <v>2700</v>
      </c>
      <c r="F10" s="262">
        <v>100</v>
      </c>
      <c r="G10" s="262">
        <v>5400</v>
      </c>
      <c r="H10" s="217">
        <f>D10+E10+F10+G10</f>
        <v>9900</v>
      </c>
      <c r="I10" s="218">
        <v>9900</v>
      </c>
      <c r="J10" s="218">
        <f t="shared" si="1"/>
        <v>0</v>
      </c>
    </row>
    <row r="11" spans="1:10" x14ac:dyDescent="0.25">
      <c r="A11" s="261" t="s">
        <v>465</v>
      </c>
      <c r="B11" s="263">
        <v>8</v>
      </c>
      <c r="C11" s="261"/>
      <c r="D11" s="261">
        <v>2700</v>
      </c>
      <c r="E11" s="262"/>
      <c r="F11" s="262">
        <v>100</v>
      </c>
      <c r="G11" s="262">
        <v>2700</v>
      </c>
      <c r="H11" s="217">
        <f>D11+E11+F11+G11</f>
        <v>5500</v>
      </c>
      <c r="I11" s="218">
        <v>5500</v>
      </c>
      <c r="J11" s="218">
        <f t="shared" si="1"/>
        <v>0</v>
      </c>
    </row>
    <row r="12" spans="1:10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218">
        <f t="shared" si="1"/>
        <v>0</v>
      </c>
    </row>
    <row r="13" spans="1:10" x14ac:dyDescent="0.25">
      <c r="A13" s="261" t="s">
        <v>463</v>
      </c>
      <c r="B13" s="222">
        <v>10</v>
      </c>
      <c r="C13" s="261"/>
      <c r="D13" s="261">
        <v>2700</v>
      </c>
      <c r="E13" s="262"/>
      <c r="F13" s="262">
        <v>100</v>
      </c>
      <c r="G13" s="262">
        <v>2700</v>
      </c>
      <c r="H13" s="217">
        <f t="shared" si="0"/>
        <v>5500</v>
      </c>
      <c r="I13" s="218">
        <v>5000</v>
      </c>
      <c r="J13" s="218">
        <f t="shared" si="1"/>
        <v>500</v>
      </c>
    </row>
    <row r="14" spans="1:10" x14ac:dyDescent="0.25">
      <c r="A14" s="260" t="s">
        <v>457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218">
        <f t="shared" si="1"/>
        <v>0</v>
      </c>
    </row>
    <row r="15" spans="1:10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218">
        <f t="shared" si="1"/>
        <v>0</v>
      </c>
    </row>
    <row r="16" spans="1:10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218">
        <f t="shared" si="1"/>
        <v>0</v>
      </c>
    </row>
    <row r="17" spans="1:10" x14ac:dyDescent="0.25">
      <c r="A17" s="261" t="s">
        <v>397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218">
        <f t="shared" si="1"/>
        <v>0</v>
      </c>
    </row>
    <row r="18" spans="1:10" x14ac:dyDescent="0.25">
      <c r="A18" s="196" t="s">
        <v>426</v>
      </c>
      <c r="B18" s="268">
        <v>15</v>
      </c>
      <c r="C18" s="196"/>
      <c r="D18" s="196"/>
      <c r="E18" s="221"/>
      <c r="F18" s="221">
        <v>100</v>
      </c>
      <c r="G18" s="221">
        <v>2700</v>
      </c>
      <c r="H18" s="217">
        <f t="shared" si="0"/>
        <v>2800</v>
      </c>
      <c r="I18" s="119">
        <v>2800</v>
      </c>
      <c r="J18" s="119">
        <f t="shared" si="1"/>
        <v>0</v>
      </c>
    </row>
    <row r="19" spans="1:10" x14ac:dyDescent="0.25">
      <c r="A19" s="261" t="s">
        <v>427</v>
      </c>
      <c r="B19" s="222">
        <v>16</v>
      </c>
      <c r="C19" s="261"/>
      <c r="D19" s="261"/>
      <c r="E19" s="262">
        <v>100</v>
      </c>
      <c r="F19" s="262">
        <v>100</v>
      </c>
      <c r="G19" s="262">
        <v>2700</v>
      </c>
      <c r="H19" s="217">
        <f>D19+E19+F19+G19</f>
        <v>2900</v>
      </c>
      <c r="I19" s="218">
        <v>2900</v>
      </c>
      <c r="J19" s="218">
        <f t="shared" si="1"/>
        <v>0</v>
      </c>
    </row>
    <row r="20" spans="1:10" x14ac:dyDescent="0.25">
      <c r="A20" s="260" t="s">
        <v>377</v>
      </c>
      <c r="B20" s="222">
        <v>17</v>
      </c>
      <c r="C20" s="261"/>
      <c r="D20" s="261"/>
      <c r="E20" s="218"/>
      <c r="F20" s="218">
        <v>100</v>
      </c>
      <c r="G20" s="265">
        <v>3000</v>
      </c>
      <c r="H20" s="217">
        <f t="shared" si="0"/>
        <v>3100</v>
      </c>
      <c r="I20" s="218">
        <v>3000</v>
      </c>
      <c r="J20" s="218">
        <f t="shared" si="1"/>
        <v>100</v>
      </c>
    </row>
    <row r="21" spans="1:10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17">
        <f t="shared" si="0"/>
        <v>2800</v>
      </c>
      <c r="I21" s="218"/>
      <c r="J21" s="218">
        <f t="shared" si="1"/>
        <v>2800</v>
      </c>
    </row>
    <row r="22" spans="1:10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17">
        <f t="shared" si="0"/>
        <v>0</v>
      </c>
      <c r="I22" s="218"/>
      <c r="J22" s="218">
        <f t="shared" si="1"/>
        <v>0</v>
      </c>
    </row>
    <row r="23" spans="1:10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17">
        <f t="shared" si="0"/>
        <v>3800</v>
      </c>
      <c r="I23" s="218">
        <v>3800</v>
      </c>
      <c r="J23" s="218">
        <f t="shared" si="1"/>
        <v>0</v>
      </c>
    </row>
    <row r="24" spans="1:10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17">
        <f t="shared" si="0"/>
        <v>0</v>
      </c>
      <c r="I24" s="218"/>
      <c r="J24" s="218">
        <f t="shared" si="1"/>
        <v>0</v>
      </c>
    </row>
    <row r="25" spans="1:10" x14ac:dyDescent="0.25">
      <c r="A25" s="261" t="s">
        <v>435</v>
      </c>
      <c r="B25" s="222">
        <v>22</v>
      </c>
      <c r="C25" s="261"/>
      <c r="D25" s="261"/>
      <c r="E25" s="262">
        <v>600</v>
      </c>
      <c r="F25" s="262">
        <v>100</v>
      </c>
      <c r="G25" s="262">
        <v>3500</v>
      </c>
      <c r="H25" s="217">
        <f t="shared" si="0"/>
        <v>4200</v>
      </c>
      <c r="I25" s="218">
        <v>4200</v>
      </c>
      <c r="J25" s="218">
        <f t="shared" si="1"/>
        <v>0</v>
      </c>
    </row>
    <row r="26" spans="1:10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17">
        <f t="shared" si="0"/>
        <v>3800</v>
      </c>
      <c r="I26" s="218">
        <v>3800</v>
      </c>
      <c r="J26" s="218">
        <f t="shared" si="1"/>
        <v>0</v>
      </c>
    </row>
    <row r="27" spans="1:10" x14ac:dyDescent="0.25">
      <c r="A27" s="261" t="s">
        <v>380</v>
      </c>
      <c r="B27" s="222">
        <v>24</v>
      </c>
      <c r="C27" s="261"/>
      <c r="D27" s="261"/>
      <c r="E27" s="261"/>
      <c r="F27" s="262">
        <v>100</v>
      </c>
      <c r="G27" s="261">
        <v>3700</v>
      </c>
      <c r="H27" s="217">
        <f t="shared" si="0"/>
        <v>3800</v>
      </c>
      <c r="I27" s="218">
        <v>3800</v>
      </c>
      <c r="J27" s="218">
        <f t="shared" si="1"/>
        <v>0</v>
      </c>
    </row>
    <row r="28" spans="1:10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17">
        <f t="shared" si="0"/>
        <v>3500</v>
      </c>
      <c r="I28" s="218">
        <v>3500</v>
      </c>
      <c r="J28" s="218">
        <f t="shared" si="1"/>
        <v>0</v>
      </c>
    </row>
    <row r="29" spans="1:10" x14ac:dyDescent="0.25">
      <c r="A29" s="261" t="s">
        <v>448</v>
      </c>
      <c r="B29" s="222">
        <v>26</v>
      </c>
      <c r="C29" s="261"/>
      <c r="D29" s="261"/>
      <c r="E29" s="262">
        <v>2400</v>
      </c>
      <c r="F29" s="262">
        <v>100</v>
      </c>
      <c r="G29" s="262">
        <v>3300</v>
      </c>
      <c r="H29" s="217">
        <f t="shared" si="0"/>
        <v>5800</v>
      </c>
      <c r="I29" s="218">
        <v>3400</v>
      </c>
      <c r="J29" s="218">
        <f t="shared" si="1"/>
        <v>2400</v>
      </c>
    </row>
    <row r="30" spans="1:10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17">
        <f t="shared" si="0"/>
        <v>3400</v>
      </c>
      <c r="I30" s="218">
        <v>3400</v>
      </c>
      <c r="J30" s="218">
        <f t="shared" si="1"/>
        <v>0</v>
      </c>
    </row>
    <row r="31" spans="1:10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17">
        <f t="shared" si="0"/>
        <v>3400</v>
      </c>
      <c r="I31" s="218">
        <v>3400</v>
      </c>
      <c r="J31" s="218">
        <f t="shared" si="1"/>
        <v>0</v>
      </c>
    </row>
    <row r="32" spans="1:10" x14ac:dyDescent="0.25">
      <c r="A32" s="261" t="s">
        <v>382</v>
      </c>
      <c r="B32" s="222">
        <v>29</v>
      </c>
      <c r="C32" s="261"/>
      <c r="D32" s="261"/>
      <c r="E32" s="262"/>
      <c r="F32" s="262">
        <v>100</v>
      </c>
      <c r="G32" s="262">
        <v>3200</v>
      </c>
      <c r="H32" s="217">
        <f t="shared" si="0"/>
        <v>3300</v>
      </c>
      <c r="I32" s="218"/>
      <c r="J32" s="218">
        <f t="shared" si="1"/>
        <v>3300</v>
      </c>
    </row>
    <row r="33" spans="1:10" x14ac:dyDescent="0.25">
      <c r="A33" s="260" t="s">
        <v>431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17">
        <f t="shared" si="0"/>
        <v>3300</v>
      </c>
      <c r="I33" s="218">
        <v>3300</v>
      </c>
      <c r="J33" s="218">
        <f t="shared" si="1"/>
        <v>0</v>
      </c>
    </row>
    <row r="34" spans="1:10" x14ac:dyDescent="0.25">
      <c r="A34" s="261" t="s">
        <v>432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17">
        <f t="shared" si="0"/>
        <v>3300</v>
      </c>
      <c r="I34" s="218">
        <v>3300</v>
      </c>
      <c r="J34" s="218">
        <f t="shared" si="1"/>
        <v>0</v>
      </c>
    </row>
    <row r="35" spans="1:10" x14ac:dyDescent="0.25">
      <c r="A35" s="266" t="s">
        <v>4</v>
      </c>
      <c r="B35" s="218"/>
      <c r="C35" s="218"/>
      <c r="D35" s="218"/>
      <c r="E35" s="225"/>
      <c r="F35" s="225">
        <f>SUM(F4:F34)</f>
        <v>2800</v>
      </c>
      <c r="G35" s="225">
        <f>SUM(G4:G34)</f>
        <v>90700</v>
      </c>
      <c r="H35" s="225">
        <f>SUM(H4:H34)</f>
        <v>106400</v>
      </c>
      <c r="I35" s="225">
        <f>SUM(I4:I34)</f>
        <v>97300</v>
      </c>
      <c r="J35" s="225">
        <f>SUM(J4:J34)</f>
        <v>9100</v>
      </c>
    </row>
    <row r="36" spans="1:10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</row>
    <row r="37" spans="1:10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</row>
    <row r="38" spans="1:10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</row>
    <row r="39" spans="1:10" x14ac:dyDescent="0.25">
      <c r="A39" s="119" t="s">
        <v>130</v>
      </c>
      <c r="B39" s="257">
        <f>G35</f>
        <v>90700</v>
      </c>
      <c r="C39" s="110"/>
      <c r="D39" s="110"/>
      <c r="E39" s="110"/>
      <c r="F39" s="119" t="s">
        <v>130</v>
      </c>
      <c r="G39" s="257">
        <f>I35</f>
        <v>97300</v>
      </c>
      <c r="H39" s="110"/>
      <c r="I39" s="110"/>
      <c r="J39" s="110"/>
    </row>
    <row r="40" spans="1:10" x14ac:dyDescent="0.25">
      <c r="A40" s="119" t="s">
        <v>368</v>
      </c>
      <c r="B40" s="257">
        <f>APRILL!D48</f>
        <v>180</v>
      </c>
      <c r="C40" s="110"/>
      <c r="D40" s="110"/>
      <c r="E40" s="110"/>
      <c r="F40" s="119" t="s">
        <v>368</v>
      </c>
      <c r="G40" s="257">
        <f>APRILL!I48</f>
        <v>-6920</v>
      </c>
      <c r="H40" s="110"/>
      <c r="I40" s="110"/>
      <c r="J40" s="110"/>
    </row>
    <row r="41" spans="1:10" x14ac:dyDescent="0.25">
      <c r="A41" s="110" t="s">
        <v>410</v>
      </c>
      <c r="B41" s="229">
        <v>0.1</v>
      </c>
      <c r="C41" s="259">
        <f>B41*B39</f>
        <v>9070</v>
      </c>
      <c r="D41" s="110"/>
      <c r="E41" s="110"/>
      <c r="F41" s="110" t="s">
        <v>410</v>
      </c>
      <c r="G41" s="229">
        <v>0.1</v>
      </c>
      <c r="H41" s="259">
        <f>C41</f>
        <v>9070</v>
      </c>
      <c r="I41" s="110"/>
      <c r="J41" s="110"/>
    </row>
    <row r="42" spans="1:10" x14ac:dyDescent="0.25">
      <c r="A42" s="110" t="s">
        <v>220</v>
      </c>
      <c r="B42" s="259">
        <f>D13+D11+D10</f>
        <v>7100</v>
      </c>
      <c r="C42" s="110"/>
      <c r="D42" s="110"/>
      <c r="E42" s="110"/>
      <c r="F42" s="110" t="s">
        <v>451</v>
      </c>
      <c r="G42" s="259">
        <f>B42</f>
        <v>7100</v>
      </c>
      <c r="H42" s="110"/>
      <c r="I42" s="110"/>
      <c r="J42" s="110"/>
    </row>
    <row r="43" spans="1:10" x14ac:dyDescent="0.25">
      <c r="A43" s="252" t="s">
        <v>293</v>
      </c>
      <c r="B43" s="230"/>
      <c r="C43" s="110"/>
      <c r="D43" s="110"/>
      <c r="E43" s="110"/>
      <c r="F43" s="252" t="s">
        <v>293</v>
      </c>
      <c r="G43" s="110"/>
      <c r="H43" s="110"/>
      <c r="I43" s="110"/>
      <c r="J43" s="110"/>
    </row>
    <row r="44" spans="1:10" x14ac:dyDescent="0.25">
      <c r="A44" s="10" t="s">
        <v>455</v>
      </c>
      <c r="B44" s="230"/>
      <c r="C44" s="110">
        <v>1000</v>
      </c>
      <c r="D44" s="110"/>
      <c r="E44" s="110"/>
      <c r="F44" s="10" t="s">
        <v>455</v>
      </c>
      <c r="G44" s="230"/>
      <c r="H44" s="110">
        <v>1000</v>
      </c>
      <c r="I44" s="129"/>
      <c r="J44" s="110"/>
    </row>
    <row r="45" spans="1:10" x14ac:dyDescent="0.25">
      <c r="A45" s="267" t="s">
        <v>221</v>
      </c>
      <c r="B45" s="230"/>
      <c r="C45" s="110">
        <v>7500</v>
      </c>
      <c r="D45" s="110"/>
      <c r="E45" s="110"/>
      <c r="F45" s="10" t="s">
        <v>161</v>
      </c>
      <c r="G45" s="230"/>
      <c r="H45" s="110">
        <v>2800</v>
      </c>
      <c r="I45" s="110"/>
      <c r="J45" s="110"/>
    </row>
    <row r="46" spans="1:10" x14ac:dyDescent="0.25">
      <c r="A46" s="237">
        <v>43234</v>
      </c>
      <c r="B46" s="110"/>
      <c r="C46" s="110">
        <v>80140</v>
      </c>
      <c r="D46" s="110"/>
      <c r="E46" s="110"/>
      <c r="F46" s="237" t="s">
        <v>221</v>
      </c>
      <c r="G46" s="110"/>
      <c r="H46" s="110">
        <v>7500</v>
      </c>
      <c r="I46" s="110"/>
      <c r="J46" s="110"/>
    </row>
    <row r="47" spans="1:10" x14ac:dyDescent="0.25">
      <c r="A47" s="237"/>
      <c r="B47" s="110"/>
      <c r="C47" s="110"/>
      <c r="D47" s="110"/>
      <c r="E47" s="110"/>
      <c r="F47" s="237">
        <v>43234</v>
      </c>
      <c r="G47" s="110"/>
      <c r="H47" s="110">
        <v>80140</v>
      </c>
      <c r="I47" s="110"/>
      <c r="J47" s="110"/>
    </row>
    <row r="48" spans="1:10" x14ac:dyDescent="0.25">
      <c r="A48" s="241" t="s">
        <v>4</v>
      </c>
      <c r="B48" s="257">
        <f>B39+B40+B42</f>
        <v>97980</v>
      </c>
      <c r="C48" s="257">
        <f>SUM(C41:C47)</f>
        <v>97710</v>
      </c>
      <c r="D48" s="257">
        <f>B48-C48</f>
        <v>270</v>
      </c>
      <c r="E48" s="110"/>
      <c r="F48" s="241" t="s">
        <v>4</v>
      </c>
      <c r="G48" s="258">
        <f>G39+G40+G42</f>
        <v>97480</v>
      </c>
      <c r="H48" s="257">
        <f>SUM(H41:H47)</f>
        <v>100510</v>
      </c>
      <c r="I48" s="257">
        <f>G48-H48</f>
        <v>-3030</v>
      </c>
      <c r="J48" s="110"/>
    </row>
    <row r="49" spans="1:10" x14ac:dyDescent="0.25">
      <c r="A49" s="240" t="s">
        <v>112</v>
      </c>
      <c r="B49" s="240"/>
      <c r="C49" s="129"/>
      <c r="D49" s="31" t="s">
        <v>113</v>
      </c>
      <c r="E49" s="129"/>
      <c r="F49" s="31"/>
      <c r="G49" s="31" t="s">
        <v>114</v>
      </c>
      <c r="H49" s="31"/>
      <c r="I49" s="31"/>
      <c r="J49" s="31"/>
    </row>
    <row r="50" spans="1:10" x14ac:dyDescent="0.25">
      <c r="A50" s="31" t="s">
        <v>442</v>
      </c>
      <c r="B50" s="31"/>
      <c r="C50" s="129"/>
      <c r="D50" s="129" t="s">
        <v>441</v>
      </c>
      <c r="E50" s="31"/>
      <c r="F50" s="31"/>
      <c r="G50" s="31" t="s">
        <v>305</v>
      </c>
      <c r="H50" s="31"/>
      <c r="I50" s="31"/>
      <c r="J50" s="31"/>
    </row>
    <row r="51" spans="1:10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</row>
  </sheetData>
  <pageMargins left="0.25" right="0.25" top="0.75" bottom="0.75" header="0.3" footer="0.3"/>
  <pageSetup paperSize="9" orientation="portrait" horizontalDpi="0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9" workbookViewId="0">
      <selection activeCell="C53" sqref="C53"/>
    </sheetView>
  </sheetViews>
  <sheetFormatPr defaultRowHeight="15" x14ac:dyDescent="0.25"/>
  <cols>
    <col min="1" max="1" width="15.7109375" customWidth="1"/>
    <col min="2" max="2" width="8" customWidth="1"/>
    <col min="5" max="5" width="7.140625" customWidth="1"/>
    <col min="6" max="6" width="9.28515625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466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0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4" si="0">D5+E5+F5+G5</f>
        <v>3400</v>
      </c>
      <c r="I5" s="218">
        <v>3400</v>
      </c>
      <c r="J5" s="110">
        <f t="shared" ref="J5:J28" si="1">H5-I5</f>
        <v>0</v>
      </c>
    </row>
    <row r="6" spans="1:10" x14ac:dyDescent="0.25">
      <c r="A6" s="261" t="s">
        <v>456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</row>
    <row r="7" spans="1:10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</row>
    <row r="8" spans="1:10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</row>
    <row r="9" spans="1:10" x14ac:dyDescent="0.25">
      <c r="A9" s="261" t="s">
        <v>446</v>
      </c>
      <c r="B9" s="263">
        <v>6</v>
      </c>
      <c r="C9" s="261"/>
      <c r="D9" s="261"/>
      <c r="E9" s="262"/>
      <c r="F9" s="262"/>
      <c r="G9" s="262"/>
      <c r="H9" s="217">
        <f t="shared" si="0"/>
        <v>0</v>
      </c>
      <c r="I9" s="218"/>
      <c r="J9" s="110">
        <f t="shared" si="1"/>
        <v>0</v>
      </c>
    </row>
    <row r="10" spans="1:10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</row>
    <row r="11" spans="1:10" x14ac:dyDescent="0.25">
      <c r="A11" s="261" t="s">
        <v>465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>
        <v>2800</v>
      </c>
      <c r="J11" s="110">
        <f t="shared" si="1"/>
        <v>0</v>
      </c>
    </row>
    <row r="12" spans="1:10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1"/>
        <v>0</v>
      </c>
    </row>
    <row r="13" spans="1:10" x14ac:dyDescent="0.25">
      <c r="A13" s="261" t="s">
        <v>463</v>
      </c>
      <c r="B13" s="222">
        <v>10</v>
      </c>
      <c r="C13" s="261"/>
      <c r="D13" s="261"/>
      <c r="E13" s="262">
        <v>500</v>
      </c>
      <c r="F13" s="262">
        <v>100</v>
      </c>
      <c r="G13" s="262">
        <v>2700</v>
      </c>
      <c r="H13" s="217">
        <f t="shared" si="0"/>
        <v>3300</v>
      </c>
      <c r="I13" s="218">
        <v>2800</v>
      </c>
      <c r="J13" s="110">
        <f t="shared" si="1"/>
        <v>500</v>
      </c>
    </row>
    <row r="14" spans="1:10" x14ac:dyDescent="0.25">
      <c r="A14" s="260" t="s">
        <v>457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</row>
    <row r="15" spans="1:10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</row>
    <row r="16" spans="1:10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</row>
    <row r="17" spans="1:11" x14ac:dyDescent="0.25">
      <c r="A17" s="261" t="s">
        <v>397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</row>
    <row r="18" spans="1:11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</row>
    <row r="19" spans="1:11" x14ac:dyDescent="0.25">
      <c r="A19" s="278" t="s">
        <v>427</v>
      </c>
      <c r="B19" s="279">
        <v>16</v>
      </c>
      <c r="C19" s="278"/>
      <c r="D19" s="278"/>
      <c r="E19" s="280"/>
      <c r="F19" s="280"/>
      <c r="G19" s="280"/>
      <c r="H19" s="262">
        <f>D19+E19+F19+G19</f>
        <v>0</v>
      </c>
      <c r="I19" s="281"/>
      <c r="J19" s="110">
        <f t="shared" si="1"/>
        <v>0</v>
      </c>
      <c r="K19" t="s">
        <v>467</v>
      </c>
    </row>
    <row r="20" spans="1:11" x14ac:dyDescent="0.25">
      <c r="A20" s="260" t="s">
        <v>377</v>
      </c>
      <c r="B20" s="222">
        <v>17</v>
      </c>
      <c r="C20" s="261"/>
      <c r="D20" s="261"/>
      <c r="E20" s="218">
        <v>100</v>
      </c>
      <c r="F20" s="218">
        <v>100</v>
      </c>
      <c r="G20" s="265">
        <v>3000</v>
      </c>
      <c r="H20" s="262">
        <f>D20+E20+F20+G20</f>
        <v>3200</v>
      </c>
      <c r="I20" s="218">
        <v>3000</v>
      </c>
      <c r="J20" s="110">
        <f t="shared" si="1"/>
        <v>200</v>
      </c>
    </row>
    <row r="21" spans="1:11" x14ac:dyDescent="0.25">
      <c r="A21" s="278" t="s">
        <v>346</v>
      </c>
      <c r="B21" s="279">
        <v>18</v>
      </c>
      <c r="C21" s="278"/>
      <c r="D21" s="278"/>
      <c r="E21" s="280">
        <v>2800</v>
      </c>
      <c r="F21" s="280">
        <v>100</v>
      </c>
      <c r="G21" s="280">
        <v>2700</v>
      </c>
      <c r="H21" s="262">
        <f>D21+E21+F21+G21</f>
        <v>5600</v>
      </c>
      <c r="I21" s="281">
        <v>5600</v>
      </c>
      <c r="J21" s="110">
        <f t="shared" si="1"/>
        <v>0</v>
      </c>
      <c r="K21" t="s">
        <v>467</v>
      </c>
    </row>
    <row r="22" spans="1:11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17">
        <f t="shared" si="0"/>
        <v>0</v>
      </c>
      <c r="I22" s="218"/>
      <c r="J22" s="110">
        <f t="shared" si="1"/>
        <v>0</v>
      </c>
    </row>
    <row r="23" spans="1:11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17">
        <f t="shared" si="0"/>
        <v>3800</v>
      </c>
      <c r="I23" s="218">
        <v>3800</v>
      </c>
      <c r="J23" s="110">
        <f t="shared" si="1"/>
        <v>0</v>
      </c>
    </row>
    <row r="24" spans="1:11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17">
        <f t="shared" si="0"/>
        <v>0</v>
      </c>
      <c r="I24" s="218"/>
      <c r="J24" s="110">
        <f t="shared" si="1"/>
        <v>0</v>
      </c>
    </row>
    <row r="25" spans="1:11" x14ac:dyDescent="0.25">
      <c r="A25" s="261" t="s">
        <v>435</v>
      </c>
      <c r="B25" s="222">
        <v>22</v>
      </c>
      <c r="C25" s="261"/>
      <c r="D25" s="261"/>
      <c r="E25" s="262"/>
      <c r="F25" s="262">
        <v>100</v>
      </c>
      <c r="G25" s="262">
        <v>3500</v>
      </c>
      <c r="H25" s="217">
        <f t="shared" si="0"/>
        <v>3600</v>
      </c>
      <c r="I25" s="218">
        <v>3500</v>
      </c>
      <c r="J25" s="110">
        <f t="shared" si="1"/>
        <v>100</v>
      </c>
    </row>
    <row r="26" spans="1:11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17">
        <f t="shared" si="0"/>
        <v>3800</v>
      </c>
      <c r="I26" s="218">
        <v>3800</v>
      </c>
      <c r="J26" s="110">
        <f t="shared" si="1"/>
        <v>0</v>
      </c>
    </row>
    <row r="27" spans="1:11" x14ac:dyDescent="0.25">
      <c r="A27" s="261" t="s">
        <v>380</v>
      </c>
      <c r="B27" s="222">
        <v>24</v>
      </c>
      <c r="C27" s="261"/>
      <c r="D27" s="261"/>
      <c r="E27" s="261"/>
      <c r="F27" s="262">
        <v>100</v>
      </c>
      <c r="G27" s="261">
        <v>3700</v>
      </c>
      <c r="H27" s="217">
        <f t="shared" si="0"/>
        <v>3800</v>
      </c>
      <c r="I27" s="218">
        <v>2830</v>
      </c>
      <c r="J27" s="110">
        <f t="shared" si="1"/>
        <v>970</v>
      </c>
    </row>
    <row r="28" spans="1:11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17">
        <f t="shared" si="0"/>
        <v>3500</v>
      </c>
      <c r="I28" s="218">
        <v>3500</v>
      </c>
      <c r="J28" s="110">
        <f t="shared" si="1"/>
        <v>0</v>
      </c>
    </row>
    <row r="29" spans="1:11" x14ac:dyDescent="0.25">
      <c r="A29" s="261" t="s">
        <v>448</v>
      </c>
      <c r="B29" s="222">
        <v>26</v>
      </c>
      <c r="C29" s="261"/>
      <c r="D29" s="261"/>
      <c r="E29" s="262">
        <v>2400</v>
      </c>
      <c r="F29" s="262">
        <v>100</v>
      </c>
      <c r="G29" s="262"/>
      <c r="H29" s="217">
        <f t="shared" si="0"/>
        <v>2500</v>
      </c>
      <c r="I29" s="218">
        <v>2000</v>
      </c>
      <c r="J29" s="218">
        <f t="shared" ref="J29:J34" si="2">H29-I29</f>
        <v>500</v>
      </c>
    </row>
    <row r="30" spans="1:11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17">
        <f t="shared" si="0"/>
        <v>3400</v>
      </c>
      <c r="I30" s="218">
        <v>3400</v>
      </c>
      <c r="J30" s="218">
        <f t="shared" si="2"/>
        <v>0</v>
      </c>
    </row>
    <row r="31" spans="1:11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17">
        <f>D31+E31+F31+G31</f>
        <v>3400</v>
      </c>
      <c r="I31" s="218">
        <v>3400</v>
      </c>
      <c r="J31" s="218">
        <f t="shared" si="2"/>
        <v>0</v>
      </c>
    </row>
    <row r="32" spans="1:11" x14ac:dyDescent="0.25">
      <c r="A32" s="261" t="s">
        <v>382</v>
      </c>
      <c r="B32" s="222">
        <v>29</v>
      </c>
      <c r="C32" s="261"/>
      <c r="D32" s="261"/>
      <c r="E32" s="262">
        <v>3300</v>
      </c>
      <c r="F32" s="262">
        <v>100</v>
      </c>
      <c r="G32" s="262"/>
      <c r="H32" s="262">
        <f t="shared" si="0"/>
        <v>3400</v>
      </c>
      <c r="I32" s="218">
        <v>3000</v>
      </c>
      <c r="J32" s="281"/>
      <c r="K32" t="s">
        <v>467</v>
      </c>
    </row>
    <row r="33" spans="1:10" x14ac:dyDescent="0.25">
      <c r="A33" s="260" t="s">
        <v>431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17">
        <f t="shared" si="0"/>
        <v>3300</v>
      </c>
      <c r="I33" s="218">
        <v>3300</v>
      </c>
      <c r="J33" s="218">
        <f t="shared" si="2"/>
        <v>0</v>
      </c>
    </row>
    <row r="34" spans="1:10" x14ac:dyDescent="0.25">
      <c r="A34" s="261" t="s">
        <v>432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17">
        <f t="shared" si="0"/>
        <v>3300</v>
      </c>
      <c r="I34" s="218">
        <v>3300</v>
      </c>
      <c r="J34" s="218">
        <f t="shared" si="2"/>
        <v>0</v>
      </c>
    </row>
    <row r="35" spans="1:10" x14ac:dyDescent="0.25">
      <c r="A35" s="266" t="s">
        <v>4</v>
      </c>
      <c r="B35" s="218"/>
      <c r="C35" s="218"/>
      <c r="D35" s="218"/>
      <c r="E35" s="225">
        <f t="shared" ref="E35:J35" si="3">SUM(E4:E34)</f>
        <v>9100</v>
      </c>
      <c r="F35" s="225">
        <f t="shared" si="3"/>
        <v>2700</v>
      </c>
      <c r="G35" s="225">
        <f>SUM(G4:G34)</f>
        <v>82000</v>
      </c>
      <c r="H35" s="225">
        <f t="shared" si="3"/>
        <v>93800</v>
      </c>
      <c r="I35" s="225">
        <f>SUM(I4:I34)</f>
        <v>91130</v>
      </c>
      <c r="J35" s="225">
        <f t="shared" si="3"/>
        <v>2270</v>
      </c>
    </row>
    <row r="36" spans="1:10" x14ac:dyDescent="0.25">
      <c r="A36" s="269" t="s">
        <v>286</v>
      </c>
      <c r="B36" s="218" t="s">
        <v>370</v>
      </c>
      <c r="C36" s="218"/>
      <c r="D36" s="270"/>
      <c r="E36" s="218"/>
      <c r="F36" s="218" t="s">
        <v>84</v>
      </c>
      <c r="G36" s="218"/>
      <c r="H36" s="218"/>
      <c r="I36" s="218"/>
      <c r="J36" s="110"/>
    </row>
    <row r="37" spans="1:10" x14ac:dyDescent="0.25">
      <c r="A37" s="269" t="s">
        <v>287</v>
      </c>
      <c r="B37" s="269" t="s">
        <v>288</v>
      </c>
      <c r="C37" s="269" t="s">
        <v>289</v>
      </c>
      <c r="D37" s="269" t="s">
        <v>367</v>
      </c>
      <c r="E37" s="271"/>
      <c r="F37" s="269" t="s">
        <v>287</v>
      </c>
      <c r="G37" s="269" t="s">
        <v>288</v>
      </c>
      <c r="H37" s="269" t="s">
        <v>289</v>
      </c>
      <c r="I37" s="269" t="s">
        <v>367</v>
      </c>
      <c r="J37" s="110"/>
    </row>
    <row r="38" spans="1:10" x14ac:dyDescent="0.25">
      <c r="A38" s="218" t="s">
        <v>468</v>
      </c>
      <c r="B38" s="272">
        <f>G35</f>
        <v>82000</v>
      </c>
      <c r="C38" s="218"/>
      <c r="D38" s="218"/>
      <c r="E38" s="218"/>
      <c r="F38" s="218" t="s">
        <v>468</v>
      </c>
      <c r="G38" s="272">
        <f>I35</f>
        <v>91130</v>
      </c>
      <c r="H38" s="218"/>
      <c r="I38" s="218"/>
      <c r="J38" s="110"/>
    </row>
    <row r="39" spans="1:10" x14ac:dyDescent="0.25">
      <c r="A39" s="218" t="s">
        <v>368</v>
      </c>
      <c r="B39" s="272">
        <f>'MAY18'!D48</f>
        <v>270</v>
      </c>
      <c r="C39" s="218"/>
      <c r="D39" s="218"/>
      <c r="E39" s="218"/>
      <c r="F39" s="218" t="s">
        <v>368</v>
      </c>
      <c r="G39" s="272">
        <f>'MAY18'!I48</f>
        <v>-3030</v>
      </c>
      <c r="H39" s="218"/>
      <c r="I39" s="218"/>
      <c r="J39" s="110"/>
    </row>
    <row r="40" spans="1:10" x14ac:dyDescent="0.25">
      <c r="A40" s="218" t="s">
        <v>410</v>
      </c>
      <c r="B40" s="273">
        <v>0.1</v>
      </c>
      <c r="C40" s="272">
        <f>B40*B38</f>
        <v>8200</v>
      </c>
      <c r="D40" s="218"/>
      <c r="E40" s="218"/>
      <c r="F40" s="218" t="s">
        <v>410</v>
      </c>
      <c r="G40" s="273">
        <v>0.1</v>
      </c>
      <c r="H40" s="272">
        <f>C40</f>
        <v>8200</v>
      </c>
      <c r="I40" s="218"/>
      <c r="J40" s="110"/>
    </row>
    <row r="41" spans="1:10" x14ac:dyDescent="0.25">
      <c r="A41" s="218" t="s">
        <v>220</v>
      </c>
      <c r="B41" s="272">
        <f>D13+D11+D10</f>
        <v>0</v>
      </c>
      <c r="C41" s="218"/>
      <c r="D41" s="218"/>
      <c r="E41" s="218"/>
      <c r="F41" s="218" t="s">
        <v>451</v>
      </c>
      <c r="G41" s="272">
        <f>B41</f>
        <v>0</v>
      </c>
      <c r="H41" s="218"/>
      <c r="I41" s="218"/>
      <c r="J41" s="110"/>
    </row>
    <row r="42" spans="1:10" x14ac:dyDescent="0.25">
      <c r="A42" s="269" t="s">
        <v>293</v>
      </c>
      <c r="B42" s="274"/>
      <c r="C42" s="218"/>
      <c r="D42" s="218"/>
      <c r="E42" s="218"/>
      <c r="F42" s="269" t="s">
        <v>293</v>
      </c>
      <c r="G42" s="218"/>
      <c r="H42" s="218"/>
      <c r="I42" s="218"/>
      <c r="J42" s="110"/>
    </row>
    <row r="43" spans="1:10" x14ac:dyDescent="0.25">
      <c r="A43" s="202" t="s">
        <v>455</v>
      </c>
      <c r="B43" s="274"/>
      <c r="C43" s="218">
        <v>1000</v>
      </c>
      <c r="D43" s="218"/>
      <c r="E43" s="218"/>
      <c r="F43" s="202" t="s">
        <v>455</v>
      </c>
      <c r="G43" s="274"/>
      <c r="H43" s="218">
        <v>1000</v>
      </c>
      <c r="I43" s="275"/>
      <c r="J43" s="110"/>
    </row>
    <row r="44" spans="1:10" x14ac:dyDescent="0.25">
      <c r="A44" s="276" t="s">
        <v>469</v>
      </c>
      <c r="B44" s="274"/>
      <c r="C44" s="218">
        <v>2600</v>
      </c>
      <c r="D44" s="218"/>
      <c r="E44" s="218"/>
      <c r="F44" s="202" t="s">
        <v>161</v>
      </c>
      <c r="G44" s="274"/>
      <c r="H44" s="218">
        <v>3055</v>
      </c>
      <c r="I44" s="218"/>
      <c r="J44" s="110"/>
    </row>
    <row r="45" spans="1:10" x14ac:dyDescent="0.25">
      <c r="A45" s="282">
        <v>43263</v>
      </c>
      <c r="B45" s="218"/>
      <c r="C45" s="218">
        <v>68310</v>
      </c>
      <c r="D45" s="218"/>
      <c r="E45" s="218"/>
      <c r="F45" s="276" t="s">
        <v>469</v>
      </c>
      <c r="G45" s="274"/>
      <c r="H45" s="218">
        <v>2600</v>
      </c>
      <c r="I45" s="218"/>
      <c r="J45" s="110"/>
    </row>
    <row r="46" spans="1:10" s="129" customFormat="1" x14ac:dyDescent="0.25">
      <c r="A46" s="267">
        <v>43278</v>
      </c>
      <c r="B46" s="10"/>
      <c r="C46" s="10">
        <v>2040</v>
      </c>
      <c r="D46" s="218"/>
      <c r="E46" s="218"/>
      <c r="F46" s="282">
        <v>43263</v>
      </c>
      <c r="G46" s="218"/>
      <c r="H46" s="218">
        <v>68310</v>
      </c>
      <c r="I46" s="218"/>
      <c r="J46" s="110"/>
    </row>
    <row r="47" spans="1:10" s="129" customFormat="1" x14ac:dyDescent="0.25">
      <c r="A47" s="267">
        <v>43281</v>
      </c>
      <c r="B47" s="10"/>
      <c r="C47" s="10">
        <v>3000</v>
      </c>
      <c r="D47" s="218"/>
      <c r="E47" s="218"/>
      <c r="F47" s="267">
        <v>43278</v>
      </c>
      <c r="G47" s="10"/>
      <c r="H47" s="10">
        <v>2040</v>
      </c>
      <c r="I47" s="218"/>
      <c r="J47" s="110"/>
    </row>
    <row r="48" spans="1:10" x14ac:dyDescent="0.25">
      <c r="A48" s="202"/>
      <c r="B48" s="202"/>
      <c r="C48" s="202"/>
      <c r="D48" s="218"/>
      <c r="E48" s="218"/>
      <c r="F48" s="267">
        <v>43281</v>
      </c>
      <c r="G48" s="10"/>
      <c r="H48" s="10">
        <v>3000</v>
      </c>
      <c r="I48" s="218"/>
      <c r="J48" s="110"/>
    </row>
    <row r="49" spans="1:10" s="129" customFormat="1" x14ac:dyDescent="0.25">
      <c r="A49" s="202"/>
      <c r="B49" s="202"/>
      <c r="C49" s="202"/>
      <c r="D49" s="218"/>
      <c r="E49" s="218"/>
      <c r="F49" s="202"/>
      <c r="G49" s="202"/>
      <c r="H49" s="202"/>
      <c r="I49" s="218"/>
      <c r="J49" s="110"/>
    </row>
    <row r="50" spans="1:10" s="129" customFormat="1" x14ac:dyDescent="0.25">
      <c r="A50" s="202"/>
      <c r="B50" s="202"/>
      <c r="C50" s="202"/>
      <c r="D50" s="218"/>
      <c r="E50" s="218"/>
      <c r="F50" s="267"/>
      <c r="G50" s="10"/>
      <c r="H50" s="10"/>
      <c r="I50" s="218"/>
      <c r="J50" s="110"/>
    </row>
    <row r="51" spans="1:10" s="129" customFormat="1" x14ac:dyDescent="0.25">
      <c r="A51" s="10"/>
      <c r="B51" s="10"/>
      <c r="C51" s="10"/>
      <c r="D51" s="218"/>
      <c r="E51" s="218"/>
      <c r="F51" s="202"/>
      <c r="G51" s="10"/>
      <c r="H51" s="10"/>
      <c r="I51" s="218"/>
      <c r="J51" s="110"/>
    </row>
    <row r="52" spans="1:10" x14ac:dyDescent="0.25">
      <c r="A52" s="266" t="s">
        <v>4</v>
      </c>
      <c r="B52" s="272">
        <f>B38+B39+B41</f>
        <v>82270</v>
      </c>
      <c r="C52" s="272">
        <f>SUM(C40:C51)</f>
        <v>85150</v>
      </c>
      <c r="D52" s="272">
        <f>B52-C52</f>
        <v>-2880</v>
      </c>
      <c r="E52" s="218"/>
      <c r="F52" s="266" t="s">
        <v>4</v>
      </c>
      <c r="G52" s="277">
        <f>G38+G39+G41</f>
        <v>88100</v>
      </c>
      <c r="H52" s="272">
        <f>SUM(H40:H51)</f>
        <v>88205</v>
      </c>
      <c r="I52" s="272">
        <f>G52-H52</f>
        <v>-105</v>
      </c>
      <c r="J52" s="110"/>
    </row>
    <row r="53" spans="1:10" x14ac:dyDescent="0.25">
      <c r="A53" s="240" t="s">
        <v>112</v>
      </c>
      <c r="B53" s="240"/>
      <c r="C53" s="129"/>
      <c r="D53" s="31" t="s">
        <v>113</v>
      </c>
      <c r="E53" s="129"/>
      <c r="F53" s="31"/>
      <c r="G53" s="31" t="s">
        <v>114</v>
      </c>
      <c r="H53" s="31"/>
      <c r="I53" s="31"/>
      <c r="J53" s="31"/>
    </row>
    <row r="54" spans="1:10" x14ac:dyDescent="0.25">
      <c r="A54" s="31" t="s">
        <v>477</v>
      </c>
      <c r="B54" s="31"/>
      <c r="C54" s="129"/>
      <c r="D54" s="129" t="s">
        <v>441</v>
      </c>
      <c r="E54" s="31"/>
      <c r="F54" s="31"/>
      <c r="G54" s="31" t="s">
        <v>476</v>
      </c>
      <c r="H54" s="31"/>
      <c r="I54" s="31"/>
      <c r="J54" s="31"/>
    </row>
  </sheetData>
  <pageMargins left="0.25" right="0.25" top="0.75" bottom="0.75" header="0.3" footer="0.3"/>
  <pageSetup paperSize="9" orientation="portrait" horizontalDpi="0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7" workbookViewId="0">
      <selection activeCell="B43" sqref="B43"/>
    </sheetView>
  </sheetViews>
  <sheetFormatPr defaultRowHeight="15" x14ac:dyDescent="0.25"/>
  <cols>
    <col min="1" max="1" width="16.5703125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472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0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3" si="0">D5+E5+F5+G5</f>
        <v>3400</v>
      </c>
      <c r="I5" s="218">
        <v>3400</v>
      </c>
      <c r="J5" s="110">
        <f t="shared" ref="J5:J26" si="1">H5-I5</f>
        <v>0</v>
      </c>
    </row>
    <row r="6" spans="1:10" x14ac:dyDescent="0.25">
      <c r="A6" s="261" t="s">
        <v>456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</row>
    <row r="7" spans="1:10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</row>
    <row r="8" spans="1:10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</row>
    <row r="9" spans="1:10" x14ac:dyDescent="0.25">
      <c r="A9" s="261" t="s">
        <v>478</v>
      </c>
      <c r="B9" s="263">
        <v>6</v>
      </c>
      <c r="C9" s="261"/>
      <c r="D9" s="261">
        <v>2700</v>
      </c>
      <c r="E9" s="262"/>
      <c r="F9" s="262">
        <v>100</v>
      </c>
      <c r="G9" s="262">
        <v>2700</v>
      </c>
      <c r="H9" s="217">
        <f>D9+E9+F9+G9</f>
        <v>5500</v>
      </c>
      <c r="I9" s="218">
        <v>4000</v>
      </c>
      <c r="J9" s="110">
        <f t="shared" si="1"/>
        <v>1500</v>
      </c>
    </row>
    <row r="10" spans="1:10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</row>
    <row r="11" spans="1:10" x14ac:dyDescent="0.25">
      <c r="A11" s="261" t="s">
        <v>465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/>
      <c r="J11" s="110">
        <f t="shared" si="1"/>
        <v>2800</v>
      </c>
    </row>
    <row r="12" spans="1:10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1"/>
        <v>0</v>
      </c>
    </row>
    <row r="13" spans="1:10" x14ac:dyDescent="0.25">
      <c r="A13" s="261" t="s">
        <v>463</v>
      </c>
      <c r="B13" s="222">
        <v>10</v>
      </c>
      <c r="C13" s="261"/>
      <c r="D13" s="261"/>
      <c r="E13" s="262">
        <v>500</v>
      </c>
      <c r="F13" s="262">
        <v>100</v>
      </c>
      <c r="G13" s="262">
        <v>2700</v>
      </c>
      <c r="H13" s="217">
        <f t="shared" si="0"/>
        <v>3300</v>
      </c>
      <c r="I13" s="218">
        <v>3300</v>
      </c>
      <c r="J13" s="110">
        <f t="shared" si="1"/>
        <v>0</v>
      </c>
    </row>
    <row r="14" spans="1:10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</row>
    <row r="15" spans="1:10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</row>
    <row r="16" spans="1:10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</row>
    <row r="17" spans="1:17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</row>
    <row r="18" spans="1:17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</row>
    <row r="19" spans="1:17" x14ac:dyDescent="0.25">
      <c r="A19" s="261" t="s">
        <v>446</v>
      </c>
      <c r="B19" s="222">
        <v>16</v>
      </c>
      <c r="C19" s="261"/>
      <c r="D19" s="261"/>
      <c r="E19" s="262"/>
      <c r="F19" s="262"/>
      <c r="G19" s="262"/>
      <c r="H19" s="262">
        <f>D19+E19+F19+G19</f>
        <v>0</v>
      </c>
      <c r="I19" s="218"/>
      <c r="J19" s="110">
        <f t="shared" si="1"/>
        <v>0</v>
      </c>
    </row>
    <row r="20" spans="1:17" x14ac:dyDescent="0.25">
      <c r="A20" s="260" t="s">
        <v>377</v>
      </c>
      <c r="B20" s="222">
        <v>17</v>
      </c>
      <c r="C20" s="261"/>
      <c r="D20" s="261"/>
      <c r="E20" s="218">
        <v>200</v>
      </c>
      <c r="F20" s="218">
        <v>100</v>
      </c>
      <c r="G20" s="265">
        <v>3000</v>
      </c>
      <c r="H20" s="262">
        <f>D20+E20+F20+G20</f>
        <v>3300</v>
      </c>
      <c r="I20" s="218">
        <v>3000</v>
      </c>
      <c r="J20" s="110">
        <f t="shared" si="1"/>
        <v>300</v>
      </c>
      <c r="O20">
        <v>3500</v>
      </c>
    </row>
    <row r="21" spans="1:17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1"/>
        <v>0</v>
      </c>
      <c r="O21">
        <v>3000</v>
      </c>
    </row>
    <row r="22" spans="1:17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62">
        <f t="shared" si="0"/>
        <v>0</v>
      </c>
      <c r="I22" s="218"/>
      <c r="J22" s="110">
        <f t="shared" si="1"/>
        <v>0</v>
      </c>
      <c r="O22">
        <v>2700</v>
      </c>
    </row>
    <row r="23" spans="1:17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0"/>
        <v>3800</v>
      </c>
      <c r="I23" s="218">
        <v>3800</v>
      </c>
      <c r="J23" s="110">
        <f t="shared" si="1"/>
        <v>0</v>
      </c>
      <c r="O23">
        <v>5500</v>
      </c>
    </row>
    <row r="24" spans="1:17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0"/>
        <v>0</v>
      </c>
      <c r="I24" s="218"/>
      <c r="J24" s="110">
        <f t="shared" si="1"/>
        <v>0</v>
      </c>
      <c r="O24">
        <v>2700</v>
      </c>
    </row>
    <row r="25" spans="1:17" x14ac:dyDescent="0.25">
      <c r="A25" s="261" t="s">
        <v>435</v>
      </c>
      <c r="B25" s="222">
        <v>22</v>
      </c>
      <c r="C25" s="261"/>
      <c r="D25" s="261"/>
      <c r="E25" s="262">
        <v>100</v>
      </c>
      <c r="F25" s="262">
        <v>100</v>
      </c>
      <c r="G25" s="262">
        <v>3500</v>
      </c>
      <c r="H25" s="262">
        <f t="shared" si="0"/>
        <v>3700</v>
      </c>
      <c r="I25" s="218">
        <v>3000</v>
      </c>
      <c r="J25" s="110">
        <f t="shared" si="1"/>
        <v>700</v>
      </c>
      <c r="O25">
        <v>2700</v>
      </c>
    </row>
    <row r="26" spans="1:17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0"/>
        <v>3800</v>
      </c>
      <c r="I26" s="218">
        <v>3800</v>
      </c>
      <c r="J26" s="110">
        <f t="shared" si="1"/>
        <v>0</v>
      </c>
      <c r="O26">
        <v>3300</v>
      </c>
    </row>
    <row r="27" spans="1:17" x14ac:dyDescent="0.25">
      <c r="A27" s="261" t="s">
        <v>380</v>
      </c>
      <c r="B27" s="222">
        <v>24</v>
      </c>
      <c r="C27" s="261"/>
      <c r="D27" s="261"/>
      <c r="E27" s="261">
        <v>970</v>
      </c>
      <c r="F27" s="262">
        <v>100</v>
      </c>
      <c r="G27" s="261">
        <v>3700</v>
      </c>
      <c r="H27" s="262">
        <f t="shared" si="0"/>
        <v>4770</v>
      </c>
      <c r="I27" s="218">
        <v>3800</v>
      </c>
      <c r="J27" s="110">
        <f t="shared" ref="J27:J35" si="2">H27-I27</f>
        <v>970</v>
      </c>
      <c r="O27">
        <f>SUM(O20:O26)</f>
        <v>23400</v>
      </c>
      <c r="P27">
        <v>0.3</v>
      </c>
      <c r="Q27">
        <f>O27*P27</f>
        <v>7020</v>
      </c>
    </row>
    <row r="28" spans="1:17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0"/>
        <v>3500</v>
      </c>
      <c r="I28" s="218">
        <v>3500</v>
      </c>
      <c r="J28" s="110">
        <f t="shared" si="2"/>
        <v>0</v>
      </c>
    </row>
    <row r="29" spans="1:17" x14ac:dyDescent="0.25">
      <c r="A29" s="261" t="s">
        <v>479</v>
      </c>
      <c r="B29" s="222">
        <v>26</v>
      </c>
      <c r="C29" s="261"/>
      <c r="D29" s="261">
        <v>3400</v>
      </c>
      <c r="E29" s="262"/>
      <c r="F29" s="262">
        <v>100</v>
      </c>
      <c r="G29" s="262">
        <v>3400</v>
      </c>
      <c r="H29" s="262">
        <f t="shared" si="0"/>
        <v>6900</v>
      </c>
      <c r="I29" s="218">
        <v>6900</v>
      </c>
      <c r="J29" s="110">
        <f t="shared" si="2"/>
        <v>0</v>
      </c>
    </row>
    <row r="30" spans="1:17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0"/>
        <v>3400</v>
      </c>
      <c r="I30" s="218">
        <v>3400</v>
      </c>
      <c r="J30" s="110">
        <f t="shared" si="2"/>
        <v>0</v>
      </c>
    </row>
    <row r="31" spans="1:17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0"/>
        <v>3400</v>
      </c>
      <c r="I31" s="218">
        <v>3400</v>
      </c>
      <c r="J31" s="110">
        <f t="shared" si="2"/>
        <v>0</v>
      </c>
    </row>
    <row r="32" spans="1:17" x14ac:dyDescent="0.25">
      <c r="A32" s="261" t="s">
        <v>471</v>
      </c>
      <c r="B32" s="222">
        <v>29</v>
      </c>
      <c r="C32" s="261"/>
      <c r="D32" s="261">
        <v>3300</v>
      </c>
      <c r="E32" s="262"/>
      <c r="F32" s="262">
        <v>100</v>
      </c>
      <c r="G32" s="262">
        <v>3300</v>
      </c>
      <c r="H32" s="262">
        <f t="shared" si="0"/>
        <v>6700</v>
      </c>
      <c r="I32" s="218">
        <v>6500</v>
      </c>
      <c r="J32" s="218">
        <f t="shared" si="2"/>
        <v>200</v>
      </c>
    </row>
    <row r="33" spans="1:10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0"/>
        <v>3300</v>
      </c>
      <c r="I33" s="218">
        <v>3300</v>
      </c>
      <c r="J33" s="218">
        <f t="shared" si="2"/>
        <v>0</v>
      </c>
    </row>
    <row r="34" spans="1:10" s="129" customFormat="1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218">
        <f t="shared" si="2"/>
        <v>0</v>
      </c>
    </row>
    <row r="35" spans="1:10" s="129" customFormat="1" x14ac:dyDescent="0.25">
      <c r="A35" s="261" t="s">
        <v>481</v>
      </c>
      <c r="B35" s="222">
        <v>32</v>
      </c>
      <c r="C35" s="261"/>
      <c r="D35" s="261"/>
      <c r="E35" s="262"/>
      <c r="F35" s="262">
        <v>100</v>
      </c>
      <c r="G35" s="262">
        <v>1350</v>
      </c>
      <c r="H35" s="262">
        <f>D35+E35+F35+G35</f>
        <v>1450</v>
      </c>
      <c r="I35" s="218">
        <v>1400</v>
      </c>
      <c r="J35" s="218">
        <f t="shared" si="2"/>
        <v>50</v>
      </c>
    </row>
    <row r="36" spans="1:10" x14ac:dyDescent="0.25">
      <c r="A36" s="261" t="s">
        <v>446</v>
      </c>
      <c r="B36" s="222">
        <v>33</v>
      </c>
      <c r="C36" s="10"/>
      <c r="D36" s="10"/>
      <c r="E36" s="10"/>
      <c r="F36" s="10"/>
      <c r="G36" s="10"/>
      <c r="H36" s="10"/>
      <c r="I36" s="10"/>
      <c r="J36" s="10"/>
    </row>
    <row r="37" spans="1:10" x14ac:dyDescent="0.25">
      <c r="A37" s="266" t="s">
        <v>4</v>
      </c>
      <c r="B37" s="218"/>
      <c r="C37" s="218"/>
      <c r="D37" s="218"/>
      <c r="E37" s="225">
        <f t="shared" ref="E37:J37" si="3">SUM(E4:E35)</f>
        <v>1770</v>
      </c>
      <c r="F37" s="225">
        <f t="shared" si="3"/>
        <v>2900</v>
      </c>
      <c r="G37" s="225">
        <f t="shared" si="3"/>
        <v>92750</v>
      </c>
      <c r="H37" s="225">
        <f t="shared" si="3"/>
        <v>106820</v>
      </c>
      <c r="I37" s="225">
        <f t="shared" si="3"/>
        <v>100300</v>
      </c>
      <c r="J37" s="225">
        <f t="shared" si="3"/>
        <v>6520</v>
      </c>
    </row>
    <row r="38" spans="1:10" s="129" customFormat="1" x14ac:dyDescent="0.25">
      <c r="A38" s="266"/>
      <c r="B38" s="218"/>
      <c r="C38" s="218"/>
      <c r="D38" s="218"/>
      <c r="E38" s="225"/>
      <c r="F38" s="225"/>
      <c r="G38" s="225"/>
      <c r="H38" s="225"/>
      <c r="I38" s="225"/>
      <c r="J38" s="225"/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140</v>
      </c>
      <c r="B41" s="272">
        <f>G37</f>
        <v>92750</v>
      </c>
      <c r="C41" s="218"/>
      <c r="D41" s="218"/>
      <c r="E41" s="218"/>
      <c r="F41" s="218" t="s">
        <v>140</v>
      </c>
      <c r="G41" s="272">
        <f>I37</f>
        <v>100300</v>
      </c>
      <c r="H41" s="218"/>
      <c r="I41" s="218"/>
      <c r="J41" s="110"/>
    </row>
    <row r="42" spans="1:10" x14ac:dyDescent="0.25">
      <c r="A42" s="218" t="s">
        <v>368</v>
      </c>
      <c r="B42" s="272">
        <f>'JUNE '!D52</f>
        <v>-2880</v>
      </c>
      <c r="C42" s="218"/>
      <c r="D42" s="218"/>
      <c r="E42" s="218"/>
      <c r="F42" s="218" t="s">
        <v>368</v>
      </c>
      <c r="G42" s="272">
        <f>'JUNE '!I52</f>
        <v>-105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9275</v>
      </c>
      <c r="D43" s="218"/>
      <c r="E43" s="218"/>
      <c r="F43" s="218" t="s">
        <v>410</v>
      </c>
      <c r="G43" s="273">
        <v>0.1</v>
      </c>
      <c r="H43" s="272">
        <f>C43</f>
        <v>9275</v>
      </c>
      <c r="I43" s="218"/>
      <c r="J43" s="110"/>
    </row>
    <row r="44" spans="1:10" x14ac:dyDescent="0.25">
      <c r="A44" s="218" t="s">
        <v>220</v>
      </c>
      <c r="B44" s="272">
        <f>D9+D29+D32</f>
        <v>9400</v>
      </c>
      <c r="C44" s="218"/>
      <c r="D44" s="218"/>
      <c r="E44" s="218"/>
      <c r="F44" s="218" t="s">
        <v>451</v>
      </c>
      <c r="G44" s="272">
        <f>B44</f>
        <v>9400</v>
      </c>
      <c r="H44" s="218"/>
      <c r="I44" s="218"/>
      <c r="J44" s="110"/>
    </row>
    <row r="45" spans="1:10" x14ac:dyDescent="0.25">
      <c r="A45" s="269" t="s">
        <v>293</v>
      </c>
      <c r="B45" s="274"/>
      <c r="C45" s="218"/>
      <c r="D45" s="218"/>
      <c r="E45" s="218"/>
      <c r="F45" s="269" t="s">
        <v>293</v>
      </c>
      <c r="G45" s="218"/>
      <c r="H45" s="218"/>
      <c r="I45" s="218"/>
      <c r="J45" s="110"/>
    </row>
    <row r="46" spans="1:10" x14ac:dyDescent="0.25">
      <c r="A46" s="202" t="s">
        <v>455</v>
      </c>
      <c r="B46" s="274"/>
      <c r="C46" s="218">
        <v>1000</v>
      </c>
      <c r="D46" s="218"/>
      <c r="E46" s="218"/>
      <c r="F46" s="202" t="s">
        <v>455</v>
      </c>
      <c r="G46" s="274"/>
      <c r="H46" s="218">
        <v>1000</v>
      </c>
      <c r="I46" s="275"/>
      <c r="J46" s="110"/>
    </row>
    <row r="47" spans="1:10" x14ac:dyDescent="0.25">
      <c r="A47" s="276" t="s">
        <v>480</v>
      </c>
      <c r="B47" s="274"/>
      <c r="C47" s="218">
        <v>2000</v>
      </c>
      <c r="D47" s="218"/>
      <c r="E47" s="218"/>
      <c r="F47" s="202" t="s">
        <v>161</v>
      </c>
      <c r="G47" s="274"/>
      <c r="H47" s="218">
        <v>6000</v>
      </c>
      <c r="I47" s="218"/>
      <c r="J47" s="110"/>
    </row>
    <row r="48" spans="1:10" x14ac:dyDescent="0.25">
      <c r="A48" s="282">
        <v>43293</v>
      </c>
      <c r="B48" s="218"/>
      <c r="C48" s="218">
        <v>85780</v>
      </c>
      <c r="D48" s="218"/>
      <c r="E48" s="218"/>
      <c r="F48" s="276" t="s">
        <v>480</v>
      </c>
      <c r="G48" s="274"/>
      <c r="H48" s="218">
        <v>2000</v>
      </c>
      <c r="I48" s="218"/>
      <c r="J48" s="110"/>
    </row>
    <row r="49" spans="1:10" x14ac:dyDescent="0.25">
      <c r="A49" s="267">
        <v>43295</v>
      </c>
      <c r="B49" s="10"/>
      <c r="C49" s="10">
        <v>1215</v>
      </c>
      <c r="D49" s="218"/>
      <c r="E49" s="218"/>
      <c r="F49" s="282">
        <v>43293</v>
      </c>
      <c r="G49" s="218"/>
      <c r="H49" s="218">
        <v>85780</v>
      </c>
      <c r="I49" s="218"/>
      <c r="J49" s="110"/>
    </row>
    <row r="50" spans="1:10" x14ac:dyDescent="0.25">
      <c r="A50" s="202"/>
      <c r="B50" s="202"/>
      <c r="C50" s="202"/>
      <c r="D50" s="218"/>
      <c r="E50" s="218"/>
      <c r="F50" s="267">
        <v>43295</v>
      </c>
      <c r="G50" s="10"/>
      <c r="H50" s="10">
        <v>1215</v>
      </c>
      <c r="I50" s="218"/>
      <c r="J50" s="110"/>
    </row>
    <row r="51" spans="1:10" x14ac:dyDescent="0.25">
      <c r="A51" s="202"/>
      <c r="B51" s="202"/>
      <c r="C51" s="202"/>
      <c r="D51" s="218"/>
      <c r="E51" s="218"/>
      <c r="F51" s="202"/>
      <c r="G51" s="202"/>
      <c r="H51" s="202"/>
      <c r="I51" s="218"/>
      <c r="J51" s="110"/>
    </row>
    <row r="52" spans="1:10" x14ac:dyDescent="0.25">
      <c r="A52" s="266" t="s">
        <v>4</v>
      </c>
      <c r="B52" s="272">
        <f>B41+B42+B44</f>
        <v>99270</v>
      </c>
      <c r="C52" s="272">
        <f>SUM(C43:C51)</f>
        <v>99270</v>
      </c>
      <c r="D52" s="272">
        <f>B52-C52</f>
        <v>0</v>
      </c>
      <c r="E52" s="218"/>
      <c r="F52" s="266" t="s">
        <v>4</v>
      </c>
      <c r="G52" s="277">
        <f>G41+G42+G44</f>
        <v>109595</v>
      </c>
      <c r="H52" s="272">
        <f>SUM(H43:H51)</f>
        <v>105270</v>
      </c>
      <c r="I52" s="272">
        <f>G52-H52</f>
        <v>4325</v>
      </c>
      <c r="J52" s="110"/>
    </row>
    <row r="53" spans="1:10" x14ac:dyDescent="0.25">
      <c r="A53" s="240" t="s">
        <v>112</v>
      </c>
      <c r="B53" s="240"/>
      <c r="C53" s="129"/>
      <c r="D53" s="31" t="s">
        <v>113</v>
      </c>
      <c r="E53" s="129"/>
      <c r="F53" s="31"/>
      <c r="G53" s="31" t="s">
        <v>114</v>
      </c>
      <c r="H53" s="31"/>
      <c r="I53" s="31"/>
      <c r="J53" s="31"/>
    </row>
    <row r="54" spans="1:10" x14ac:dyDescent="0.25">
      <c r="A54" s="31" t="s">
        <v>442</v>
      </c>
      <c r="B54" s="31"/>
      <c r="C54" s="129"/>
      <c r="D54" s="129" t="s">
        <v>441</v>
      </c>
      <c r="E54" s="31"/>
      <c r="F54" s="31"/>
      <c r="G54" s="31" t="s">
        <v>305</v>
      </c>
      <c r="H54" s="31"/>
      <c r="I54" s="31"/>
      <c r="J54" s="31"/>
    </row>
    <row r="55" spans="1:10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</row>
    <row r="56" spans="1:10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</row>
  </sheetData>
  <pageMargins left="0.25" right="0.25" top="0.75" bottom="0.75" header="0.3" footer="0.3"/>
  <pageSetup paperSize="5" orientation="portrait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workbookViewId="0">
      <selection activeCell="G42" sqref="G42"/>
    </sheetView>
  </sheetViews>
  <sheetFormatPr defaultRowHeight="15" x14ac:dyDescent="0.25"/>
  <cols>
    <col min="1" max="1" width="16.5703125" customWidth="1"/>
    <col min="6" max="6" width="8.85546875" customWidth="1"/>
  </cols>
  <sheetData>
    <row r="1" spans="1:11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  <c r="K1" s="129"/>
    </row>
    <row r="2" spans="1:11" x14ac:dyDescent="0.25">
      <c r="A2" s="23" t="s">
        <v>486</v>
      </c>
      <c r="B2" s="23"/>
      <c r="C2" s="23"/>
      <c r="D2" s="23"/>
      <c r="E2" s="31"/>
      <c r="F2" s="23"/>
      <c r="G2" s="23"/>
      <c r="H2" s="23"/>
      <c r="I2" s="31"/>
      <c r="J2" s="31"/>
      <c r="K2" s="129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  <c r="K3" s="129"/>
    </row>
    <row r="4" spans="1:11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  <c r="K4" s="129"/>
    </row>
    <row r="5" spans="1:11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3" si="0">D5+E5+F5+G5</f>
        <v>3400</v>
      </c>
      <c r="I5" s="218">
        <v>3400</v>
      </c>
      <c r="J5" s="110">
        <f t="shared" ref="J5:J26" si="1">H5-I5</f>
        <v>0</v>
      </c>
      <c r="K5" s="129"/>
    </row>
    <row r="6" spans="1:11" x14ac:dyDescent="0.25">
      <c r="A6" s="261" t="s">
        <v>485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  <c r="K6" s="129"/>
    </row>
    <row r="7" spans="1:11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  <c r="K7" s="129"/>
    </row>
    <row r="8" spans="1:11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  <c r="K8" s="129"/>
    </row>
    <row r="9" spans="1:11" x14ac:dyDescent="0.25">
      <c r="A9" s="261" t="s">
        <v>478</v>
      </c>
      <c r="B9" s="263">
        <v>6</v>
      </c>
      <c r="C9" s="261"/>
      <c r="D9" s="261"/>
      <c r="E9" s="262">
        <v>1500</v>
      </c>
      <c r="F9" s="262">
        <v>100</v>
      </c>
      <c r="G9" s="262">
        <v>2700</v>
      </c>
      <c r="H9" s="217">
        <f>D9+E9+F9+G9</f>
        <v>4300</v>
      </c>
      <c r="I9" s="218">
        <v>4300</v>
      </c>
      <c r="J9" s="110">
        <f t="shared" si="1"/>
        <v>0</v>
      </c>
      <c r="K9" s="129"/>
    </row>
    <row r="10" spans="1:11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  <c r="K10" s="129"/>
    </row>
    <row r="11" spans="1:11" x14ac:dyDescent="0.25">
      <c r="A11" s="261" t="s">
        <v>446</v>
      </c>
      <c r="B11" s="263">
        <v>8</v>
      </c>
      <c r="C11" s="261"/>
      <c r="D11" s="261"/>
      <c r="E11" s="262"/>
      <c r="F11" s="262"/>
      <c r="G11" s="262"/>
      <c r="H11" s="217"/>
      <c r="I11" s="218"/>
      <c r="J11" s="110">
        <f>H11-I11</f>
        <v>0</v>
      </c>
      <c r="K11" s="129"/>
    </row>
    <row r="12" spans="1:11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1"/>
        <v>0</v>
      </c>
      <c r="K12" s="129"/>
    </row>
    <row r="13" spans="1:11" x14ac:dyDescent="0.25">
      <c r="A13" s="261" t="s">
        <v>463</v>
      </c>
      <c r="B13" s="222">
        <v>10</v>
      </c>
      <c r="C13" s="261"/>
      <c r="D13" s="261"/>
      <c r="E13" s="262"/>
      <c r="F13" s="262">
        <v>100</v>
      </c>
      <c r="G13" s="262">
        <v>2700</v>
      </c>
      <c r="H13" s="217">
        <f t="shared" si="0"/>
        <v>2800</v>
      </c>
      <c r="I13" s="218">
        <v>2800</v>
      </c>
      <c r="J13" s="110">
        <f t="shared" si="1"/>
        <v>0</v>
      </c>
      <c r="K13" s="129"/>
    </row>
    <row r="14" spans="1:11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  <c r="K14" s="129"/>
    </row>
    <row r="15" spans="1:11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  <c r="K15" s="129"/>
    </row>
    <row r="16" spans="1:11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  <c r="K16" s="129"/>
    </row>
    <row r="17" spans="1:11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  <c r="K17" s="129"/>
    </row>
    <row r="18" spans="1:11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  <c r="K18" s="129"/>
    </row>
    <row r="19" spans="1:11" x14ac:dyDescent="0.25">
      <c r="A19" s="261" t="s">
        <v>446</v>
      </c>
      <c r="B19" s="222">
        <v>16</v>
      </c>
      <c r="C19" s="261"/>
      <c r="D19" s="261"/>
      <c r="E19" s="262"/>
      <c r="F19" s="262"/>
      <c r="G19" s="262"/>
      <c r="H19" s="262">
        <f>D19+E19+F19+G19</f>
        <v>0</v>
      </c>
      <c r="I19" s="218"/>
      <c r="J19" s="110">
        <f t="shared" si="1"/>
        <v>0</v>
      </c>
      <c r="K19" s="129"/>
    </row>
    <row r="20" spans="1:11" x14ac:dyDescent="0.25">
      <c r="A20" s="260" t="s">
        <v>377</v>
      </c>
      <c r="B20" s="222">
        <v>17</v>
      </c>
      <c r="C20" s="261"/>
      <c r="D20" s="261"/>
      <c r="E20" s="218">
        <v>300</v>
      </c>
      <c r="F20" s="218">
        <v>100</v>
      </c>
      <c r="G20" s="265">
        <v>3000</v>
      </c>
      <c r="H20" s="262">
        <f>D20+E20+F20+G20</f>
        <v>3400</v>
      </c>
      <c r="I20" s="218"/>
      <c r="J20" s="110">
        <f t="shared" si="1"/>
        <v>3400</v>
      </c>
      <c r="K20" s="129"/>
    </row>
    <row r="21" spans="1:11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1"/>
        <v>0</v>
      </c>
      <c r="K21" s="129"/>
    </row>
    <row r="22" spans="1:11" x14ac:dyDescent="0.25">
      <c r="A22" s="261" t="s">
        <v>484</v>
      </c>
      <c r="B22" s="263">
        <v>19</v>
      </c>
      <c r="C22" s="261"/>
      <c r="D22" s="261">
        <v>2700</v>
      </c>
      <c r="E22" s="262"/>
      <c r="F22" s="262">
        <v>100</v>
      </c>
      <c r="G22" s="262">
        <v>2700</v>
      </c>
      <c r="H22" s="262">
        <f t="shared" si="0"/>
        <v>5500</v>
      </c>
      <c r="I22" s="218">
        <v>5500</v>
      </c>
      <c r="J22" s="110">
        <f t="shared" si="1"/>
        <v>0</v>
      </c>
      <c r="K22" s="129"/>
    </row>
    <row r="23" spans="1:11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0"/>
        <v>3800</v>
      </c>
      <c r="I23" s="218">
        <v>3800</v>
      </c>
      <c r="J23" s="110">
        <f t="shared" si="1"/>
        <v>0</v>
      </c>
      <c r="K23" s="129"/>
    </row>
    <row r="24" spans="1:11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0"/>
        <v>0</v>
      </c>
      <c r="I24" s="218"/>
      <c r="J24" s="110">
        <f t="shared" si="1"/>
        <v>0</v>
      </c>
      <c r="K24" s="129"/>
    </row>
    <row r="25" spans="1:11" x14ac:dyDescent="0.25">
      <c r="A25" s="261" t="s">
        <v>435</v>
      </c>
      <c r="B25" s="222">
        <v>22</v>
      </c>
      <c r="C25" s="261"/>
      <c r="D25" s="261"/>
      <c r="E25" s="262">
        <v>700</v>
      </c>
      <c r="F25" s="262">
        <v>100</v>
      </c>
      <c r="G25" s="262">
        <v>3500</v>
      </c>
      <c r="H25" s="262">
        <f t="shared" si="0"/>
        <v>4300</v>
      </c>
      <c r="I25" s="218">
        <v>4000</v>
      </c>
      <c r="J25" s="110">
        <f t="shared" si="1"/>
        <v>300</v>
      </c>
      <c r="K25" s="129"/>
    </row>
    <row r="26" spans="1:11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0"/>
        <v>3800</v>
      </c>
      <c r="I26" s="218">
        <v>3800</v>
      </c>
      <c r="J26" s="110">
        <f t="shared" si="1"/>
        <v>0</v>
      </c>
      <c r="K26" s="129"/>
    </row>
    <row r="27" spans="1:11" x14ac:dyDescent="0.25">
      <c r="A27" s="261" t="s">
        <v>380</v>
      </c>
      <c r="B27" s="222">
        <v>24</v>
      </c>
      <c r="C27" s="261"/>
      <c r="D27" s="261"/>
      <c r="E27" s="261">
        <v>970</v>
      </c>
      <c r="F27" s="262">
        <v>100</v>
      </c>
      <c r="G27" s="261">
        <v>3700</v>
      </c>
      <c r="H27" s="262">
        <f t="shared" si="0"/>
        <v>4770</v>
      </c>
      <c r="I27" s="218">
        <v>4770</v>
      </c>
      <c r="J27" s="110">
        <f>H27-I27</f>
        <v>0</v>
      </c>
      <c r="K27" s="129"/>
    </row>
    <row r="28" spans="1:11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0"/>
        <v>3500</v>
      </c>
      <c r="I28" s="218">
        <v>3500</v>
      </c>
      <c r="J28" s="110" t="s">
        <v>452</v>
      </c>
      <c r="K28" s="129"/>
    </row>
    <row r="29" spans="1:11" x14ac:dyDescent="0.25">
      <c r="A29" s="261" t="s">
        <v>479</v>
      </c>
      <c r="B29" s="222">
        <v>26</v>
      </c>
      <c r="C29" s="261"/>
      <c r="D29" s="261"/>
      <c r="E29" s="262"/>
      <c r="F29" s="262">
        <v>100</v>
      </c>
      <c r="G29" s="262">
        <v>3400</v>
      </c>
      <c r="H29" s="262">
        <f t="shared" si="0"/>
        <v>3500</v>
      </c>
      <c r="I29" s="218">
        <v>3500</v>
      </c>
      <c r="J29" s="110">
        <f t="shared" ref="J29:J35" si="2">H29-I29</f>
        <v>0</v>
      </c>
      <c r="K29" s="129"/>
    </row>
    <row r="30" spans="1:11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0"/>
        <v>3400</v>
      </c>
      <c r="I30" s="218">
        <v>3400</v>
      </c>
      <c r="J30" s="110">
        <f t="shared" si="2"/>
        <v>0</v>
      </c>
      <c r="K30" s="129"/>
    </row>
    <row r="31" spans="1:11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0"/>
        <v>3400</v>
      </c>
      <c r="I31" s="218">
        <v>3400</v>
      </c>
      <c r="J31" s="110">
        <f t="shared" si="2"/>
        <v>0</v>
      </c>
      <c r="K31" s="129"/>
    </row>
    <row r="32" spans="1:11" x14ac:dyDescent="0.25">
      <c r="A32" s="261" t="s">
        <v>471</v>
      </c>
      <c r="B32" s="222">
        <v>29</v>
      </c>
      <c r="C32" s="261"/>
      <c r="D32" s="261"/>
      <c r="E32" s="262">
        <v>200</v>
      </c>
      <c r="F32" s="262">
        <v>100</v>
      </c>
      <c r="G32" s="262">
        <v>3300</v>
      </c>
      <c r="H32" s="262">
        <f t="shared" si="0"/>
        <v>3600</v>
      </c>
      <c r="I32" s="218">
        <v>3600</v>
      </c>
      <c r="J32" s="218">
        <f t="shared" si="2"/>
        <v>0</v>
      </c>
      <c r="K32" s="129"/>
    </row>
    <row r="33" spans="1:11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0"/>
        <v>3300</v>
      </c>
      <c r="I33" s="218">
        <v>3300</v>
      </c>
      <c r="J33" s="218">
        <f t="shared" si="2"/>
        <v>0</v>
      </c>
      <c r="K33" s="129"/>
    </row>
    <row r="34" spans="1:11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218">
        <f t="shared" si="2"/>
        <v>0</v>
      </c>
      <c r="K34" s="129"/>
    </row>
    <row r="35" spans="1:11" x14ac:dyDescent="0.25">
      <c r="A35" s="261" t="s">
        <v>481</v>
      </c>
      <c r="B35" s="222">
        <v>32</v>
      </c>
      <c r="C35" s="261"/>
      <c r="D35" s="261">
        <v>2700</v>
      </c>
      <c r="E35" s="262">
        <v>50</v>
      </c>
      <c r="F35" s="262">
        <v>100</v>
      </c>
      <c r="G35" s="262">
        <v>2700</v>
      </c>
      <c r="H35" s="262">
        <f>D35+E35+F35+G35</f>
        <v>5550</v>
      </c>
      <c r="I35" s="218">
        <v>5550</v>
      </c>
      <c r="J35" s="218">
        <f t="shared" si="2"/>
        <v>0</v>
      </c>
      <c r="K35" s="129"/>
    </row>
    <row r="36" spans="1:11" x14ac:dyDescent="0.25">
      <c r="A36" s="261" t="s">
        <v>446</v>
      </c>
      <c r="B36" s="222">
        <v>33</v>
      </c>
      <c r="C36" s="10"/>
      <c r="D36" s="10"/>
      <c r="E36" s="10"/>
      <c r="F36" s="10"/>
      <c r="G36" s="10"/>
      <c r="H36" s="10"/>
      <c r="I36" s="10"/>
      <c r="J36" s="10"/>
      <c r="K36" s="129"/>
    </row>
    <row r="37" spans="1:11" x14ac:dyDescent="0.25">
      <c r="A37" s="266" t="s">
        <v>4</v>
      </c>
      <c r="B37" s="218"/>
      <c r="C37" s="218"/>
      <c r="D37" s="218"/>
      <c r="E37" s="225">
        <f t="shared" ref="E37:J37" si="3">SUM(E4:E35)</f>
        <v>3720</v>
      </c>
      <c r="F37" s="225">
        <f t="shared" si="3"/>
        <v>2900</v>
      </c>
      <c r="G37" s="225">
        <f>SUM(G4:G36)</f>
        <v>94100</v>
      </c>
      <c r="H37" s="225">
        <f t="shared" si="3"/>
        <v>106120</v>
      </c>
      <c r="I37" s="225">
        <f t="shared" si="3"/>
        <v>102420</v>
      </c>
      <c r="J37" s="225">
        <f t="shared" si="3"/>
        <v>3700</v>
      </c>
      <c r="K37" s="129"/>
    </row>
    <row r="38" spans="1:11" x14ac:dyDescent="0.25">
      <c r="A38" s="266"/>
      <c r="B38" s="218"/>
      <c r="C38" s="218"/>
      <c r="D38" s="218"/>
      <c r="E38" s="225"/>
      <c r="F38" s="225"/>
      <c r="G38" s="225"/>
      <c r="H38" s="225"/>
      <c r="I38" s="225"/>
      <c r="J38" s="225"/>
      <c r="K38" s="129"/>
    </row>
    <row r="39" spans="1:11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  <c r="K39" s="129"/>
    </row>
    <row r="40" spans="1:11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  <c r="K40" s="129"/>
    </row>
    <row r="41" spans="1:11" x14ac:dyDescent="0.25">
      <c r="A41" s="218" t="s">
        <v>482</v>
      </c>
      <c r="B41" s="272">
        <f>G37</f>
        <v>94100</v>
      </c>
      <c r="C41" s="218"/>
      <c r="D41" s="218"/>
      <c r="E41" s="218"/>
      <c r="F41" s="218" t="s">
        <v>483</v>
      </c>
      <c r="G41" s="272">
        <f>I37</f>
        <v>102420</v>
      </c>
      <c r="H41" s="218"/>
      <c r="I41" s="218"/>
      <c r="J41" s="110"/>
      <c r="K41" s="129"/>
    </row>
    <row r="42" spans="1:11" x14ac:dyDescent="0.25">
      <c r="A42" s="218" t="s">
        <v>368</v>
      </c>
      <c r="B42" s="272">
        <f>JULY7!D52</f>
        <v>0</v>
      </c>
      <c r="C42" s="218"/>
      <c r="D42" s="218"/>
      <c r="E42" s="218"/>
      <c r="F42" s="218" t="s">
        <v>368</v>
      </c>
      <c r="G42" s="272"/>
      <c r="H42" s="218"/>
      <c r="I42" s="218"/>
      <c r="J42" s="110"/>
      <c r="K42" s="129"/>
    </row>
    <row r="43" spans="1:11" x14ac:dyDescent="0.25">
      <c r="A43" s="218" t="s">
        <v>410</v>
      </c>
      <c r="B43" s="273">
        <v>0.1</v>
      </c>
      <c r="C43" s="272">
        <f>B43*B41</f>
        <v>9410</v>
      </c>
      <c r="D43" s="218"/>
      <c r="E43" s="218"/>
      <c r="F43" s="218" t="s">
        <v>410</v>
      </c>
      <c r="G43" s="273">
        <v>0.1</v>
      </c>
      <c r="H43" s="272">
        <f>C43</f>
        <v>9410</v>
      </c>
      <c r="I43" s="218"/>
      <c r="J43" s="110"/>
      <c r="K43" s="129"/>
    </row>
    <row r="44" spans="1:11" x14ac:dyDescent="0.25">
      <c r="A44" s="218" t="s">
        <v>220</v>
      </c>
      <c r="B44" s="272">
        <f>D22+D35</f>
        <v>5400</v>
      </c>
      <c r="C44" s="218"/>
      <c r="D44" s="218"/>
      <c r="E44" s="218"/>
      <c r="F44" s="218" t="s">
        <v>451</v>
      </c>
      <c r="G44" s="272">
        <f>B44</f>
        <v>5400</v>
      </c>
      <c r="H44" s="218"/>
      <c r="I44" s="218"/>
      <c r="J44" s="110"/>
      <c r="K44" s="129"/>
    </row>
    <row r="45" spans="1:11" x14ac:dyDescent="0.25">
      <c r="A45" s="269" t="s">
        <v>293</v>
      </c>
      <c r="B45" s="274"/>
      <c r="C45" s="218"/>
      <c r="D45" s="218"/>
      <c r="E45" s="218"/>
      <c r="F45" s="269" t="s">
        <v>293</v>
      </c>
      <c r="G45" s="218"/>
      <c r="H45" s="218"/>
      <c r="I45" s="218"/>
      <c r="J45" s="110"/>
      <c r="K45" s="129"/>
    </row>
    <row r="46" spans="1:11" x14ac:dyDescent="0.25">
      <c r="A46" s="202" t="s">
        <v>455</v>
      </c>
      <c r="B46" s="274"/>
      <c r="C46" s="218">
        <v>1000</v>
      </c>
      <c r="D46" s="218"/>
      <c r="E46" s="218"/>
      <c r="F46" s="202" t="s">
        <v>455</v>
      </c>
      <c r="G46" s="274"/>
      <c r="H46" s="218">
        <v>1000</v>
      </c>
      <c r="I46" s="275"/>
      <c r="J46" s="110"/>
      <c r="K46" s="129"/>
    </row>
    <row r="47" spans="1:11" x14ac:dyDescent="0.25">
      <c r="A47" s="276" t="s">
        <v>480</v>
      </c>
      <c r="B47" s="274"/>
      <c r="C47" s="218">
        <v>2000</v>
      </c>
      <c r="D47" s="218"/>
      <c r="E47" s="218"/>
      <c r="F47" s="202" t="s">
        <v>161</v>
      </c>
      <c r="G47" s="274"/>
      <c r="H47" s="218">
        <f>F37</f>
        <v>2900</v>
      </c>
      <c r="I47" s="218"/>
      <c r="J47" s="110"/>
      <c r="K47" s="129"/>
    </row>
    <row r="48" spans="1:11" x14ac:dyDescent="0.25">
      <c r="A48" s="282" t="s">
        <v>487</v>
      </c>
      <c r="B48" s="218"/>
      <c r="C48" s="218">
        <v>2700</v>
      </c>
      <c r="D48" s="218"/>
      <c r="E48" s="218"/>
      <c r="F48" s="276" t="s">
        <v>480</v>
      </c>
      <c r="G48" s="274"/>
      <c r="H48" s="218">
        <v>2000</v>
      </c>
      <c r="I48" s="218"/>
      <c r="J48" s="110"/>
      <c r="K48" s="129"/>
    </row>
    <row r="49" spans="1:11" s="129" customFormat="1" x14ac:dyDescent="0.25">
      <c r="A49" s="267">
        <v>43320</v>
      </c>
      <c r="B49" s="10"/>
      <c r="C49" s="10">
        <v>10000</v>
      </c>
      <c r="D49" s="218"/>
      <c r="E49" s="218"/>
      <c r="F49" s="282" t="s">
        <v>487</v>
      </c>
      <c r="G49" s="218"/>
      <c r="H49" s="218">
        <v>2700</v>
      </c>
      <c r="I49" s="218"/>
      <c r="J49" s="110"/>
    </row>
    <row r="50" spans="1:11" x14ac:dyDescent="0.25">
      <c r="A50" s="276">
        <v>43325</v>
      </c>
      <c r="B50" s="202"/>
      <c r="C50" s="202">
        <v>74390</v>
      </c>
      <c r="D50" s="218"/>
      <c r="E50" s="218"/>
      <c r="F50" s="267">
        <v>43320</v>
      </c>
      <c r="G50" s="10"/>
      <c r="H50" s="10">
        <v>10000</v>
      </c>
      <c r="I50" s="218"/>
      <c r="J50" s="110"/>
      <c r="K50" s="129"/>
    </row>
    <row r="51" spans="1:11" x14ac:dyDescent="0.25">
      <c r="A51" s="276">
        <v>43340</v>
      </c>
      <c r="B51" s="202"/>
      <c r="C51" s="202">
        <v>10000</v>
      </c>
      <c r="D51" s="218"/>
      <c r="E51" s="218"/>
      <c r="F51" s="276">
        <v>43325</v>
      </c>
      <c r="G51" s="202"/>
      <c r="H51" s="202">
        <v>74390</v>
      </c>
      <c r="I51" s="218"/>
      <c r="J51" s="110"/>
      <c r="K51" s="129"/>
    </row>
    <row r="52" spans="1:11" x14ac:dyDescent="0.25">
      <c r="A52" s="10"/>
      <c r="B52" s="10"/>
      <c r="C52" s="10"/>
      <c r="D52" s="218"/>
      <c r="E52" s="218"/>
      <c r="F52" s="276">
        <v>43340</v>
      </c>
      <c r="G52" s="202"/>
      <c r="H52" s="202">
        <v>10000</v>
      </c>
      <c r="I52" s="218"/>
      <c r="J52" s="110"/>
      <c r="K52" s="129"/>
    </row>
    <row r="53" spans="1:11" x14ac:dyDescent="0.25">
      <c r="A53" s="266" t="s">
        <v>4</v>
      </c>
      <c r="B53" s="272">
        <f>B41+B42+B44</f>
        <v>99500</v>
      </c>
      <c r="C53" s="272">
        <f>SUM(C43:C52)</f>
        <v>109500</v>
      </c>
      <c r="D53" s="272">
        <f>B53-C53</f>
        <v>-10000</v>
      </c>
      <c r="E53" s="218"/>
      <c r="F53" s="266" t="s">
        <v>4</v>
      </c>
      <c r="G53" s="277">
        <f>G41+G42+G44</f>
        <v>107820</v>
      </c>
      <c r="H53" s="272">
        <f>SUM(H43:H52)</f>
        <v>112400</v>
      </c>
      <c r="I53" s="272">
        <f>G53-H53</f>
        <v>-4580</v>
      </c>
      <c r="J53" s="110"/>
      <c r="K53" s="129"/>
    </row>
    <row r="54" spans="1:11" x14ac:dyDescent="0.25">
      <c r="A54" s="240" t="s">
        <v>112</v>
      </c>
      <c r="B54" s="240"/>
      <c r="C54" s="129"/>
      <c r="D54" s="31" t="s">
        <v>113</v>
      </c>
      <c r="E54" s="129"/>
      <c r="F54" s="31"/>
      <c r="G54" s="31" t="s">
        <v>114</v>
      </c>
      <c r="H54" s="31"/>
      <c r="I54" s="31"/>
      <c r="J54" s="31"/>
      <c r="K54" s="129"/>
    </row>
    <row r="55" spans="1:11" x14ac:dyDescent="0.25">
      <c r="A55" s="31" t="s">
        <v>442</v>
      </c>
      <c r="B55" s="31"/>
      <c r="C55" s="129"/>
      <c r="D55" s="129" t="s">
        <v>441</v>
      </c>
      <c r="E55" s="31"/>
      <c r="F55" s="31"/>
      <c r="G55" s="31" t="s">
        <v>305</v>
      </c>
      <c r="H55" s="31"/>
      <c r="I55" s="31"/>
      <c r="J55" s="31"/>
      <c r="K55" s="129"/>
    </row>
    <row r="56" spans="1:11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</sheetData>
  <pageMargins left="0.25" right="0.25" top="0.75" bottom="0.75" header="0.3" footer="0.3"/>
  <pageSetup paperSize="5" orientation="portrait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4" workbookViewId="0">
      <selection activeCell="G25" sqref="G25"/>
    </sheetView>
  </sheetViews>
  <sheetFormatPr defaultRowHeight="15" x14ac:dyDescent="0.25"/>
  <cols>
    <col min="1" max="1" width="16.7109375" style="129" customWidth="1"/>
    <col min="2" max="5" width="9.140625" style="129"/>
    <col min="6" max="6" width="8.85546875" style="129" customWidth="1"/>
    <col min="7" max="9" width="9.140625" style="129"/>
    <col min="10" max="10" width="7.5703125" style="129" customWidth="1"/>
    <col min="11" max="16384" width="9.140625" style="129"/>
  </cols>
  <sheetData>
    <row r="1" spans="1:11" x14ac:dyDescent="0.25">
      <c r="C1" s="23" t="s">
        <v>0</v>
      </c>
      <c r="D1" s="23"/>
      <c r="E1" s="23"/>
      <c r="F1" s="23"/>
      <c r="G1" s="23"/>
      <c r="H1" s="23"/>
      <c r="I1" s="31"/>
      <c r="J1" s="31"/>
    </row>
    <row r="2" spans="1:11" x14ac:dyDescent="0.25">
      <c r="C2" s="23" t="s">
        <v>490</v>
      </c>
      <c r="D2" s="23"/>
      <c r="E2" s="31"/>
      <c r="F2" s="23"/>
      <c r="G2" s="23"/>
      <c r="H2" s="23"/>
      <c r="I2" s="31"/>
      <c r="J2" s="31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1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1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3" si="0">D5+E5+F5+G5</f>
        <v>3400</v>
      </c>
      <c r="I5" s="218">
        <v>3400</v>
      </c>
      <c r="J5" s="110">
        <f t="shared" ref="J5:J35" si="1">H5-I5</f>
        <v>0</v>
      </c>
      <c r="K5" s="31"/>
    </row>
    <row r="6" spans="1:11" x14ac:dyDescent="0.25">
      <c r="A6" s="261" t="s">
        <v>485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  <c r="K6" s="31"/>
    </row>
    <row r="7" spans="1:11" x14ac:dyDescent="0.25">
      <c r="A7" s="261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  <c r="K7" s="31"/>
    </row>
    <row r="8" spans="1:11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  <c r="K8" s="31"/>
    </row>
    <row r="9" spans="1:11" x14ac:dyDescent="0.25">
      <c r="A9" s="119" t="s">
        <v>494</v>
      </c>
      <c r="B9" s="110">
        <v>6</v>
      </c>
      <c r="C9" s="110"/>
      <c r="D9" s="110"/>
      <c r="E9" s="110"/>
      <c r="F9" s="110"/>
      <c r="G9" s="224">
        <v>4050</v>
      </c>
      <c r="H9" s="285">
        <f t="shared" si="0"/>
        <v>4050</v>
      </c>
      <c r="I9" s="224">
        <v>4000</v>
      </c>
      <c r="J9" s="110">
        <f t="shared" si="1"/>
        <v>50</v>
      </c>
      <c r="K9" s="31"/>
    </row>
    <row r="10" spans="1:11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  <c r="K10" s="31"/>
    </row>
    <row r="11" spans="1:11" x14ac:dyDescent="0.25">
      <c r="A11" s="261" t="s">
        <v>478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>
        <v>2800</v>
      </c>
      <c r="J11" s="110">
        <f t="shared" si="1"/>
        <v>0</v>
      </c>
      <c r="K11" s="31"/>
    </row>
    <row r="12" spans="1:11" x14ac:dyDescent="0.25">
      <c r="A12" s="261" t="s">
        <v>446</v>
      </c>
      <c r="B12" s="222">
        <v>9</v>
      </c>
      <c r="C12" s="261"/>
      <c r="D12" s="261"/>
      <c r="E12" s="262"/>
      <c r="F12" s="262"/>
      <c r="G12" s="262"/>
      <c r="H12" s="217"/>
      <c r="I12" s="218"/>
      <c r="J12" s="110">
        <f t="shared" si="1"/>
        <v>0</v>
      </c>
      <c r="K12" s="31"/>
    </row>
    <row r="13" spans="1:11" x14ac:dyDescent="0.25">
      <c r="A13" s="261" t="s">
        <v>463</v>
      </c>
      <c r="B13" s="222">
        <v>10</v>
      </c>
      <c r="C13" s="261"/>
      <c r="D13" s="261"/>
      <c r="E13" s="262"/>
      <c r="F13" s="262">
        <v>100</v>
      </c>
      <c r="G13" s="262">
        <v>2700</v>
      </c>
      <c r="H13" s="217">
        <f t="shared" si="0"/>
        <v>2800</v>
      </c>
      <c r="I13" s="218">
        <v>2800</v>
      </c>
      <c r="J13" s="110">
        <f t="shared" si="1"/>
        <v>0</v>
      </c>
      <c r="K13" s="31"/>
    </row>
    <row r="14" spans="1:11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  <c r="K14" s="31"/>
    </row>
    <row r="15" spans="1:11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  <c r="K15" s="31"/>
    </row>
    <row r="16" spans="1:11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</row>
    <row r="17" spans="1:10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</row>
    <row r="18" spans="1:10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</row>
    <row r="19" spans="1:10" x14ac:dyDescent="0.25">
      <c r="A19" s="261" t="s">
        <v>493</v>
      </c>
      <c r="B19" s="222">
        <v>16</v>
      </c>
      <c r="C19" s="261"/>
      <c r="D19" s="261"/>
      <c r="E19" s="262"/>
      <c r="F19" s="262">
        <v>100</v>
      </c>
      <c r="G19" s="262">
        <v>3000</v>
      </c>
      <c r="H19" s="262">
        <f>D19+E19+F19+G19</f>
        <v>3100</v>
      </c>
      <c r="I19" s="218">
        <v>3100</v>
      </c>
      <c r="J19" s="110">
        <f t="shared" si="1"/>
        <v>0</v>
      </c>
    </row>
    <row r="20" spans="1:10" x14ac:dyDescent="0.25">
      <c r="A20" s="284" t="s">
        <v>492</v>
      </c>
      <c r="B20" s="222">
        <v>17</v>
      </c>
      <c r="C20" s="261"/>
      <c r="D20" s="261"/>
      <c r="E20" s="218"/>
      <c r="F20" s="218">
        <v>100</v>
      </c>
      <c r="G20" s="265">
        <v>5800</v>
      </c>
      <c r="H20" s="262">
        <f>D20+E20+F20+G20</f>
        <v>5900</v>
      </c>
      <c r="I20" s="218">
        <v>5900</v>
      </c>
      <c r="J20" s="110">
        <f t="shared" si="1"/>
        <v>0</v>
      </c>
    </row>
    <row r="21" spans="1:10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1"/>
        <v>0</v>
      </c>
    </row>
    <row r="22" spans="1:10" x14ac:dyDescent="0.25">
      <c r="A22" s="261" t="s">
        <v>484</v>
      </c>
      <c r="B22" s="263">
        <v>19</v>
      </c>
      <c r="C22" s="261"/>
      <c r="D22" s="261"/>
      <c r="E22" s="262"/>
      <c r="F22" s="262">
        <v>100</v>
      </c>
      <c r="G22" s="262">
        <v>2700</v>
      </c>
      <c r="H22" s="262">
        <f t="shared" si="0"/>
        <v>2800</v>
      </c>
      <c r="I22" s="218">
        <v>2800</v>
      </c>
      <c r="J22" s="110">
        <f t="shared" si="1"/>
        <v>0</v>
      </c>
    </row>
    <row r="23" spans="1:10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0"/>
        <v>3800</v>
      </c>
      <c r="I23" s="218">
        <v>3800</v>
      </c>
      <c r="J23" s="110">
        <f t="shared" si="1"/>
        <v>0</v>
      </c>
    </row>
    <row r="24" spans="1:10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0"/>
        <v>0</v>
      </c>
      <c r="I24" s="218"/>
      <c r="J24" s="110">
        <f t="shared" si="1"/>
        <v>0</v>
      </c>
    </row>
    <row r="25" spans="1:10" x14ac:dyDescent="0.25">
      <c r="A25" s="261" t="s">
        <v>435</v>
      </c>
      <c r="B25" s="222">
        <v>22</v>
      </c>
      <c r="C25" s="261"/>
      <c r="D25" s="261"/>
      <c r="E25" s="262">
        <v>300</v>
      </c>
      <c r="F25" s="262">
        <v>100</v>
      </c>
      <c r="G25" s="262">
        <v>3500</v>
      </c>
      <c r="H25" s="262">
        <f t="shared" si="0"/>
        <v>3900</v>
      </c>
      <c r="I25" s="218">
        <v>3900</v>
      </c>
      <c r="J25" s="110">
        <f t="shared" si="1"/>
        <v>0</v>
      </c>
    </row>
    <row r="26" spans="1:10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0"/>
        <v>3800</v>
      </c>
      <c r="I26" s="218">
        <v>3800</v>
      </c>
      <c r="J26" s="110">
        <f t="shared" si="1"/>
        <v>0</v>
      </c>
    </row>
    <row r="27" spans="1:10" x14ac:dyDescent="0.25">
      <c r="A27" s="196" t="s">
        <v>488</v>
      </c>
      <c r="B27" s="222">
        <v>24</v>
      </c>
      <c r="C27" s="261"/>
      <c r="D27" s="261"/>
      <c r="E27" s="261"/>
      <c r="F27" s="262">
        <v>100</v>
      </c>
      <c r="G27" s="261">
        <v>7900</v>
      </c>
      <c r="H27" s="262">
        <f t="shared" si="0"/>
        <v>8000</v>
      </c>
      <c r="I27" s="218">
        <v>8000</v>
      </c>
      <c r="J27" s="110">
        <f t="shared" si="1"/>
        <v>0</v>
      </c>
    </row>
    <row r="28" spans="1:10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0"/>
        <v>3500</v>
      </c>
      <c r="I28" s="218">
        <v>3500</v>
      </c>
      <c r="J28" s="110">
        <f t="shared" si="1"/>
        <v>0</v>
      </c>
    </row>
    <row r="29" spans="1:10" x14ac:dyDescent="0.25">
      <c r="A29" s="261" t="s">
        <v>479</v>
      </c>
      <c r="B29" s="222">
        <v>26</v>
      </c>
      <c r="C29" s="261"/>
      <c r="D29" s="261"/>
      <c r="E29" s="262"/>
      <c r="F29" s="262">
        <v>100</v>
      </c>
      <c r="G29" s="262">
        <v>3400</v>
      </c>
      <c r="H29" s="262">
        <f t="shared" si="0"/>
        <v>3500</v>
      </c>
      <c r="I29" s="218">
        <v>3500</v>
      </c>
      <c r="J29" s="110">
        <f t="shared" si="1"/>
        <v>0</v>
      </c>
    </row>
    <row r="30" spans="1:10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0"/>
        <v>3400</v>
      </c>
      <c r="I30" s="218">
        <v>3400</v>
      </c>
      <c r="J30" s="110">
        <f t="shared" si="1"/>
        <v>0</v>
      </c>
    </row>
    <row r="31" spans="1:10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0"/>
        <v>3400</v>
      </c>
      <c r="I31" s="218">
        <v>3400</v>
      </c>
      <c r="J31" s="110">
        <f t="shared" si="1"/>
        <v>0</v>
      </c>
    </row>
    <row r="32" spans="1:10" x14ac:dyDescent="0.25">
      <c r="A32" s="261" t="s">
        <v>471</v>
      </c>
      <c r="B32" s="222">
        <v>29</v>
      </c>
      <c r="C32" s="261"/>
      <c r="D32" s="261"/>
      <c r="E32" s="262"/>
      <c r="F32" s="262">
        <v>100</v>
      </c>
      <c r="G32" s="262">
        <v>3300</v>
      </c>
      <c r="H32" s="262">
        <f t="shared" si="0"/>
        <v>3400</v>
      </c>
      <c r="I32" s="218">
        <v>3400</v>
      </c>
      <c r="J32" s="110">
        <f t="shared" si="1"/>
        <v>0</v>
      </c>
    </row>
    <row r="33" spans="1:10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0"/>
        <v>3300</v>
      </c>
      <c r="I33" s="218">
        <v>3300</v>
      </c>
      <c r="J33" s="110">
        <f t="shared" si="1"/>
        <v>0</v>
      </c>
    </row>
    <row r="34" spans="1:10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110">
        <f t="shared" si="1"/>
        <v>0</v>
      </c>
    </row>
    <row r="35" spans="1:10" x14ac:dyDescent="0.25">
      <c r="A35" s="261" t="s">
        <v>481</v>
      </c>
      <c r="B35" s="222">
        <v>32</v>
      </c>
      <c r="C35" s="261"/>
      <c r="D35" s="261"/>
      <c r="E35" s="262"/>
      <c r="F35" s="262">
        <v>100</v>
      </c>
      <c r="G35" s="262">
        <v>2700</v>
      </c>
      <c r="H35" s="262">
        <f>D35+E35+F35+G35</f>
        <v>2800</v>
      </c>
      <c r="I35" s="218">
        <v>2000</v>
      </c>
      <c r="J35" s="110">
        <f t="shared" si="1"/>
        <v>800</v>
      </c>
    </row>
    <row r="36" spans="1:10" x14ac:dyDescent="0.25">
      <c r="A36" s="261" t="s">
        <v>446</v>
      </c>
      <c r="B36" s="222">
        <v>33</v>
      </c>
      <c r="C36" s="10"/>
      <c r="D36" s="10"/>
      <c r="E36" s="10"/>
      <c r="F36" s="10"/>
      <c r="G36" s="10"/>
      <c r="H36" s="10"/>
      <c r="I36" s="10"/>
      <c r="J36" s="110">
        <f>H36-I36</f>
        <v>0</v>
      </c>
    </row>
    <row r="37" spans="1:10" x14ac:dyDescent="0.25">
      <c r="A37" s="266" t="s">
        <v>4</v>
      </c>
      <c r="B37" s="218"/>
      <c r="C37" s="218"/>
      <c r="D37" s="218"/>
      <c r="E37" s="225">
        <f>SUM(E4:E35)</f>
        <v>300</v>
      </c>
      <c r="F37" s="225">
        <f>SUM(F4:F36)</f>
        <v>2900</v>
      </c>
      <c r="G37" s="225">
        <f>SUM(G4:G36)</f>
        <v>105450</v>
      </c>
      <c r="H37" s="225">
        <f>SUM(H4:H36)</f>
        <v>108650</v>
      </c>
      <c r="I37" s="225">
        <f>SUM(I4:I36)</f>
        <v>107800</v>
      </c>
      <c r="J37" s="225">
        <f>SUM(J4:J36)</f>
        <v>850</v>
      </c>
    </row>
    <row r="38" spans="1:10" x14ac:dyDescent="0.25">
      <c r="A38" s="266"/>
      <c r="B38" s="218"/>
      <c r="C38" s="218"/>
      <c r="D38" s="218"/>
      <c r="E38" s="225"/>
      <c r="F38" s="225"/>
      <c r="G38" s="225"/>
      <c r="H38" s="225"/>
      <c r="I38" s="225"/>
      <c r="J38" s="225"/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491</v>
      </c>
      <c r="B41" s="272">
        <f>G37</f>
        <v>105450</v>
      </c>
      <c r="C41" s="218"/>
      <c r="D41" s="218"/>
      <c r="E41" s="218"/>
      <c r="F41" s="218" t="s">
        <v>491</v>
      </c>
      <c r="G41" s="272">
        <f>I37</f>
        <v>107800</v>
      </c>
      <c r="H41" s="218"/>
      <c r="I41" s="218"/>
      <c r="J41" s="110"/>
    </row>
    <row r="42" spans="1:10" x14ac:dyDescent="0.25">
      <c r="A42" s="218" t="s">
        <v>368</v>
      </c>
      <c r="B42" s="272">
        <f>'AUG '!D53</f>
        <v>-10000</v>
      </c>
      <c r="C42" s="218"/>
      <c r="D42" s="218"/>
      <c r="E42" s="218"/>
      <c r="F42" s="218" t="s">
        <v>368</v>
      </c>
      <c r="G42" s="272">
        <f>'AUG '!I53</f>
        <v>-4580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10545</v>
      </c>
      <c r="D43" s="218"/>
      <c r="E43" s="218"/>
      <c r="F43" s="218" t="s">
        <v>410</v>
      </c>
      <c r="G43" s="273">
        <v>0.1</v>
      </c>
      <c r="H43" s="272">
        <f>C43</f>
        <v>10545</v>
      </c>
      <c r="I43" s="218"/>
      <c r="J43" s="110"/>
    </row>
    <row r="44" spans="1:10" x14ac:dyDescent="0.25">
      <c r="A44" s="269" t="s">
        <v>293</v>
      </c>
      <c r="B44" s="274"/>
      <c r="C44" s="218"/>
      <c r="D44" s="218"/>
      <c r="E44" s="218"/>
      <c r="F44" s="269" t="s">
        <v>293</v>
      </c>
      <c r="G44" s="218"/>
      <c r="H44" s="218"/>
      <c r="I44" s="218"/>
      <c r="J44" s="110"/>
    </row>
    <row r="45" spans="1:10" x14ac:dyDescent="0.25">
      <c r="A45" s="202" t="s">
        <v>455</v>
      </c>
      <c r="B45" s="274"/>
      <c r="C45" s="218">
        <v>1000</v>
      </c>
      <c r="D45" s="218"/>
      <c r="E45" s="218"/>
      <c r="F45" s="202" t="s">
        <v>455</v>
      </c>
      <c r="G45" s="274"/>
      <c r="H45" s="218">
        <v>1000</v>
      </c>
      <c r="I45" s="202"/>
      <c r="J45" s="110"/>
    </row>
    <row r="46" spans="1:10" x14ac:dyDescent="0.25">
      <c r="A46" s="282" t="s">
        <v>489</v>
      </c>
      <c r="B46" s="218"/>
      <c r="C46" s="218">
        <v>3400</v>
      </c>
      <c r="D46" s="218"/>
      <c r="E46" s="218"/>
      <c r="F46" s="202" t="s">
        <v>161</v>
      </c>
      <c r="G46" s="274"/>
      <c r="H46" s="218">
        <f>F37</f>
        <v>2900</v>
      </c>
      <c r="I46" s="218"/>
      <c r="J46" s="110"/>
    </row>
    <row r="47" spans="1:10" x14ac:dyDescent="0.25">
      <c r="A47" s="267">
        <v>43353</v>
      </c>
      <c r="B47" s="10"/>
      <c r="C47" s="10">
        <v>74160</v>
      </c>
      <c r="D47" s="218"/>
      <c r="E47" s="218"/>
      <c r="F47" s="282" t="s">
        <v>489</v>
      </c>
      <c r="G47" s="218"/>
      <c r="H47" s="218">
        <v>3400</v>
      </c>
      <c r="I47" s="218"/>
      <c r="J47" s="110"/>
    </row>
    <row r="48" spans="1:10" x14ac:dyDescent="0.25">
      <c r="A48" s="267">
        <v>43360</v>
      </c>
      <c r="B48" s="10"/>
      <c r="C48" s="10">
        <v>2600</v>
      </c>
      <c r="D48" s="218"/>
      <c r="E48" s="218"/>
      <c r="F48" s="276">
        <v>43353</v>
      </c>
      <c r="G48" s="274"/>
      <c r="H48" s="218">
        <v>74160</v>
      </c>
      <c r="I48" s="218"/>
      <c r="J48" s="110"/>
    </row>
    <row r="49" spans="1:10" x14ac:dyDescent="0.25">
      <c r="A49" s="276">
        <v>43363</v>
      </c>
      <c r="B49" s="202"/>
      <c r="C49" s="202">
        <v>1200</v>
      </c>
      <c r="D49" s="218"/>
      <c r="E49" s="218"/>
      <c r="F49" s="276">
        <v>43360</v>
      </c>
      <c r="G49" s="202"/>
      <c r="H49" s="202">
        <v>2600</v>
      </c>
      <c r="I49" s="218"/>
      <c r="J49" s="110"/>
    </row>
    <row r="50" spans="1:10" x14ac:dyDescent="0.25">
      <c r="A50" s="202"/>
      <c r="B50" s="202"/>
      <c r="C50" s="202"/>
      <c r="D50" s="218"/>
      <c r="E50" s="218"/>
      <c r="F50" s="276">
        <v>43363</v>
      </c>
      <c r="G50" s="202"/>
      <c r="H50" s="202">
        <v>1200</v>
      </c>
      <c r="I50" s="218"/>
      <c r="J50" s="110"/>
    </row>
    <row r="51" spans="1:10" x14ac:dyDescent="0.25">
      <c r="A51" s="266" t="s">
        <v>4</v>
      </c>
      <c r="B51" s="272">
        <f>B41+B42</f>
        <v>95450</v>
      </c>
      <c r="C51" s="272">
        <f>SUM(C43:C50)</f>
        <v>92905</v>
      </c>
      <c r="D51" s="272">
        <f>B51-C51</f>
        <v>2545</v>
      </c>
      <c r="E51" s="218"/>
      <c r="F51" s="266" t="s">
        <v>4</v>
      </c>
      <c r="G51" s="277">
        <f>G41+G42</f>
        <v>103220</v>
      </c>
      <c r="H51" s="272">
        <f>SUM(H43:H50)</f>
        <v>95805</v>
      </c>
      <c r="I51" s="272">
        <f>G51-H51</f>
        <v>7415</v>
      </c>
      <c r="J51" s="110"/>
    </row>
    <row r="52" spans="1:10" x14ac:dyDescent="0.25">
      <c r="A52" s="240" t="s">
        <v>112</v>
      </c>
      <c r="B52" s="240"/>
      <c r="D52" s="31" t="s">
        <v>113</v>
      </c>
      <c r="F52" s="31"/>
      <c r="G52" s="31" t="s">
        <v>114</v>
      </c>
      <c r="H52" s="31"/>
      <c r="I52" s="31"/>
      <c r="J52" s="31"/>
    </row>
    <row r="53" spans="1:10" x14ac:dyDescent="0.25">
      <c r="A53" s="31" t="s">
        <v>442</v>
      </c>
      <c r="B53" s="31"/>
      <c r="D53" s="129" t="s">
        <v>441</v>
      </c>
      <c r="E53" s="31"/>
      <c r="F53" s="31"/>
      <c r="G53" s="31" t="s">
        <v>305</v>
      </c>
      <c r="H53" s="31"/>
      <c r="I53" s="31"/>
      <c r="J53" s="31"/>
    </row>
  </sheetData>
  <pageMargins left="0.25" right="0.25" top="0.75" bottom="0.75" header="0.3" footer="0.3"/>
  <pageSetup paperSize="5" orientation="portrait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4" zoomScaleNormal="100" workbookViewId="0">
      <selection activeCell="B32" sqref="B32"/>
    </sheetView>
  </sheetViews>
  <sheetFormatPr defaultRowHeight="15" x14ac:dyDescent="0.25"/>
  <cols>
    <col min="1" max="1" width="16.7109375" style="129" customWidth="1"/>
    <col min="2" max="5" width="9.140625" style="129"/>
    <col min="6" max="6" width="8.85546875" style="129" customWidth="1"/>
    <col min="7" max="9" width="9.140625" style="129"/>
    <col min="10" max="10" width="7.5703125" style="129" customWidth="1"/>
    <col min="11" max="16384" width="9.140625" style="129"/>
  </cols>
  <sheetData>
    <row r="1" spans="1:11" x14ac:dyDescent="0.25">
      <c r="C1" s="23" t="s">
        <v>0</v>
      </c>
      <c r="D1" s="23"/>
      <c r="E1" s="23"/>
      <c r="F1" s="23"/>
      <c r="G1" s="23"/>
      <c r="H1" s="23"/>
      <c r="I1" s="31"/>
      <c r="J1" s="31"/>
    </row>
    <row r="2" spans="1:11" x14ac:dyDescent="0.25">
      <c r="C2" s="23" t="s">
        <v>495</v>
      </c>
      <c r="D2" s="23"/>
      <c r="E2" s="31"/>
      <c r="F2" s="23"/>
      <c r="G2" s="23"/>
      <c r="H2" s="23"/>
      <c r="I2" s="31"/>
      <c r="J2" s="31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1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1" x14ac:dyDescent="0.25">
      <c r="A5" s="260" t="s">
        <v>446</v>
      </c>
      <c r="B5" s="222">
        <v>2</v>
      </c>
      <c r="C5" s="261"/>
      <c r="D5" s="261"/>
      <c r="E5" s="262"/>
      <c r="F5" s="262"/>
      <c r="G5" s="262"/>
      <c r="H5" s="217"/>
      <c r="I5" s="218"/>
      <c r="J5" s="110">
        <f t="shared" ref="J5:J35" si="0">H5-I5</f>
        <v>0</v>
      </c>
      <c r="K5" s="31"/>
    </row>
    <row r="6" spans="1:11" x14ac:dyDescent="0.25">
      <c r="A6" s="261" t="s">
        <v>485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ref="H6:H33" si="1">D6+E6+F6+G6</f>
        <v>2800</v>
      </c>
      <c r="I6" s="218">
        <v>2800</v>
      </c>
      <c r="J6" s="110">
        <f t="shared" si="0"/>
        <v>0</v>
      </c>
      <c r="K6" s="31"/>
    </row>
    <row r="7" spans="1:11" x14ac:dyDescent="0.25">
      <c r="A7" s="261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1"/>
        <v>4000</v>
      </c>
      <c r="I7" s="218">
        <v>4000</v>
      </c>
      <c r="J7" s="110">
        <f t="shared" si="0"/>
        <v>0</v>
      </c>
      <c r="K7" s="31"/>
    </row>
    <row r="8" spans="1:11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1"/>
        <v>4000</v>
      </c>
      <c r="I8" s="218">
        <v>4000</v>
      </c>
      <c r="J8" s="110">
        <f t="shared" si="0"/>
        <v>0</v>
      </c>
      <c r="K8" s="31"/>
    </row>
    <row r="9" spans="1:11" x14ac:dyDescent="0.25">
      <c r="A9" s="110" t="s">
        <v>494</v>
      </c>
      <c r="B9" s="110">
        <v>6</v>
      </c>
      <c r="C9" s="110"/>
      <c r="D9" s="110"/>
      <c r="E9" s="110">
        <v>50</v>
      </c>
      <c r="F9" s="110">
        <v>100</v>
      </c>
      <c r="G9" s="110">
        <v>2700</v>
      </c>
      <c r="H9" s="217">
        <f t="shared" si="1"/>
        <v>2850</v>
      </c>
      <c r="I9" s="110">
        <v>2850</v>
      </c>
      <c r="J9" s="110">
        <f t="shared" si="0"/>
        <v>0</v>
      </c>
      <c r="K9" s="31"/>
    </row>
    <row r="10" spans="1:11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0"/>
        <v>0</v>
      </c>
      <c r="K10" s="31"/>
    </row>
    <row r="11" spans="1:11" x14ac:dyDescent="0.25">
      <c r="A11" s="261" t="s">
        <v>478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>
        <v>2800</v>
      </c>
      <c r="J11" s="110">
        <f t="shared" si="0"/>
        <v>0</v>
      </c>
      <c r="K11" s="31"/>
    </row>
    <row r="12" spans="1:11" x14ac:dyDescent="0.25">
      <c r="A12" s="261" t="s">
        <v>459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0"/>
        <v>0</v>
      </c>
      <c r="K12" s="31"/>
    </row>
    <row r="13" spans="1:11" x14ac:dyDescent="0.25">
      <c r="A13" s="261" t="s">
        <v>463</v>
      </c>
      <c r="B13" s="222">
        <v>10</v>
      </c>
      <c r="C13" s="261"/>
      <c r="D13" s="261"/>
      <c r="E13" s="262"/>
      <c r="F13" s="262"/>
      <c r="G13" s="262"/>
      <c r="H13" s="217">
        <f t="shared" si="1"/>
        <v>0</v>
      </c>
      <c r="I13" s="218"/>
      <c r="J13" s="110">
        <f t="shared" si="0"/>
        <v>0</v>
      </c>
      <c r="K13" s="31"/>
    </row>
    <row r="14" spans="1:11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1"/>
        <v>2800</v>
      </c>
      <c r="I14" s="218">
        <v>2800</v>
      </c>
      <c r="J14" s="110">
        <f t="shared" si="0"/>
        <v>0</v>
      </c>
      <c r="K14" s="31"/>
    </row>
    <row r="15" spans="1:11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1"/>
        <v>2800</v>
      </c>
      <c r="I15" s="218">
        <v>2800</v>
      </c>
      <c r="J15" s="110">
        <f t="shared" si="0"/>
        <v>0</v>
      </c>
      <c r="K15" s="31"/>
    </row>
    <row r="16" spans="1:11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1"/>
        <v>2800</v>
      </c>
      <c r="I16" s="218">
        <v>2800</v>
      </c>
      <c r="J16" s="110">
        <f t="shared" si="0"/>
        <v>0</v>
      </c>
    </row>
    <row r="17" spans="1:10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0"/>
        <v>0</v>
      </c>
    </row>
    <row r="19" spans="1:10" x14ac:dyDescent="0.25">
      <c r="A19" s="196" t="s">
        <v>493</v>
      </c>
      <c r="B19" s="268">
        <v>16</v>
      </c>
      <c r="C19" s="196"/>
      <c r="D19" s="196"/>
      <c r="E19" s="221"/>
      <c r="F19" s="221">
        <v>100</v>
      </c>
      <c r="G19" s="221">
        <v>6000</v>
      </c>
      <c r="H19" s="221">
        <f>D19+E19+F19+G19</f>
        <v>6100</v>
      </c>
      <c r="I19" s="119">
        <v>6000</v>
      </c>
      <c r="J19" s="119">
        <f t="shared" si="0"/>
        <v>100</v>
      </c>
    </row>
    <row r="20" spans="1:10" x14ac:dyDescent="0.25">
      <c r="A20" s="260" t="s">
        <v>492</v>
      </c>
      <c r="B20" s="222">
        <v>17</v>
      </c>
      <c r="C20" s="261"/>
      <c r="D20" s="261"/>
      <c r="E20" s="218"/>
      <c r="F20" s="218">
        <v>100</v>
      </c>
      <c r="G20" s="265">
        <v>2900</v>
      </c>
      <c r="H20" s="262">
        <f>D20+E20+F20+G20</f>
        <v>3000</v>
      </c>
      <c r="I20" s="218">
        <v>3000</v>
      </c>
      <c r="J20" s="110">
        <f t="shared" si="0"/>
        <v>0</v>
      </c>
    </row>
    <row r="21" spans="1:10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0"/>
        <v>0</v>
      </c>
    </row>
    <row r="22" spans="1:10" x14ac:dyDescent="0.25">
      <c r="A22" s="261" t="s">
        <v>484</v>
      </c>
      <c r="B22" s="263">
        <v>19</v>
      </c>
      <c r="C22" s="261"/>
      <c r="D22" s="261"/>
      <c r="E22" s="262"/>
      <c r="F22" s="262">
        <v>100</v>
      </c>
      <c r="G22" s="262">
        <v>2700</v>
      </c>
      <c r="H22" s="262">
        <f t="shared" si="1"/>
        <v>2800</v>
      </c>
      <c r="I22" s="218">
        <v>2800</v>
      </c>
      <c r="J22" s="110">
        <f t="shared" si="0"/>
        <v>0</v>
      </c>
    </row>
    <row r="23" spans="1:10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1"/>
        <v>3800</v>
      </c>
      <c r="I23" s="218">
        <v>3800</v>
      </c>
      <c r="J23" s="110">
        <f t="shared" si="0"/>
        <v>0</v>
      </c>
    </row>
    <row r="24" spans="1:10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1"/>
        <v>0</v>
      </c>
      <c r="I24" s="218"/>
      <c r="J24" s="110">
        <f t="shared" si="0"/>
        <v>0</v>
      </c>
    </row>
    <row r="25" spans="1:10" x14ac:dyDescent="0.25">
      <c r="A25" s="261" t="s">
        <v>435</v>
      </c>
      <c r="B25" s="222">
        <v>22</v>
      </c>
      <c r="C25" s="261"/>
      <c r="D25" s="261"/>
      <c r="E25" s="262"/>
      <c r="F25" s="262">
        <v>100</v>
      </c>
      <c r="G25" s="262">
        <v>3500</v>
      </c>
      <c r="H25" s="262">
        <f t="shared" si="1"/>
        <v>3600</v>
      </c>
      <c r="I25" s="218">
        <v>3000</v>
      </c>
      <c r="J25" s="110">
        <f t="shared" si="0"/>
        <v>600</v>
      </c>
    </row>
    <row r="26" spans="1:10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1"/>
        <v>3800</v>
      </c>
      <c r="I26" s="218">
        <v>3800</v>
      </c>
      <c r="J26" s="110">
        <f t="shared" si="0"/>
        <v>0</v>
      </c>
    </row>
    <row r="27" spans="1:10" x14ac:dyDescent="0.25">
      <c r="A27" s="261" t="s">
        <v>488</v>
      </c>
      <c r="B27" s="222">
        <v>24</v>
      </c>
      <c r="C27" s="261"/>
      <c r="D27" s="261"/>
      <c r="E27" s="261"/>
      <c r="F27" s="262">
        <v>100</v>
      </c>
      <c r="G27" s="261">
        <v>3900</v>
      </c>
      <c r="H27" s="262">
        <f t="shared" si="1"/>
        <v>4000</v>
      </c>
      <c r="I27" s="218">
        <v>4000</v>
      </c>
      <c r="J27" s="110">
        <f t="shared" si="0"/>
        <v>0</v>
      </c>
    </row>
    <row r="28" spans="1:10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1"/>
        <v>3500</v>
      </c>
      <c r="I28" s="218">
        <v>3500</v>
      </c>
      <c r="J28" s="110">
        <f t="shared" si="0"/>
        <v>0</v>
      </c>
    </row>
    <row r="29" spans="1:10" x14ac:dyDescent="0.25">
      <c r="A29" s="261" t="s">
        <v>479</v>
      </c>
      <c r="B29" s="222">
        <v>26</v>
      </c>
      <c r="C29" s="261"/>
      <c r="D29" s="261"/>
      <c r="E29" s="262"/>
      <c r="F29" s="262">
        <v>100</v>
      </c>
      <c r="G29" s="262">
        <v>3400</v>
      </c>
      <c r="H29" s="262">
        <f t="shared" si="1"/>
        <v>3500</v>
      </c>
      <c r="I29" s="218">
        <v>3500</v>
      </c>
      <c r="J29" s="110">
        <f t="shared" si="0"/>
        <v>0</v>
      </c>
    </row>
    <row r="30" spans="1:10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1"/>
        <v>3400</v>
      </c>
      <c r="I30" s="218">
        <v>3400</v>
      </c>
      <c r="J30" s="110">
        <f t="shared" si="0"/>
        <v>0</v>
      </c>
    </row>
    <row r="31" spans="1:10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261" t="s">
        <v>471</v>
      </c>
      <c r="B32" s="222">
        <v>29</v>
      </c>
      <c r="C32" s="261"/>
      <c r="D32" s="261"/>
      <c r="E32" s="262"/>
      <c r="F32" s="262">
        <v>100</v>
      </c>
      <c r="G32" s="262">
        <v>3300</v>
      </c>
      <c r="H32" s="262">
        <f t="shared" si="1"/>
        <v>3400</v>
      </c>
      <c r="I32" s="218">
        <v>3400</v>
      </c>
      <c r="J32" s="110">
        <f t="shared" si="0"/>
        <v>0</v>
      </c>
    </row>
    <row r="33" spans="1:10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1"/>
        <v>3300</v>
      </c>
      <c r="I33" s="218">
        <v>3300</v>
      </c>
      <c r="J33" s="110">
        <f t="shared" si="0"/>
        <v>0</v>
      </c>
    </row>
    <row r="34" spans="1:10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110">
        <f t="shared" si="0"/>
        <v>0</v>
      </c>
    </row>
    <row r="35" spans="1:10" x14ac:dyDescent="0.25">
      <c r="A35" s="261" t="s">
        <v>481</v>
      </c>
      <c r="B35" s="222">
        <v>32</v>
      </c>
      <c r="C35" s="261"/>
      <c r="D35" s="261"/>
      <c r="E35" s="262">
        <v>800</v>
      </c>
      <c r="F35" s="262">
        <v>100</v>
      </c>
      <c r="G35" s="262">
        <v>2700</v>
      </c>
      <c r="H35" s="262">
        <f>D35+E35+F35+G35</f>
        <v>3600</v>
      </c>
      <c r="I35" s="218">
        <v>3600</v>
      </c>
      <c r="J35" s="110">
        <f t="shared" si="0"/>
        <v>0</v>
      </c>
    </row>
    <row r="36" spans="1:10" x14ac:dyDescent="0.25">
      <c r="A36" s="261" t="s">
        <v>498</v>
      </c>
      <c r="B36" s="222">
        <v>33</v>
      </c>
      <c r="C36" s="10"/>
      <c r="D36" s="10"/>
      <c r="E36" s="10"/>
      <c r="F36" s="10">
        <v>100</v>
      </c>
      <c r="G36" s="10">
        <v>2700</v>
      </c>
      <c r="H36" s="262">
        <f>D36+E36+F36+G36</f>
        <v>2800</v>
      </c>
      <c r="I36" s="10">
        <v>2800</v>
      </c>
      <c r="J36" s="110">
        <f>H36-I36</f>
        <v>0</v>
      </c>
    </row>
    <row r="37" spans="1:10" x14ac:dyDescent="0.25">
      <c r="A37" s="266" t="s">
        <v>4</v>
      </c>
      <c r="B37" s="218"/>
      <c r="C37" s="218"/>
      <c r="D37" s="218"/>
      <c r="E37" s="225">
        <f>SUM(E4:E35)</f>
        <v>850</v>
      </c>
      <c r="F37" s="225">
        <f>SUM(F4:F36)</f>
        <v>3000</v>
      </c>
      <c r="G37" s="225">
        <f>SUM(G4:G36)</f>
        <v>99600</v>
      </c>
      <c r="H37" s="225">
        <f>SUM(H4:H36)</f>
        <v>103450</v>
      </c>
      <c r="I37" s="225">
        <f>SUM(I4:I36)</f>
        <v>102750</v>
      </c>
      <c r="J37" s="225">
        <f>SUM(J4:J36)</f>
        <v>700</v>
      </c>
    </row>
    <row r="38" spans="1:10" x14ac:dyDescent="0.25">
      <c r="A38" s="252" t="s">
        <v>286</v>
      </c>
      <c r="B38" s="281" t="s">
        <v>370</v>
      </c>
      <c r="C38" s="281"/>
      <c r="D38" s="283"/>
      <c r="E38" s="281"/>
      <c r="F38" s="281" t="s">
        <v>84</v>
      </c>
      <c r="G38" s="281"/>
      <c r="H38" s="281"/>
      <c r="I38" s="281"/>
      <c r="J38" s="281"/>
    </row>
    <row r="39" spans="1:10" x14ac:dyDescent="0.25">
      <c r="A39" s="269" t="s">
        <v>287</v>
      </c>
      <c r="B39" s="269" t="s">
        <v>288</v>
      </c>
      <c r="C39" s="269" t="s">
        <v>289</v>
      </c>
      <c r="D39" s="269" t="s">
        <v>367</v>
      </c>
      <c r="E39" s="271"/>
      <c r="F39" s="269" t="s">
        <v>287</v>
      </c>
      <c r="G39" s="269" t="s">
        <v>288</v>
      </c>
      <c r="H39" s="269" t="s">
        <v>289</v>
      </c>
      <c r="I39" s="269" t="s">
        <v>367</v>
      </c>
      <c r="J39" s="110"/>
    </row>
    <row r="40" spans="1:10" x14ac:dyDescent="0.25">
      <c r="A40" s="218" t="s">
        <v>496</v>
      </c>
      <c r="B40" s="272">
        <f>G37</f>
        <v>99600</v>
      </c>
      <c r="C40" s="218"/>
      <c r="D40" s="218"/>
      <c r="E40" s="218"/>
      <c r="F40" s="218" t="s">
        <v>496</v>
      </c>
      <c r="G40" s="272">
        <f>I37</f>
        <v>102750</v>
      </c>
      <c r="H40" s="218"/>
      <c r="I40" s="218"/>
      <c r="J40" s="110"/>
    </row>
    <row r="41" spans="1:10" x14ac:dyDescent="0.25">
      <c r="A41" s="218" t="s">
        <v>368</v>
      </c>
      <c r="B41" s="272">
        <f>SEP!D51</f>
        <v>2545</v>
      </c>
      <c r="C41" s="218"/>
      <c r="D41" s="218"/>
      <c r="E41" s="218"/>
      <c r="F41" s="218" t="s">
        <v>368</v>
      </c>
      <c r="G41" s="272">
        <f>SEP!I51</f>
        <v>7415</v>
      </c>
      <c r="H41" s="218"/>
      <c r="I41" s="218"/>
      <c r="J41" s="110"/>
    </row>
    <row r="42" spans="1:10" x14ac:dyDescent="0.25">
      <c r="A42" s="218" t="s">
        <v>410</v>
      </c>
      <c r="B42" s="273">
        <v>0.1</v>
      </c>
      <c r="C42" s="272">
        <f>B42*B40</f>
        <v>9960</v>
      </c>
      <c r="D42" s="218"/>
      <c r="E42" s="218"/>
      <c r="F42" s="218" t="s">
        <v>410</v>
      </c>
      <c r="G42" s="273">
        <v>0.1</v>
      </c>
      <c r="H42" s="272">
        <f>C42</f>
        <v>9960</v>
      </c>
      <c r="I42" s="218"/>
      <c r="J42" s="110"/>
    </row>
    <row r="43" spans="1:10" x14ac:dyDescent="0.25">
      <c r="A43" s="269" t="s">
        <v>293</v>
      </c>
      <c r="B43" s="274"/>
      <c r="C43" s="218"/>
      <c r="D43" s="218"/>
      <c r="E43" s="218"/>
      <c r="F43" s="269" t="s">
        <v>293</v>
      </c>
      <c r="G43" s="218"/>
      <c r="H43" s="218"/>
      <c r="I43" s="218"/>
      <c r="J43" s="110"/>
    </row>
    <row r="44" spans="1:10" x14ac:dyDescent="0.25">
      <c r="A44" s="202" t="s">
        <v>455</v>
      </c>
      <c r="B44" s="274"/>
      <c r="C44" s="218">
        <v>1000</v>
      </c>
      <c r="D44" s="218"/>
      <c r="E44" s="218"/>
      <c r="F44" s="202" t="s">
        <v>455</v>
      </c>
      <c r="G44" s="274"/>
      <c r="H44" s="218">
        <v>1000</v>
      </c>
      <c r="I44" s="202"/>
      <c r="J44" s="110"/>
    </row>
    <row r="45" spans="1:10" x14ac:dyDescent="0.25">
      <c r="A45" s="282" t="s">
        <v>480</v>
      </c>
      <c r="B45" s="218"/>
      <c r="C45" s="218">
        <v>2000</v>
      </c>
      <c r="D45" s="218"/>
      <c r="E45" s="218"/>
      <c r="F45" s="202" t="s">
        <v>161</v>
      </c>
      <c r="G45" s="274"/>
      <c r="H45" s="218">
        <f>F37</f>
        <v>3000</v>
      </c>
      <c r="I45" s="218"/>
      <c r="J45" s="110"/>
    </row>
    <row r="46" spans="1:10" x14ac:dyDescent="0.25">
      <c r="A46" s="267" t="s">
        <v>499</v>
      </c>
      <c r="B46" s="10"/>
      <c r="C46" s="10">
        <v>2800</v>
      </c>
      <c r="D46" s="218"/>
      <c r="E46" s="218"/>
      <c r="F46" s="282" t="s">
        <v>480</v>
      </c>
      <c r="G46" s="218"/>
      <c r="H46" s="218">
        <v>2000</v>
      </c>
      <c r="I46" s="218"/>
      <c r="J46" s="110"/>
    </row>
    <row r="47" spans="1:10" x14ac:dyDescent="0.25">
      <c r="A47" s="267">
        <v>43385</v>
      </c>
      <c r="B47" s="10"/>
      <c r="C47" s="10">
        <v>86205</v>
      </c>
      <c r="D47" s="218"/>
      <c r="E47" s="218"/>
      <c r="F47" s="276">
        <v>43385</v>
      </c>
      <c r="G47" s="274"/>
      <c r="H47" s="218">
        <v>86205</v>
      </c>
      <c r="I47" s="218"/>
      <c r="J47" s="110"/>
    </row>
    <row r="48" spans="1:10" x14ac:dyDescent="0.25">
      <c r="A48" s="10"/>
      <c r="B48" s="10"/>
      <c r="C48" s="10"/>
      <c r="D48" s="10"/>
      <c r="E48" s="10"/>
      <c r="F48" s="267" t="s">
        <v>499</v>
      </c>
      <c r="G48" s="10"/>
      <c r="H48" s="10">
        <v>2800</v>
      </c>
      <c r="I48" s="218"/>
      <c r="J48" s="110"/>
    </row>
    <row r="49" spans="1:10" x14ac:dyDescent="0.25">
      <c r="A49" s="266" t="s">
        <v>4</v>
      </c>
      <c r="B49" s="272">
        <f>B40+B41</f>
        <v>102145</v>
      </c>
      <c r="C49" s="272">
        <f>SUM(C42:C48)</f>
        <v>101965</v>
      </c>
      <c r="D49" s="272">
        <f>B49-C49</f>
        <v>180</v>
      </c>
      <c r="E49" s="218"/>
      <c r="F49" s="266" t="s">
        <v>4</v>
      </c>
      <c r="G49" s="277">
        <f>G40+G41</f>
        <v>110165</v>
      </c>
      <c r="H49" s="272">
        <f>SUM(H42:H48)</f>
        <v>104965</v>
      </c>
      <c r="I49" s="272">
        <f>G49-H49</f>
        <v>5200</v>
      </c>
      <c r="J49" s="110"/>
    </row>
    <row r="50" spans="1:10" x14ac:dyDescent="0.25">
      <c r="A50" s="240" t="s">
        <v>112</v>
      </c>
      <c r="B50" s="240"/>
      <c r="D50" s="31" t="s">
        <v>113</v>
      </c>
      <c r="F50" s="31"/>
      <c r="G50" s="31" t="s">
        <v>114</v>
      </c>
      <c r="H50" s="31"/>
      <c r="I50" s="31"/>
      <c r="J50" s="31"/>
    </row>
    <row r="51" spans="1:10" x14ac:dyDescent="0.25">
      <c r="A51" s="31" t="s">
        <v>442</v>
      </c>
      <c r="B51" s="31"/>
      <c r="D51" s="129" t="s">
        <v>441</v>
      </c>
      <c r="E51" s="31"/>
      <c r="F51" s="31"/>
      <c r="G51" s="31" t="s">
        <v>497</v>
      </c>
      <c r="H51" s="31"/>
      <c r="I51" s="31"/>
      <c r="J51" s="31"/>
    </row>
  </sheetData>
  <pageMargins left="0" right="0" top="0" bottom="0" header="0" footer="0.3"/>
  <pageSetup paperSize="9"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D54" sqref="D54"/>
    </sheetView>
  </sheetViews>
  <sheetFormatPr defaultRowHeight="15" x14ac:dyDescent="0.25"/>
  <cols>
    <col min="1" max="1" width="16.7109375" style="129" customWidth="1"/>
    <col min="2" max="2" width="10.7109375" style="129" bestFit="1" customWidth="1"/>
    <col min="3" max="3" width="9" style="129" customWidth="1"/>
    <col min="4" max="4" width="9.140625" style="129" customWidth="1"/>
    <col min="5" max="5" width="6.7109375" style="129" bestFit="1" customWidth="1"/>
    <col min="6" max="6" width="10" style="129" customWidth="1"/>
    <col min="7" max="7" width="9.28515625" style="129" customWidth="1"/>
    <col min="8" max="8" width="7.7109375" style="129" bestFit="1" customWidth="1"/>
    <col min="9" max="9" width="9.5703125" style="129" bestFit="1" customWidth="1"/>
    <col min="10" max="10" width="7.570312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/>
      <c r="F2" s="286"/>
      <c r="G2" s="23"/>
      <c r="H2" s="23"/>
      <c r="I2" s="31"/>
      <c r="J2" s="31"/>
    </row>
    <row r="3" spans="1:11" x14ac:dyDescent="0.25">
      <c r="C3" s="286" t="s">
        <v>502</v>
      </c>
      <c r="D3" s="286"/>
      <c r="E3" s="286"/>
      <c r="F3" s="286"/>
      <c r="G3" s="23"/>
      <c r="H3" s="23"/>
      <c r="I3" s="31"/>
      <c r="J3" s="31"/>
    </row>
    <row r="4" spans="1:11" x14ac:dyDescent="0.25">
      <c r="A4" s="214" t="s">
        <v>110</v>
      </c>
      <c r="B4" s="214" t="s">
        <v>2</v>
      </c>
      <c r="C4" s="214" t="s">
        <v>17</v>
      </c>
      <c r="D4" s="214" t="s">
        <v>108</v>
      </c>
      <c r="E4" s="214" t="s">
        <v>160</v>
      </c>
      <c r="F4" s="214" t="s">
        <v>161</v>
      </c>
      <c r="G4" s="214" t="s">
        <v>5</v>
      </c>
      <c r="H4" s="215" t="s">
        <v>19</v>
      </c>
      <c r="I4" s="119" t="s">
        <v>84</v>
      </c>
      <c r="J4" s="119" t="s">
        <v>290</v>
      </c>
    </row>
    <row r="5" spans="1:11" x14ac:dyDescent="0.25">
      <c r="A5" s="177" t="s">
        <v>275</v>
      </c>
      <c r="B5" s="216">
        <v>1</v>
      </c>
      <c r="C5" s="177"/>
      <c r="D5" s="177"/>
      <c r="E5" s="217"/>
      <c r="F5" s="217">
        <v>100</v>
      </c>
      <c r="G5" s="217">
        <v>4500</v>
      </c>
      <c r="H5" s="217">
        <f>D5+E5+F5+G5</f>
        <v>4600</v>
      </c>
      <c r="I5" s="218">
        <v>4600</v>
      </c>
      <c r="J5" s="110">
        <f>H5-I5</f>
        <v>0</v>
      </c>
    </row>
    <row r="6" spans="1:11" x14ac:dyDescent="0.25">
      <c r="A6" s="260" t="s">
        <v>446</v>
      </c>
      <c r="B6" s="222">
        <v>2</v>
      </c>
      <c r="C6" s="261"/>
      <c r="D6" s="261"/>
      <c r="E6" s="262"/>
      <c r="F6" s="262"/>
      <c r="G6" s="262"/>
      <c r="H6" s="217"/>
      <c r="I6" s="218"/>
      <c r="J6" s="110">
        <f t="shared" ref="J6:J36" si="0">H6-I6</f>
        <v>0</v>
      </c>
      <c r="K6" s="31"/>
    </row>
    <row r="7" spans="1:11" x14ac:dyDescent="0.25">
      <c r="A7" s="261" t="s">
        <v>485</v>
      </c>
      <c r="B7" s="222">
        <v>3</v>
      </c>
      <c r="C7" s="261"/>
      <c r="D7" s="261"/>
      <c r="E7" s="262"/>
      <c r="F7" s="262">
        <v>100</v>
      </c>
      <c r="G7" s="262">
        <v>2700</v>
      </c>
      <c r="H7" s="217">
        <f t="shared" ref="H7:H34" si="1">D7+E7+F7+G7</f>
        <v>2800</v>
      </c>
      <c r="I7" s="218">
        <v>2800</v>
      </c>
      <c r="J7" s="110">
        <f t="shared" si="0"/>
        <v>0</v>
      </c>
      <c r="K7" s="31"/>
    </row>
    <row r="8" spans="1:11" x14ac:dyDescent="0.25">
      <c r="A8" s="261" t="s">
        <v>458</v>
      </c>
      <c r="B8" s="222">
        <v>4</v>
      </c>
      <c r="C8" s="261"/>
      <c r="D8" s="261"/>
      <c r="E8" s="262"/>
      <c r="F8" s="262">
        <v>100</v>
      </c>
      <c r="G8" s="262">
        <v>3900</v>
      </c>
      <c r="H8" s="217">
        <f t="shared" si="1"/>
        <v>4000</v>
      </c>
      <c r="I8" s="218">
        <v>4000</v>
      </c>
      <c r="J8" s="110">
        <f t="shared" si="0"/>
        <v>0</v>
      </c>
      <c r="K8" s="31"/>
    </row>
    <row r="9" spans="1:11" x14ac:dyDescent="0.25">
      <c r="A9" s="261" t="s">
        <v>417</v>
      </c>
      <c r="B9" s="222">
        <v>5</v>
      </c>
      <c r="C9" s="261"/>
      <c r="D9" s="261"/>
      <c r="E9" s="262"/>
      <c r="F9" s="262">
        <v>100</v>
      </c>
      <c r="G9" s="262">
        <v>3900</v>
      </c>
      <c r="H9" s="217">
        <f t="shared" si="1"/>
        <v>4000</v>
      </c>
      <c r="I9" s="218">
        <v>4000</v>
      </c>
      <c r="J9" s="110">
        <f t="shared" si="0"/>
        <v>0</v>
      </c>
      <c r="K9" s="31"/>
    </row>
    <row r="10" spans="1:11" x14ac:dyDescent="0.25">
      <c r="A10" s="119" t="s">
        <v>503</v>
      </c>
      <c r="B10" s="268">
        <v>6</v>
      </c>
      <c r="C10" s="105"/>
      <c r="D10" s="105"/>
      <c r="E10" s="119"/>
      <c r="F10" s="119">
        <v>100</v>
      </c>
      <c r="G10" s="119">
        <v>5400</v>
      </c>
      <c r="H10" s="221">
        <f t="shared" si="1"/>
        <v>5500</v>
      </c>
      <c r="I10" s="119">
        <v>4000</v>
      </c>
      <c r="J10" s="119">
        <f t="shared" si="0"/>
        <v>1500</v>
      </c>
      <c r="K10" s="31"/>
    </row>
    <row r="11" spans="1:11" x14ac:dyDescent="0.25">
      <c r="A11" s="261" t="s">
        <v>416</v>
      </c>
      <c r="B11" s="263">
        <v>7</v>
      </c>
      <c r="C11" s="261"/>
      <c r="D11" s="261"/>
      <c r="E11" s="262"/>
      <c r="F11" s="262">
        <v>100</v>
      </c>
      <c r="G11" s="262">
        <v>5400</v>
      </c>
      <c r="H11" s="217">
        <f>D11+E11+F11+G11</f>
        <v>5500</v>
      </c>
      <c r="I11" s="218">
        <v>5500</v>
      </c>
      <c r="J11" s="110">
        <f t="shared" si="0"/>
        <v>0</v>
      </c>
      <c r="K11" s="31"/>
    </row>
    <row r="12" spans="1:11" x14ac:dyDescent="0.25">
      <c r="A12" s="261" t="s">
        <v>478</v>
      </c>
      <c r="B12" s="263">
        <v>8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0"/>
        <v>0</v>
      </c>
      <c r="K12" s="31"/>
    </row>
    <row r="13" spans="1:11" x14ac:dyDescent="0.25">
      <c r="A13" s="261" t="s">
        <v>459</v>
      </c>
      <c r="B13" s="222">
        <v>9</v>
      </c>
      <c r="C13" s="261"/>
      <c r="D13" s="261"/>
      <c r="E13" s="262"/>
      <c r="F13" s="262">
        <v>100</v>
      </c>
      <c r="G13" s="262">
        <v>2700</v>
      </c>
      <c r="H13" s="217">
        <f>D13+E13+F13+G13</f>
        <v>2800</v>
      </c>
      <c r="I13" s="218">
        <v>2800</v>
      </c>
      <c r="J13" s="110">
        <f t="shared" si="0"/>
        <v>0</v>
      </c>
      <c r="K13" s="31"/>
    </row>
    <row r="14" spans="1:11" x14ac:dyDescent="0.25">
      <c r="A14" s="110" t="s">
        <v>494</v>
      </c>
      <c r="B14" s="110">
        <v>10</v>
      </c>
      <c r="C14" s="110"/>
      <c r="D14" s="110"/>
      <c r="E14" s="110"/>
      <c r="F14" s="110">
        <v>100</v>
      </c>
      <c r="G14" s="110">
        <v>2700</v>
      </c>
      <c r="H14" s="217">
        <f>D14+E14+F14+G14</f>
        <v>2800</v>
      </c>
      <c r="I14" s="110">
        <v>2750</v>
      </c>
      <c r="J14" s="110">
        <f>H14-I14</f>
        <v>50</v>
      </c>
      <c r="K14" s="31"/>
    </row>
    <row r="15" spans="1:11" x14ac:dyDescent="0.25">
      <c r="A15" s="260" t="s">
        <v>443</v>
      </c>
      <c r="B15" s="222">
        <v>11</v>
      </c>
      <c r="C15" s="261"/>
      <c r="D15" s="261"/>
      <c r="E15" s="262"/>
      <c r="F15" s="262">
        <v>100</v>
      </c>
      <c r="G15" s="262">
        <v>2700</v>
      </c>
      <c r="H15" s="217">
        <f t="shared" si="1"/>
        <v>2800</v>
      </c>
      <c r="I15" s="218">
        <v>2800</v>
      </c>
      <c r="J15" s="110">
        <f t="shared" si="0"/>
        <v>0</v>
      </c>
      <c r="K15" s="31"/>
    </row>
    <row r="16" spans="1:11" x14ac:dyDescent="0.25">
      <c r="A16" s="261" t="s">
        <v>460</v>
      </c>
      <c r="B16" s="222">
        <v>12</v>
      </c>
      <c r="C16" s="261"/>
      <c r="D16" s="261"/>
      <c r="E16" s="262"/>
      <c r="F16" s="262">
        <v>100</v>
      </c>
      <c r="G16" s="262">
        <v>2700</v>
      </c>
      <c r="H16" s="217">
        <f t="shared" si="1"/>
        <v>2800</v>
      </c>
      <c r="I16" s="218">
        <v>2800</v>
      </c>
      <c r="J16" s="110">
        <f t="shared" si="0"/>
        <v>0</v>
      </c>
      <c r="K16" s="31"/>
    </row>
    <row r="17" spans="1:10" x14ac:dyDescent="0.25">
      <c r="A17" s="260" t="s">
        <v>444</v>
      </c>
      <c r="B17" s="222">
        <v>13</v>
      </c>
      <c r="C17" s="261"/>
      <c r="D17" s="261"/>
      <c r="E17" s="261"/>
      <c r="F17" s="262">
        <v>100</v>
      </c>
      <c r="G17" s="264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261" t="s">
        <v>473</v>
      </c>
      <c r="B18" s="222">
        <v>14</v>
      </c>
      <c r="C18" s="261"/>
      <c r="D18" s="261"/>
      <c r="E18" s="262"/>
      <c r="F18" s="262">
        <v>100</v>
      </c>
      <c r="G18" s="262">
        <v>2700</v>
      </c>
      <c r="H18" s="217">
        <f t="shared" si="1"/>
        <v>2800</v>
      </c>
      <c r="I18" s="218">
        <v>2800</v>
      </c>
      <c r="J18" s="110">
        <f t="shared" si="0"/>
        <v>0</v>
      </c>
    </row>
    <row r="19" spans="1:10" x14ac:dyDescent="0.25">
      <c r="A19" s="261" t="s">
        <v>426</v>
      </c>
      <c r="B19" s="222">
        <v>15</v>
      </c>
      <c r="C19" s="261"/>
      <c r="D19" s="261"/>
      <c r="E19" s="262"/>
      <c r="F19" s="262">
        <v>100</v>
      </c>
      <c r="G19" s="262">
        <v>2700</v>
      </c>
      <c r="H19" s="262">
        <f>D19+E19+F19+G19</f>
        <v>2800</v>
      </c>
      <c r="I19" s="218">
        <v>2800</v>
      </c>
      <c r="J19" s="110">
        <f t="shared" si="0"/>
        <v>0</v>
      </c>
    </row>
    <row r="20" spans="1:10" x14ac:dyDescent="0.25">
      <c r="A20" s="261" t="s">
        <v>493</v>
      </c>
      <c r="B20" s="222">
        <v>16</v>
      </c>
      <c r="C20" s="261"/>
      <c r="D20" s="261"/>
      <c r="E20" s="262">
        <v>100</v>
      </c>
      <c r="F20" s="262"/>
      <c r="G20" s="262">
        <v>3000</v>
      </c>
      <c r="H20" s="262">
        <f>D20+E20+F20+G20</f>
        <v>3100</v>
      </c>
      <c r="I20" s="218">
        <v>1500</v>
      </c>
      <c r="J20" s="218">
        <f t="shared" si="0"/>
        <v>1600</v>
      </c>
    </row>
    <row r="21" spans="1:10" x14ac:dyDescent="0.25">
      <c r="A21" s="260" t="s">
        <v>492</v>
      </c>
      <c r="B21" s="222">
        <v>17</v>
      </c>
      <c r="C21" s="261"/>
      <c r="D21" s="261"/>
      <c r="E21" s="218"/>
      <c r="F21" s="218">
        <v>100</v>
      </c>
      <c r="G21" s="265">
        <v>2900</v>
      </c>
      <c r="H21" s="262">
        <f>D21+E21+F21+G21</f>
        <v>3000</v>
      </c>
      <c r="I21" s="218">
        <v>3000</v>
      </c>
      <c r="J21" s="110">
        <f t="shared" si="0"/>
        <v>0</v>
      </c>
    </row>
    <row r="22" spans="1:10" x14ac:dyDescent="0.25">
      <c r="A22" s="261" t="s">
        <v>346</v>
      </c>
      <c r="B22" s="222">
        <v>18</v>
      </c>
      <c r="C22" s="261"/>
      <c r="D22" s="261"/>
      <c r="E22" s="262"/>
      <c r="F22" s="262">
        <v>100</v>
      </c>
      <c r="G22" s="262">
        <v>2700</v>
      </c>
      <c r="H22" s="262">
        <f>D22+E22+F22+G22</f>
        <v>2800</v>
      </c>
      <c r="I22" s="218">
        <v>2800</v>
      </c>
      <c r="J22" s="110">
        <f t="shared" si="0"/>
        <v>0</v>
      </c>
    </row>
    <row r="23" spans="1:10" x14ac:dyDescent="0.25">
      <c r="A23" s="261" t="s">
        <v>484</v>
      </c>
      <c r="B23" s="263">
        <v>19</v>
      </c>
      <c r="C23" s="261"/>
      <c r="D23" s="261"/>
      <c r="E23" s="262"/>
      <c r="F23" s="262">
        <v>100</v>
      </c>
      <c r="G23" s="262">
        <v>2700</v>
      </c>
      <c r="H23" s="262">
        <f t="shared" si="1"/>
        <v>2800</v>
      </c>
      <c r="I23" s="218">
        <v>2800</v>
      </c>
      <c r="J23" s="110">
        <f t="shared" si="0"/>
        <v>0</v>
      </c>
    </row>
    <row r="24" spans="1:10" x14ac:dyDescent="0.25">
      <c r="A24" s="261" t="s">
        <v>461</v>
      </c>
      <c r="B24" s="222">
        <v>20</v>
      </c>
      <c r="C24" s="261"/>
      <c r="D24" s="261"/>
      <c r="E24" s="262"/>
      <c r="F24" s="262">
        <v>100</v>
      </c>
      <c r="G24" s="262">
        <v>3700</v>
      </c>
      <c r="H24" s="262">
        <f t="shared" si="1"/>
        <v>3800</v>
      </c>
      <c r="I24" s="218">
        <v>3800</v>
      </c>
      <c r="J24" s="110">
        <f t="shared" si="0"/>
        <v>0</v>
      </c>
    </row>
    <row r="25" spans="1:10" x14ac:dyDescent="0.25">
      <c r="A25" s="261" t="s">
        <v>37</v>
      </c>
      <c r="B25" s="222">
        <v>21</v>
      </c>
      <c r="C25" s="261"/>
      <c r="D25" s="261"/>
      <c r="E25" s="262"/>
      <c r="F25" s="262"/>
      <c r="G25" s="262"/>
      <c r="H25" s="262">
        <f t="shared" si="1"/>
        <v>0</v>
      </c>
      <c r="I25" s="218"/>
      <c r="J25" s="110">
        <f t="shared" si="0"/>
        <v>0</v>
      </c>
    </row>
    <row r="26" spans="1:10" x14ac:dyDescent="0.25">
      <c r="A26" s="261" t="s">
        <v>435</v>
      </c>
      <c r="B26" s="222">
        <v>22</v>
      </c>
      <c r="C26" s="261"/>
      <c r="D26" s="261"/>
      <c r="E26" s="262">
        <v>600</v>
      </c>
      <c r="F26" s="262">
        <v>100</v>
      </c>
      <c r="G26" s="262">
        <v>3500</v>
      </c>
      <c r="H26" s="262">
        <f t="shared" si="1"/>
        <v>4200</v>
      </c>
      <c r="I26" s="218">
        <v>4200</v>
      </c>
      <c r="J26" s="110">
        <f t="shared" si="0"/>
        <v>0</v>
      </c>
    </row>
    <row r="27" spans="1:10" x14ac:dyDescent="0.25">
      <c r="A27" s="261" t="s">
        <v>347</v>
      </c>
      <c r="B27" s="222">
        <v>23</v>
      </c>
      <c r="C27" s="261"/>
      <c r="D27" s="261"/>
      <c r="E27" s="264"/>
      <c r="F27" s="262">
        <v>100</v>
      </c>
      <c r="G27" s="264">
        <v>3700</v>
      </c>
      <c r="H27" s="262">
        <f t="shared" si="1"/>
        <v>3800</v>
      </c>
      <c r="I27" s="218">
        <v>3800</v>
      </c>
      <c r="J27" s="110">
        <f t="shared" si="0"/>
        <v>0</v>
      </c>
    </row>
    <row r="28" spans="1:10" x14ac:dyDescent="0.25">
      <c r="A28" s="261" t="s">
        <v>488</v>
      </c>
      <c r="B28" s="222">
        <v>24</v>
      </c>
      <c r="C28" s="261"/>
      <c r="D28" s="261"/>
      <c r="E28" s="261"/>
      <c r="F28" s="262">
        <v>100</v>
      </c>
      <c r="G28" s="261">
        <v>3900</v>
      </c>
      <c r="H28" s="262">
        <f t="shared" si="1"/>
        <v>4000</v>
      </c>
      <c r="I28" s="218">
        <v>4000</v>
      </c>
      <c r="J28" s="110">
        <f t="shared" si="0"/>
        <v>0</v>
      </c>
    </row>
    <row r="29" spans="1:10" x14ac:dyDescent="0.25">
      <c r="A29" s="261" t="s">
        <v>462</v>
      </c>
      <c r="B29" s="222">
        <v>25</v>
      </c>
      <c r="C29" s="261"/>
      <c r="D29" s="261"/>
      <c r="E29" s="261"/>
      <c r="F29" s="262">
        <v>100</v>
      </c>
      <c r="G29" s="261">
        <v>3400</v>
      </c>
      <c r="H29" s="262">
        <f t="shared" si="1"/>
        <v>3500</v>
      </c>
      <c r="I29" s="218">
        <v>3500</v>
      </c>
      <c r="J29" s="110">
        <f t="shared" si="0"/>
        <v>0</v>
      </c>
    </row>
    <row r="30" spans="1:10" x14ac:dyDescent="0.25">
      <c r="A30" s="261" t="s">
        <v>479</v>
      </c>
      <c r="B30" s="222">
        <v>26</v>
      </c>
      <c r="C30" s="261"/>
      <c r="D30" s="261"/>
      <c r="E30" s="262"/>
      <c r="F30" s="262">
        <v>100</v>
      </c>
      <c r="G30" s="262">
        <v>3400</v>
      </c>
      <c r="H30" s="262">
        <f t="shared" si="1"/>
        <v>3500</v>
      </c>
      <c r="I30" s="218">
        <v>3500</v>
      </c>
      <c r="J30" s="110">
        <f t="shared" si="0"/>
        <v>0</v>
      </c>
    </row>
    <row r="31" spans="1:10" x14ac:dyDescent="0.25">
      <c r="A31" s="261" t="s">
        <v>456</v>
      </c>
      <c r="B31" s="222">
        <v>27</v>
      </c>
      <c r="C31" s="261"/>
      <c r="D31" s="261"/>
      <c r="E31" s="262"/>
      <c r="F31" s="262">
        <v>100</v>
      </c>
      <c r="G31" s="262">
        <v>3300</v>
      </c>
      <c r="H31" s="262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261" t="s">
        <v>437</v>
      </c>
      <c r="B32" s="222">
        <v>28</v>
      </c>
      <c r="C32" s="261"/>
      <c r="D32" s="261"/>
      <c r="E32" s="264"/>
      <c r="F32" s="262">
        <v>100</v>
      </c>
      <c r="G32" s="264">
        <v>3300</v>
      </c>
      <c r="H32" s="262">
        <f t="shared" si="1"/>
        <v>3400</v>
      </c>
      <c r="I32" s="218">
        <v>3400</v>
      </c>
      <c r="J32" s="110">
        <f t="shared" si="0"/>
        <v>0</v>
      </c>
    </row>
    <row r="33" spans="1:10" x14ac:dyDescent="0.25">
      <c r="A33" s="261" t="s">
        <v>471</v>
      </c>
      <c r="B33" s="222">
        <v>29</v>
      </c>
      <c r="C33" s="261"/>
      <c r="D33" s="261"/>
      <c r="E33" s="262"/>
      <c r="F33" s="262">
        <v>100</v>
      </c>
      <c r="G33" s="262">
        <v>3300</v>
      </c>
      <c r="H33" s="262">
        <f t="shared" si="1"/>
        <v>3400</v>
      </c>
      <c r="I33" s="218">
        <v>3400</v>
      </c>
      <c r="J33" s="110">
        <f t="shared" si="0"/>
        <v>0</v>
      </c>
    </row>
    <row r="34" spans="1:10" x14ac:dyDescent="0.25">
      <c r="A34" s="261" t="s">
        <v>474</v>
      </c>
      <c r="B34" s="222">
        <v>30</v>
      </c>
      <c r="C34" s="261"/>
      <c r="D34" s="261"/>
      <c r="E34" s="262"/>
      <c r="F34" s="262">
        <v>100</v>
      </c>
      <c r="G34" s="262">
        <v>3200</v>
      </c>
      <c r="H34" s="262">
        <f t="shared" si="1"/>
        <v>3300</v>
      </c>
      <c r="I34" s="218">
        <v>3300</v>
      </c>
      <c r="J34" s="110">
        <f t="shared" si="0"/>
        <v>0</v>
      </c>
    </row>
    <row r="35" spans="1:10" x14ac:dyDescent="0.25">
      <c r="A35" s="261" t="s">
        <v>475</v>
      </c>
      <c r="B35" s="222">
        <v>31</v>
      </c>
      <c r="C35" s="261"/>
      <c r="D35" s="261"/>
      <c r="E35" s="262"/>
      <c r="F35" s="262">
        <v>100</v>
      </c>
      <c r="G35" s="262">
        <v>3200</v>
      </c>
      <c r="H35" s="262">
        <f>D35+E35+F35+G35</f>
        <v>3300</v>
      </c>
      <c r="I35" s="218">
        <v>3300</v>
      </c>
      <c r="J35" s="110">
        <f t="shared" si="0"/>
        <v>0</v>
      </c>
    </row>
    <row r="36" spans="1:10" x14ac:dyDescent="0.25">
      <c r="A36" s="261" t="s">
        <v>481</v>
      </c>
      <c r="B36" s="222">
        <v>32</v>
      </c>
      <c r="C36" s="261"/>
      <c r="D36" s="261"/>
      <c r="E36" s="262"/>
      <c r="F36" s="262">
        <v>100</v>
      </c>
      <c r="G36" s="262">
        <v>2700</v>
      </c>
      <c r="H36" s="262">
        <f>D36+E36+F36+G36</f>
        <v>2800</v>
      </c>
      <c r="I36" s="218">
        <v>2800</v>
      </c>
      <c r="J36" s="110">
        <f t="shared" si="0"/>
        <v>0</v>
      </c>
    </row>
    <row r="37" spans="1:10" x14ac:dyDescent="0.25">
      <c r="A37" s="196" t="s">
        <v>498</v>
      </c>
      <c r="B37" s="268">
        <v>33</v>
      </c>
      <c r="C37" s="105"/>
      <c r="D37" s="105"/>
      <c r="E37" s="105"/>
      <c r="F37" s="105">
        <v>100</v>
      </c>
      <c r="G37" s="105">
        <v>5400</v>
      </c>
      <c r="H37" s="221">
        <f>D37+E37+F37+G37</f>
        <v>5500</v>
      </c>
      <c r="I37" s="105">
        <v>2800</v>
      </c>
      <c r="J37" s="119">
        <f>H37-I37</f>
        <v>2700</v>
      </c>
    </row>
    <row r="38" spans="1:10" x14ac:dyDescent="0.25">
      <c r="A38" s="266" t="s">
        <v>4</v>
      </c>
      <c r="B38" s="218"/>
      <c r="C38" s="218"/>
      <c r="D38" s="218"/>
      <c r="E38" s="225">
        <f>SUM(E5:E36)</f>
        <v>700</v>
      </c>
      <c r="F38" s="225">
        <f>SUM(F5:F37)</f>
        <v>3000</v>
      </c>
      <c r="G38" s="225">
        <f>SUM(G5:G37)</f>
        <v>104700</v>
      </c>
      <c r="H38" s="225">
        <f>SUM(H5:H37)</f>
        <v>108400</v>
      </c>
      <c r="I38" s="225">
        <f>SUM(I5:I37)</f>
        <v>102550</v>
      </c>
      <c r="J38" s="225">
        <f>SUM(J5:J37)</f>
        <v>5850</v>
      </c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500</v>
      </c>
      <c r="B41" s="272">
        <f>G38</f>
        <v>104700</v>
      </c>
      <c r="C41" s="218"/>
      <c r="D41" s="218"/>
      <c r="E41" s="218"/>
      <c r="F41" s="218" t="s">
        <v>500</v>
      </c>
      <c r="G41" s="272">
        <f>I38</f>
        <v>102550</v>
      </c>
      <c r="H41" s="218"/>
      <c r="I41" s="218"/>
      <c r="J41" s="110"/>
    </row>
    <row r="42" spans="1:10" x14ac:dyDescent="0.25">
      <c r="A42" s="218" t="s">
        <v>368</v>
      </c>
      <c r="B42" s="272">
        <f>'OCTO '!D49</f>
        <v>180</v>
      </c>
      <c r="C42" s="218"/>
      <c r="D42" s="218"/>
      <c r="E42" s="218"/>
      <c r="F42" s="218" t="s">
        <v>368</v>
      </c>
      <c r="G42" s="272">
        <f>'OCTO '!I49</f>
        <v>5200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10470</v>
      </c>
      <c r="D43" s="218"/>
      <c r="E43" s="218"/>
      <c r="F43" s="218" t="s">
        <v>410</v>
      </c>
      <c r="G43" s="273">
        <v>0.1</v>
      </c>
      <c r="H43" s="272">
        <f>C43</f>
        <v>10470</v>
      </c>
      <c r="I43" s="218"/>
      <c r="J43" s="110"/>
    </row>
    <row r="44" spans="1:10" x14ac:dyDescent="0.25">
      <c r="A44" s="269" t="s">
        <v>293</v>
      </c>
      <c r="B44" s="274"/>
      <c r="C44" s="218"/>
      <c r="D44" s="218"/>
      <c r="E44" s="218"/>
      <c r="F44" s="269" t="s">
        <v>293</v>
      </c>
      <c r="G44" s="218"/>
      <c r="H44" s="218"/>
      <c r="I44" s="218"/>
      <c r="J44" s="110"/>
    </row>
    <row r="45" spans="1:10" x14ac:dyDescent="0.25">
      <c r="A45" s="202" t="s">
        <v>455</v>
      </c>
      <c r="B45" s="274"/>
      <c r="C45" s="218">
        <v>1000</v>
      </c>
      <c r="D45" s="218"/>
      <c r="E45" s="218"/>
      <c r="F45" s="202" t="s">
        <v>455</v>
      </c>
      <c r="G45" s="274"/>
      <c r="H45" s="218">
        <v>1000</v>
      </c>
      <c r="I45" s="202"/>
      <c r="J45" s="110"/>
    </row>
    <row r="46" spans="1:10" x14ac:dyDescent="0.25">
      <c r="A46" s="282">
        <v>43414</v>
      </c>
      <c r="B46" s="218"/>
      <c r="C46" s="218">
        <v>93050</v>
      </c>
      <c r="D46" s="218"/>
      <c r="E46" s="218"/>
      <c r="F46" s="282">
        <v>43414</v>
      </c>
      <c r="G46" s="218"/>
      <c r="H46" s="218">
        <v>93050</v>
      </c>
      <c r="I46" s="218"/>
      <c r="J46" s="110"/>
    </row>
    <row r="47" spans="1:10" x14ac:dyDescent="0.25">
      <c r="A47" s="267" t="s">
        <v>504</v>
      </c>
      <c r="B47" s="10"/>
      <c r="C47" s="10">
        <v>3000</v>
      </c>
      <c r="D47" s="218"/>
      <c r="E47" s="218"/>
      <c r="F47" s="267" t="s">
        <v>504</v>
      </c>
      <c r="G47" s="10"/>
      <c r="H47" s="10">
        <v>3000</v>
      </c>
      <c r="I47" s="218"/>
      <c r="J47" s="110"/>
    </row>
    <row r="48" spans="1:10" x14ac:dyDescent="0.25">
      <c r="A48" s="267"/>
      <c r="B48" s="10"/>
      <c r="C48" s="10"/>
      <c r="D48" s="218"/>
      <c r="E48" s="218"/>
      <c r="F48" s="276" t="s">
        <v>161</v>
      </c>
      <c r="G48" s="274"/>
      <c r="H48" s="218">
        <v>3000</v>
      </c>
      <c r="I48" s="218"/>
      <c r="J48" s="110"/>
    </row>
    <row r="49" spans="1:10" x14ac:dyDescent="0.25">
      <c r="A49" s="266" t="s">
        <v>4</v>
      </c>
      <c r="B49" s="272">
        <f>B41+B42</f>
        <v>104880</v>
      </c>
      <c r="C49" s="272">
        <f>SUM(C43:C48)</f>
        <v>107520</v>
      </c>
      <c r="D49" s="272">
        <f>B49-C49</f>
        <v>-2640</v>
      </c>
      <c r="E49" s="218"/>
      <c r="F49" s="266" t="s">
        <v>4</v>
      </c>
      <c r="G49" s="277">
        <f>G41+G42</f>
        <v>107750</v>
      </c>
      <c r="H49" s="272">
        <f>SUM(H43:H48)</f>
        <v>110520</v>
      </c>
      <c r="I49" s="272">
        <f>G49-H49</f>
        <v>-2770</v>
      </c>
      <c r="J49" s="110"/>
    </row>
    <row r="50" spans="1:10" x14ac:dyDescent="0.25">
      <c r="A50" s="240" t="s">
        <v>112</v>
      </c>
      <c r="B50" s="240"/>
      <c r="D50" s="31" t="s">
        <v>113</v>
      </c>
      <c r="F50" s="31"/>
      <c r="G50" s="31" t="s">
        <v>114</v>
      </c>
      <c r="H50" s="31"/>
      <c r="I50" s="31"/>
      <c r="J50" s="31"/>
    </row>
    <row r="51" spans="1:10" x14ac:dyDescent="0.25">
      <c r="A51" s="31" t="s">
        <v>442</v>
      </c>
      <c r="B51" s="31"/>
      <c r="D51" s="129" t="s">
        <v>441</v>
      </c>
      <c r="E51" s="31"/>
      <c r="F51" s="31"/>
      <c r="G51" s="31" t="s">
        <v>497</v>
      </c>
      <c r="H51" s="31"/>
      <c r="I51" s="31"/>
      <c r="J51" s="31"/>
    </row>
  </sheetData>
  <pageMargins left="0" right="0" top="0" bottom="0" header="0" footer="0.3"/>
  <pageSetup paperSize="9" orientation="portrait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7" workbookViewId="0">
      <selection activeCell="I23" sqref="I23"/>
    </sheetView>
  </sheetViews>
  <sheetFormatPr defaultRowHeight="15" x14ac:dyDescent="0.25"/>
  <cols>
    <col min="1" max="1" width="16.7109375" style="129" customWidth="1"/>
    <col min="2" max="2" width="10.425781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7109375" style="129" customWidth="1"/>
    <col min="7" max="7" width="9.28515625" style="129" customWidth="1"/>
    <col min="8" max="8" width="7.7109375" style="129" bestFit="1" customWidth="1"/>
    <col min="9" max="9" width="9.5703125" style="129" bestFit="1" customWidth="1"/>
    <col min="10" max="10" width="7.570312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/>
      <c r="F2" s="286"/>
      <c r="G2" s="23"/>
      <c r="H2" s="23"/>
      <c r="I2" s="31"/>
      <c r="J2" s="31"/>
    </row>
    <row r="3" spans="1:11" x14ac:dyDescent="0.25">
      <c r="C3" s="286" t="s">
        <v>507</v>
      </c>
      <c r="D3" s="286"/>
      <c r="E3" s="286"/>
      <c r="F3" s="286"/>
      <c r="G3" s="23"/>
      <c r="H3" s="23"/>
      <c r="I3" s="31"/>
      <c r="J3" s="31"/>
    </row>
    <row r="4" spans="1:11" x14ac:dyDescent="0.25">
      <c r="A4" s="214" t="s">
        <v>110</v>
      </c>
      <c r="B4" s="214" t="s">
        <v>2</v>
      </c>
      <c r="C4" s="214" t="s">
        <v>17</v>
      </c>
      <c r="D4" s="214" t="s">
        <v>108</v>
      </c>
      <c r="E4" s="214" t="s">
        <v>160</v>
      </c>
      <c r="F4" s="214" t="s">
        <v>161</v>
      </c>
      <c r="G4" s="214" t="s">
        <v>5</v>
      </c>
      <c r="H4" s="215" t="s">
        <v>19</v>
      </c>
      <c r="I4" s="119" t="s">
        <v>84</v>
      </c>
      <c r="J4" s="119" t="s">
        <v>290</v>
      </c>
    </row>
    <row r="5" spans="1:11" x14ac:dyDescent="0.25">
      <c r="A5" s="177" t="s">
        <v>275</v>
      </c>
      <c r="B5" s="216">
        <v>1</v>
      </c>
      <c r="C5" s="177"/>
      <c r="D5" s="177"/>
      <c r="E5" s="217"/>
      <c r="F5" s="217">
        <v>100</v>
      </c>
      <c r="G5" s="217">
        <v>4500</v>
      </c>
      <c r="H5" s="217">
        <f>D5+E5+F5+G5</f>
        <v>4600</v>
      </c>
      <c r="I5" s="218">
        <v>4600</v>
      </c>
      <c r="J5" s="110">
        <f>H5-I5</f>
        <v>0</v>
      </c>
    </row>
    <row r="6" spans="1:11" x14ac:dyDescent="0.25">
      <c r="A6" s="284" t="s">
        <v>505</v>
      </c>
      <c r="B6" s="268">
        <v>2</v>
      </c>
      <c r="C6" s="196"/>
      <c r="D6" s="196"/>
      <c r="E6" s="221"/>
      <c r="F6" s="221">
        <v>100</v>
      </c>
      <c r="G6" s="221">
        <v>6600</v>
      </c>
      <c r="H6" s="221">
        <f>D6+E6+F6+G6</f>
        <v>6700</v>
      </c>
      <c r="I6" s="119">
        <v>6700</v>
      </c>
      <c r="J6" s="119">
        <f t="shared" ref="J6:J36" si="0">H6-I6</f>
        <v>0</v>
      </c>
      <c r="K6" s="31"/>
    </row>
    <row r="7" spans="1:11" x14ac:dyDescent="0.25">
      <c r="A7" s="261" t="s">
        <v>485</v>
      </c>
      <c r="B7" s="222">
        <v>3</v>
      </c>
      <c r="C7" s="261"/>
      <c r="D7" s="261"/>
      <c r="E7" s="262"/>
      <c r="F7" s="262">
        <v>100</v>
      </c>
      <c r="G7" s="262">
        <v>2700</v>
      </c>
      <c r="H7" s="217">
        <f t="shared" ref="H7:H34" si="1">D7+E7+F7+G7</f>
        <v>2800</v>
      </c>
      <c r="I7" s="218">
        <v>2800</v>
      </c>
      <c r="J7" s="110">
        <f t="shared" si="0"/>
        <v>0</v>
      </c>
      <c r="K7" s="31"/>
    </row>
    <row r="8" spans="1:11" x14ac:dyDescent="0.25">
      <c r="A8" s="261" t="s">
        <v>458</v>
      </c>
      <c r="B8" s="222">
        <v>4</v>
      </c>
      <c r="C8" s="261"/>
      <c r="D8" s="261"/>
      <c r="E8" s="262"/>
      <c r="F8" s="262">
        <v>100</v>
      </c>
      <c r="G8" s="262">
        <v>3900</v>
      </c>
      <c r="H8" s="217">
        <f t="shared" si="1"/>
        <v>4000</v>
      </c>
      <c r="I8" s="218">
        <v>4000</v>
      </c>
      <c r="J8" s="110">
        <f t="shared" si="0"/>
        <v>0</v>
      </c>
      <c r="K8" s="31"/>
    </row>
    <row r="9" spans="1:11" x14ac:dyDescent="0.25">
      <c r="A9" s="261" t="s">
        <v>417</v>
      </c>
      <c r="B9" s="222">
        <v>5</v>
      </c>
      <c r="C9" s="261"/>
      <c r="D9" s="261"/>
      <c r="E9" s="262"/>
      <c r="F9" s="262">
        <v>100</v>
      </c>
      <c r="G9" s="262">
        <v>3900</v>
      </c>
      <c r="H9" s="217">
        <f t="shared" si="1"/>
        <v>4000</v>
      </c>
      <c r="I9" s="218">
        <v>4000</v>
      </c>
      <c r="J9" s="110">
        <f t="shared" si="0"/>
        <v>0</v>
      </c>
      <c r="K9" s="31"/>
    </row>
    <row r="10" spans="1:11" x14ac:dyDescent="0.25">
      <c r="A10" s="218" t="s">
        <v>503</v>
      </c>
      <c r="B10" s="222">
        <v>6</v>
      </c>
      <c r="C10" s="202"/>
      <c r="D10" s="202"/>
      <c r="E10" s="218">
        <v>1500</v>
      </c>
      <c r="F10" s="218">
        <v>100</v>
      </c>
      <c r="G10" s="218">
        <v>2700</v>
      </c>
      <c r="H10" s="262">
        <f t="shared" si="1"/>
        <v>4300</v>
      </c>
      <c r="I10" s="218">
        <v>3500</v>
      </c>
      <c r="J10" s="218">
        <f t="shared" si="0"/>
        <v>800</v>
      </c>
      <c r="K10" s="31"/>
    </row>
    <row r="11" spans="1:11" x14ac:dyDescent="0.25">
      <c r="A11" s="261" t="s">
        <v>416</v>
      </c>
      <c r="B11" s="263">
        <v>7</v>
      </c>
      <c r="C11" s="261"/>
      <c r="D11" s="261"/>
      <c r="E11" s="262"/>
      <c r="F11" s="262">
        <v>100</v>
      </c>
      <c r="G11" s="262">
        <v>5400</v>
      </c>
      <c r="H11" s="217">
        <f>D11+E11+F11+G11</f>
        <v>5500</v>
      </c>
      <c r="I11" s="218">
        <v>5500</v>
      </c>
      <c r="J11" s="110">
        <f t="shared" si="0"/>
        <v>0</v>
      </c>
      <c r="K11" s="31"/>
    </row>
    <row r="12" spans="1:11" x14ac:dyDescent="0.25">
      <c r="A12" s="261" t="s">
        <v>478</v>
      </c>
      <c r="B12" s="263">
        <v>8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0"/>
        <v>0</v>
      </c>
      <c r="K12" s="31"/>
    </row>
    <row r="13" spans="1:11" x14ac:dyDescent="0.25">
      <c r="A13" s="261" t="s">
        <v>459</v>
      </c>
      <c r="B13" s="222">
        <v>9</v>
      </c>
      <c r="C13" s="261"/>
      <c r="D13" s="261"/>
      <c r="E13" s="262"/>
      <c r="F13" s="262">
        <v>100</v>
      </c>
      <c r="G13" s="262">
        <v>2700</v>
      </c>
      <c r="H13" s="217">
        <f>D13+E13+F13+G13</f>
        <v>2800</v>
      </c>
      <c r="I13" s="218">
        <v>2800</v>
      </c>
      <c r="J13" s="110">
        <f t="shared" si="0"/>
        <v>0</v>
      </c>
      <c r="K13" s="31"/>
    </row>
    <row r="14" spans="1:11" x14ac:dyDescent="0.25">
      <c r="A14" s="110" t="s">
        <v>494</v>
      </c>
      <c r="B14" s="110">
        <v>10</v>
      </c>
      <c r="C14" s="110"/>
      <c r="D14" s="110"/>
      <c r="E14" s="110">
        <v>50</v>
      </c>
      <c r="F14" s="110">
        <v>100</v>
      </c>
      <c r="G14" s="110">
        <v>2700</v>
      </c>
      <c r="H14" s="217">
        <f>D14+E14+F14+G14</f>
        <v>2850</v>
      </c>
      <c r="I14" s="110">
        <v>2300</v>
      </c>
      <c r="J14" s="110">
        <f>H14-I14</f>
        <v>550</v>
      </c>
      <c r="K14" s="31"/>
    </row>
    <row r="15" spans="1:11" x14ac:dyDescent="0.25">
      <c r="A15" s="260" t="s">
        <v>443</v>
      </c>
      <c r="B15" s="222">
        <v>11</v>
      </c>
      <c r="C15" s="261"/>
      <c r="D15" s="261"/>
      <c r="E15" s="262"/>
      <c r="F15" s="262">
        <v>100</v>
      </c>
      <c r="G15" s="262">
        <v>2700</v>
      </c>
      <c r="H15" s="217">
        <f t="shared" si="1"/>
        <v>2800</v>
      </c>
      <c r="I15" s="218">
        <v>2800</v>
      </c>
      <c r="J15" s="110">
        <f t="shared" si="0"/>
        <v>0</v>
      </c>
      <c r="K15" s="31"/>
    </row>
    <row r="16" spans="1:11" x14ac:dyDescent="0.25">
      <c r="A16" s="261" t="s">
        <v>460</v>
      </c>
      <c r="B16" s="222">
        <v>12</v>
      </c>
      <c r="C16" s="261"/>
      <c r="D16" s="261"/>
      <c r="E16" s="262"/>
      <c r="F16" s="262">
        <v>100</v>
      </c>
      <c r="G16" s="262">
        <v>2700</v>
      </c>
      <c r="H16" s="217">
        <f t="shared" si="1"/>
        <v>2800</v>
      </c>
      <c r="I16" s="218">
        <v>2800</v>
      </c>
      <c r="J16" s="110">
        <f t="shared" si="0"/>
        <v>0</v>
      </c>
      <c r="K16" s="31"/>
    </row>
    <row r="17" spans="1:10" x14ac:dyDescent="0.25">
      <c r="A17" s="260" t="s">
        <v>444</v>
      </c>
      <c r="B17" s="222">
        <v>13</v>
      </c>
      <c r="C17" s="261"/>
      <c r="D17" s="261"/>
      <c r="E17" s="261"/>
      <c r="F17" s="262">
        <v>100</v>
      </c>
      <c r="G17" s="264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261" t="s">
        <v>473</v>
      </c>
      <c r="B18" s="222">
        <v>14</v>
      </c>
      <c r="C18" s="261"/>
      <c r="D18" s="261"/>
      <c r="E18" s="262"/>
      <c r="F18" s="262">
        <v>100</v>
      </c>
      <c r="G18" s="262">
        <v>2700</v>
      </c>
      <c r="H18" s="217">
        <f t="shared" si="1"/>
        <v>2800</v>
      </c>
      <c r="I18" s="218">
        <v>2800</v>
      </c>
      <c r="J18" s="110">
        <f t="shared" si="0"/>
        <v>0</v>
      </c>
    </row>
    <row r="19" spans="1:10" x14ac:dyDescent="0.25">
      <c r="A19" s="261" t="s">
        <v>426</v>
      </c>
      <c r="B19" s="222">
        <v>15</v>
      </c>
      <c r="C19" s="261"/>
      <c r="D19" s="261"/>
      <c r="E19" s="262"/>
      <c r="F19" s="262">
        <v>100</v>
      </c>
      <c r="G19" s="262">
        <v>2700</v>
      </c>
      <c r="H19" s="262">
        <f>D19+E19+F19+G19</f>
        <v>2800</v>
      </c>
      <c r="I19" s="218">
        <v>2800</v>
      </c>
      <c r="J19" s="110">
        <f t="shared" si="0"/>
        <v>0</v>
      </c>
    </row>
    <row r="20" spans="1:10" x14ac:dyDescent="0.25">
      <c r="A20" s="196" t="s">
        <v>498</v>
      </c>
      <c r="B20" s="268">
        <v>16</v>
      </c>
      <c r="C20" s="196"/>
      <c r="D20" s="196"/>
      <c r="E20" s="221">
        <v>2700</v>
      </c>
      <c r="F20" s="221">
        <v>100</v>
      </c>
      <c r="G20" s="221">
        <v>3300</v>
      </c>
      <c r="H20" s="221">
        <f>D20+E20+F20+G20</f>
        <v>6100</v>
      </c>
      <c r="I20" s="119">
        <v>3000</v>
      </c>
      <c r="J20" s="119">
        <f t="shared" si="0"/>
        <v>3100</v>
      </c>
    </row>
    <row r="21" spans="1:10" x14ac:dyDescent="0.25">
      <c r="A21" s="260" t="s">
        <v>492</v>
      </c>
      <c r="B21" s="222">
        <v>17</v>
      </c>
      <c r="C21" s="261"/>
      <c r="D21" s="261"/>
      <c r="E21" s="218"/>
      <c r="F21" s="218">
        <v>100</v>
      </c>
      <c r="G21" s="265">
        <v>2900</v>
      </c>
      <c r="H21" s="262">
        <f>D21+E21+F21+G21</f>
        <v>3000</v>
      </c>
      <c r="I21" s="218">
        <v>3000</v>
      </c>
      <c r="J21" s="110">
        <f t="shared" si="0"/>
        <v>0</v>
      </c>
    </row>
    <row r="22" spans="1:10" x14ac:dyDescent="0.25">
      <c r="A22" s="261" t="s">
        <v>346</v>
      </c>
      <c r="B22" s="222">
        <v>18</v>
      </c>
      <c r="C22" s="261"/>
      <c r="D22" s="261"/>
      <c r="E22" s="262"/>
      <c r="F22" s="262">
        <v>100</v>
      </c>
      <c r="G22" s="262">
        <v>2700</v>
      </c>
      <c r="H22" s="262">
        <f>D22+E22+F22+G22</f>
        <v>2800</v>
      </c>
      <c r="I22" s="218">
        <v>2800</v>
      </c>
      <c r="J22" s="110">
        <f t="shared" si="0"/>
        <v>0</v>
      </c>
    </row>
    <row r="23" spans="1:10" x14ac:dyDescent="0.25">
      <c r="A23" s="261" t="s">
        <v>484</v>
      </c>
      <c r="B23" s="263">
        <v>19</v>
      </c>
      <c r="C23" s="261"/>
      <c r="D23" s="261"/>
      <c r="E23" s="262"/>
      <c r="F23" s="262">
        <v>100</v>
      </c>
      <c r="G23" s="262">
        <v>2700</v>
      </c>
      <c r="H23" s="262">
        <f t="shared" si="1"/>
        <v>2800</v>
      </c>
      <c r="I23" s="218">
        <v>2800</v>
      </c>
      <c r="J23" s="110">
        <f t="shared" si="0"/>
        <v>0</v>
      </c>
    </row>
    <row r="24" spans="1:10" x14ac:dyDescent="0.25">
      <c r="A24" s="261" t="s">
        <v>461</v>
      </c>
      <c r="B24" s="222">
        <v>20</v>
      </c>
      <c r="C24" s="261"/>
      <c r="D24" s="261"/>
      <c r="E24" s="262"/>
      <c r="F24" s="262">
        <v>100</v>
      </c>
      <c r="G24" s="262">
        <v>3700</v>
      </c>
      <c r="H24" s="262">
        <f t="shared" si="1"/>
        <v>3800</v>
      </c>
      <c r="I24" s="218">
        <v>3800</v>
      </c>
      <c r="J24" s="110">
        <f t="shared" si="0"/>
        <v>0</v>
      </c>
    </row>
    <row r="25" spans="1:10" x14ac:dyDescent="0.25">
      <c r="A25" s="261" t="s">
        <v>37</v>
      </c>
      <c r="B25" s="222">
        <v>21</v>
      </c>
      <c r="C25" s="261"/>
      <c r="D25" s="261"/>
      <c r="E25" s="262"/>
      <c r="F25" s="262"/>
      <c r="G25" s="262"/>
      <c r="H25" s="262">
        <f t="shared" si="1"/>
        <v>0</v>
      </c>
      <c r="I25" s="218"/>
      <c r="J25" s="110">
        <f t="shared" si="0"/>
        <v>0</v>
      </c>
    </row>
    <row r="26" spans="1:10" x14ac:dyDescent="0.25">
      <c r="A26" s="261" t="s">
        <v>435</v>
      </c>
      <c r="B26" s="222">
        <v>22</v>
      </c>
      <c r="C26" s="261"/>
      <c r="D26" s="261"/>
      <c r="E26" s="262"/>
      <c r="F26" s="262">
        <v>100</v>
      </c>
      <c r="G26" s="262">
        <v>3500</v>
      </c>
      <c r="H26" s="262">
        <f t="shared" si="1"/>
        <v>3600</v>
      </c>
      <c r="I26" s="218">
        <v>3600</v>
      </c>
      <c r="J26" s="110">
        <f t="shared" si="0"/>
        <v>0</v>
      </c>
    </row>
    <row r="27" spans="1:10" x14ac:dyDescent="0.25">
      <c r="A27" s="261" t="s">
        <v>347</v>
      </c>
      <c r="B27" s="222">
        <v>23</v>
      </c>
      <c r="C27" s="261"/>
      <c r="D27" s="261"/>
      <c r="E27" s="264"/>
      <c r="F27" s="262">
        <v>100</v>
      </c>
      <c r="G27" s="264">
        <v>3700</v>
      </c>
      <c r="H27" s="262">
        <f t="shared" si="1"/>
        <v>3800</v>
      </c>
      <c r="I27" s="218">
        <v>3800</v>
      </c>
      <c r="J27" s="110">
        <f t="shared" si="0"/>
        <v>0</v>
      </c>
    </row>
    <row r="28" spans="1:10" x14ac:dyDescent="0.25">
      <c r="A28" s="261" t="s">
        <v>488</v>
      </c>
      <c r="B28" s="222">
        <v>24</v>
      </c>
      <c r="C28" s="261"/>
      <c r="D28" s="261"/>
      <c r="E28" s="261"/>
      <c r="F28" s="262">
        <v>100</v>
      </c>
      <c r="G28" s="261">
        <v>3900</v>
      </c>
      <c r="H28" s="262">
        <f t="shared" si="1"/>
        <v>4000</v>
      </c>
      <c r="I28" s="218">
        <v>4000</v>
      </c>
      <c r="J28" s="110">
        <f t="shared" si="0"/>
        <v>0</v>
      </c>
    </row>
    <row r="29" spans="1:10" x14ac:dyDescent="0.25">
      <c r="A29" s="261" t="s">
        <v>462</v>
      </c>
      <c r="B29" s="222">
        <v>25</v>
      </c>
      <c r="C29" s="261"/>
      <c r="D29" s="261"/>
      <c r="E29" s="261"/>
      <c r="F29" s="262">
        <v>100</v>
      </c>
      <c r="G29" s="261">
        <v>3400</v>
      </c>
      <c r="H29" s="262">
        <f t="shared" si="1"/>
        <v>3500</v>
      </c>
      <c r="I29" s="218">
        <v>3500</v>
      </c>
      <c r="J29" s="110">
        <f t="shared" si="0"/>
        <v>0</v>
      </c>
    </row>
    <row r="30" spans="1:10" x14ac:dyDescent="0.25">
      <c r="A30" s="261" t="s">
        <v>479</v>
      </c>
      <c r="B30" s="222">
        <v>26</v>
      </c>
      <c r="C30" s="261"/>
      <c r="D30" s="261"/>
      <c r="E30" s="262"/>
      <c r="F30" s="262">
        <v>100</v>
      </c>
      <c r="G30" s="262">
        <v>3400</v>
      </c>
      <c r="H30" s="262">
        <f t="shared" si="1"/>
        <v>3500</v>
      </c>
      <c r="I30" s="218">
        <v>3500</v>
      </c>
      <c r="J30" s="110">
        <f t="shared" si="0"/>
        <v>0</v>
      </c>
    </row>
    <row r="31" spans="1:10" x14ac:dyDescent="0.25">
      <c r="A31" s="261" t="s">
        <v>456</v>
      </c>
      <c r="B31" s="222">
        <v>27</v>
      </c>
      <c r="C31" s="261"/>
      <c r="D31" s="261"/>
      <c r="E31" s="262"/>
      <c r="F31" s="262">
        <v>100</v>
      </c>
      <c r="G31" s="262">
        <v>3300</v>
      </c>
      <c r="H31" s="262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261" t="s">
        <v>437</v>
      </c>
      <c r="B32" s="222">
        <v>28</v>
      </c>
      <c r="C32" s="261"/>
      <c r="D32" s="261"/>
      <c r="E32" s="264"/>
      <c r="F32" s="262">
        <v>100</v>
      </c>
      <c r="G32" s="264">
        <v>3300</v>
      </c>
      <c r="H32" s="262">
        <f t="shared" si="1"/>
        <v>3400</v>
      </c>
      <c r="I32" s="218">
        <v>3400</v>
      </c>
      <c r="J32" s="110">
        <f t="shared" si="0"/>
        <v>0</v>
      </c>
    </row>
    <row r="33" spans="1:10" x14ac:dyDescent="0.25">
      <c r="A33" s="261" t="s">
        <v>471</v>
      </c>
      <c r="B33" s="222">
        <v>29</v>
      </c>
      <c r="C33" s="261"/>
      <c r="D33" s="261"/>
      <c r="E33" s="262"/>
      <c r="F33" s="262">
        <v>100</v>
      </c>
      <c r="G33" s="262">
        <v>3300</v>
      </c>
      <c r="H33" s="262">
        <f t="shared" si="1"/>
        <v>3400</v>
      </c>
      <c r="I33" s="218">
        <v>3000</v>
      </c>
      <c r="J33" s="110">
        <f t="shared" si="0"/>
        <v>400</v>
      </c>
    </row>
    <row r="34" spans="1:10" x14ac:dyDescent="0.25">
      <c r="A34" s="261" t="s">
        <v>474</v>
      </c>
      <c r="B34" s="222">
        <v>30</v>
      </c>
      <c r="C34" s="261"/>
      <c r="D34" s="261"/>
      <c r="E34" s="262"/>
      <c r="F34" s="262">
        <v>100</v>
      </c>
      <c r="G34" s="262">
        <v>3200</v>
      </c>
      <c r="H34" s="262">
        <f t="shared" si="1"/>
        <v>3300</v>
      </c>
      <c r="I34" s="218">
        <v>3300</v>
      </c>
      <c r="J34" s="110">
        <f t="shared" si="0"/>
        <v>0</v>
      </c>
    </row>
    <row r="35" spans="1:10" x14ac:dyDescent="0.25">
      <c r="A35" s="261" t="s">
        <v>475</v>
      </c>
      <c r="B35" s="222">
        <v>31</v>
      </c>
      <c r="C35" s="261"/>
      <c r="D35" s="261"/>
      <c r="E35" s="262"/>
      <c r="F35" s="262">
        <v>100</v>
      </c>
      <c r="G35" s="262">
        <v>3200</v>
      </c>
      <c r="H35" s="262">
        <f>D35+E35+F35+G35</f>
        <v>3300</v>
      </c>
      <c r="I35" s="218">
        <v>3300</v>
      </c>
      <c r="J35" s="110">
        <f t="shared" si="0"/>
        <v>0</v>
      </c>
    </row>
    <row r="36" spans="1:10" x14ac:dyDescent="0.25">
      <c r="A36" s="261" t="s">
        <v>481</v>
      </c>
      <c r="B36" s="222">
        <v>32</v>
      </c>
      <c r="C36" s="261"/>
      <c r="D36" s="261"/>
      <c r="E36" s="262"/>
      <c r="F36" s="262">
        <v>100</v>
      </c>
      <c r="G36" s="262">
        <v>2700</v>
      </c>
      <c r="H36" s="262">
        <f>D36+E36+F36+G36</f>
        <v>2800</v>
      </c>
      <c r="I36" s="218"/>
      <c r="J36" s="110">
        <f t="shared" si="0"/>
        <v>2800</v>
      </c>
    </row>
    <row r="37" spans="1:10" x14ac:dyDescent="0.25">
      <c r="A37" s="196" t="s">
        <v>506</v>
      </c>
      <c r="B37" s="268">
        <v>33</v>
      </c>
      <c r="C37" s="105"/>
      <c r="D37" s="105"/>
      <c r="E37" s="105"/>
      <c r="F37" s="105">
        <v>100</v>
      </c>
      <c r="G37" s="105">
        <v>5400</v>
      </c>
      <c r="H37" s="221">
        <f>D37+E37+F37+G37</f>
        <v>5500</v>
      </c>
      <c r="I37" s="105">
        <v>5500</v>
      </c>
      <c r="J37" s="119">
        <f>H37-I37</f>
        <v>0</v>
      </c>
    </row>
    <row r="38" spans="1:10" x14ac:dyDescent="0.25">
      <c r="A38" s="266" t="s">
        <v>4</v>
      </c>
      <c r="B38" s="218"/>
      <c r="C38" s="218"/>
      <c r="D38" s="218"/>
      <c r="E38" s="225">
        <f>SUM(E5:E36)</f>
        <v>4250</v>
      </c>
      <c r="F38" s="225">
        <f>SUM(F5:F37)</f>
        <v>3200</v>
      </c>
      <c r="G38" s="225">
        <f>SUM(G5:G37)</f>
        <v>108900</v>
      </c>
      <c r="H38" s="225">
        <f>SUM(H5:H37)</f>
        <v>116350</v>
      </c>
      <c r="I38" s="225">
        <f>SUM(I5:I37)</f>
        <v>108700</v>
      </c>
      <c r="J38" s="225">
        <f>SUM(J5:J37)</f>
        <v>7650</v>
      </c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508</v>
      </c>
      <c r="B41" s="272">
        <f>G38</f>
        <v>108900</v>
      </c>
      <c r="C41" s="218"/>
      <c r="D41" s="218"/>
      <c r="E41" s="218"/>
      <c r="F41" s="218" t="s">
        <v>508</v>
      </c>
      <c r="G41" s="272">
        <f>I38</f>
        <v>108700</v>
      </c>
      <c r="H41" s="218"/>
      <c r="I41" s="218"/>
      <c r="J41" s="110"/>
    </row>
    <row r="42" spans="1:10" x14ac:dyDescent="0.25">
      <c r="A42" s="218" t="s">
        <v>368</v>
      </c>
      <c r="B42" s="272">
        <f>NOVEM!D49</f>
        <v>-2640</v>
      </c>
      <c r="C42" s="218"/>
      <c r="D42" s="218"/>
      <c r="E42" s="218"/>
      <c r="F42" s="218" t="s">
        <v>368</v>
      </c>
      <c r="G42" s="272">
        <f>NOVEM!I49</f>
        <v>-2770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10890</v>
      </c>
      <c r="D43" s="218"/>
      <c r="E43" s="218"/>
      <c r="F43" s="218" t="s">
        <v>410</v>
      </c>
      <c r="G43" s="273">
        <v>0.1</v>
      </c>
      <c r="H43" s="272">
        <f>C43</f>
        <v>10890</v>
      </c>
      <c r="I43" s="218"/>
      <c r="J43" s="110"/>
    </row>
    <row r="44" spans="1:10" x14ac:dyDescent="0.25">
      <c r="A44" s="269" t="s">
        <v>293</v>
      </c>
      <c r="B44" s="274"/>
      <c r="C44" s="218"/>
      <c r="D44" s="218"/>
      <c r="E44" s="218"/>
      <c r="F44" s="269" t="s">
        <v>293</v>
      </c>
      <c r="G44" s="218"/>
      <c r="H44" s="218"/>
      <c r="I44" s="218"/>
      <c r="J44" s="110"/>
    </row>
    <row r="45" spans="1:10" x14ac:dyDescent="0.25">
      <c r="A45" s="202" t="s">
        <v>455</v>
      </c>
      <c r="B45" s="274"/>
      <c r="C45" s="218">
        <v>1000</v>
      </c>
      <c r="D45" s="218"/>
      <c r="E45" s="218"/>
      <c r="F45" s="202" t="s">
        <v>455</v>
      </c>
      <c r="G45" s="274"/>
      <c r="H45" s="218">
        <v>1000</v>
      </c>
      <c r="I45" s="202"/>
      <c r="J45" s="110"/>
    </row>
    <row r="46" spans="1:10" x14ac:dyDescent="0.25">
      <c r="A46" s="282" t="s">
        <v>470</v>
      </c>
      <c r="B46" s="218"/>
      <c r="C46" s="218">
        <v>2610</v>
      </c>
      <c r="D46" s="218"/>
      <c r="E46" s="218"/>
      <c r="F46" s="282" t="s">
        <v>470</v>
      </c>
      <c r="G46" s="218"/>
      <c r="H46" s="218">
        <v>2610</v>
      </c>
      <c r="I46" s="218"/>
      <c r="J46" s="110"/>
    </row>
    <row r="47" spans="1:10" x14ac:dyDescent="0.25">
      <c r="A47" s="287" t="s">
        <v>509</v>
      </c>
      <c r="B47" s="10"/>
      <c r="C47" s="10">
        <v>91220</v>
      </c>
      <c r="D47" s="218"/>
      <c r="E47" s="218"/>
      <c r="F47" s="287" t="s">
        <v>509</v>
      </c>
      <c r="G47" s="110"/>
      <c r="H47" s="110">
        <v>91220</v>
      </c>
      <c r="I47" s="218"/>
      <c r="J47" s="110"/>
    </row>
    <row r="48" spans="1:10" x14ac:dyDescent="0.25">
      <c r="A48" s="267"/>
      <c r="B48" s="10"/>
      <c r="C48" s="10"/>
      <c r="D48" s="218"/>
      <c r="E48" s="218"/>
      <c r="F48" s="276" t="s">
        <v>161</v>
      </c>
      <c r="G48" s="274"/>
      <c r="H48" s="218">
        <v>3200</v>
      </c>
      <c r="I48" s="218"/>
      <c r="J48" s="110"/>
    </row>
    <row r="49" spans="1:10" x14ac:dyDescent="0.25">
      <c r="A49" s="266" t="s">
        <v>4</v>
      </c>
      <c r="B49" s="272">
        <f>B41+B42-C43</f>
        <v>95370</v>
      </c>
      <c r="C49" s="272">
        <f>SUM(C45:C48)</f>
        <v>94830</v>
      </c>
      <c r="D49" s="272">
        <f>B49-C49</f>
        <v>540</v>
      </c>
      <c r="E49" s="218"/>
      <c r="F49" s="266" t="s">
        <v>4</v>
      </c>
      <c r="G49" s="277">
        <f>G41+G42-H43</f>
        <v>95040</v>
      </c>
      <c r="H49" s="272">
        <f>SUM(H45:H48)</f>
        <v>98030</v>
      </c>
      <c r="I49" s="272">
        <f>G49-H49</f>
        <v>-2990</v>
      </c>
      <c r="J49" s="110"/>
    </row>
    <row r="50" spans="1:10" x14ac:dyDescent="0.25">
      <c r="A50" s="240" t="s">
        <v>112</v>
      </c>
      <c r="B50" s="240"/>
      <c r="D50" s="31" t="s">
        <v>113</v>
      </c>
      <c r="F50" s="31"/>
      <c r="G50" s="31" t="s">
        <v>114</v>
      </c>
      <c r="H50" s="31"/>
      <c r="I50" s="31"/>
    </row>
    <row r="51" spans="1:10" x14ac:dyDescent="0.25">
      <c r="A51" s="288" t="s">
        <v>510</v>
      </c>
      <c r="B51" s="31"/>
      <c r="D51" s="129" t="s">
        <v>441</v>
      </c>
      <c r="E51" s="31"/>
      <c r="F51" s="31"/>
      <c r="G51" s="288" t="s">
        <v>497</v>
      </c>
      <c r="H51" s="31"/>
      <c r="I51" s="31"/>
    </row>
  </sheetData>
  <pageMargins left="0" right="0" top="0" bottom="0" header="0" footer="0.3"/>
  <pageSetup paperSize="9" orientation="portrait" horizontalDpi="0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0" zoomScaleNormal="100" workbookViewId="0">
      <selection activeCell="L55" sqref="L55:L57"/>
    </sheetView>
  </sheetViews>
  <sheetFormatPr defaultRowHeight="15" x14ac:dyDescent="0.25"/>
  <cols>
    <col min="1" max="1" width="16.570312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A1" s="275"/>
      <c r="B1" s="275"/>
      <c r="C1" s="314" t="s">
        <v>0</v>
      </c>
      <c r="D1" s="314"/>
      <c r="E1" s="314"/>
      <c r="F1" s="314"/>
      <c r="G1" s="315"/>
      <c r="H1" s="315"/>
      <c r="I1" s="265"/>
      <c r="J1" s="265"/>
    </row>
    <row r="2" spans="1:11" x14ac:dyDescent="0.25">
      <c r="A2" s="275"/>
      <c r="B2" s="275"/>
      <c r="C2" s="314" t="s">
        <v>501</v>
      </c>
      <c r="D2" s="314"/>
      <c r="E2" s="314"/>
      <c r="F2" s="314"/>
      <c r="G2" s="315"/>
      <c r="H2" s="315"/>
      <c r="I2" s="265"/>
      <c r="J2" s="265"/>
    </row>
    <row r="3" spans="1:11" x14ac:dyDescent="0.25">
      <c r="A3" s="275"/>
      <c r="B3" s="275"/>
      <c r="C3" s="314" t="s">
        <v>511</v>
      </c>
      <c r="D3" s="314"/>
      <c r="E3" s="314"/>
      <c r="F3" s="314"/>
      <c r="G3" s="315"/>
      <c r="H3" s="315"/>
      <c r="I3" s="265"/>
      <c r="J3" s="265"/>
    </row>
    <row r="4" spans="1:11" x14ac:dyDescent="0.25">
      <c r="A4" s="316" t="s">
        <v>110</v>
      </c>
      <c r="B4" s="316" t="s">
        <v>2</v>
      </c>
      <c r="C4" s="316" t="s">
        <v>17</v>
      </c>
      <c r="D4" s="316" t="s">
        <v>108</v>
      </c>
      <c r="E4" s="316" t="s">
        <v>160</v>
      </c>
      <c r="F4" s="316" t="s">
        <v>161</v>
      </c>
      <c r="G4" s="316" t="s">
        <v>5</v>
      </c>
      <c r="H4" s="317" t="s">
        <v>19</v>
      </c>
      <c r="I4" s="152" t="s">
        <v>84</v>
      </c>
      <c r="J4" s="152" t="s">
        <v>290</v>
      </c>
      <c r="K4" s="12"/>
    </row>
    <row r="5" spans="1:11" x14ac:dyDescent="0.25">
      <c r="A5" s="289" t="s">
        <v>275</v>
      </c>
      <c r="B5" s="208">
        <v>1</v>
      </c>
      <c r="C5" s="289"/>
      <c r="D5" s="289"/>
      <c r="E5" s="290"/>
      <c r="F5" s="290">
        <v>100</v>
      </c>
      <c r="G5" s="290">
        <v>4500</v>
      </c>
      <c r="H5" s="290">
        <f>D5+E5+F5+G5</f>
        <v>4600</v>
      </c>
      <c r="I5" s="152">
        <v>4600</v>
      </c>
      <c r="J5" s="152">
        <f>H5-I5</f>
        <v>0</v>
      </c>
      <c r="K5" s="12"/>
    </row>
    <row r="6" spans="1:11" x14ac:dyDescent="0.25">
      <c r="A6" s="291" t="s">
        <v>505</v>
      </c>
      <c r="B6" s="208">
        <v>2</v>
      </c>
      <c r="C6" s="289"/>
      <c r="D6" s="289"/>
      <c r="E6" s="290"/>
      <c r="F6" s="290">
        <v>100</v>
      </c>
      <c r="G6" s="290">
        <v>3300</v>
      </c>
      <c r="H6" s="290">
        <f>D6+E6+F6+G6</f>
        <v>3400</v>
      </c>
      <c r="I6" s="152">
        <v>3400</v>
      </c>
      <c r="J6" s="152">
        <f t="shared" ref="J6:J36" si="0">H6-I6</f>
        <v>0</v>
      </c>
      <c r="K6" s="12"/>
    </row>
    <row r="7" spans="1:11" x14ac:dyDescent="0.25">
      <c r="A7" s="289" t="s">
        <v>485</v>
      </c>
      <c r="B7" s="208">
        <v>3</v>
      </c>
      <c r="C7" s="289"/>
      <c r="D7" s="289"/>
      <c r="E7" s="290"/>
      <c r="F7" s="290">
        <v>100</v>
      </c>
      <c r="G7" s="290">
        <v>2700</v>
      </c>
      <c r="H7" s="290">
        <f t="shared" ref="H7:H34" si="1">D7+E7+F7+G7</f>
        <v>2800</v>
      </c>
      <c r="I7" s="152">
        <v>2800</v>
      </c>
      <c r="J7" s="152">
        <f t="shared" si="0"/>
        <v>0</v>
      </c>
      <c r="K7" s="12"/>
    </row>
    <row r="8" spans="1:11" x14ac:dyDescent="0.25">
      <c r="A8" s="289" t="s">
        <v>458</v>
      </c>
      <c r="B8" s="208">
        <v>4</v>
      </c>
      <c r="C8" s="289"/>
      <c r="D8" s="289"/>
      <c r="E8" s="290"/>
      <c r="F8" s="290">
        <v>100</v>
      </c>
      <c r="G8" s="290">
        <v>3900</v>
      </c>
      <c r="H8" s="290">
        <f t="shared" si="1"/>
        <v>4000</v>
      </c>
      <c r="I8" s="152">
        <v>4000</v>
      </c>
      <c r="J8" s="152">
        <f t="shared" si="0"/>
        <v>0</v>
      </c>
      <c r="K8" s="12"/>
    </row>
    <row r="9" spans="1:11" x14ac:dyDescent="0.25">
      <c r="A9" s="289" t="s">
        <v>417</v>
      </c>
      <c r="B9" s="208">
        <v>5</v>
      </c>
      <c r="C9" s="289"/>
      <c r="D9" s="289"/>
      <c r="E9" s="290"/>
      <c r="F9" s="290">
        <v>100</v>
      </c>
      <c r="G9" s="290">
        <v>3900</v>
      </c>
      <c r="H9" s="290">
        <f t="shared" si="1"/>
        <v>4000</v>
      </c>
      <c r="I9" s="152">
        <v>4000</v>
      </c>
      <c r="J9" s="152">
        <f t="shared" si="0"/>
        <v>0</v>
      </c>
      <c r="K9" s="12"/>
    </row>
    <row r="10" spans="1:11" x14ac:dyDescent="0.25">
      <c r="A10" s="152" t="s">
        <v>503</v>
      </c>
      <c r="B10" s="208">
        <v>6</v>
      </c>
      <c r="C10" s="152"/>
      <c r="D10" s="152"/>
      <c r="E10" s="152">
        <v>800</v>
      </c>
      <c r="F10" s="152">
        <v>100</v>
      </c>
      <c r="G10" s="152">
        <v>2700</v>
      </c>
      <c r="H10" s="290">
        <f t="shared" si="1"/>
        <v>3600</v>
      </c>
      <c r="I10" s="152">
        <v>3600</v>
      </c>
      <c r="J10" s="152">
        <f t="shared" si="0"/>
        <v>0</v>
      </c>
      <c r="K10" s="12"/>
    </row>
    <row r="11" spans="1:11" x14ac:dyDescent="0.25">
      <c r="A11" s="289" t="s">
        <v>416</v>
      </c>
      <c r="B11" s="292">
        <v>7</v>
      </c>
      <c r="C11" s="289"/>
      <c r="D11" s="289"/>
      <c r="E11" s="290"/>
      <c r="F11" s="290">
        <v>100</v>
      </c>
      <c r="G11" s="290">
        <v>5400</v>
      </c>
      <c r="H11" s="290">
        <f>D11+E11+F11+G11</f>
        <v>5500</v>
      </c>
      <c r="I11" s="152">
        <v>5500</v>
      </c>
      <c r="J11" s="152">
        <f t="shared" si="0"/>
        <v>0</v>
      </c>
      <c r="K11" s="12"/>
    </row>
    <row r="12" spans="1:11" x14ac:dyDescent="0.25">
      <c r="A12" s="289" t="s">
        <v>478</v>
      </c>
      <c r="B12" s="292">
        <v>8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289" t="s">
        <v>459</v>
      </c>
      <c r="B13" s="208">
        <v>9</v>
      </c>
      <c r="C13" s="289"/>
      <c r="D13" s="289"/>
      <c r="E13" s="290"/>
      <c r="F13" s="290">
        <v>100</v>
      </c>
      <c r="G13" s="290">
        <v>2700</v>
      </c>
      <c r="H13" s="290">
        <f>D13+E13+F13+G13</f>
        <v>2800</v>
      </c>
      <c r="I13" s="152">
        <v>2800</v>
      </c>
      <c r="J13" s="152">
        <f t="shared" si="0"/>
        <v>0</v>
      </c>
      <c r="K13" s="12"/>
    </row>
    <row r="14" spans="1:11" x14ac:dyDescent="0.25">
      <c r="A14" s="152" t="s">
        <v>494</v>
      </c>
      <c r="B14" s="152">
        <v>10</v>
      </c>
      <c r="C14" s="152"/>
      <c r="D14" s="152"/>
      <c r="E14" s="152">
        <v>550</v>
      </c>
      <c r="F14" s="152">
        <v>100</v>
      </c>
      <c r="G14" s="152"/>
      <c r="H14" s="290">
        <f>D14+E14+F14+G14</f>
        <v>650</v>
      </c>
      <c r="I14" s="152"/>
      <c r="J14" s="152">
        <f>H14-I14</f>
        <v>650</v>
      </c>
      <c r="K14" s="12"/>
    </row>
    <row r="15" spans="1:11" x14ac:dyDescent="0.25">
      <c r="A15" s="291"/>
      <c r="B15" s="208">
        <v>11</v>
      </c>
      <c r="C15" s="289"/>
      <c r="D15" s="289"/>
      <c r="E15" s="290"/>
      <c r="F15" s="290"/>
      <c r="G15" s="290"/>
      <c r="H15" s="290">
        <f>D15+E15+F15+G15</f>
        <v>0</v>
      </c>
      <c r="I15" s="152"/>
      <c r="J15" s="152">
        <f>H15-I15</f>
        <v>0</v>
      </c>
      <c r="K15" s="12"/>
    </row>
    <row r="16" spans="1:11" x14ac:dyDescent="0.25">
      <c r="A16" s="289" t="s">
        <v>460</v>
      </c>
      <c r="B16" s="208">
        <v>12</v>
      </c>
      <c r="C16" s="289"/>
      <c r="D16" s="289"/>
      <c r="E16" s="290"/>
      <c r="F16" s="290">
        <v>100</v>
      </c>
      <c r="G16" s="290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91" t="s">
        <v>444</v>
      </c>
      <c r="B17" s="208">
        <v>13</v>
      </c>
      <c r="C17" s="289"/>
      <c r="D17" s="289"/>
      <c r="E17" s="289"/>
      <c r="F17" s="290">
        <v>100</v>
      </c>
      <c r="G17" s="293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473</v>
      </c>
      <c r="B18" s="208">
        <v>14</v>
      </c>
      <c r="C18" s="289"/>
      <c r="D18" s="289"/>
      <c r="E18" s="290"/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426</v>
      </c>
      <c r="B19" s="208">
        <v>15</v>
      </c>
      <c r="C19" s="289"/>
      <c r="D19" s="289"/>
      <c r="E19" s="290"/>
      <c r="F19" s="290">
        <v>100</v>
      </c>
      <c r="G19" s="290">
        <v>2700</v>
      </c>
      <c r="H19" s="290">
        <f>D19+E19+F19+G19</f>
        <v>2800</v>
      </c>
      <c r="I19" s="152">
        <v>2800</v>
      </c>
      <c r="J19" s="152">
        <f t="shared" si="0"/>
        <v>0</v>
      </c>
      <c r="K19" s="12"/>
    </row>
    <row r="20" spans="1:11" x14ac:dyDescent="0.25">
      <c r="A20" s="289" t="s">
        <v>498</v>
      </c>
      <c r="B20" s="208">
        <v>16</v>
      </c>
      <c r="C20" s="289"/>
      <c r="D20" s="289"/>
      <c r="E20" s="290">
        <v>3100</v>
      </c>
      <c r="F20" s="290"/>
      <c r="G20" s="290"/>
      <c r="H20" s="290">
        <f>D20+E20+F20+G20</f>
        <v>3100</v>
      </c>
      <c r="I20" s="152">
        <v>3000</v>
      </c>
      <c r="J20" s="152">
        <f t="shared" si="0"/>
        <v>100</v>
      </c>
      <c r="K20" s="12"/>
    </row>
    <row r="21" spans="1:11" x14ac:dyDescent="0.25">
      <c r="A21" s="291" t="s">
        <v>492</v>
      </c>
      <c r="B21" s="208">
        <v>17</v>
      </c>
      <c r="C21" s="289"/>
      <c r="D21" s="289"/>
      <c r="E21" s="152"/>
      <c r="F21" s="152">
        <v>100</v>
      </c>
      <c r="G21" s="294">
        <v>2900</v>
      </c>
      <c r="H21" s="290">
        <f>D21+E21+F21+G21</f>
        <v>3000</v>
      </c>
      <c r="I21" s="152">
        <v>3000</v>
      </c>
      <c r="J21" s="152">
        <f t="shared" si="0"/>
        <v>0</v>
      </c>
      <c r="K21" s="12"/>
    </row>
    <row r="22" spans="1:11" x14ac:dyDescent="0.25">
      <c r="A22" s="289" t="s">
        <v>346</v>
      </c>
      <c r="B22" s="208">
        <v>18</v>
      </c>
      <c r="C22" s="289"/>
      <c r="D22" s="289"/>
      <c r="E22" s="290"/>
      <c r="F22" s="290">
        <v>100</v>
      </c>
      <c r="G22" s="290">
        <v>2700</v>
      </c>
      <c r="H22" s="290">
        <f>D22+E22+F22+G22</f>
        <v>2800</v>
      </c>
      <c r="I22" s="152">
        <v>2800</v>
      </c>
      <c r="J22" s="152">
        <f t="shared" si="0"/>
        <v>0</v>
      </c>
      <c r="K22" s="12"/>
    </row>
    <row r="23" spans="1:11" x14ac:dyDescent="0.25">
      <c r="A23" s="289" t="s">
        <v>484</v>
      </c>
      <c r="B23" s="292">
        <v>19</v>
      </c>
      <c r="C23" s="289"/>
      <c r="D23" s="289"/>
      <c r="E23" s="290"/>
      <c r="F23" s="290"/>
      <c r="G23" s="290"/>
      <c r="H23" s="290">
        <f t="shared" si="1"/>
        <v>0</v>
      </c>
      <c r="I23" s="152"/>
      <c r="J23" s="152">
        <f t="shared" si="0"/>
        <v>0</v>
      </c>
      <c r="K23" s="12"/>
    </row>
    <row r="24" spans="1:11" x14ac:dyDescent="0.25">
      <c r="A24" s="289" t="s">
        <v>461</v>
      </c>
      <c r="B24" s="208">
        <v>20</v>
      </c>
      <c r="C24" s="289"/>
      <c r="D24" s="289"/>
      <c r="E24" s="290"/>
      <c r="F24" s="290">
        <v>100</v>
      </c>
      <c r="G24" s="290">
        <v>3700</v>
      </c>
      <c r="H24" s="290">
        <f t="shared" si="1"/>
        <v>3800</v>
      </c>
      <c r="I24" s="152">
        <v>3800</v>
      </c>
      <c r="J24" s="152">
        <f t="shared" si="0"/>
        <v>0</v>
      </c>
      <c r="K24" s="12"/>
    </row>
    <row r="25" spans="1:11" x14ac:dyDescent="0.25">
      <c r="A25" s="289" t="s">
        <v>37</v>
      </c>
      <c r="B25" s="208">
        <v>21</v>
      </c>
      <c r="C25" s="289"/>
      <c r="D25" s="289"/>
      <c r="E25" s="290"/>
      <c r="F25" s="290"/>
      <c r="G25" s="290"/>
      <c r="H25" s="290">
        <f t="shared" si="1"/>
        <v>0</v>
      </c>
      <c r="I25" s="152"/>
      <c r="J25" s="152">
        <f t="shared" si="0"/>
        <v>0</v>
      </c>
      <c r="K25" s="12"/>
    </row>
    <row r="26" spans="1:11" x14ac:dyDescent="0.25">
      <c r="A26" s="289" t="s">
        <v>435</v>
      </c>
      <c r="B26" s="208">
        <v>22</v>
      </c>
      <c r="C26" s="289"/>
      <c r="D26" s="289"/>
      <c r="E26" s="290"/>
      <c r="F26" s="290">
        <v>100</v>
      </c>
      <c r="G26" s="290">
        <v>3500</v>
      </c>
      <c r="H26" s="290">
        <f t="shared" si="1"/>
        <v>3600</v>
      </c>
      <c r="I26" s="152">
        <v>3600</v>
      </c>
      <c r="J26" s="152">
        <f t="shared" si="0"/>
        <v>0</v>
      </c>
      <c r="K26" s="12"/>
    </row>
    <row r="27" spans="1:11" x14ac:dyDescent="0.25">
      <c r="A27" s="289" t="s">
        <v>347</v>
      </c>
      <c r="B27" s="208">
        <v>23</v>
      </c>
      <c r="C27" s="289"/>
      <c r="D27" s="289"/>
      <c r="E27" s="293"/>
      <c r="F27" s="290">
        <v>100</v>
      </c>
      <c r="G27" s="293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488</v>
      </c>
      <c r="B28" s="208">
        <v>24</v>
      </c>
      <c r="C28" s="289"/>
      <c r="D28" s="289"/>
      <c r="E28" s="289"/>
      <c r="F28" s="290">
        <v>100</v>
      </c>
      <c r="G28" s="289">
        <v>3900</v>
      </c>
      <c r="H28" s="290">
        <f t="shared" si="1"/>
        <v>4000</v>
      </c>
      <c r="I28" s="152">
        <v>4000</v>
      </c>
      <c r="J28" s="152">
        <f t="shared" si="0"/>
        <v>0</v>
      </c>
      <c r="K28" s="12"/>
    </row>
    <row r="29" spans="1:11" x14ac:dyDescent="0.25">
      <c r="A29" s="289" t="s">
        <v>462</v>
      </c>
      <c r="B29" s="208">
        <v>25</v>
      </c>
      <c r="C29" s="289"/>
      <c r="D29" s="289"/>
      <c r="E29" s="289"/>
      <c r="F29" s="290">
        <v>100</v>
      </c>
      <c r="G29" s="289">
        <v>3400</v>
      </c>
      <c r="H29" s="290">
        <f t="shared" si="1"/>
        <v>3500</v>
      </c>
      <c r="I29" s="152">
        <v>3500</v>
      </c>
      <c r="J29" s="152">
        <f t="shared" si="0"/>
        <v>0</v>
      </c>
      <c r="K29" s="12"/>
    </row>
    <row r="30" spans="1:11" x14ac:dyDescent="0.25">
      <c r="A30" s="289" t="s">
        <v>479</v>
      </c>
      <c r="B30" s="208">
        <v>26</v>
      </c>
      <c r="C30" s="289"/>
      <c r="D30" s="289"/>
      <c r="E30" s="290"/>
      <c r="F30" s="290">
        <v>100</v>
      </c>
      <c r="G30" s="290">
        <v>3400</v>
      </c>
      <c r="H30" s="290">
        <f t="shared" si="1"/>
        <v>3500</v>
      </c>
      <c r="I30" s="152">
        <v>3500</v>
      </c>
      <c r="J30" s="152">
        <f t="shared" si="0"/>
        <v>0</v>
      </c>
      <c r="K30" s="12"/>
    </row>
    <row r="31" spans="1:11" x14ac:dyDescent="0.25">
      <c r="A31" s="289" t="s">
        <v>456</v>
      </c>
      <c r="B31" s="208">
        <v>27</v>
      </c>
      <c r="C31" s="289"/>
      <c r="D31" s="289"/>
      <c r="E31" s="290"/>
      <c r="F31" s="290">
        <v>100</v>
      </c>
      <c r="G31" s="290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437</v>
      </c>
      <c r="B32" s="208">
        <v>28</v>
      </c>
      <c r="C32" s="289"/>
      <c r="D32" s="289"/>
      <c r="E32" s="293"/>
      <c r="F32" s="290">
        <v>100</v>
      </c>
      <c r="G32" s="293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"/>
    </row>
    <row r="33" spans="1:11" x14ac:dyDescent="0.25">
      <c r="A33" s="289" t="s">
        <v>471</v>
      </c>
      <c r="B33" s="208">
        <v>29</v>
      </c>
      <c r="C33" s="289"/>
      <c r="D33" s="289"/>
      <c r="E33" s="290">
        <v>400</v>
      </c>
      <c r="F33" s="290">
        <v>100</v>
      </c>
      <c r="G33" s="290">
        <v>3300</v>
      </c>
      <c r="H33" s="290">
        <f t="shared" si="1"/>
        <v>3800</v>
      </c>
      <c r="I33" s="152">
        <v>3000</v>
      </c>
      <c r="J33" s="152">
        <f t="shared" si="0"/>
        <v>800</v>
      </c>
      <c r="K33" s="12"/>
    </row>
    <row r="34" spans="1:11" x14ac:dyDescent="0.25">
      <c r="A34" s="289" t="s">
        <v>474</v>
      </c>
      <c r="B34" s="208">
        <v>30</v>
      </c>
      <c r="C34" s="289"/>
      <c r="D34" s="289"/>
      <c r="E34" s="290"/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"/>
    </row>
    <row r="35" spans="1:11" x14ac:dyDescent="0.25">
      <c r="A35" s="289" t="s">
        <v>475</v>
      </c>
      <c r="B35" s="208">
        <v>31</v>
      </c>
      <c r="C35" s="289"/>
      <c r="D35" s="289"/>
      <c r="E35" s="290"/>
      <c r="F35" s="290">
        <v>100</v>
      </c>
      <c r="G35" s="290">
        <v>3200</v>
      </c>
      <c r="H35" s="290">
        <f>D35+E35+F35+G35</f>
        <v>3300</v>
      </c>
      <c r="I35" s="152">
        <v>3300</v>
      </c>
      <c r="J35" s="152">
        <f t="shared" si="0"/>
        <v>0</v>
      </c>
      <c r="K35" s="12"/>
    </row>
    <row r="36" spans="1:11" x14ac:dyDescent="0.25">
      <c r="A36" s="311" t="s">
        <v>513</v>
      </c>
      <c r="B36" s="318">
        <v>32</v>
      </c>
      <c r="C36" s="311"/>
      <c r="D36" s="311"/>
      <c r="E36" s="313"/>
      <c r="F36" s="313">
        <v>100</v>
      </c>
      <c r="G36" s="313">
        <v>5400</v>
      </c>
      <c r="H36" s="313">
        <f>D36+E36+F36+G36</f>
        <v>5500</v>
      </c>
      <c r="I36" s="297">
        <v>5500</v>
      </c>
      <c r="J36" s="297">
        <f t="shared" si="0"/>
        <v>0</v>
      </c>
      <c r="K36" s="12"/>
    </row>
    <row r="37" spans="1:11" x14ac:dyDescent="0.25">
      <c r="A37" s="289" t="s">
        <v>506</v>
      </c>
      <c r="B37" s="208">
        <v>33</v>
      </c>
      <c r="C37" s="152"/>
      <c r="D37" s="152"/>
      <c r="E37" s="152"/>
      <c r="F37" s="152">
        <v>100</v>
      </c>
      <c r="G37" s="152">
        <v>2700</v>
      </c>
      <c r="H37" s="290">
        <f>D37+E37+F37+G37</f>
        <v>2800</v>
      </c>
      <c r="I37" s="152">
        <v>2800</v>
      </c>
      <c r="J37" s="152">
        <f>H37-I37</f>
        <v>0</v>
      </c>
      <c r="K37" s="12"/>
    </row>
    <row r="38" spans="1:11" x14ac:dyDescent="0.25">
      <c r="A38" s="296" t="s">
        <v>4</v>
      </c>
      <c r="B38" s="152"/>
      <c r="C38" s="152"/>
      <c r="D38" s="152"/>
      <c r="E38" s="297">
        <f>SUM(E5:E36)</f>
        <v>4850</v>
      </c>
      <c r="F38" s="297">
        <f>SUM(F5:F37)</f>
        <v>2900</v>
      </c>
      <c r="G38" s="297">
        <f>SUM(G5:G37)</f>
        <v>94200</v>
      </c>
      <c r="H38" s="297">
        <f>SUM(H5:H37)</f>
        <v>101950</v>
      </c>
      <c r="I38" s="297">
        <f>SUM(I5:I37)</f>
        <v>100400</v>
      </c>
      <c r="J38" s="297">
        <f>SUM(J5:J37)</f>
        <v>1550</v>
      </c>
      <c r="K38" s="12"/>
    </row>
    <row r="39" spans="1:11" x14ac:dyDescent="0.25">
      <c r="A39" s="298" t="s">
        <v>286</v>
      </c>
      <c r="B39" s="297" t="s">
        <v>370</v>
      </c>
      <c r="C39" s="297"/>
      <c r="D39" s="308"/>
      <c r="E39" s="297"/>
      <c r="F39" s="297" t="s">
        <v>84</v>
      </c>
      <c r="G39" s="297"/>
      <c r="H39" s="297"/>
      <c r="I39" s="297"/>
      <c r="J39" s="297"/>
      <c r="K39" s="12"/>
    </row>
    <row r="40" spans="1:11" x14ac:dyDescent="0.25">
      <c r="A40" s="298" t="s">
        <v>287</v>
      </c>
      <c r="B40" s="298" t="s">
        <v>288</v>
      </c>
      <c r="C40" s="298" t="s">
        <v>289</v>
      </c>
      <c r="D40" s="298" t="s">
        <v>367</v>
      </c>
      <c r="E40" s="299"/>
      <c r="F40" s="298" t="s">
        <v>287</v>
      </c>
      <c r="G40" s="298" t="s">
        <v>288</v>
      </c>
      <c r="H40" s="298" t="s">
        <v>289</v>
      </c>
      <c r="I40" s="298" t="s">
        <v>367</v>
      </c>
      <c r="J40" s="152"/>
      <c r="K40" s="12"/>
    </row>
    <row r="41" spans="1:11" x14ac:dyDescent="0.25">
      <c r="A41" s="152" t="s">
        <v>245</v>
      </c>
      <c r="B41" s="300">
        <f>G38</f>
        <v>94200</v>
      </c>
      <c r="C41" s="152"/>
      <c r="D41" s="152"/>
      <c r="E41" s="152"/>
      <c r="F41" s="152" t="s">
        <v>245</v>
      </c>
      <c r="G41" s="300">
        <f>I38</f>
        <v>100400</v>
      </c>
      <c r="H41" s="152"/>
      <c r="I41" s="152"/>
      <c r="J41" s="152"/>
      <c r="K41" s="12"/>
    </row>
    <row r="42" spans="1:11" x14ac:dyDescent="0.25">
      <c r="A42" s="152" t="s">
        <v>368</v>
      </c>
      <c r="B42" s="300">
        <f>DECE!D49</f>
        <v>540</v>
      </c>
      <c r="C42" s="152"/>
      <c r="D42" s="152"/>
      <c r="E42" s="152"/>
      <c r="F42" s="152" t="s">
        <v>368</v>
      </c>
      <c r="G42" s="300">
        <f>DECE!I49</f>
        <v>-2990</v>
      </c>
      <c r="H42" s="152"/>
      <c r="I42" s="152"/>
      <c r="J42" s="152"/>
      <c r="K42" s="12"/>
    </row>
    <row r="43" spans="1:11" x14ac:dyDescent="0.25">
      <c r="A43" s="152" t="s">
        <v>410</v>
      </c>
      <c r="B43" s="301">
        <v>0.1</v>
      </c>
      <c r="C43" s="300">
        <f>B43*B41</f>
        <v>9420</v>
      </c>
      <c r="D43" s="152"/>
      <c r="E43" s="152"/>
      <c r="F43" s="152" t="s">
        <v>410</v>
      </c>
      <c r="G43" s="301">
        <v>0.1</v>
      </c>
      <c r="H43" s="300">
        <f>C43</f>
        <v>9420</v>
      </c>
      <c r="I43" s="152"/>
      <c r="J43" s="152"/>
      <c r="K43" s="12"/>
    </row>
    <row r="44" spans="1:11" x14ac:dyDescent="0.25">
      <c r="A44" s="298" t="s">
        <v>293</v>
      </c>
      <c r="B44" s="302"/>
      <c r="C44" s="152"/>
      <c r="D44" s="152"/>
      <c r="E44" s="152"/>
      <c r="F44" s="298" t="s">
        <v>293</v>
      </c>
      <c r="G44" s="152"/>
      <c r="H44" s="152"/>
      <c r="I44" s="152"/>
      <c r="J44" s="152"/>
      <c r="K44" s="12"/>
    </row>
    <row r="45" spans="1:11" x14ac:dyDescent="0.25">
      <c r="A45" s="303" t="s">
        <v>515</v>
      </c>
      <c r="B45" s="152"/>
      <c r="C45" s="152">
        <v>2700</v>
      </c>
      <c r="D45" s="152"/>
      <c r="E45" s="152"/>
      <c r="F45" s="303" t="s">
        <v>515</v>
      </c>
      <c r="G45" s="152"/>
      <c r="H45" s="152">
        <v>2800</v>
      </c>
      <c r="I45" s="152"/>
      <c r="J45" s="152"/>
      <c r="K45" s="12"/>
    </row>
    <row r="46" spans="1:11" x14ac:dyDescent="0.25">
      <c r="A46" s="303" t="s">
        <v>514</v>
      </c>
      <c r="B46" s="152"/>
      <c r="C46" s="152">
        <v>2700</v>
      </c>
      <c r="D46" s="152"/>
      <c r="E46" s="152"/>
      <c r="F46" s="303" t="s">
        <v>514</v>
      </c>
      <c r="G46" s="152"/>
      <c r="H46" s="152">
        <v>2800</v>
      </c>
      <c r="I46" s="152"/>
      <c r="J46" s="152"/>
      <c r="K46" s="12"/>
    </row>
    <row r="47" spans="1:11" x14ac:dyDescent="0.25">
      <c r="A47" s="303" t="s">
        <v>512</v>
      </c>
      <c r="B47" s="152"/>
      <c r="C47" s="152">
        <v>3000</v>
      </c>
      <c r="D47" s="152"/>
      <c r="E47" s="152"/>
      <c r="F47" s="303" t="s">
        <v>512</v>
      </c>
      <c r="G47" s="152"/>
      <c r="H47" s="152">
        <v>3100</v>
      </c>
      <c r="I47" s="152"/>
      <c r="J47" s="152"/>
      <c r="K47" s="12"/>
    </row>
    <row r="48" spans="1:11" x14ac:dyDescent="0.25">
      <c r="A48" s="303" t="s">
        <v>470</v>
      </c>
      <c r="B48" s="152"/>
      <c r="C48" s="152">
        <v>1620</v>
      </c>
      <c r="D48" s="152"/>
      <c r="E48" s="152"/>
      <c r="F48" s="303" t="s">
        <v>470</v>
      </c>
      <c r="G48" s="152"/>
      <c r="H48" s="152">
        <v>1620</v>
      </c>
      <c r="I48" s="152"/>
      <c r="J48" s="152"/>
      <c r="K48" s="12"/>
    </row>
    <row r="49" spans="1:12" x14ac:dyDescent="0.25">
      <c r="A49" s="303" t="s">
        <v>498</v>
      </c>
      <c r="B49" s="152"/>
      <c r="C49" s="152">
        <v>3000</v>
      </c>
      <c r="D49" s="152"/>
      <c r="E49" s="152"/>
      <c r="F49" s="303" t="s">
        <v>161</v>
      </c>
      <c r="G49" s="152"/>
      <c r="H49" s="152">
        <v>2900</v>
      </c>
      <c r="I49" s="152"/>
      <c r="J49" s="152"/>
      <c r="K49" s="12"/>
    </row>
    <row r="50" spans="1:12" x14ac:dyDescent="0.25">
      <c r="A50" s="303" t="s">
        <v>426</v>
      </c>
      <c r="B50" s="152"/>
      <c r="C50" s="152">
        <v>1000</v>
      </c>
      <c r="D50" s="152"/>
      <c r="E50" s="152"/>
      <c r="F50" s="303" t="s">
        <v>498</v>
      </c>
      <c r="G50" s="152"/>
      <c r="H50" s="152">
        <v>3100</v>
      </c>
      <c r="I50" s="152"/>
      <c r="J50" s="152"/>
      <c r="K50" s="12"/>
    </row>
    <row r="51" spans="1:12" x14ac:dyDescent="0.25">
      <c r="A51" s="303" t="s">
        <v>516</v>
      </c>
      <c r="B51" s="152"/>
      <c r="C51" s="152">
        <v>74730</v>
      </c>
      <c r="D51" s="152"/>
      <c r="E51" s="152"/>
      <c r="F51" s="303" t="s">
        <v>426</v>
      </c>
      <c r="G51" s="152"/>
      <c r="H51" s="152">
        <v>1000</v>
      </c>
      <c r="I51" s="152"/>
      <c r="J51" s="152"/>
      <c r="K51" s="12"/>
    </row>
    <row r="52" spans="1:12" x14ac:dyDescent="0.25">
      <c r="A52" s="304" t="s">
        <v>517</v>
      </c>
      <c r="B52" s="275"/>
      <c r="C52" s="305">
        <v>2000</v>
      </c>
      <c r="D52" s="152"/>
      <c r="E52" s="152"/>
      <c r="F52" s="303" t="s">
        <v>516</v>
      </c>
      <c r="G52" s="152"/>
      <c r="H52" s="152">
        <v>74730</v>
      </c>
      <c r="I52" s="152"/>
      <c r="J52" s="152"/>
      <c r="K52" s="12"/>
    </row>
    <row r="53" spans="1:12" x14ac:dyDescent="0.25">
      <c r="A53" s="303"/>
      <c r="B53" s="152"/>
      <c r="C53" s="152"/>
      <c r="D53" s="152"/>
      <c r="E53" s="152"/>
      <c r="F53" s="304" t="s">
        <v>517</v>
      </c>
      <c r="G53" s="275"/>
      <c r="H53" s="305">
        <v>2000</v>
      </c>
      <c r="I53" s="152"/>
      <c r="J53" s="152"/>
      <c r="K53" s="12"/>
    </row>
    <row r="54" spans="1:12" x14ac:dyDescent="0.25">
      <c r="A54" s="296" t="s">
        <v>4</v>
      </c>
      <c r="B54" s="300">
        <f>B41+B42-C43</f>
        <v>85320</v>
      </c>
      <c r="C54" s="300">
        <f>SUM(C45:C53)</f>
        <v>90750</v>
      </c>
      <c r="D54" s="300">
        <f>B54-C54</f>
        <v>-5430</v>
      </c>
      <c r="E54" s="152"/>
      <c r="F54" s="296" t="s">
        <v>4</v>
      </c>
      <c r="G54" s="300">
        <f>G41+G42-H43</f>
        <v>87990</v>
      </c>
      <c r="H54" s="300">
        <f>SUM(H45:H53)</f>
        <v>94050</v>
      </c>
      <c r="I54" s="300">
        <f>G54-H54</f>
        <v>-6060</v>
      </c>
      <c r="J54" s="152"/>
      <c r="K54" s="12"/>
    </row>
    <row r="55" spans="1:12" x14ac:dyDescent="0.25">
      <c r="A55" s="319" t="s">
        <v>112</v>
      </c>
      <c r="B55" s="319"/>
      <c r="C55" s="294"/>
      <c r="D55" s="294" t="s">
        <v>113</v>
      </c>
      <c r="E55" s="294"/>
      <c r="F55" s="294"/>
      <c r="G55" s="294" t="s">
        <v>114</v>
      </c>
      <c r="H55" s="294"/>
      <c r="I55" s="294"/>
      <c r="J55" s="294"/>
      <c r="K55" s="12"/>
      <c r="L55" s="332"/>
    </row>
    <row r="56" spans="1:12" x14ac:dyDescent="0.25">
      <c r="A56" s="294" t="s">
        <v>510</v>
      </c>
      <c r="B56" s="294"/>
      <c r="C56" s="294"/>
      <c r="D56" s="294" t="s">
        <v>441</v>
      </c>
      <c r="E56" s="294"/>
      <c r="F56" s="294"/>
      <c r="G56" s="294" t="s">
        <v>497</v>
      </c>
      <c r="H56" s="294"/>
      <c r="I56" s="294"/>
      <c r="J56" s="294"/>
      <c r="K56" s="12"/>
      <c r="L56" s="332"/>
    </row>
    <row r="57" spans="1:12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2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2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</sheetData>
  <pageMargins left="0.7" right="0.7" top="0.75" bottom="0.75" header="0.3" footer="0.3"/>
  <pageSetup orientation="portrait" horizontalDpi="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16" workbookViewId="0">
      <selection activeCell="N49" sqref="N49"/>
    </sheetView>
  </sheetViews>
  <sheetFormatPr defaultRowHeight="15" x14ac:dyDescent="0.25"/>
  <cols>
    <col min="1" max="1" width="16.570312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A1" s="275"/>
      <c r="B1" s="275"/>
      <c r="C1" s="314" t="s">
        <v>0</v>
      </c>
      <c r="D1" s="314"/>
      <c r="E1" s="314"/>
      <c r="F1" s="314"/>
      <c r="G1" s="315"/>
      <c r="H1" s="315"/>
      <c r="I1" s="265"/>
      <c r="J1" s="265"/>
    </row>
    <row r="2" spans="1:11" x14ac:dyDescent="0.25">
      <c r="A2" s="275"/>
      <c r="B2" s="275"/>
      <c r="C2" s="314" t="s">
        <v>501</v>
      </c>
      <c r="D2" s="314"/>
      <c r="E2" s="314" t="s">
        <v>518</v>
      </c>
      <c r="F2" s="314"/>
      <c r="G2" s="315"/>
      <c r="H2" s="315"/>
      <c r="I2" s="265"/>
      <c r="J2" s="265"/>
    </row>
    <row r="3" spans="1:11" x14ac:dyDescent="0.25">
      <c r="A3" s="316" t="s">
        <v>110</v>
      </c>
      <c r="B3" s="316" t="s">
        <v>2</v>
      </c>
      <c r="C3" s="316" t="s">
        <v>17</v>
      </c>
      <c r="D3" s="316" t="s">
        <v>108</v>
      </c>
      <c r="E3" s="316" t="s">
        <v>160</v>
      </c>
      <c r="F3" s="316" t="s">
        <v>161</v>
      </c>
      <c r="G3" s="316" t="s">
        <v>5</v>
      </c>
      <c r="H3" s="317" t="s">
        <v>19</v>
      </c>
      <c r="I3" s="152" t="s">
        <v>84</v>
      </c>
      <c r="J3" s="152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/>
      <c r="F7" s="290">
        <v>100</v>
      </c>
      <c r="G7" s="290">
        <v>4000</v>
      </c>
      <c r="H7" s="290">
        <f t="shared" si="1"/>
        <v>4100</v>
      </c>
      <c r="I7" s="152">
        <v>4000</v>
      </c>
      <c r="J7" s="152">
        <f t="shared" si="0"/>
        <v>100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/>
      <c r="F8" s="290">
        <v>100</v>
      </c>
      <c r="G8" s="290">
        <v>4000</v>
      </c>
      <c r="H8" s="290">
        <f t="shared" si="1"/>
        <v>4100</v>
      </c>
      <c r="I8" s="152">
        <v>4000</v>
      </c>
      <c r="J8" s="152">
        <f t="shared" si="0"/>
        <v>100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2700</v>
      </c>
      <c r="J11" s="152">
        <f t="shared" si="0"/>
        <v>100</v>
      </c>
      <c r="K11" s="12"/>
    </row>
    <row r="12" spans="1:11" x14ac:dyDescent="0.25">
      <c r="A12" s="289" t="s">
        <v>459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297" t="s">
        <v>519</v>
      </c>
      <c r="B13" s="297">
        <v>10</v>
      </c>
      <c r="C13" s="297"/>
      <c r="D13" s="297"/>
      <c r="E13" s="297"/>
      <c r="F13" s="297">
        <v>100</v>
      </c>
      <c r="G13" s="297">
        <v>5400</v>
      </c>
      <c r="H13" s="313">
        <f>D13+E13+F13+G13</f>
        <v>5500</v>
      </c>
      <c r="I13" s="297">
        <v>5500</v>
      </c>
      <c r="J13" s="297">
        <f>H13-I13</f>
        <v>0</v>
      </c>
      <c r="K13" s="12"/>
    </row>
    <row r="14" spans="1:11" x14ac:dyDescent="0.25">
      <c r="A14" s="297" t="s">
        <v>519</v>
      </c>
      <c r="B14" s="318">
        <v>11</v>
      </c>
      <c r="C14" s="311"/>
      <c r="D14" s="311"/>
      <c r="E14" s="313"/>
      <c r="F14" s="313">
        <v>100</v>
      </c>
      <c r="G14" s="313">
        <v>5400</v>
      </c>
      <c r="H14" s="313">
        <f>D14+E14+F14+G14</f>
        <v>5500</v>
      </c>
      <c r="I14" s="297">
        <v>5500</v>
      </c>
      <c r="J14" s="297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311" t="s">
        <v>520</v>
      </c>
      <c r="B19" s="318">
        <v>16</v>
      </c>
      <c r="C19" s="311"/>
      <c r="D19" s="311"/>
      <c r="E19" s="313"/>
      <c r="F19" s="313">
        <v>100</v>
      </c>
      <c r="G19" s="313">
        <v>6000</v>
      </c>
      <c r="H19" s="313">
        <f>D19+E19+F19+G19</f>
        <v>6100</v>
      </c>
      <c r="I19" s="297">
        <v>6100</v>
      </c>
      <c r="J19" s="297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3000</v>
      </c>
      <c r="J20" s="152">
        <f t="shared" si="0"/>
        <v>100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289" t="s">
        <v>525</v>
      </c>
      <c r="B22" s="292">
        <v>19</v>
      </c>
      <c r="C22" s="289"/>
      <c r="D22" s="289"/>
      <c r="E22" s="290"/>
      <c r="F22" s="290"/>
      <c r="G22" s="290">
        <v>1350</v>
      </c>
      <c r="H22" s="290">
        <f t="shared" si="1"/>
        <v>1350</v>
      </c>
      <c r="I22" s="152">
        <v>1350</v>
      </c>
      <c r="J22" s="152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/>
      <c r="F25" s="290">
        <v>100</v>
      </c>
      <c r="G25" s="290">
        <v>3500</v>
      </c>
      <c r="H25" s="290">
        <f t="shared" si="1"/>
        <v>3600</v>
      </c>
      <c r="I25" s="152">
        <v>2500</v>
      </c>
      <c r="J25" s="152">
        <f t="shared" si="0"/>
        <v>1100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3900</v>
      </c>
      <c r="H27" s="290">
        <f t="shared" si="1"/>
        <v>4000</v>
      </c>
      <c r="I27" s="152">
        <v>4000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3400</v>
      </c>
      <c r="H28" s="290">
        <f t="shared" si="1"/>
        <v>3500</v>
      </c>
      <c r="I28" s="152">
        <v>3500</v>
      </c>
      <c r="J28" s="152">
        <f t="shared" si="0"/>
        <v>0</v>
      </c>
      <c r="K28" s="12"/>
    </row>
    <row r="29" spans="1:11" x14ac:dyDescent="0.25">
      <c r="A29" s="289" t="s">
        <v>479</v>
      </c>
      <c r="B29" s="208">
        <v>26</v>
      </c>
      <c r="C29" s="289"/>
      <c r="D29" s="289"/>
      <c r="E29" s="290"/>
      <c r="F29" s="290">
        <v>100</v>
      </c>
      <c r="G29" s="290">
        <v>3500</v>
      </c>
      <c r="H29" s="290">
        <f t="shared" si="1"/>
        <v>3600</v>
      </c>
      <c r="I29" s="152">
        <v>3500</v>
      </c>
      <c r="J29" s="152">
        <f t="shared" si="0"/>
        <v>100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437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400</v>
      </c>
      <c r="F32" s="290">
        <v>100</v>
      </c>
      <c r="G32" s="290">
        <v>3300</v>
      </c>
      <c r="H32" s="290">
        <f t="shared" si="1"/>
        <v>3800</v>
      </c>
      <c r="I32" s="152">
        <v>3000</v>
      </c>
      <c r="J32" s="152">
        <f t="shared" si="0"/>
        <v>800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475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 t="shared" si="0"/>
        <v>0</v>
      </c>
      <c r="K34" s="12"/>
    </row>
    <row r="35" spans="1:11" x14ac:dyDescent="0.25">
      <c r="A35" s="289" t="s">
        <v>513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>D35+E35+F35+G35</f>
        <v>2800</v>
      </c>
      <c r="I35" s="152">
        <v>2800</v>
      </c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400</v>
      </c>
      <c r="F37" s="297">
        <f>SUM(F4:F36)</f>
        <v>3100</v>
      </c>
      <c r="G37" s="297">
        <f>SUM(G4:G36)</f>
        <v>110050</v>
      </c>
      <c r="H37" s="297">
        <f>SUM(H4:H36)</f>
        <v>113550</v>
      </c>
      <c r="I37" s="297">
        <f>SUM(I4:I36)</f>
        <v>111150</v>
      </c>
      <c r="J37" s="297">
        <f>SUM(J4:J36)</f>
        <v>2400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7"/>
      <c r="I38" s="297"/>
      <c r="J38" s="297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152"/>
      <c r="K39" s="12"/>
    </row>
    <row r="40" spans="1:11" x14ac:dyDescent="0.25">
      <c r="A40" s="152" t="s">
        <v>246</v>
      </c>
      <c r="B40" s="300">
        <f>G37</f>
        <v>110050</v>
      </c>
      <c r="C40" s="152"/>
      <c r="D40" s="152"/>
      <c r="E40" s="152"/>
      <c r="F40" s="152" t="s">
        <v>246</v>
      </c>
      <c r="G40" s="300">
        <f>I37</f>
        <v>111150</v>
      </c>
      <c r="H40" s="152"/>
      <c r="I40" s="152"/>
      <c r="J40" s="152"/>
      <c r="K40" s="12"/>
    </row>
    <row r="41" spans="1:11" x14ac:dyDescent="0.25">
      <c r="A41" s="152" t="s">
        <v>368</v>
      </c>
      <c r="B41" s="300">
        <f>'JANUARY '!D54</f>
        <v>-5430</v>
      </c>
      <c r="C41" s="152"/>
      <c r="D41" s="152"/>
      <c r="E41" s="152"/>
      <c r="F41" s="152" t="s">
        <v>368</v>
      </c>
      <c r="G41" s="300">
        <f>'JANUARY '!I54</f>
        <v>-6060</v>
      </c>
      <c r="H41" s="152"/>
      <c r="I41" s="152"/>
      <c r="J41" s="152"/>
      <c r="K41" s="12"/>
    </row>
    <row r="42" spans="1:11" x14ac:dyDescent="0.25">
      <c r="A42" s="152" t="s">
        <v>410</v>
      </c>
      <c r="B42" s="301">
        <v>0.1</v>
      </c>
      <c r="C42" s="300">
        <f>B42*B40</f>
        <v>11005</v>
      </c>
      <c r="D42" s="152"/>
      <c r="E42" s="152"/>
      <c r="F42" s="152" t="s">
        <v>410</v>
      </c>
      <c r="G42" s="301">
        <v>0.1</v>
      </c>
      <c r="H42" s="300">
        <f>C42</f>
        <v>11005</v>
      </c>
      <c r="I42" s="152"/>
      <c r="J42" s="152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152"/>
      <c r="K43" s="12"/>
    </row>
    <row r="44" spans="1:11" x14ac:dyDescent="0.25">
      <c r="A44" s="303" t="s">
        <v>523</v>
      </c>
      <c r="B44" s="152"/>
      <c r="C44" s="152">
        <v>1000</v>
      </c>
      <c r="D44" s="152"/>
      <c r="E44" s="152"/>
      <c r="F44" s="303" t="s">
        <v>161</v>
      </c>
      <c r="G44" s="152"/>
      <c r="H44" s="152">
        <f>F37</f>
        <v>3100</v>
      </c>
      <c r="I44" s="152"/>
      <c r="J44" s="152"/>
      <c r="K44" s="12"/>
    </row>
    <row r="45" spans="1:11" x14ac:dyDescent="0.25">
      <c r="A45" s="303" t="s">
        <v>524</v>
      </c>
      <c r="B45" s="152"/>
      <c r="C45" s="152">
        <v>91400</v>
      </c>
      <c r="D45" s="152"/>
      <c r="E45" s="152"/>
      <c r="F45" s="303" t="s">
        <v>523</v>
      </c>
      <c r="G45" s="152"/>
      <c r="H45" s="152">
        <v>1000</v>
      </c>
      <c r="I45" s="152"/>
      <c r="J45" s="152"/>
      <c r="K45" s="12"/>
    </row>
    <row r="46" spans="1:11" x14ac:dyDescent="0.25">
      <c r="A46" s="303" t="s">
        <v>526</v>
      </c>
      <c r="B46" s="152"/>
      <c r="C46" s="152">
        <v>1215</v>
      </c>
      <c r="D46" s="152"/>
      <c r="E46" s="152"/>
      <c r="F46" s="303" t="s">
        <v>524</v>
      </c>
      <c r="G46" s="152"/>
      <c r="H46" s="152">
        <v>91400</v>
      </c>
      <c r="I46" s="152"/>
      <c r="J46" s="152"/>
      <c r="K46" s="12"/>
    </row>
    <row r="47" spans="1:11" x14ac:dyDescent="0.25">
      <c r="A47" s="303"/>
      <c r="B47" s="152"/>
      <c r="C47" s="152"/>
      <c r="D47" s="152"/>
      <c r="E47" s="152"/>
      <c r="F47" s="303" t="s">
        <v>526</v>
      </c>
      <c r="G47" s="152"/>
      <c r="H47" s="152">
        <v>1215</v>
      </c>
      <c r="I47" s="152"/>
      <c r="J47" s="152"/>
      <c r="K47" s="12"/>
    </row>
    <row r="48" spans="1:11" x14ac:dyDescent="0.25">
      <c r="A48" s="296" t="s">
        <v>4</v>
      </c>
      <c r="B48" s="300">
        <f>B40+B41-C42</f>
        <v>93615</v>
      </c>
      <c r="C48" s="300">
        <f>SUM(C44:C47)</f>
        <v>93615</v>
      </c>
      <c r="D48" s="300">
        <f>B48-C48</f>
        <v>0</v>
      </c>
      <c r="E48" s="152"/>
      <c r="F48" s="296" t="s">
        <v>4</v>
      </c>
      <c r="G48" s="300">
        <f>G40+G41-H42</f>
        <v>94085</v>
      </c>
      <c r="H48" s="300">
        <f>SUM(H44:H47)</f>
        <v>96715</v>
      </c>
      <c r="I48" s="300">
        <f>G48-H48</f>
        <v>-2630</v>
      </c>
      <c r="J48" s="152"/>
      <c r="K48" s="12"/>
    </row>
    <row r="49" spans="1:11" x14ac:dyDescent="0.25">
      <c r="A49" s="319" t="s">
        <v>112</v>
      </c>
      <c r="B49" s="319"/>
      <c r="C49" s="294"/>
      <c r="D49" s="294" t="s">
        <v>113</v>
      </c>
      <c r="E49" s="294"/>
      <c r="F49" s="294"/>
      <c r="G49" s="294" t="s">
        <v>114</v>
      </c>
      <c r="H49" s="294"/>
      <c r="I49" s="294"/>
      <c r="J49" s="294"/>
      <c r="K49" s="328"/>
    </row>
    <row r="50" spans="1:11" x14ac:dyDescent="0.25">
      <c r="A50" s="294" t="s">
        <v>510</v>
      </c>
      <c r="B50" s="294"/>
      <c r="C50" s="294"/>
      <c r="D50" s="294" t="s">
        <v>441</v>
      </c>
      <c r="E50" s="294"/>
      <c r="F50" s="294"/>
      <c r="G50" s="294" t="s">
        <v>497</v>
      </c>
      <c r="H50" s="294"/>
      <c r="I50" s="294"/>
      <c r="J50" s="294"/>
      <c r="K50" s="12"/>
    </row>
    <row r="51" spans="1:11" x14ac:dyDescent="0.25">
      <c r="A51" s="294"/>
      <c r="B51" s="294"/>
      <c r="C51" s="294"/>
      <c r="D51" s="294"/>
      <c r="E51" s="294"/>
      <c r="F51" s="294"/>
      <c r="G51" s="294"/>
      <c r="H51" s="294"/>
      <c r="I51" s="294"/>
      <c r="J51" s="294"/>
      <c r="K51" s="12"/>
    </row>
    <row r="52" spans="1:1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10" zoomScaleNormal="100" workbookViewId="0">
      <selection activeCell="K44" sqref="K44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527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>
        <v>100</v>
      </c>
      <c r="F7" s="290">
        <v>100</v>
      </c>
      <c r="G7" s="290">
        <v>4000</v>
      </c>
      <c r="H7" s="290">
        <f t="shared" si="1"/>
        <v>4200</v>
      </c>
      <c r="I7" s="152">
        <v>4000</v>
      </c>
      <c r="J7" s="152">
        <f t="shared" si="0"/>
        <v>200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>
        <v>100</v>
      </c>
      <c r="F8" s="290">
        <v>100</v>
      </c>
      <c r="G8" s="290">
        <v>4000</v>
      </c>
      <c r="H8" s="290">
        <f t="shared" si="1"/>
        <v>4200</v>
      </c>
      <c r="I8" s="152">
        <v>4000</v>
      </c>
      <c r="J8" s="152">
        <f t="shared" si="0"/>
        <v>200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/>
      <c r="B12" s="208">
        <v>9</v>
      </c>
      <c r="C12" s="289"/>
      <c r="D12" s="289"/>
      <c r="E12" s="290"/>
      <c r="F12" s="290"/>
      <c r="G12" s="290"/>
      <c r="H12" s="290">
        <f>D12+E12+F12+G12</f>
        <v>0</v>
      </c>
      <c r="I12" s="152"/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11" t="s">
        <v>525</v>
      </c>
      <c r="B22" s="312">
        <v>19</v>
      </c>
      <c r="C22" s="311"/>
      <c r="D22" s="311"/>
      <c r="E22" s="313"/>
      <c r="F22" s="313">
        <v>100</v>
      </c>
      <c r="G22" s="313">
        <v>5400</v>
      </c>
      <c r="H22" s="313">
        <f t="shared" si="1"/>
        <v>5500</v>
      </c>
      <c r="I22" s="297">
        <v>5500</v>
      </c>
      <c r="J22" s="297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>
        <v>1100</v>
      </c>
      <c r="F25" s="290">
        <v>100</v>
      </c>
      <c r="G25" s="290">
        <v>3500</v>
      </c>
      <c r="H25" s="290">
        <f t="shared" si="1"/>
        <v>4700</v>
      </c>
      <c r="I25" s="152">
        <v>4000</v>
      </c>
      <c r="J25" s="152">
        <f t="shared" si="0"/>
        <v>700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4000</v>
      </c>
      <c r="H27" s="290">
        <f t="shared" si="1"/>
        <v>4100</v>
      </c>
      <c r="I27" s="152">
        <v>4100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479</v>
      </c>
      <c r="B29" s="208">
        <v>26</v>
      </c>
      <c r="C29" s="289"/>
      <c r="D29" s="289"/>
      <c r="E29" s="290"/>
      <c r="F29" s="290">
        <v>100</v>
      </c>
      <c r="G29" s="290">
        <v>3500</v>
      </c>
      <c r="H29" s="290">
        <f t="shared" si="1"/>
        <v>3600</v>
      </c>
      <c r="I29" s="152">
        <v>3600</v>
      </c>
      <c r="J29" s="152">
        <f t="shared" si="0"/>
        <v>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437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800</v>
      </c>
      <c r="F32" s="290">
        <v>100</v>
      </c>
      <c r="G32" s="290">
        <v>3300</v>
      </c>
      <c r="H32" s="290">
        <f t="shared" si="1"/>
        <v>4200</v>
      </c>
      <c r="I32" s="152">
        <v>3000</v>
      </c>
      <c r="J32" s="152">
        <f t="shared" si="0"/>
        <v>1200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 t="shared" si="0"/>
        <v>0</v>
      </c>
      <c r="K34" s="12"/>
    </row>
    <row r="35" spans="1:11" x14ac:dyDescent="0.25">
      <c r="A35" s="289" t="s">
        <v>513</v>
      </c>
      <c r="B35" s="208">
        <v>32</v>
      </c>
      <c r="C35" s="289"/>
      <c r="D35" s="289"/>
      <c r="E35" s="290"/>
      <c r="F35" s="290">
        <v>0</v>
      </c>
      <c r="G35" s="290"/>
      <c r="H35" s="290">
        <f>D35+E35+F35+G35</f>
        <v>0</v>
      </c>
      <c r="I35" s="152"/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2100</v>
      </c>
      <c r="F37" s="297">
        <f>SUM(F4:F36)</f>
        <v>3000</v>
      </c>
      <c r="G37" s="297">
        <f>SUM(G4:G36)</f>
        <v>100500</v>
      </c>
      <c r="H37" s="297">
        <f>SUM(H4:H36)</f>
        <v>105600</v>
      </c>
      <c r="I37" s="297">
        <f>SUM(I4:I36)</f>
        <v>103300</v>
      </c>
      <c r="J37" s="297">
        <f>SUM(J4:J36)</f>
        <v>2300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/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179</v>
      </c>
      <c r="B40" s="300">
        <f>G37</f>
        <v>100500</v>
      </c>
      <c r="C40" s="152"/>
      <c r="D40" s="152"/>
      <c r="E40" s="152"/>
      <c r="F40" s="152" t="s">
        <v>179</v>
      </c>
      <c r="G40" s="300">
        <f>I37</f>
        <v>103300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'FEB '!D48</f>
        <v>0</v>
      </c>
      <c r="C41" s="152"/>
      <c r="D41" s="152"/>
      <c r="E41" s="152"/>
      <c r="F41" s="152" t="s">
        <v>368</v>
      </c>
      <c r="G41" s="300">
        <f>'FEB '!I48</f>
        <v>-2630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10050</v>
      </c>
      <c r="D42" s="152"/>
      <c r="E42" s="152"/>
      <c r="F42" s="152" t="s">
        <v>410</v>
      </c>
      <c r="G42" s="301">
        <v>0.1</v>
      </c>
      <c r="H42" s="300">
        <f>C42</f>
        <v>10050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523</v>
      </c>
      <c r="B44" s="152"/>
      <c r="C44" s="152">
        <v>1000</v>
      </c>
      <c r="D44" s="152"/>
      <c r="E44" s="152"/>
      <c r="F44" s="303" t="s">
        <v>161</v>
      </c>
      <c r="G44" s="152"/>
      <c r="H44" s="152">
        <f>F37</f>
        <v>3000</v>
      </c>
      <c r="I44" s="152"/>
      <c r="J44" s="8"/>
      <c r="K44" s="12"/>
    </row>
    <row r="45" spans="1:11" x14ac:dyDescent="0.25">
      <c r="A45" s="303" t="s">
        <v>435</v>
      </c>
      <c r="B45" s="152"/>
      <c r="C45" s="152">
        <v>1000</v>
      </c>
      <c r="D45" s="152"/>
      <c r="E45" s="152"/>
      <c r="F45" s="303" t="s">
        <v>523</v>
      </c>
      <c r="G45" s="152"/>
      <c r="H45" s="152">
        <v>1000</v>
      </c>
      <c r="I45" s="152"/>
      <c r="J45" s="8"/>
      <c r="K45" s="12"/>
    </row>
    <row r="46" spans="1:11" x14ac:dyDescent="0.25">
      <c r="A46" s="303" t="s">
        <v>528</v>
      </c>
      <c r="B46" s="152"/>
      <c r="C46" s="152">
        <v>90430</v>
      </c>
      <c r="D46" s="152"/>
      <c r="E46" s="152"/>
      <c r="F46" s="303" t="s">
        <v>435</v>
      </c>
      <c r="G46" s="152"/>
      <c r="H46" s="152">
        <v>1000</v>
      </c>
      <c r="I46" s="152"/>
      <c r="J46" s="8"/>
      <c r="K46" s="12"/>
    </row>
    <row r="47" spans="1:11" x14ac:dyDescent="0.25">
      <c r="A47" s="303" t="s">
        <v>529</v>
      </c>
      <c r="B47" s="152"/>
      <c r="C47" s="152">
        <v>1000</v>
      </c>
      <c r="D47" s="152"/>
      <c r="E47" s="152"/>
      <c r="F47" s="303" t="s">
        <v>528</v>
      </c>
      <c r="G47" s="152"/>
      <c r="H47" s="152">
        <v>90430</v>
      </c>
      <c r="I47" s="152"/>
      <c r="J47" s="8"/>
      <c r="K47" s="12"/>
    </row>
    <row r="48" spans="1:11" x14ac:dyDescent="0.25">
      <c r="A48" s="303" t="s">
        <v>222</v>
      </c>
      <c r="B48" s="152"/>
      <c r="C48" s="152">
        <v>21000</v>
      </c>
      <c r="D48" s="152"/>
      <c r="E48" s="152"/>
      <c r="F48" s="303" t="s">
        <v>529</v>
      </c>
      <c r="G48" s="152"/>
      <c r="H48" s="152">
        <v>1000</v>
      </c>
      <c r="I48" s="152"/>
      <c r="J48" s="8"/>
      <c r="K48" s="12"/>
    </row>
    <row r="49" spans="1:12" x14ac:dyDescent="0.25">
      <c r="A49" s="303"/>
      <c r="B49" s="152"/>
      <c r="C49" s="152"/>
      <c r="D49" s="152"/>
      <c r="E49" s="152"/>
      <c r="F49" s="303" t="s">
        <v>222</v>
      </c>
      <c r="G49" s="152"/>
      <c r="H49" s="152">
        <v>21000</v>
      </c>
      <c r="I49" s="152"/>
      <c r="J49" s="8"/>
      <c r="K49" s="12"/>
      <c r="L49" s="332"/>
    </row>
    <row r="50" spans="1:12" x14ac:dyDescent="0.25">
      <c r="A50" s="296" t="s">
        <v>4</v>
      </c>
      <c r="B50" s="309">
        <f>B40+B41-C42</f>
        <v>90450</v>
      </c>
      <c r="C50" s="309">
        <f>SUM(C44:C49)</f>
        <v>114430</v>
      </c>
      <c r="D50" s="309">
        <f>B50-C50</f>
        <v>-23980</v>
      </c>
      <c r="E50" s="297"/>
      <c r="F50" s="296" t="s">
        <v>4</v>
      </c>
      <c r="G50" s="309">
        <f>G40+G41-H42</f>
        <v>90620</v>
      </c>
      <c r="H50" s="309">
        <f>SUM(H44:H49)</f>
        <v>117430</v>
      </c>
      <c r="I50" s="309">
        <f>G50-H50</f>
        <v>-26810</v>
      </c>
      <c r="J50" s="310"/>
      <c r="K50" s="12"/>
      <c r="L50" s="332"/>
    </row>
    <row r="51" spans="1:12" x14ac:dyDescent="0.25">
      <c r="A51" s="92" t="s">
        <v>112</v>
      </c>
      <c r="B51" s="92"/>
      <c r="C51" s="12"/>
      <c r="D51" s="12" t="s">
        <v>113</v>
      </c>
      <c r="E51" s="12"/>
      <c r="F51" s="12"/>
      <c r="G51" s="12" t="s">
        <v>114</v>
      </c>
      <c r="H51" s="12"/>
      <c r="I51" s="12"/>
      <c r="J51" s="12"/>
      <c r="K51" s="12"/>
    </row>
    <row r="52" spans="1:12" x14ac:dyDescent="0.25">
      <c r="A52" s="12" t="s">
        <v>510</v>
      </c>
      <c r="B52" s="12"/>
      <c r="C52" s="12"/>
      <c r="D52" s="12" t="s">
        <v>441</v>
      </c>
      <c r="E52" s="12"/>
      <c r="F52" s="12"/>
      <c r="G52" s="12" t="s">
        <v>497</v>
      </c>
      <c r="H52" s="12"/>
      <c r="I52" s="12"/>
      <c r="J52" s="12"/>
      <c r="K52" s="12"/>
    </row>
    <row r="53" spans="1:12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2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16" workbookViewId="0">
      <selection activeCell="J38" sqref="J38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532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>
        <v>200</v>
      </c>
      <c r="F7" s="290">
        <v>100</v>
      </c>
      <c r="G7" s="290">
        <v>4000</v>
      </c>
      <c r="H7" s="290">
        <f t="shared" si="1"/>
        <v>4300</v>
      </c>
      <c r="I7" s="152">
        <v>4000</v>
      </c>
      <c r="J7" s="152">
        <f t="shared" si="0"/>
        <v>300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>
        <v>200</v>
      </c>
      <c r="F8" s="290">
        <v>100</v>
      </c>
      <c r="G8" s="290">
        <v>4000</v>
      </c>
      <c r="H8" s="290">
        <f t="shared" si="1"/>
        <v>4300</v>
      </c>
      <c r="I8" s="152">
        <v>4000</v>
      </c>
      <c r="J8" s="152">
        <f t="shared" si="0"/>
        <v>300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311" t="s">
        <v>531</v>
      </c>
      <c r="B12" s="318">
        <v>9</v>
      </c>
      <c r="C12" s="311"/>
      <c r="D12" s="311"/>
      <c r="E12" s="313"/>
      <c r="F12" s="313">
        <v>100</v>
      </c>
      <c r="G12" s="313">
        <v>5400</v>
      </c>
      <c r="H12" s="313">
        <f>D12+E12+F12+G12</f>
        <v>5500</v>
      </c>
      <c r="I12" s="297">
        <v>5500</v>
      </c>
      <c r="J12" s="297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11" t="s">
        <v>530</v>
      </c>
      <c r="B22" s="312">
        <v>19</v>
      </c>
      <c r="C22" s="311"/>
      <c r="D22" s="311"/>
      <c r="E22" s="313"/>
      <c r="F22" s="313">
        <v>100</v>
      </c>
      <c r="G22" s="313">
        <v>5400</v>
      </c>
      <c r="H22" s="313">
        <f t="shared" si="1"/>
        <v>5500</v>
      </c>
      <c r="I22" s="297">
        <v>5500</v>
      </c>
      <c r="J22" s="297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>
        <v>700</v>
      </c>
      <c r="F25" s="290">
        <v>100</v>
      </c>
      <c r="G25" s="290">
        <v>3500</v>
      </c>
      <c r="H25" s="290">
        <f t="shared" si="1"/>
        <v>4300</v>
      </c>
      <c r="I25" s="152">
        <v>3000</v>
      </c>
      <c r="J25" s="152">
        <f t="shared" si="0"/>
        <v>1300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4000</v>
      </c>
      <c r="H27" s="290">
        <f t="shared" si="1"/>
        <v>4100</v>
      </c>
      <c r="I27" s="152">
        <v>4100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479</v>
      </c>
      <c r="B29" s="208">
        <v>26</v>
      </c>
      <c r="C29" s="289"/>
      <c r="D29" s="289"/>
      <c r="E29" s="290"/>
      <c r="F29" s="290"/>
      <c r="G29" s="290"/>
      <c r="H29" s="290">
        <f t="shared" si="1"/>
        <v>0</v>
      </c>
      <c r="I29" s="152"/>
      <c r="J29" s="152">
        <f t="shared" si="0"/>
        <v>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437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1200</v>
      </c>
      <c r="F32" s="290">
        <v>100</v>
      </c>
      <c r="G32" s="290">
        <v>3300</v>
      </c>
      <c r="H32" s="290">
        <f t="shared" si="1"/>
        <v>4600</v>
      </c>
      <c r="I32" s="152">
        <v>3000</v>
      </c>
      <c r="J32" s="152">
        <f t="shared" si="0"/>
        <v>1600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1" x14ac:dyDescent="0.25">
      <c r="A35" s="289" t="s">
        <v>534</v>
      </c>
      <c r="B35" s="208">
        <v>32</v>
      </c>
      <c r="C35" s="289"/>
      <c r="D35" s="289"/>
      <c r="E35" s="290"/>
      <c r="F35" s="290">
        <v>0</v>
      </c>
      <c r="G35" s="290">
        <v>1000</v>
      </c>
      <c r="H35" s="290">
        <f>D35+E35+F35+G35</f>
        <v>1000</v>
      </c>
      <c r="I35" s="152">
        <v>1000</v>
      </c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2300</v>
      </c>
      <c r="F37" s="297">
        <f>SUM(F4:F36)</f>
        <v>3000</v>
      </c>
      <c r="G37" s="297">
        <f>SUM(G4:G36)</f>
        <v>103400</v>
      </c>
      <c r="H37" s="297">
        <f>SUM(H4:H36)</f>
        <v>108700</v>
      </c>
      <c r="I37" s="297">
        <f>SUM(I4:I36)</f>
        <v>105200</v>
      </c>
      <c r="J37" s="297">
        <f>SUM(J4:J36)</f>
        <v>3500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/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106</v>
      </c>
      <c r="B40" s="300">
        <f>G37</f>
        <v>103400</v>
      </c>
      <c r="C40" s="152"/>
      <c r="D40" s="152"/>
      <c r="E40" s="152"/>
      <c r="F40" s="152" t="s">
        <v>218</v>
      </c>
      <c r="G40" s="300">
        <f>I37</f>
        <v>105200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'MARCH '!D50</f>
        <v>-23980</v>
      </c>
      <c r="C41" s="152"/>
      <c r="D41" s="152"/>
      <c r="E41" s="152"/>
      <c r="F41" s="152" t="s">
        <v>368</v>
      </c>
      <c r="G41" s="300">
        <f>'MARCH '!I50</f>
        <v>-26810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10340</v>
      </c>
      <c r="D42" s="152"/>
      <c r="E42" s="152"/>
      <c r="F42" s="152" t="s">
        <v>410</v>
      </c>
      <c r="G42" s="301">
        <v>0.1</v>
      </c>
      <c r="H42" s="300">
        <f>C42</f>
        <v>10340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533</v>
      </c>
      <c r="B44" s="152"/>
      <c r="C44" s="152">
        <v>71330</v>
      </c>
      <c r="D44" s="152"/>
      <c r="E44" s="152"/>
      <c r="F44" s="303" t="s">
        <v>161</v>
      </c>
      <c r="G44" s="152"/>
      <c r="H44" s="152">
        <f>F37</f>
        <v>3000</v>
      </c>
      <c r="I44" s="152"/>
      <c r="J44" s="8"/>
      <c r="K44" s="12"/>
    </row>
    <row r="45" spans="1:11" x14ac:dyDescent="0.25">
      <c r="A45" s="303" t="s">
        <v>535</v>
      </c>
      <c r="B45" s="152"/>
      <c r="C45" s="152">
        <v>900</v>
      </c>
      <c r="D45" s="152"/>
      <c r="E45" s="152"/>
      <c r="F45" s="303" t="s">
        <v>533</v>
      </c>
      <c r="G45" s="152"/>
      <c r="H45" s="152">
        <v>71330</v>
      </c>
      <c r="I45" s="152"/>
      <c r="J45" s="8"/>
      <c r="K45" s="12"/>
    </row>
    <row r="46" spans="1:11" x14ac:dyDescent="0.25">
      <c r="A46" s="303" t="s">
        <v>536</v>
      </c>
      <c r="B46" s="152"/>
      <c r="C46" s="152">
        <v>2000</v>
      </c>
      <c r="D46" s="152"/>
      <c r="E46" s="152"/>
      <c r="F46" s="303" t="s">
        <v>535</v>
      </c>
      <c r="G46" s="152"/>
      <c r="H46" s="152">
        <v>900</v>
      </c>
      <c r="I46" s="152"/>
      <c r="J46" s="8"/>
      <c r="K46" s="12"/>
    </row>
    <row r="47" spans="1:11" x14ac:dyDescent="0.25">
      <c r="A47" s="303"/>
      <c r="B47" s="152"/>
      <c r="C47" s="152"/>
      <c r="D47" s="152"/>
      <c r="E47" s="152"/>
      <c r="F47" s="303" t="s">
        <v>536</v>
      </c>
      <c r="G47" s="152"/>
      <c r="H47" s="152">
        <v>2000</v>
      </c>
      <c r="I47" s="152"/>
      <c r="J47" s="8"/>
      <c r="K47" s="12"/>
    </row>
    <row r="48" spans="1:11" x14ac:dyDescent="0.25">
      <c r="A48" s="303"/>
      <c r="B48" s="152"/>
      <c r="C48" s="152"/>
      <c r="D48" s="152"/>
      <c r="E48" s="152"/>
      <c r="F48" s="303"/>
      <c r="G48" s="152"/>
      <c r="H48" s="152"/>
      <c r="I48" s="152"/>
      <c r="J48" s="8"/>
      <c r="K48" s="328"/>
    </row>
    <row r="49" spans="1:11" x14ac:dyDescent="0.25">
      <c r="A49" s="296" t="s">
        <v>4</v>
      </c>
      <c r="B49" s="309">
        <f>B40+B41-C42</f>
        <v>69080</v>
      </c>
      <c r="C49" s="309">
        <f>SUM(C44:C48)</f>
        <v>74230</v>
      </c>
      <c r="D49" s="309">
        <f>B49-C49</f>
        <v>-5150</v>
      </c>
      <c r="E49" s="297"/>
      <c r="F49" s="296" t="s">
        <v>4</v>
      </c>
      <c r="G49" s="309">
        <f>G40+G41-H42</f>
        <v>68050</v>
      </c>
      <c r="H49" s="309">
        <f>SUM(H44:H48)</f>
        <v>77230</v>
      </c>
      <c r="I49" s="309">
        <f>G49-H49</f>
        <v>-9180</v>
      </c>
      <c r="J49" s="310"/>
      <c r="K49" s="328"/>
    </row>
    <row r="50" spans="1:11" x14ac:dyDescent="0.25">
      <c r="A50" s="92" t="s">
        <v>112</v>
      </c>
      <c r="B50" s="92"/>
      <c r="C50" s="12"/>
      <c r="D50" s="12" t="s">
        <v>113</v>
      </c>
      <c r="E50" s="12"/>
      <c r="F50" s="12"/>
      <c r="G50" s="12" t="s">
        <v>114</v>
      </c>
      <c r="H50" s="12"/>
      <c r="I50" s="12"/>
      <c r="J50" s="12"/>
      <c r="K50" s="12"/>
    </row>
    <row r="51" spans="1:11" x14ac:dyDescent="0.25">
      <c r="A51" s="12" t="s">
        <v>510</v>
      </c>
      <c r="B51" s="12"/>
      <c r="C51" s="12"/>
      <c r="D51" s="12" t="s">
        <v>441</v>
      </c>
      <c r="E51" s="12"/>
      <c r="F51" s="12"/>
      <c r="G51" s="12" t="s">
        <v>497</v>
      </c>
      <c r="H51" s="12"/>
      <c r="I51" s="12"/>
      <c r="J51" s="12"/>
      <c r="K51" s="12"/>
    </row>
    <row r="52" spans="1:1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5">
      <c r="A53" s="12"/>
      <c r="B53" s="12"/>
      <c r="C53" s="12"/>
      <c r="D53" s="328"/>
      <c r="E53" s="12"/>
      <c r="F53" s="12"/>
      <c r="G53" s="12"/>
      <c r="H53" s="12"/>
      <c r="I53" s="12"/>
      <c r="J53" s="12"/>
      <c r="K53" s="12"/>
    </row>
    <row r="54" spans="1:1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7" spans="1:11" x14ac:dyDescent="0.25">
      <c r="F57" s="332"/>
    </row>
  </sheetData>
  <pageMargins left="0.7" right="0.7" top="0.75" bottom="0.75" header="0.3" footer="0.3"/>
  <pageSetup orientation="portrait" horizontalDpi="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15" zoomScaleNormal="100" workbookViewId="0">
      <selection activeCell="L27" sqref="L27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537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>
        <v>300</v>
      </c>
      <c r="F7" s="290">
        <v>100</v>
      </c>
      <c r="G7" s="290">
        <v>4000</v>
      </c>
      <c r="H7" s="290">
        <f t="shared" si="1"/>
        <v>4400</v>
      </c>
      <c r="I7" s="152">
        <v>4400</v>
      </c>
      <c r="J7" s="152">
        <f t="shared" si="0"/>
        <v>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>
        <v>300</v>
      </c>
      <c r="F8" s="290">
        <v>100</v>
      </c>
      <c r="G8" s="290">
        <v>4000</v>
      </c>
      <c r="H8" s="290">
        <f t="shared" si="1"/>
        <v>4400</v>
      </c>
      <c r="I8" s="152">
        <v>4400</v>
      </c>
      <c r="J8" s="152">
        <f t="shared" si="0"/>
        <v>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 t="s">
        <v>531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289" t="s">
        <v>530</v>
      </c>
      <c r="B22" s="292">
        <v>19</v>
      </c>
      <c r="C22" s="289"/>
      <c r="D22" s="289"/>
      <c r="E22" s="290"/>
      <c r="F22" s="290">
        <v>100</v>
      </c>
      <c r="G22" s="290">
        <v>2700</v>
      </c>
      <c r="H22" s="290">
        <f t="shared" si="1"/>
        <v>2800</v>
      </c>
      <c r="I22" s="152">
        <v>2800</v>
      </c>
      <c r="J22" s="152">
        <f t="shared" si="0"/>
        <v>0</v>
      </c>
      <c r="K22" s="12" t="s">
        <v>547</v>
      </c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>
        <v>1300</v>
      </c>
      <c r="F25" s="290">
        <v>100</v>
      </c>
      <c r="G25" s="290">
        <v>3500</v>
      </c>
      <c r="H25" s="290">
        <f t="shared" si="1"/>
        <v>4900</v>
      </c>
      <c r="I25" s="152">
        <v>4900</v>
      </c>
      <c r="J25" s="152">
        <f t="shared" si="0"/>
        <v>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541</v>
      </c>
      <c r="B29" s="208">
        <v>26</v>
      </c>
      <c r="C29" s="289"/>
      <c r="D29" s="289"/>
      <c r="E29" s="290"/>
      <c r="F29" s="290"/>
      <c r="G29" s="290">
        <v>7000</v>
      </c>
      <c r="H29" s="290">
        <f t="shared" si="1"/>
        <v>7000</v>
      </c>
      <c r="I29" s="152">
        <v>5000</v>
      </c>
      <c r="J29" s="152">
        <f t="shared" si="0"/>
        <v>2000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320" t="s">
        <v>540</v>
      </c>
      <c r="B31" s="321">
        <v>28</v>
      </c>
      <c r="C31" s="320"/>
      <c r="D31" s="320"/>
      <c r="E31" s="322"/>
      <c r="F31" s="323">
        <v>100</v>
      </c>
      <c r="G31" s="322">
        <v>6600</v>
      </c>
      <c r="H31" s="323">
        <f t="shared" si="1"/>
        <v>6700</v>
      </c>
      <c r="I31" s="295">
        <v>6700</v>
      </c>
      <c r="J31" s="295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1600</v>
      </c>
      <c r="F32" s="290">
        <v>100</v>
      </c>
      <c r="G32" s="290">
        <v>3300</v>
      </c>
      <c r="H32" s="290">
        <f t="shared" si="1"/>
        <v>5000</v>
      </c>
      <c r="I32" s="152">
        <v>3400</v>
      </c>
      <c r="J32" s="152">
        <f t="shared" si="0"/>
        <v>1600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1" x14ac:dyDescent="0.25">
      <c r="A35" s="320" t="s">
        <v>534</v>
      </c>
      <c r="B35" s="321">
        <v>32</v>
      </c>
      <c r="C35" s="320"/>
      <c r="D35" s="320"/>
      <c r="E35" s="323"/>
      <c r="F35" s="323">
        <v>100</v>
      </c>
      <c r="G35" s="323">
        <v>5400</v>
      </c>
      <c r="H35" s="323">
        <f>D35+E35+F35+G35</f>
        <v>5500</v>
      </c>
      <c r="I35" s="295">
        <v>5500</v>
      </c>
      <c r="J35" s="295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3500</v>
      </c>
      <c r="F37" s="297">
        <f>SUM(F4:F36)</f>
        <v>3100</v>
      </c>
      <c r="G37" s="297">
        <f>SUM(G4:G36)</f>
        <v>112400</v>
      </c>
      <c r="H37" s="297">
        <f>SUM(H4:H36)</f>
        <v>119000</v>
      </c>
      <c r="I37" s="297">
        <f>SUM(I4:I36)</f>
        <v>115400</v>
      </c>
      <c r="J37" s="297">
        <f>SUM(J4:J36)</f>
        <v>3600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>
        <f>I37-F37</f>
        <v>112300</v>
      </c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130</v>
      </c>
      <c r="B40" s="300">
        <f>G37</f>
        <v>112400</v>
      </c>
      <c r="C40" s="152"/>
      <c r="D40" s="152"/>
      <c r="E40" s="152"/>
      <c r="F40" s="152" t="s">
        <v>130</v>
      </c>
      <c r="G40" s="300">
        <f>I38</f>
        <v>112300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'APRIL '!D49</f>
        <v>-5150</v>
      </c>
      <c r="C41" s="152"/>
      <c r="D41" s="152"/>
      <c r="E41" s="152"/>
      <c r="F41" s="152" t="s">
        <v>368</v>
      </c>
      <c r="G41" s="300">
        <f>'APRIL '!I49</f>
        <v>-9180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11240</v>
      </c>
      <c r="D42" s="152"/>
      <c r="E42" s="152"/>
      <c r="F42" s="152" t="s">
        <v>410</v>
      </c>
      <c r="G42" s="301">
        <v>0.1</v>
      </c>
      <c r="H42" s="300">
        <f>C42</f>
        <v>11240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222</v>
      </c>
      <c r="B44" s="152"/>
      <c r="C44" s="152">
        <v>10500</v>
      </c>
      <c r="D44" s="152"/>
      <c r="E44" s="152"/>
      <c r="F44" s="303" t="s">
        <v>222</v>
      </c>
      <c r="G44" s="152"/>
      <c r="H44" s="152">
        <v>10500</v>
      </c>
      <c r="I44" s="152"/>
      <c r="J44" s="8"/>
      <c r="K44" s="12"/>
    </row>
    <row r="45" spans="1:11" x14ac:dyDescent="0.25">
      <c r="A45" s="303" t="s">
        <v>538</v>
      </c>
      <c r="B45" s="152"/>
      <c r="C45" s="152">
        <v>1800</v>
      </c>
      <c r="D45" s="152"/>
      <c r="E45" s="152"/>
      <c r="F45" s="303" t="s">
        <v>538</v>
      </c>
      <c r="G45" s="152"/>
      <c r="H45" s="152">
        <v>1800</v>
      </c>
      <c r="I45" s="152"/>
      <c r="J45" s="8"/>
      <c r="K45" s="12"/>
    </row>
    <row r="46" spans="1:11" x14ac:dyDescent="0.25">
      <c r="A46" s="303" t="s">
        <v>539</v>
      </c>
      <c r="B46" s="152"/>
      <c r="C46" s="152">
        <v>77410</v>
      </c>
      <c r="D46" s="152"/>
      <c r="E46" s="152"/>
      <c r="F46" s="303" t="s">
        <v>539</v>
      </c>
      <c r="G46" s="152"/>
      <c r="H46" s="152">
        <v>77410</v>
      </c>
      <c r="I46" s="152"/>
      <c r="J46" s="8"/>
      <c r="K46" s="12"/>
    </row>
    <row r="47" spans="1:11" x14ac:dyDescent="0.25">
      <c r="A47" s="303" t="s">
        <v>542</v>
      </c>
      <c r="B47" s="152"/>
      <c r="C47" s="152">
        <v>5000</v>
      </c>
      <c r="D47" s="152"/>
      <c r="E47" s="152"/>
      <c r="F47" s="303" t="s">
        <v>542</v>
      </c>
      <c r="G47" s="152"/>
      <c r="H47" s="152">
        <v>5000</v>
      </c>
      <c r="I47" s="152"/>
      <c r="J47" s="8"/>
      <c r="K47" s="12"/>
    </row>
    <row r="48" spans="1:11" x14ac:dyDescent="0.25">
      <c r="A48" s="303" t="s">
        <v>530</v>
      </c>
      <c r="B48" s="152"/>
      <c r="C48" s="152">
        <v>500</v>
      </c>
      <c r="D48" s="152"/>
      <c r="E48" s="152"/>
      <c r="F48" s="303" t="s">
        <v>530</v>
      </c>
      <c r="G48" s="152"/>
      <c r="H48" s="152">
        <v>500</v>
      </c>
      <c r="I48" s="152"/>
      <c r="J48" s="8"/>
      <c r="K48" s="12"/>
    </row>
    <row r="49" spans="1:13" x14ac:dyDescent="0.25">
      <c r="A49" s="296" t="s">
        <v>4</v>
      </c>
      <c r="B49" s="309">
        <f>B40+B41-C42</f>
        <v>96010</v>
      </c>
      <c r="C49" s="309">
        <f>SUM(C44:C48)</f>
        <v>95210</v>
      </c>
      <c r="D49" s="309">
        <f>B49-C49</f>
        <v>800</v>
      </c>
      <c r="E49" s="297"/>
      <c r="F49" s="296" t="s">
        <v>4</v>
      </c>
      <c r="G49" s="309">
        <f>G40+G41-H42</f>
        <v>91880</v>
      </c>
      <c r="H49" s="309">
        <f>SUM(H44:H48)</f>
        <v>95210</v>
      </c>
      <c r="I49" s="309">
        <f>G49-H49</f>
        <v>-3330</v>
      </c>
      <c r="J49" s="310"/>
      <c r="K49" s="12"/>
    </row>
    <row r="50" spans="1:13" x14ac:dyDescent="0.25">
      <c r="A50" s="92" t="s">
        <v>112</v>
      </c>
      <c r="B50" s="92"/>
      <c r="C50" s="12"/>
      <c r="D50" s="12" t="s">
        <v>113</v>
      </c>
      <c r="E50" s="12"/>
      <c r="F50" s="12"/>
      <c r="G50" s="12" t="s">
        <v>114</v>
      </c>
      <c r="H50" s="12"/>
      <c r="I50" s="12"/>
      <c r="J50" s="12"/>
      <c r="K50" s="12"/>
    </row>
    <row r="51" spans="1:13" x14ac:dyDescent="0.25">
      <c r="A51" s="12" t="s">
        <v>510</v>
      </c>
      <c r="B51" s="12"/>
      <c r="C51" s="12"/>
      <c r="D51" s="12" t="s">
        <v>441</v>
      </c>
      <c r="E51" s="12"/>
      <c r="F51" s="12"/>
      <c r="G51" s="12" t="s">
        <v>497</v>
      </c>
      <c r="H51" s="12"/>
      <c r="I51" s="12"/>
      <c r="J51" s="12"/>
      <c r="K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M52" s="33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M53" s="33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19" workbookViewId="0">
      <selection activeCell="M53" sqref="M53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545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/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/>
      <c r="F8" s="290">
        <v>100</v>
      </c>
      <c r="G8" s="290">
        <v>4000</v>
      </c>
      <c r="H8" s="290">
        <f t="shared" si="1"/>
        <v>4100</v>
      </c>
      <c r="I8" s="152">
        <v>4100</v>
      </c>
      <c r="J8" s="152">
        <f t="shared" si="0"/>
        <v>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 t="s">
        <v>531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20" t="s">
        <v>543</v>
      </c>
      <c r="B22" s="324">
        <v>19</v>
      </c>
      <c r="C22" s="320"/>
      <c r="D22" s="320"/>
      <c r="E22" s="323"/>
      <c r="F22" s="323">
        <v>100</v>
      </c>
      <c r="G22" s="323">
        <v>5400</v>
      </c>
      <c r="H22" s="323">
        <f t="shared" si="1"/>
        <v>5500</v>
      </c>
      <c r="I22" s="295">
        <v>5500</v>
      </c>
      <c r="J22" s="295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/>
      <c r="F25" s="290">
        <v>100</v>
      </c>
      <c r="G25" s="290">
        <v>3500</v>
      </c>
      <c r="H25" s="290">
        <f t="shared" si="1"/>
        <v>3600</v>
      </c>
      <c r="I25" s="152">
        <v>3600</v>
      </c>
      <c r="J25" s="152">
        <f t="shared" si="0"/>
        <v>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541</v>
      </c>
      <c r="B29" s="208">
        <v>26</v>
      </c>
      <c r="C29" s="289"/>
      <c r="D29" s="289"/>
      <c r="E29" s="290">
        <v>2000</v>
      </c>
      <c r="F29" s="290">
        <v>100</v>
      </c>
      <c r="G29" s="290">
        <v>3500</v>
      </c>
      <c r="H29" s="290">
        <f t="shared" si="1"/>
        <v>5600</v>
      </c>
      <c r="I29" s="152">
        <v>5000</v>
      </c>
      <c r="J29" s="152">
        <f t="shared" si="0"/>
        <v>600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/>
      <c r="G30" s="290"/>
      <c r="H30" s="290">
        <f t="shared" si="1"/>
        <v>0</v>
      </c>
      <c r="I30" s="152"/>
      <c r="J30" s="152">
        <f t="shared" si="0"/>
        <v>0</v>
      </c>
      <c r="K30" s="12"/>
    </row>
    <row r="31" spans="1:11" x14ac:dyDescent="0.25">
      <c r="A31" s="289" t="s">
        <v>540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1600</v>
      </c>
      <c r="F32" s="290">
        <v>100</v>
      </c>
      <c r="G32" s="290">
        <v>3300</v>
      </c>
      <c r="H32" s="290">
        <f t="shared" si="1"/>
        <v>5000</v>
      </c>
      <c r="I32" s="152">
        <v>3400</v>
      </c>
      <c r="J32" s="152">
        <f t="shared" si="0"/>
        <v>1600</v>
      </c>
      <c r="K32" s="12"/>
    </row>
    <row r="33" spans="1:12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2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2" x14ac:dyDescent="0.25">
      <c r="A35" s="289" t="s">
        <v>534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>D35+E35+F35+G35</f>
        <v>2800</v>
      </c>
      <c r="I35" s="152">
        <v>2800</v>
      </c>
      <c r="J35" s="152">
        <f t="shared" si="0"/>
        <v>0</v>
      </c>
      <c r="K35" s="12"/>
    </row>
    <row r="36" spans="1:12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2" x14ac:dyDescent="0.25">
      <c r="A37" s="325" t="s">
        <v>4</v>
      </c>
      <c r="B37" s="326"/>
      <c r="C37" s="326"/>
      <c r="D37" s="326"/>
      <c r="E37" s="327">
        <f>SUM(E4:E35)</f>
        <v>3600</v>
      </c>
      <c r="F37" s="327">
        <f>SUM(F4:F36)</f>
        <v>3100</v>
      </c>
      <c r="G37" s="327">
        <f>SUM(G4:G36)</f>
        <v>102300</v>
      </c>
      <c r="H37" s="327">
        <f>SUM(H4:H36)</f>
        <v>109000</v>
      </c>
      <c r="I37" s="327">
        <f>SUM(I4:I36)</f>
        <v>106800</v>
      </c>
      <c r="J37" s="327">
        <f>SUM(J4:J36)</f>
        <v>2200</v>
      </c>
      <c r="K37" s="12"/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>
        <f>I37-F37</f>
        <v>103700</v>
      </c>
      <c r="J38" s="295"/>
      <c r="K38" s="12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2" x14ac:dyDescent="0.25">
      <c r="A40" s="152" t="s">
        <v>544</v>
      </c>
      <c r="B40" s="300">
        <f>G37</f>
        <v>102300</v>
      </c>
      <c r="C40" s="152"/>
      <c r="D40" s="152"/>
      <c r="E40" s="152"/>
      <c r="F40" s="152" t="s">
        <v>544</v>
      </c>
      <c r="G40" s="300">
        <f>I38</f>
        <v>103700</v>
      </c>
      <c r="H40" s="152"/>
      <c r="I40" s="152"/>
      <c r="J40" s="8"/>
      <c r="K40" s="12"/>
    </row>
    <row r="41" spans="1:12" x14ac:dyDescent="0.25">
      <c r="A41" s="152" t="s">
        <v>368</v>
      </c>
      <c r="B41" s="300">
        <f>'MAY '!D49</f>
        <v>800</v>
      </c>
      <c r="C41" s="152"/>
      <c r="D41" s="152"/>
      <c r="E41" s="152"/>
      <c r="F41" s="152" t="s">
        <v>368</v>
      </c>
      <c r="G41" s="300">
        <f>'MAY '!I49</f>
        <v>-3330</v>
      </c>
      <c r="H41" s="152"/>
      <c r="I41" s="152"/>
      <c r="J41" s="8"/>
      <c r="K41" s="12"/>
    </row>
    <row r="42" spans="1:12" x14ac:dyDescent="0.25">
      <c r="A42" s="152" t="s">
        <v>410</v>
      </c>
      <c r="B42" s="301">
        <v>0.1</v>
      </c>
      <c r="C42" s="300">
        <f>B42*B40</f>
        <v>10230</v>
      </c>
      <c r="D42" s="152"/>
      <c r="E42" s="152"/>
      <c r="F42" s="152" t="s">
        <v>410</v>
      </c>
      <c r="G42" s="301">
        <v>0.1</v>
      </c>
      <c r="H42" s="300">
        <f>C42</f>
        <v>10230</v>
      </c>
      <c r="I42" s="152"/>
      <c r="J42" s="8"/>
      <c r="K42" s="12"/>
    </row>
    <row r="43" spans="1:12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  <c r="L43" s="332"/>
    </row>
    <row r="44" spans="1:12" x14ac:dyDescent="0.25">
      <c r="A44" s="303" t="s">
        <v>222</v>
      </c>
      <c r="B44" s="152"/>
      <c r="C44" s="152">
        <v>10500</v>
      </c>
      <c r="D44" s="152"/>
      <c r="E44" s="152"/>
      <c r="F44" s="303" t="s">
        <v>222</v>
      </c>
      <c r="G44" s="152"/>
      <c r="H44" s="152">
        <v>10500</v>
      </c>
      <c r="I44" s="152"/>
      <c r="J44" s="8"/>
      <c r="K44" s="12"/>
      <c r="L44" s="332"/>
    </row>
    <row r="45" spans="1:12" x14ac:dyDescent="0.25">
      <c r="A45" s="303" t="s">
        <v>523</v>
      </c>
      <c r="B45" s="152"/>
      <c r="C45" s="152">
        <v>1000</v>
      </c>
      <c r="D45" s="152"/>
      <c r="E45" s="152"/>
      <c r="F45" s="303" t="s">
        <v>523</v>
      </c>
      <c r="G45" s="152"/>
      <c r="H45" s="152">
        <v>1000</v>
      </c>
      <c r="I45" s="152"/>
      <c r="J45" s="8"/>
      <c r="K45" s="12"/>
    </row>
    <row r="46" spans="1:12" x14ac:dyDescent="0.25">
      <c r="A46" s="303" t="s">
        <v>546</v>
      </c>
      <c r="B46" s="152"/>
      <c r="C46" s="152">
        <v>10127</v>
      </c>
      <c r="D46" s="152"/>
      <c r="E46" s="152"/>
      <c r="F46" s="303" t="s">
        <v>546</v>
      </c>
      <c r="G46" s="152"/>
      <c r="H46" s="152">
        <v>10127</v>
      </c>
      <c r="I46" s="152"/>
      <c r="J46" s="8"/>
      <c r="K46" s="12"/>
    </row>
    <row r="47" spans="1:12" x14ac:dyDescent="0.25">
      <c r="A47" s="303" t="s">
        <v>548</v>
      </c>
      <c r="B47" s="152"/>
      <c r="C47" s="152">
        <v>74213</v>
      </c>
      <c r="D47" s="152"/>
      <c r="E47" s="152"/>
      <c r="F47" s="303" t="s">
        <v>548</v>
      </c>
      <c r="G47" s="152"/>
      <c r="H47" s="152">
        <v>74213</v>
      </c>
      <c r="I47" s="152"/>
      <c r="J47" s="8"/>
      <c r="K47" s="12"/>
    </row>
    <row r="48" spans="1:12" x14ac:dyDescent="0.25">
      <c r="A48" s="303" t="s">
        <v>549</v>
      </c>
      <c r="B48" s="152"/>
      <c r="C48" s="152">
        <v>5127</v>
      </c>
      <c r="D48" s="152"/>
      <c r="E48" s="152"/>
      <c r="F48" s="303" t="s">
        <v>549</v>
      </c>
      <c r="G48" s="152"/>
      <c r="H48" s="152">
        <v>5127</v>
      </c>
      <c r="I48" s="152"/>
      <c r="J48" s="8"/>
      <c r="K48" s="12"/>
    </row>
    <row r="49" spans="1:13" x14ac:dyDescent="0.25">
      <c r="A49" s="296" t="s">
        <v>4</v>
      </c>
      <c r="B49" s="309">
        <f>B40+B41-C42</f>
        <v>92870</v>
      </c>
      <c r="C49" s="309">
        <f>SUM(C44:C48)</f>
        <v>100967</v>
      </c>
      <c r="D49" s="309">
        <f>B49-C49</f>
        <v>-8097</v>
      </c>
      <c r="E49" s="297"/>
      <c r="F49" s="296" t="s">
        <v>4</v>
      </c>
      <c r="G49" s="309">
        <f>G40+G41-H42</f>
        <v>90140</v>
      </c>
      <c r="H49" s="309">
        <f>SUM(H44:H48)</f>
        <v>100967</v>
      </c>
      <c r="I49" s="309">
        <f>G49-H49</f>
        <v>-10827</v>
      </c>
      <c r="J49" s="310"/>
      <c r="K49" s="12"/>
    </row>
    <row r="50" spans="1:13" x14ac:dyDescent="0.25">
      <c r="A50" s="92" t="s">
        <v>112</v>
      </c>
      <c r="B50" s="92"/>
      <c r="C50" s="12"/>
      <c r="D50" s="12" t="s">
        <v>113</v>
      </c>
      <c r="E50" s="12"/>
      <c r="F50" s="12"/>
      <c r="G50" s="12" t="s">
        <v>114</v>
      </c>
      <c r="H50" s="12"/>
      <c r="I50" s="12"/>
      <c r="J50" s="12"/>
      <c r="K50" s="12"/>
      <c r="M50" s="332"/>
    </row>
    <row r="51" spans="1:13" x14ac:dyDescent="0.25">
      <c r="A51" s="12" t="s">
        <v>510</v>
      </c>
      <c r="B51" s="12"/>
      <c r="C51" s="12"/>
      <c r="D51" s="12" t="s">
        <v>441</v>
      </c>
      <c r="E51" s="12"/>
      <c r="F51" s="12"/>
      <c r="G51" s="12" t="s">
        <v>497</v>
      </c>
      <c r="H51" s="12"/>
      <c r="I51" s="12"/>
      <c r="J51" s="12"/>
      <c r="K51" s="12"/>
      <c r="M51" s="33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3" x14ac:dyDescent="0.25">
      <c r="A53" s="12"/>
      <c r="B53" s="12"/>
      <c r="C53" s="12"/>
      <c r="D53" s="12"/>
      <c r="E53" s="328"/>
      <c r="F53" s="12"/>
      <c r="G53" s="12"/>
      <c r="H53" s="12"/>
      <c r="I53" s="12"/>
      <c r="J53" s="12"/>
      <c r="K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19" workbookViewId="0">
      <selection activeCell="L52" sqref="L52:L54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7.85546875" style="129" customWidth="1"/>
    <col min="6" max="6" width="9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553</v>
      </c>
      <c r="G2" s="23"/>
      <c r="H2" s="23"/>
      <c r="I2" s="31"/>
      <c r="J2" s="31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/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/>
      <c r="F8" s="290">
        <v>100</v>
      </c>
      <c r="G8" s="290">
        <v>4000</v>
      </c>
      <c r="H8" s="290">
        <f t="shared" si="1"/>
        <v>4100</v>
      </c>
      <c r="I8" s="152">
        <v>4000</v>
      </c>
      <c r="J8" s="152">
        <f t="shared" si="0"/>
        <v>100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 t="s">
        <v>531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2700</v>
      </c>
      <c r="J14" s="152">
        <f>H14-I14</f>
        <v>100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20" t="s">
        <v>550</v>
      </c>
      <c r="B22" s="324">
        <v>19</v>
      </c>
      <c r="C22" s="320"/>
      <c r="D22" s="320"/>
      <c r="E22" s="323"/>
      <c r="F22" s="323">
        <v>100</v>
      </c>
      <c r="G22" s="323">
        <v>5400</v>
      </c>
      <c r="H22" s="323">
        <f t="shared" si="1"/>
        <v>5500</v>
      </c>
      <c r="I22" s="295">
        <v>5500</v>
      </c>
      <c r="J22" s="295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/>
      <c r="F25" s="290">
        <v>100</v>
      </c>
      <c r="G25" s="290">
        <v>3500</v>
      </c>
      <c r="H25" s="290">
        <f t="shared" si="1"/>
        <v>3600</v>
      </c>
      <c r="I25" s="152">
        <v>3600</v>
      </c>
      <c r="J25" s="152">
        <f t="shared" si="0"/>
        <v>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541</v>
      </c>
      <c r="B29" s="208">
        <v>26</v>
      </c>
      <c r="C29" s="289"/>
      <c r="D29" s="289"/>
      <c r="E29" s="290">
        <v>600</v>
      </c>
      <c r="F29" s="290">
        <v>100</v>
      </c>
      <c r="G29" s="290">
        <v>3500</v>
      </c>
      <c r="H29" s="290">
        <f t="shared" si="1"/>
        <v>4200</v>
      </c>
      <c r="I29" s="152">
        <v>3600</v>
      </c>
      <c r="J29" s="152">
        <f t="shared" si="0"/>
        <v>600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540</v>
      </c>
      <c r="B31" s="208">
        <v>28</v>
      </c>
      <c r="C31" s="289"/>
      <c r="D31" s="289"/>
      <c r="E31" s="293"/>
      <c r="F31" s="290"/>
      <c r="G31" s="293">
        <v>3300</v>
      </c>
      <c r="H31" s="290">
        <f t="shared" si="1"/>
        <v>3300</v>
      </c>
      <c r="I31" s="152">
        <v>3300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1600</v>
      </c>
      <c r="F32" s="290"/>
      <c r="G32" s="290">
        <v>3300</v>
      </c>
      <c r="H32" s="290">
        <f t="shared" si="1"/>
        <v>4900</v>
      </c>
      <c r="I32" s="152">
        <f>3300+1600</f>
        <v>4900</v>
      </c>
      <c r="J32" s="152">
        <f t="shared" si="0"/>
        <v>0</v>
      </c>
      <c r="K32" s="12" t="s">
        <v>622</v>
      </c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1" x14ac:dyDescent="0.25">
      <c r="A35" s="289" t="s">
        <v>534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>D35+E35+F35+G35</f>
        <v>2800</v>
      </c>
      <c r="I35" s="152">
        <v>2800</v>
      </c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325" t="s">
        <v>4</v>
      </c>
      <c r="B37" s="326"/>
      <c r="C37" s="326"/>
      <c r="D37" s="326"/>
      <c r="E37" s="327">
        <f t="shared" ref="E37:J37" si="2">SUM(E4:E36)</f>
        <v>2200</v>
      </c>
      <c r="F37" s="327">
        <f t="shared" si="2"/>
        <v>3000</v>
      </c>
      <c r="G37" s="327">
        <f t="shared" si="2"/>
        <v>105600</v>
      </c>
      <c r="H37" s="327">
        <f t="shared" si="2"/>
        <v>110800</v>
      </c>
      <c r="I37" s="327">
        <f t="shared" si="2"/>
        <v>110000</v>
      </c>
      <c r="J37" s="327">
        <f t="shared" si="2"/>
        <v>800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>
        <f>I37-F37</f>
        <v>107000</v>
      </c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140</v>
      </c>
      <c r="B40" s="300">
        <f>G37</f>
        <v>105600</v>
      </c>
      <c r="C40" s="152"/>
      <c r="D40" s="152"/>
      <c r="E40" s="152"/>
      <c r="F40" s="152" t="s">
        <v>140</v>
      </c>
      <c r="G40" s="300">
        <f>I38</f>
        <v>107000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JUNEE!D49</f>
        <v>-8097</v>
      </c>
      <c r="C41" s="152"/>
      <c r="D41" s="152"/>
      <c r="E41" s="152"/>
      <c r="F41" s="152" t="s">
        <v>368</v>
      </c>
      <c r="G41" s="300">
        <f>JUNEE!I49</f>
        <v>-10827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10560</v>
      </c>
      <c r="D42" s="152"/>
      <c r="E42" s="152"/>
      <c r="F42" s="152" t="s">
        <v>410</v>
      </c>
      <c r="G42" s="301">
        <v>0.1</v>
      </c>
      <c r="H42" s="300">
        <f>C42</f>
        <v>10560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222</v>
      </c>
      <c r="B44" s="152"/>
      <c r="C44" s="152">
        <v>5500</v>
      </c>
      <c r="D44" s="152"/>
      <c r="E44" s="152"/>
      <c r="F44" s="303" t="s">
        <v>222</v>
      </c>
      <c r="G44" s="152"/>
      <c r="H44" s="152">
        <v>5500</v>
      </c>
      <c r="I44" s="152"/>
      <c r="J44" s="8"/>
      <c r="K44" s="12"/>
    </row>
    <row r="45" spans="1:11" x14ac:dyDescent="0.25">
      <c r="A45" s="303" t="s">
        <v>551</v>
      </c>
      <c r="B45" s="152"/>
      <c r="C45" s="152">
        <v>2700</v>
      </c>
      <c r="D45" s="152"/>
      <c r="E45" s="152"/>
      <c r="F45" s="303" t="s">
        <v>551</v>
      </c>
      <c r="G45" s="152"/>
      <c r="H45" s="152">
        <v>2700</v>
      </c>
      <c r="I45" s="152"/>
      <c r="J45" s="8"/>
      <c r="K45" s="12"/>
    </row>
    <row r="46" spans="1:11" x14ac:dyDescent="0.25">
      <c r="A46" s="303" t="s">
        <v>552</v>
      </c>
      <c r="B46" s="152"/>
      <c r="C46" s="152">
        <v>81713</v>
      </c>
      <c r="D46" s="152"/>
      <c r="E46" s="152"/>
      <c r="F46" s="303" t="s">
        <v>552</v>
      </c>
      <c r="G46" s="152"/>
      <c r="H46" s="152">
        <v>81713</v>
      </c>
      <c r="I46" s="152"/>
      <c r="J46" s="8"/>
      <c r="K46" s="12"/>
    </row>
    <row r="47" spans="1:11" x14ac:dyDescent="0.25">
      <c r="A47" s="303" t="s">
        <v>471</v>
      </c>
      <c r="B47" s="152"/>
      <c r="C47" s="152">
        <v>1600</v>
      </c>
      <c r="D47" s="152"/>
      <c r="E47" s="152"/>
      <c r="F47" s="303" t="s">
        <v>471</v>
      </c>
      <c r="G47" s="152"/>
      <c r="H47" s="152">
        <v>1600</v>
      </c>
      <c r="I47" s="152"/>
      <c r="J47" s="8"/>
      <c r="K47" s="12"/>
    </row>
    <row r="48" spans="1:11" x14ac:dyDescent="0.25">
      <c r="A48" s="303"/>
      <c r="B48" s="152"/>
      <c r="C48" s="152"/>
      <c r="D48" s="152"/>
      <c r="E48" s="152"/>
      <c r="F48" s="303"/>
      <c r="G48" s="152"/>
      <c r="H48" s="152"/>
      <c r="I48" s="152"/>
      <c r="J48" s="8"/>
      <c r="K48" s="12"/>
    </row>
    <row r="49" spans="1:12" x14ac:dyDescent="0.25">
      <c r="A49" s="303"/>
      <c r="B49" s="152"/>
      <c r="C49" s="152"/>
      <c r="D49" s="152"/>
      <c r="E49" s="152"/>
      <c r="F49" s="303"/>
      <c r="G49" s="152"/>
      <c r="H49" s="152"/>
      <c r="I49" s="152"/>
      <c r="J49" s="8"/>
      <c r="K49" s="12"/>
    </row>
    <row r="50" spans="1:12" x14ac:dyDescent="0.25">
      <c r="A50" s="303"/>
      <c r="B50" s="152"/>
      <c r="C50" s="152"/>
      <c r="D50" s="152"/>
      <c r="E50" s="152"/>
      <c r="F50" s="303"/>
      <c r="G50" s="152"/>
      <c r="H50" s="152"/>
      <c r="I50" s="152"/>
      <c r="J50" s="8"/>
      <c r="K50" s="12"/>
    </row>
    <row r="51" spans="1:12" x14ac:dyDescent="0.25">
      <c r="A51" s="296" t="s">
        <v>4</v>
      </c>
      <c r="B51" s="309">
        <f>B40+B41-C42</f>
        <v>86943</v>
      </c>
      <c r="C51" s="309">
        <f>SUM(C44:C49)</f>
        <v>91513</v>
      </c>
      <c r="D51" s="309">
        <f>B51-C51</f>
        <v>-4570</v>
      </c>
      <c r="E51" s="297"/>
      <c r="F51" s="296" t="s">
        <v>4</v>
      </c>
      <c r="G51" s="309">
        <f>G40+G41-H42</f>
        <v>85613</v>
      </c>
      <c r="H51" s="309">
        <f>SUM(H44:H48)</f>
        <v>91513</v>
      </c>
      <c r="I51" s="309">
        <f>G51-H51</f>
        <v>-5900</v>
      </c>
      <c r="J51" s="310"/>
      <c r="K51" s="1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12" t="s">
        <v>114</v>
      </c>
      <c r="H52" s="12"/>
      <c r="I52" s="12"/>
      <c r="J52" s="12"/>
      <c r="K52" s="12"/>
      <c r="L52" s="332"/>
    </row>
    <row r="53" spans="1:12" x14ac:dyDescent="0.25">
      <c r="A53" s="12" t="s">
        <v>510</v>
      </c>
      <c r="B53" s="12"/>
      <c r="C53" s="12"/>
      <c r="D53" s="12" t="s">
        <v>441</v>
      </c>
      <c r="E53" s="12"/>
      <c r="F53" s="12"/>
      <c r="G53" s="12" t="s">
        <v>497</v>
      </c>
      <c r="H53" s="12"/>
      <c r="I53" s="12"/>
      <c r="J53" s="12"/>
      <c r="K53" s="328"/>
      <c r="L53" s="332"/>
    </row>
    <row r="54" spans="1:1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328"/>
    </row>
    <row r="55" spans="1:12" x14ac:dyDescent="0.25">
      <c r="A55" s="12"/>
      <c r="B55" s="12"/>
      <c r="C55" s="12"/>
      <c r="D55" s="12"/>
      <c r="E55" s="328"/>
      <c r="F55" s="12"/>
      <c r="G55" s="12"/>
      <c r="H55" s="12"/>
      <c r="I55" s="12"/>
      <c r="J55" s="12"/>
      <c r="K55" s="12"/>
    </row>
    <row r="56" spans="1:12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</sheetData>
  <pageMargins left="0.25" right="0" top="0.5" bottom="0.25" header="0.3" footer="0.5"/>
  <pageSetup paperSize="9" orientation="portrait" horizontalDpi="0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22" workbookViewId="0">
      <selection activeCell="L54" sqref="L54:L56"/>
    </sheetView>
  </sheetViews>
  <sheetFormatPr defaultRowHeight="15" x14ac:dyDescent="0.25"/>
  <cols>
    <col min="1" max="1" width="11.42578125" customWidth="1"/>
    <col min="3" max="3" width="7.28515625" customWidth="1"/>
  </cols>
  <sheetData>
    <row r="1" spans="1:13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A2" s="129"/>
      <c r="B2" s="129"/>
      <c r="C2" s="286" t="s">
        <v>501</v>
      </c>
      <c r="D2" s="286"/>
      <c r="E2" s="286" t="s">
        <v>554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"/>
      <c r="L3" s="129"/>
      <c r="M3" s="129"/>
    </row>
    <row r="4" spans="1:13" x14ac:dyDescent="0.25">
      <c r="A4" s="289" t="s">
        <v>275</v>
      </c>
      <c r="B4" s="208">
        <v>1</v>
      </c>
      <c r="C4" s="289"/>
      <c r="D4" s="289"/>
      <c r="E4" s="290">
        <f>'JULY 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  <c r="L4" s="129"/>
      <c r="M4" s="129"/>
    </row>
    <row r="5" spans="1:13" x14ac:dyDescent="0.25">
      <c r="A5" s="291" t="s">
        <v>505</v>
      </c>
      <c r="B5" s="208">
        <v>2</v>
      </c>
      <c r="C5" s="289"/>
      <c r="D5" s="289"/>
      <c r="E5" s="290">
        <f>'JULY '!J5:J38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>H5-I5</f>
        <v>0</v>
      </c>
      <c r="K5" s="12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'JULY '!J6:J39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>H6-I6</f>
        <v>0</v>
      </c>
      <c r="K6" s="12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'JULY '!J7:J40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ref="J7:J33" si="1">H7-I7</f>
        <v>0</v>
      </c>
      <c r="K7" s="12"/>
      <c r="L7" s="129"/>
      <c r="M7" s="129"/>
    </row>
    <row r="8" spans="1:13" x14ac:dyDescent="0.25">
      <c r="A8" s="289" t="s">
        <v>417</v>
      </c>
      <c r="B8" s="208">
        <v>5</v>
      </c>
      <c r="C8" s="289"/>
      <c r="D8" s="289"/>
      <c r="E8" s="290">
        <f>'JULY '!J8:J41</f>
        <v>100</v>
      </c>
      <c r="F8" s="290">
        <v>100</v>
      </c>
      <c r="G8" s="290">
        <v>4000</v>
      </c>
      <c r="H8" s="290">
        <f t="shared" si="0"/>
        <v>4200</v>
      </c>
      <c r="I8" s="152">
        <v>4100</v>
      </c>
      <c r="J8" s="152">
        <f t="shared" si="1"/>
        <v>100</v>
      </c>
      <c r="K8" s="12"/>
      <c r="L8" s="129"/>
      <c r="M8" s="129"/>
    </row>
    <row r="9" spans="1:13" x14ac:dyDescent="0.25">
      <c r="A9" s="152" t="s">
        <v>503</v>
      </c>
      <c r="B9" s="208">
        <v>6</v>
      </c>
      <c r="C9" s="152"/>
      <c r="D9" s="152"/>
      <c r="E9" s="290">
        <f>'JULY 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'JULY '!J10:J43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"/>
      <c r="L10" s="129"/>
      <c r="M10" s="129"/>
    </row>
    <row r="11" spans="1:13" x14ac:dyDescent="0.25">
      <c r="A11" s="289" t="s">
        <v>478</v>
      </c>
      <c r="B11" s="292">
        <v>8</v>
      </c>
      <c r="C11" s="289"/>
      <c r="D11" s="289"/>
      <c r="E11" s="290">
        <f>'JULY '!J11:J44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"/>
      <c r="L11" s="129"/>
      <c r="M11" s="129"/>
    </row>
    <row r="12" spans="1:13" x14ac:dyDescent="0.25">
      <c r="A12" s="289" t="s">
        <v>531</v>
      </c>
      <c r="B12" s="208">
        <v>9</v>
      </c>
      <c r="C12" s="289"/>
      <c r="D12" s="289"/>
      <c r="E12" s="290">
        <f>'JULY '!J12:J45</f>
        <v>0</v>
      </c>
      <c r="F12" s="290">
        <v>100</v>
      </c>
      <c r="G12" s="290">
        <v>2700</v>
      </c>
      <c r="H12" s="290">
        <f t="shared" si="0"/>
        <v>2800</v>
      </c>
      <c r="I12" s="152">
        <v>2800</v>
      </c>
      <c r="J12" s="152">
        <f t="shared" si="1"/>
        <v>0</v>
      </c>
      <c r="K12" s="12"/>
      <c r="L12" s="129"/>
      <c r="M12" s="129"/>
    </row>
    <row r="13" spans="1:13" x14ac:dyDescent="0.25">
      <c r="A13" s="152" t="s">
        <v>519</v>
      </c>
      <c r="B13" s="152">
        <v>10</v>
      </c>
      <c r="C13" s="152"/>
      <c r="D13" s="152"/>
      <c r="E13" s="290">
        <f>'JULY 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2550</v>
      </c>
      <c r="J13" s="152">
        <f>H13-I13</f>
        <v>250</v>
      </c>
      <c r="K13" s="12"/>
      <c r="L13" s="129"/>
      <c r="M13" s="129"/>
    </row>
    <row r="14" spans="1:13" x14ac:dyDescent="0.25">
      <c r="A14" s="152" t="s">
        <v>519</v>
      </c>
      <c r="B14" s="208">
        <v>11</v>
      </c>
      <c r="C14" s="289"/>
      <c r="D14" s="289"/>
      <c r="E14" s="290">
        <f>'JULY '!J14:J47</f>
        <v>100</v>
      </c>
      <c r="F14" s="290">
        <v>100</v>
      </c>
      <c r="G14" s="290">
        <v>2700</v>
      </c>
      <c r="H14" s="290">
        <f t="shared" si="0"/>
        <v>2900</v>
      </c>
      <c r="I14" s="152"/>
      <c r="J14" s="152">
        <f>H14-I14</f>
        <v>2900</v>
      </c>
      <c r="K14" s="12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'JULY 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"/>
      <c r="L15" s="129"/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'JULY '!J16:J49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'JULY 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'JULY '!J18:J51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  <c r="K18" s="12"/>
      <c r="L18" s="129"/>
      <c r="M18" s="129"/>
    </row>
    <row r="19" spans="1:13" x14ac:dyDescent="0.25">
      <c r="A19" s="289" t="s">
        <v>520</v>
      </c>
      <c r="B19" s="208">
        <v>16</v>
      </c>
      <c r="C19" s="289"/>
      <c r="D19" s="289"/>
      <c r="E19" s="290">
        <f>'JULY '!J19:J52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'JULY 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'JULY 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2750</v>
      </c>
      <c r="J21" s="152">
        <f t="shared" si="1"/>
        <v>50</v>
      </c>
      <c r="K21" s="12"/>
      <c r="L21" s="129"/>
      <c r="M21" s="129"/>
    </row>
    <row r="22" spans="1:13" x14ac:dyDescent="0.25">
      <c r="A22" s="320" t="s">
        <v>550</v>
      </c>
      <c r="B22" s="324">
        <v>19</v>
      </c>
      <c r="C22" s="320"/>
      <c r="D22" s="320"/>
      <c r="E22" s="290">
        <f>'JULY '!J22:J55</f>
        <v>0</v>
      </c>
      <c r="F22" s="323">
        <v>100</v>
      </c>
      <c r="G22" s="323">
        <v>5400</v>
      </c>
      <c r="H22" s="290">
        <f t="shared" si="0"/>
        <v>5500</v>
      </c>
      <c r="I22" s="295">
        <f>2800+2700</f>
        <v>5500</v>
      </c>
      <c r="J22" s="295">
        <f t="shared" si="1"/>
        <v>0</v>
      </c>
      <c r="K22" s="12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289"/>
      <c r="E23" s="290">
        <f>'JULY 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"/>
      <c r="L23" s="129"/>
      <c r="M23" s="129"/>
    </row>
    <row r="24" spans="1:13" x14ac:dyDescent="0.25">
      <c r="A24" s="289" t="s">
        <v>37</v>
      </c>
      <c r="B24" s="208">
        <v>21</v>
      </c>
      <c r="C24" s="289"/>
      <c r="D24" s="289"/>
      <c r="E24" s="290">
        <f>'JULY 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289"/>
      <c r="E25" s="290">
        <f>'JULY 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"/>
      <c r="L25" s="129"/>
      <c r="M25" s="129"/>
    </row>
    <row r="26" spans="1:13" x14ac:dyDescent="0.25">
      <c r="A26" s="289" t="s">
        <v>347</v>
      </c>
      <c r="B26" s="208">
        <v>23</v>
      </c>
      <c r="C26" s="289"/>
      <c r="D26" s="289"/>
      <c r="E26" s="290">
        <f>'JULY 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'JULY 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'JULY 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"/>
      <c r="L28" s="129"/>
      <c r="M28" s="129"/>
    </row>
    <row r="29" spans="1:13" x14ac:dyDescent="0.25">
      <c r="A29" s="289" t="s">
        <v>541</v>
      </c>
      <c r="B29" s="208">
        <v>26</v>
      </c>
      <c r="C29" s="289"/>
      <c r="D29" s="289"/>
      <c r="E29" s="290">
        <f>'JULY '!J29:J62</f>
        <v>600</v>
      </c>
      <c r="F29" s="290">
        <v>100</v>
      </c>
      <c r="G29" s="290">
        <v>3500</v>
      </c>
      <c r="H29" s="290">
        <f t="shared" si="0"/>
        <v>4200</v>
      </c>
      <c r="I29" s="152">
        <v>4000</v>
      </c>
      <c r="J29" s="152">
        <f t="shared" si="1"/>
        <v>200</v>
      </c>
      <c r="K29" s="12"/>
      <c r="L29" s="129"/>
      <c r="M29" s="129"/>
    </row>
    <row r="30" spans="1:13" x14ac:dyDescent="0.25">
      <c r="A30" s="289" t="s">
        <v>456</v>
      </c>
      <c r="B30" s="208">
        <v>27</v>
      </c>
      <c r="C30" s="289"/>
      <c r="D30" s="289"/>
      <c r="E30" s="290">
        <f>'JULY '!J30:J63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"/>
      <c r="L30" s="129"/>
      <c r="M30" s="129"/>
    </row>
    <row r="31" spans="1:13" x14ac:dyDescent="0.25">
      <c r="A31" s="289" t="s">
        <v>540</v>
      </c>
      <c r="B31" s="208">
        <v>28</v>
      </c>
      <c r="C31" s="289"/>
      <c r="D31" s="289"/>
      <c r="E31" s="290">
        <f>'JULY '!J31:J64</f>
        <v>0</v>
      </c>
      <c r="F31" s="290"/>
      <c r="G31" s="293">
        <v>3300</v>
      </c>
      <c r="H31" s="290">
        <f t="shared" si="0"/>
        <v>3300</v>
      </c>
      <c r="I31" s="152">
        <v>3300</v>
      </c>
      <c r="J31" s="152">
        <f t="shared" si="1"/>
        <v>0</v>
      </c>
      <c r="K31" s="12" t="s">
        <v>562</v>
      </c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>
        <v>3300</v>
      </c>
      <c r="E32" s="290"/>
      <c r="F32" s="290"/>
      <c r="G32" s="290">
        <v>3300</v>
      </c>
      <c r="H32" s="290">
        <f t="shared" si="0"/>
        <v>6600</v>
      </c>
      <c r="I32" s="152">
        <v>6600</v>
      </c>
      <c r="J32" s="152">
        <f t="shared" si="1"/>
        <v>0</v>
      </c>
      <c r="K32" s="12"/>
      <c r="L32" s="129"/>
      <c r="M32" s="129"/>
    </row>
    <row r="33" spans="1:15" x14ac:dyDescent="0.25">
      <c r="A33" s="289" t="s">
        <v>474</v>
      </c>
      <c r="B33" s="208">
        <v>30</v>
      </c>
      <c r="C33" s="289"/>
      <c r="D33" s="289"/>
      <c r="E33" s="290">
        <f>'JULY '!J33:J66</f>
        <v>0</v>
      </c>
      <c r="F33" s="290">
        <v>100</v>
      </c>
      <c r="G33" s="290">
        <v>3200</v>
      </c>
      <c r="H33" s="290">
        <f t="shared" si="0"/>
        <v>3300</v>
      </c>
      <c r="I33" s="152">
        <v>3300</v>
      </c>
      <c r="J33" s="152">
        <f t="shared" si="1"/>
        <v>0</v>
      </c>
      <c r="K33" s="12"/>
      <c r="L33" s="129"/>
      <c r="M33" s="129"/>
    </row>
    <row r="34" spans="1:15" x14ac:dyDescent="0.25">
      <c r="A34" s="289" t="s">
        <v>459</v>
      </c>
      <c r="B34" s="208">
        <v>31</v>
      </c>
      <c r="C34" s="289"/>
      <c r="D34" s="289"/>
      <c r="E34" s="290">
        <f>'JULY 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>H34-I34</f>
        <v>0</v>
      </c>
      <c r="K34" s="12"/>
      <c r="L34" s="129"/>
      <c r="M34" s="129"/>
    </row>
    <row r="35" spans="1:15" x14ac:dyDescent="0.25">
      <c r="A35" s="289" t="s">
        <v>534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/>
      <c r="K35" s="12"/>
      <c r="L35" s="129"/>
      <c r="M35" s="129"/>
    </row>
    <row r="36" spans="1:15" x14ac:dyDescent="0.25">
      <c r="A36" s="289" t="s">
        <v>506</v>
      </c>
      <c r="B36" s="208">
        <v>33</v>
      </c>
      <c r="C36" s="152"/>
      <c r="D36" s="152"/>
      <c r="E36" s="290">
        <f>'JULY 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  <c r="L36" s="129"/>
      <c r="M36" s="129"/>
    </row>
    <row r="37" spans="1:15" x14ac:dyDescent="0.25">
      <c r="A37" s="325" t="s">
        <v>4</v>
      </c>
      <c r="B37" s="326"/>
      <c r="C37" s="326"/>
      <c r="D37" s="326"/>
      <c r="E37" s="290">
        <f>'JULY '!J37:J70</f>
        <v>800</v>
      </c>
      <c r="F37" s="327">
        <f>SUM(F4:F36)</f>
        <v>3000</v>
      </c>
      <c r="G37" s="327">
        <f>SUM(G4:G36)</f>
        <v>105600</v>
      </c>
      <c r="H37" s="327">
        <f>SUM(H4:H36)</f>
        <v>112700</v>
      </c>
      <c r="I37" s="327">
        <f>SUM(I4:I36)</f>
        <v>109200</v>
      </c>
      <c r="J37" s="327">
        <f>SUM(J4:J36)</f>
        <v>3500</v>
      </c>
      <c r="K37" s="12"/>
      <c r="L37" s="129"/>
      <c r="M37" s="129"/>
    </row>
    <row r="38" spans="1:15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106200</v>
      </c>
      <c r="J38" s="295"/>
      <c r="K38" s="12"/>
      <c r="L38" s="129"/>
      <c r="M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  <c r="L39" s="129"/>
      <c r="M39" s="129"/>
    </row>
    <row r="40" spans="1:15" x14ac:dyDescent="0.25">
      <c r="A40" s="152" t="s">
        <v>482</v>
      </c>
      <c r="B40" s="300">
        <f>G37</f>
        <v>105600</v>
      </c>
      <c r="C40" s="152"/>
      <c r="D40" s="152"/>
      <c r="E40" s="152"/>
      <c r="F40" s="152" t="s">
        <v>482</v>
      </c>
      <c r="G40" s="300">
        <f>I38</f>
        <v>106200</v>
      </c>
      <c r="H40" s="152"/>
      <c r="I40" s="152"/>
      <c r="J40" s="8"/>
      <c r="K40" s="12"/>
      <c r="L40" s="129"/>
      <c r="M40" s="129"/>
    </row>
    <row r="41" spans="1:15" s="129" customFormat="1" x14ac:dyDescent="0.25">
      <c r="A41" s="152" t="s">
        <v>556</v>
      </c>
      <c r="B41" s="300">
        <v>3300</v>
      </c>
      <c r="C41" s="152"/>
      <c r="D41" s="152"/>
      <c r="E41" s="152"/>
      <c r="F41" s="152" t="s">
        <v>556</v>
      </c>
      <c r="G41" s="300"/>
      <c r="H41" s="152"/>
      <c r="I41" s="152"/>
      <c r="J41" s="8"/>
      <c r="K41" s="12"/>
    </row>
    <row r="42" spans="1:15" x14ac:dyDescent="0.25">
      <c r="A42" s="152" t="s">
        <v>368</v>
      </c>
      <c r="B42" s="300">
        <f>'JULY '!D51</f>
        <v>-4570</v>
      </c>
      <c r="C42" s="152"/>
      <c r="D42" s="152"/>
      <c r="E42" s="152"/>
      <c r="F42" s="152" t="s">
        <v>368</v>
      </c>
      <c r="G42" s="300">
        <f>'JULY '!I51</f>
        <v>-5900</v>
      </c>
      <c r="H42" s="152"/>
      <c r="I42" s="152"/>
      <c r="J42" s="8"/>
      <c r="K42" s="12"/>
      <c r="L42" s="129"/>
      <c r="M42" s="129"/>
    </row>
    <row r="43" spans="1:15" x14ac:dyDescent="0.25">
      <c r="A43" s="152" t="s">
        <v>410</v>
      </c>
      <c r="B43" s="301">
        <v>0.1</v>
      </c>
      <c r="C43" s="300">
        <f>B43*B40</f>
        <v>10560</v>
      </c>
      <c r="D43" s="152"/>
      <c r="E43" s="152"/>
      <c r="F43" s="152" t="s">
        <v>410</v>
      </c>
      <c r="G43" s="301">
        <v>0.1</v>
      </c>
      <c r="H43" s="300">
        <f>C43</f>
        <v>10560</v>
      </c>
      <c r="I43" s="152"/>
      <c r="J43" s="8"/>
      <c r="K43" s="12"/>
      <c r="L43" s="129"/>
      <c r="M43" s="129"/>
    </row>
    <row r="44" spans="1:15" s="129" customFormat="1" x14ac:dyDescent="0.25">
      <c r="B44" s="301"/>
      <c r="C44" s="300"/>
      <c r="D44" s="152"/>
      <c r="E44" s="152"/>
      <c r="F44" s="152"/>
      <c r="G44" s="301"/>
      <c r="H44" s="300"/>
      <c r="I44" s="152"/>
      <c r="J44" s="8"/>
      <c r="K44" s="12"/>
    </row>
    <row r="45" spans="1:15" x14ac:dyDescent="0.25">
      <c r="A45" s="298" t="s">
        <v>293</v>
      </c>
      <c r="B45" s="302"/>
      <c r="C45" s="152"/>
      <c r="D45" s="152"/>
      <c r="E45" s="152"/>
      <c r="F45" s="298" t="s">
        <v>293</v>
      </c>
      <c r="G45" s="152"/>
      <c r="H45" s="152"/>
      <c r="I45" s="152"/>
      <c r="J45" s="8"/>
      <c r="K45" s="12"/>
      <c r="L45" s="129"/>
      <c r="M45" s="129"/>
    </row>
    <row r="46" spans="1:15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  <c r="K46" s="12"/>
      <c r="L46" s="304"/>
      <c r="M46" s="129"/>
      <c r="N46" s="305"/>
    </row>
    <row r="47" spans="1:15" x14ac:dyDescent="0.25">
      <c r="A47" s="303" t="s">
        <v>555</v>
      </c>
      <c r="B47" s="152"/>
      <c r="C47" s="152">
        <v>1500</v>
      </c>
      <c r="D47" s="152"/>
      <c r="E47" s="152"/>
      <c r="F47" s="303" t="s">
        <v>555</v>
      </c>
      <c r="G47" s="152"/>
      <c r="H47" s="152">
        <v>1500</v>
      </c>
      <c r="I47" s="152"/>
      <c r="J47" s="8"/>
      <c r="K47" s="12"/>
      <c r="L47" s="129"/>
      <c r="M47" s="129"/>
      <c r="O47" s="332"/>
    </row>
    <row r="48" spans="1:15" x14ac:dyDescent="0.25">
      <c r="A48" s="303" t="s">
        <v>133</v>
      </c>
      <c r="B48" s="152"/>
      <c r="C48" s="152">
        <v>2200</v>
      </c>
      <c r="D48" s="152"/>
      <c r="E48" s="152"/>
      <c r="F48" s="303" t="s">
        <v>133</v>
      </c>
      <c r="G48" s="152"/>
      <c r="H48" s="152">
        <v>2200</v>
      </c>
      <c r="I48" s="152"/>
      <c r="J48" s="8"/>
      <c r="K48" s="12"/>
      <c r="L48" s="129"/>
      <c r="M48" s="129"/>
    </row>
    <row r="49" spans="1:17" x14ac:dyDescent="0.25">
      <c r="A49" s="303" t="s">
        <v>557</v>
      </c>
      <c r="B49" s="301">
        <v>0.3</v>
      </c>
      <c r="C49" s="300">
        <f>B49*G32</f>
        <v>990</v>
      </c>
      <c r="D49" s="152"/>
      <c r="E49" s="152"/>
      <c r="F49" s="303" t="s">
        <v>557</v>
      </c>
      <c r="G49" s="301">
        <v>0.3</v>
      </c>
      <c r="H49" s="300">
        <f>C49</f>
        <v>990</v>
      </c>
      <c r="I49" s="152"/>
      <c r="J49" s="8"/>
      <c r="K49" s="12"/>
      <c r="L49" s="129"/>
      <c r="M49" s="129"/>
    </row>
    <row r="50" spans="1:17" s="129" customFormat="1" x14ac:dyDescent="0.25">
      <c r="A50" s="303" t="s">
        <v>558</v>
      </c>
      <c r="B50" s="152"/>
      <c r="C50" s="152">
        <v>79640</v>
      </c>
      <c r="D50" s="152"/>
      <c r="E50" s="152"/>
      <c r="F50" s="303" t="s">
        <v>558</v>
      </c>
      <c r="G50" s="303"/>
      <c r="H50" s="152">
        <f>C50</f>
        <v>79640</v>
      </c>
      <c r="I50" s="152"/>
      <c r="J50" s="8"/>
      <c r="K50" s="12"/>
    </row>
    <row r="51" spans="1:17" s="129" customFormat="1" x14ac:dyDescent="0.25">
      <c r="A51" s="304" t="s">
        <v>561</v>
      </c>
      <c r="B51"/>
      <c r="C51" s="305">
        <v>3136</v>
      </c>
      <c r="D51" s="152"/>
      <c r="E51" s="152"/>
      <c r="F51" s="304" t="s">
        <v>561</v>
      </c>
      <c r="H51" s="305">
        <v>3136</v>
      </c>
      <c r="I51" s="152"/>
      <c r="J51" s="8"/>
      <c r="K51" s="12"/>
      <c r="L51" s="332">
        <f>I53-D53</f>
        <v>-4030</v>
      </c>
    </row>
    <row r="52" spans="1:17" x14ac:dyDescent="0.25">
      <c r="A52" s="304" t="s">
        <v>568</v>
      </c>
      <c r="C52" s="305">
        <f>G31+2700</f>
        <v>6000</v>
      </c>
      <c r="F52" s="304" t="s">
        <v>563</v>
      </c>
      <c r="G52" s="129"/>
      <c r="H52" s="305">
        <f>C52</f>
        <v>6000</v>
      </c>
      <c r="I52" s="152"/>
      <c r="J52" s="152"/>
      <c r="K52" s="12"/>
      <c r="L52" s="129"/>
      <c r="M52" s="129"/>
      <c r="O52" s="332"/>
      <c r="Q52" s="332"/>
    </row>
    <row r="53" spans="1:17" x14ac:dyDescent="0.25">
      <c r="A53" s="296" t="s">
        <v>4</v>
      </c>
      <c r="B53" s="309">
        <f>B40+B41+B42-C43</f>
        <v>93770</v>
      </c>
      <c r="C53" s="309">
        <f>SUM(C46:C52)</f>
        <v>113466</v>
      </c>
      <c r="D53" s="309">
        <f>B53-C53</f>
        <v>-19696</v>
      </c>
      <c r="E53" s="297"/>
      <c r="F53" s="296" t="s">
        <v>4</v>
      </c>
      <c r="G53" s="300">
        <f>G40+G41+G42-H43</f>
        <v>89740</v>
      </c>
      <c r="H53" s="152">
        <f>SUM(H46:H52 )</f>
        <v>113466</v>
      </c>
      <c r="I53" s="300">
        <f>G53-H53</f>
        <v>-23726</v>
      </c>
      <c r="J53" s="152"/>
      <c r="K53" s="12"/>
      <c r="L53" s="129"/>
      <c r="M53" s="129"/>
    </row>
    <row r="54" spans="1:17" x14ac:dyDescent="0.25">
      <c r="A54" s="92" t="s">
        <v>112</v>
      </c>
      <c r="B54" s="92"/>
      <c r="C54" s="12"/>
      <c r="D54" s="12" t="s">
        <v>113</v>
      </c>
      <c r="E54" s="12"/>
      <c r="F54" s="12"/>
      <c r="G54" s="303" t="s">
        <v>573</v>
      </c>
      <c r="H54" s="152"/>
      <c r="I54" s="152"/>
      <c r="J54" s="152"/>
      <c r="K54" s="12"/>
      <c r="L54" s="129"/>
      <c r="M54" s="129"/>
    </row>
    <row r="55" spans="1:17" x14ac:dyDescent="0.25">
      <c r="A55" s="12" t="s">
        <v>510</v>
      </c>
      <c r="B55" s="12"/>
      <c r="C55" s="12"/>
      <c r="D55" s="12" t="s">
        <v>441</v>
      </c>
      <c r="E55" s="12"/>
      <c r="F55" s="12"/>
      <c r="G55" s="303" t="s">
        <v>523</v>
      </c>
      <c r="H55" s="301"/>
      <c r="I55" s="152"/>
      <c r="J55" s="152"/>
      <c r="K55" s="12"/>
      <c r="L55" s="332"/>
      <c r="M55" s="129"/>
    </row>
    <row r="56" spans="1:17" x14ac:dyDescent="0.25">
      <c r="A56" s="12"/>
      <c r="B56" s="12"/>
      <c r="C56" s="12"/>
      <c r="D56" s="12"/>
      <c r="E56" s="12"/>
      <c r="F56" s="12"/>
      <c r="G56" s="303"/>
      <c r="H56" s="152"/>
      <c r="I56" s="152"/>
      <c r="J56" s="152"/>
      <c r="K56" s="12"/>
      <c r="L56" s="332"/>
      <c r="M56" s="129"/>
    </row>
  </sheetData>
  <pageMargins left="0.25" right="0.25" top="0.1" bottom="0.1" header="0.3" footer="0.3"/>
  <pageSetup paperSize="9" orientation="portrait" horizontalDpi="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2" workbookViewId="0">
      <selection activeCell="N44" sqref="N44"/>
    </sheetView>
  </sheetViews>
  <sheetFormatPr defaultRowHeight="15" x14ac:dyDescent="0.25"/>
  <cols>
    <col min="1" max="1" width="12.85546875" customWidth="1"/>
    <col min="3" max="3" width="8.140625" customWidth="1"/>
    <col min="4" max="4" width="6.85546875" customWidth="1"/>
    <col min="5" max="5" width="6.42578125" customWidth="1"/>
  </cols>
  <sheetData>
    <row r="1" spans="1:10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</row>
    <row r="2" spans="1:10" x14ac:dyDescent="0.25">
      <c r="A2" s="129"/>
      <c r="B2" s="129"/>
      <c r="C2" s="286" t="s">
        <v>501</v>
      </c>
      <c r="D2" s="286"/>
      <c r="E2" s="286" t="s">
        <v>566</v>
      </c>
      <c r="F2" s="129"/>
      <c r="G2" s="23"/>
      <c r="H2" s="23"/>
      <c r="I2" s="31"/>
      <c r="J2" s="31"/>
    </row>
    <row r="3" spans="1:10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</row>
    <row r="4" spans="1:10" x14ac:dyDescent="0.25">
      <c r="A4" s="289" t="s">
        <v>275</v>
      </c>
      <c r="B4" s="208">
        <v>1</v>
      </c>
      <c r="C4" s="289"/>
      <c r="D4" s="289"/>
      <c r="E4" s="290">
        <f>'AUG 19'!J4:J37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</row>
    <row r="5" spans="1:10" x14ac:dyDescent="0.25">
      <c r="A5" s="291" t="s">
        <v>505</v>
      </c>
      <c r="B5" s="208">
        <v>2</v>
      </c>
      <c r="C5" s="289"/>
      <c r="D5" s="289"/>
      <c r="E5" s="290">
        <f>'AUG 19'!J5:J38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 t="shared" ref="J5:J37" si="1">H5-I5</f>
        <v>0</v>
      </c>
    </row>
    <row r="6" spans="1:10" x14ac:dyDescent="0.25">
      <c r="A6" s="289" t="s">
        <v>560</v>
      </c>
      <c r="B6" s="208">
        <v>3</v>
      </c>
      <c r="C6" s="289"/>
      <c r="D6" s="289"/>
      <c r="E6" s="290">
        <f>'AUG 19'!J6:J39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</row>
    <row r="7" spans="1:10" x14ac:dyDescent="0.25">
      <c r="A7" s="289" t="s">
        <v>458</v>
      </c>
      <c r="B7" s="208">
        <v>4</v>
      </c>
      <c r="C7" s="289"/>
      <c r="D7" s="289"/>
      <c r="E7" s="290">
        <f>'AUG 19'!J7:J40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</row>
    <row r="8" spans="1:10" x14ac:dyDescent="0.25">
      <c r="A8" s="289" t="s">
        <v>417</v>
      </c>
      <c r="B8" s="208">
        <v>5</v>
      </c>
      <c r="C8" s="289"/>
      <c r="D8" s="289"/>
      <c r="E8" s="290">
        <f>'AUG 19'!J8:J41</f>
        <v>100</v>
      </c>
      <c r="F8" s="290">
        <v>100</v>
      </c>
      <c r="G8" s="290">
        <v>4000</v>
      </c>
      <c r="H8" s="290">
        <f t="shared" si="0"/>
        <v>4200</v>
      </c>
      <c r="I8" s="152">
        <v>4100</v>
      </c>
      <c r="J8" s="152">
        <f t="shared" si="1"/>
        <v>100</v>
      </c>
    </row>
    <row r="9" spans="1:10" x14ac:dyDescent="0.25">
      <c r="A9" s="152" t="s">
        <v>503</v>
      </c>
      <c r="B9" s="208">
        <v>6</v>
      </c>
      <c r="C9" s="152"/>
      <c r="D9" s="152"/>
      <c r="E9" s="290">
        <f>'AUG 19'!J9:J42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</row>
    <row r="10" spans="1:10" x14ac:dyDescent="0.25">
      <c r="A10" s="289" t="s">
        <v>522</v>
      </c>
      <c r="B10" s="292">
        <v>7</v>
      </c>
      <c r="C10" s="289"/>
      <c r="D10" s="289"/>
      <c r="E10" s="290">
        <f>'AUG 19'!J10:J43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</row>
    <row r="11" spans="1:10" x14ac:dyDescent="0.25">
      <c r="A11" s="289" t="s">
        <v>565</v>
      </c>
      <c r="B11" s="292">
        <v>8</v>
      </c>
      <c r="C11" s="289">
        <v>2700</v>
      </c>
      <c r="D11" s="289">
        <v>1300</v>
      </c>
      <c r="E11" s="290">
        <f>'AUG 19'!J11:J44</f>
        <v>0</v>
      </c>
      <c r="F11" s="290"/>
      <c r="G11" s="290">
        <v>2700</v>
      </c>
      <c r="H11" s="290">
        <f>C11+E11+F11+G11</f>
        <v>5400</v>
      </c>
      <c r="I11" s="152">
        <v>4000</v>
      </c>
      <c r="J11" s="152">
        <f t="shared" si="1"/>
        <v>1400</v>
      </c>
    </row>
    <row r="12" spans="1:10" x14ac:dyDescent="0.25">
      <c r="A12" s="289" t="s">
        <v>531</v>
      </c>
      <c r="B12" s="208">
        <v>9</v>
      </c>
      <c r="C12" s="289"/>
      <c r="D12" s="289"/>
      <c r="E12" s="290">
        <f>'AUG 19'!J12:J45</f>
        <v>0</v>
      </c>
      <c r="F12" s="290">
        <v>100</v>
      </c>
      <c r="G12" s="290">
        <v>2700</v>
      </c>
      <c r="H12" s="290">
        <f t="shared" si="0"/>
        <v>2800</v>
      </c>
      <c r="I12" s="152">
        <v>2800</v>
      </c>
      <c r="J12" s="152">
        <f t="shared" si="1"/>
        <v>0</v>
      </c>
    </row>
    <row r="13" spans="1:10" x14ac:dyDescent="0.25">
      <c r="A13" s="152" t="s">
        <v>519</v>
      </c>
      <c r="B13" s="152">
        <v>10</v>
      </c>
      <c r="C13" s="152"/>
      <c r="D13" s="152"/>
      <c r="E13" s="290">
        <f>'AUG 19'!J13:J46</f>
        <v>250</v>
      </c>
      <c r="F13" s="152">
        <v>100</v>
      </c>
      <c r="G13" s="290">
        <v>2700</v>
      </c>
      <c r="H13" s="290">
        <f t="shared" si="0"/>
        <v>3050</v>
      </c>
      <c r="I13" s="152">
        <v>3050</v>
      </c>
      <c r="J13" s="152">
        <f t="shared" si="1"/>
        <v>0</v>
      </c>
    </row>
    <row r="14" spans="1:10" x14ac:dyDescent="0.25">
      <c r="A14" s="152" t="s">
        <v>519</v>
      </c>
      <c r="B14" s="208">
        <v>11</v>
      </c>
      <c r="C14" s="289"/>
      <c r="D14" s="289"/>
      <c r="E14" s="290">
        <f>'AUG 19'!J14:J47</f>
        <v>2900</v>
      </c>
      <c r="F14" s="290">
        <v>100</v>
      </c>
      <c r="G14" s="290">
        <v>2700</v>
      </c>
      <c r="H14" s="290">
        <f t="shared" si="0"/>
        <v>5700</v>
      </c>
      <c r="I14" s="152">
        <v>5700</v>
      </c>
      <c r="J14" s="152">
        <f t="shared" si="1"/>
        <v>0</v>
      </c>
    </row>
    <row r="15" spans="1:10" x14ac:dyDescent="0.25">
      <c r="A15" s="289" t="s">
        <v>460</v>
      </c>
      <c r="B15" s="208">
        <v>12</v>
      </c>
      <c r="C15" s="289"/>
      <c r="D15" s="289"/>
      <c r="E15" s="290">
        <f>'AUG 19'!J15:J48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</row>
    <row r="16" spans="1:10" x14ac:dyDescent="0.25">
      <c r="A16" s="291" t="s">
        <v>444</v>
      </c>
      <c r="B16" s="208">
        <v>13</v>
      </c>
      <c r="C16" s="289"/>
      <c r="D16" s="289"/>
      <c r="E16" s="290">
        <f>'AUG 19'!J16:J49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</row>
    <row r="17" spans="1:10" x14ac:dyDescent="0.25">
      <c r="A17" s="289" t="s">
        <v>473</v>
      </c>
      <c r="B17" s="208">
        <v>14</v>
      </c>
      <c r="C17" s="289"/>
      <c r="D17" s="289"/>
      <c r="E17" s="290">
        <f>'AUG 19'!J17:J50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</row>
    <row r="18" spans="1:10" x14ac:dyDescent="0.25">
      <c r="A18" s="289" t="s">
        <v>521</v>
      </c>
      <c r="B18" s="208">
        <v>15</v>
      </c>
      <c r="C18" s="289"/>
      <c r="D18" s="289"/>
      <c r="E18" s="290">
        <f>'AUG 19'!J18:J51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</row>
    <row r="19" spans="1:10" x14ac:dyDescent="0.25">
      <c r="A19" s="289" t="s">
        <v>520</v>
      </c>
      <c r="B19" s="208">
        <v>16</v>
      </c>
      <c r="C19" s="289"/>
      <c r="D19" s="289"/>
      <c r="E19" s="290">
        <f>'AUG 19'!J19:J52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</row>
    <row r="20" spans="1:10" x14ac:dyDescent="0.25">
      <c r="A20" s="291" t="s">
        <v>492</v>
      </c>
      <c r="B20" s="208">
        <v>17</v>
      </c>
      <c r="C20" s="289"/>
      <c r="D20" s="289"/>
      <c r="E20" s="290">
        <f>'AUG 19'!J20:J53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</row>
    <row r="21" spans="1:10" x14ac:dyDescent="0.25">
      <c r="A21" s="289" t="s">
        <v>346</v>
      </c>
      <c r="B21" s="208">
        <v>18</v>
      </c>
      <c r="C21" s="289"/>
      <c r="D21" s="289"/>
      <c r="E21" s="290">
        <f>'AUG 19'!J21:J54</f>
        <v>50</v>
      </c>
      <c r="F21" s="290">
        <v>100</v>
      </c>
      <c r="G21" s="290">
        <v>2700</v>
      </c>
      <c r="H21" s="290">
        <f t="shared" si="0"/>
        <v>2850</v>
      </c>
      <c r="I21" s="152">
        <v>2850</v>
      </c>
      <c r="J21" s="152">
        <f t="shared" si="1"/>
        <v>0</v>
      </c>
    </row>
    <row r="22" spans="1:10" x14ac:dyDescent="0.25">
      <c r="A22" s="320" t="s">
        <v>550</v>
      </c>
      <c r="B22" s="324">
        <v>19</v>
      </c>
      <c r="C22" s="320"/>
      <c r="D22" s="320"/>
      <c r="E22" s="290"/>
      <c r="F22" s="323">
        <v>100</v>
      </c>
      <c r="G22" s="323">
        <v>2700</v>
      </c>
      <c r="H22" s="290">
        <f t="shared" si="0"/>
        <v>2800</v>
      </c>
      <c r="I22" s="295">
        <v>2800</v>
      </c>
      <c r="J22" s="152">
        <f t="shared" si="1"/>
        <v>0</v>
      </c>
    </row>
    <row r="23" spans="1:10" x14ac:dyDescent="0.25">
      <c r="A23" s="289" t="s">
        <v>461</v>
      </c>
      <c r="B23" s="208">
        <v>20</v>
      </c>
      <c r="C23" s="289"/>
      <c r="D23" s="289"/>
      <c r="E23" s="290">
        <f>'AUG 19'!J23:J56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</row>
    <row r="24" spans="1:10" x14ac:dyDescent="0.25">
      <c r="A24" s="289" t="s">
        <v>37</v>
      </c>
      <c r="B24" s="208">
        <v>21</v>
      </c>
      <c r="C24" s="289"/>
      <c r="D24" s="289"/>
      <c r="E24" s="290">
        <f>'AUG 19'!J24:J57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</row>
    <row r="25" spans="1:10" x14ac:dyDescent="0.25">
      <c r="A25" s="289" t="s">
        <v>435</v>
      </c>
      <c r="B25" s="208">
        <v>22</v>
      </c>
      <c r="C25" s="289"/>
      <c r="D25" s="289"/>
      <c r="E25" s="290">
        <f>'AUG 19'!J25:J58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</row>
    <row r="26" spans="1:10" x14ac:dyDescent="0.25">
      <c r="A26" s="289" t="s">
        <v>347</v>
      </c>
      <c r="B26" s="208">
        <v>23</v>
      </c>
      <c r="C26" s="289"/>
      <c r="D26" s="289"/>
      <c r="E26" s="290">
        <f>'AUG 19'!J26:J59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</row>
    <row r="27" spans="1:10" x14ac:dyDescent="0.25">
      <c r="A27" s="289" t="s">
        <v>488</v>
      </c>
      <c r="B27" s="208">
        <v>24</v>
      </c>
      <c r="C27" s="289"/>
      <c r="D27" s="289"/>
      <c r="E27" s="290">
        <f>'AUG 19'!J27:J60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</row>
    <row r="28" spans="1:10" x14ac:dyDescent="0.25">
      <c r="A28" s="289" t="s">
        <v>462</v>
      </c>
      <c r="B28" s="208">
        <v>25</v>
      </c>
      <c r="C28" s="289"/>
      <c r="D28" s="289"/>
      <c r="E28" s="290">
        <f>'AUG 19'!J28:J61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</row>
    <row r="29" spans="1:10" x14ac:dyDescent="0.25">
      <c r="A29" s="289" t="s">
        <v>541</v>
      </c>
      <c r="B29" s="208">
        <v>26</v>
      </c>
      <c r="C29" s="289"/>
      <c r="D29" s="289"/>
      <c r="E29" s="290">
        <f>'AUG 19'!J29:J62</f>
        <v>200</v>
      </c>
      <c r="F29" s="290">
        <v>100</v>
      </c>
      <c r="G29" s="290">
        <v>3500</v>
      </c>
      <c r="H29" s="290">
        <f t="shared" si="0"/>
        <v>3800</v>
      </c>
      <c r="I29" s="152">
        <f>1800+1600</f>
        <v>3400</v>
      </c>
      <c r="J29" s="152">
        <f t="shared" si="1"/>
        <v>400</v>
      </c>
    </row>
    <row r="30" spans="1:10" x14ac:dyDescent="0.25">
      <c r="A30" s="289" t="s">
        <v>572</v>
      </c>
      <c r="B30" s="208">
        <v>27</v>
      </c>
      <c r="C30" s="289"/>
      <c r="D30" s="289">
        <v>3300</v>
      </c>
      <c r="E30" s="290">
        <f>'AUG 19'!J30:J63</f>
        <v>0</v>
      </c>
      <c r="F30" s="290"/>
      <c r="G30" s="290">
        <v>3300</v>
      </c>
      <c r="H30" s="290">
        <f t="shared" si="0"/>
        <v>6600</v>
      </c>
      <c r="I30" s="152">
        <v>6600</v>
      </c>
      <c r="J30" s="152">
        <f t="shared" si="1"/>
        <v>0</v>
      </c>
    </row>
    <row r="31" spans="1:10" x14ac:dyDescent="0.25">
      <c r="A31" s="289" t="s">
        <v>564</v>
      </c>
      <c r="B31" s="208">
        <v>28</v>
      </c>
      <c r="C31" s="289"/>
      <c r="D31" s="289">
        <v>3300</v>
      </c>
      <c r="E31" s="290"/>
      <c r="F31" s="290">
        <v>100</v>
      </c>
      <c r="G31" s="293">
        <v>3300</v>
      </c>
      <c r="H31" s="290">
        <f t="shared" si="0"/>
        <v>6700</v>
      </c>
      <c r="I31" s="152">
        <f>3400+3300</f>
        <v>6700</v>
      </c>
      <c r="J31" s="152">
        <f t="shared" si="1"/>
        <v>0</v>
      </c>
    </row>
    <row r="32" spans="1:10" x14ac:dyDescent="0.25">
      <c r="A32" s="289" t="s">
        <v>559</v>
      </c>
      <c r="B32" s="208">
        <v>29</v>
      </c>
      <c r="C32" s="289"/>
      <c r="D32" s="289"/>
      <c r="E32" s="290">
        <f>'AUG 19'!J32:J65</f>
        <v>0</v>
      </c>
      <c r="F32" s="290">
        <v>100</v>
      </c>
      <c r="G32" s="290">
        <v>3300</v>
      </c>
      <c r="H32" s="290">
        <f t="shared" si="0"/>
        <v>3400</v>
      </c>
      <c r="I32" s="152">
        <v>3400</v>
      </c>
      <c r="J32" s="152">
        <f t="shared" si="1"/>
        <v>0</v>
      </c>
    </row>
    <row r="33" spans="1:12" x14ac:dyDescent="0.25">
      <c r="A33" s="289" t="s">
        <v>474</v>
      </c>
      <c r="B33" s="208">
        <v>30</v>
      </c>
      <c r="C33" s="289"/>
      <c r="D33" s="289"/>
      <c r="E33" s="290">
        <f>'AUG 19'!J33:J66</f>
        <v>0</v>
      </c>
      <c r="F33" s="290">
        <v>100</v>
      </c>
      <c r="G33" s="290">
        <v>3200</v>
      </c>
      <c r="H33" s="290">
        <f t="shared" si="0"/>
        <v>3300</v>
      </c>
      <c r="I33" s="152">
        <v>3400</v>
      </c>
      <c r="J33" s="152">
        <f t="shared" si="1"/>
        <v>-100</v>
      </c>
    </row>
    <row r="34" spans="1:12" x14ac:dyDescent="0.25">
      <c r="A34" s="289" t="s">
        <v>459</v>
      </c>
      <c r="B34" s="208">
        <v>31</v>
      </c>
      <c r="C34" s="289"/>
      <c r="D34" s="289"/>
      <c r="E34" s="290">
        <f>'AUG 19'!J34:J67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</row>
    <row r="35" spans="1:12" x14ac:dyDescent="0.25">
      <c r="A35" s="289" t="s">
        <v>534</v>
      </c>
      <c r="B35" s="208">
        <v>32</v>
      </c>
      <c r="C35" s="289"/>
      <c r="D35" s="289"/>
      <c r="E35" s="290">
        <f>'AUG 19'!J35:J68</f>
        <v>0</v>
      </c>
      <c r="F35" s="290">
        <v>100</v>
      </c>
      <c r="G35" s="290">
        <v>2700</v>
      </c>
      <c r="H35" s="290">
        <f t="shared" si="0"/>
        <v>2800</v>
      </c>
      <c r="I35" s="152">
        <v>2700</v>
      </c>
      <c r="J35" s="152">
        <f t="shared" si="1"/>
        <v>100</v>
      </c>
      <c r="L35" s="332">
        <f>B40+B41</f>
        <v>110800</v>
      </c>
    </row>
    <row r="36" spans="1:12" x14ac:dyDescent="0.25">
      <c r="A36" s="289" t="s">
        <v>506</v>
      </c>
      <c r="B36" s="208">
        <v>33</v>
      </c>
      <c r="C36" s="152"/>
      <c r="D36" s="152"/>
      <c r="E36" s="290">
        <f>'AUG 19'!J36:J69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1"/>
        <v>0</v>
      </c>
    </row>
    <row r="37" spans="1:12" x14ac:dyDescent="0.25">
      <c r="A37" s="325" t="s">
        <v>4</v>
      </c>
      <c r="B37" s="326"/>
      <c r="C37" s="326"/>
      <c r="D37" s="326">
        <f t="shared" ref="D37:I37" si="2">SUM(D4:D36)</f>
        <v>7900</v>
      </c>
      <c r="E37" s="290">
        <f t="shared" si="2"/>
        <v>3500</v>
      </c>
      <c r="F37" s="327">
        <f t="shared" si="2"/>
        <v>3000</v>
      </c>
      <c r="G37" s="327">
        <f t="shared" si="2"/>
        <v>102900</v>
      </c>
      <c r="H37" s="327">
        <f t="shared" si="2"/>
        <v>118700</v>
      </c>
      <c r="I37" s="327">
        <f t="shared" si="2"/>
        <v>116800</v>
      </c>
      <c r="J37" s="152">
        <f t="shared" si="1"/>
        <v>1900</v>
      </c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113800</v>
      </c>
      <c r="J38" s="295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</row>
    <row r="40" spans="1:12" x14ac:dyDescent="0.25">
      <c r="A40" s="152" t="s">
        <v>328</v>
      </c>
      <c r="B40" s="300">
        <f>G37</f>
        <v>102900</v>
      </c>
      <c r="C40" s="152"/>
      <c r="D40" s="152"/>
      <c r="E40" s="152"/>
      <c r="F40" s="152" t="s">
        <v>328</v>
      </c>
      <c r="G40" s="300">
        <f>I38</f>
        <v>113800</v>
      </c>
      <c r="H40" s="152"/>
      <c r="I40" s="152"/>
      <c r="J40" s="8"/>
    </row>
    <row r="41" spans="1:12" x14ac:dyDescent="0.25">
      <c r="A41" s="152" t="s">
        <v>556</v>
      </c>
      <c r="B41" s="300">
        <f>D37</f>
        <v>7900</v>
      </c>
      <c r="C41" s="152"/>
      <c r="D41" s="152"/>
      <c r="E41" s="152"/>
      <c r="F41" s="152" t="s">
        <v>556</v>
      </c>
      <c r="G41" s="300"/>
      <c r="H41" s="152"/>
      <c r="I41" s="152"/>
      <c r="J41" s="8"/>
    </row>
    <row r="42" spans="1:12" x14ac:dyDescent="0.25">
      <c r="A42" s="152" t="s">
        <v>368</v>
      </c>
      <c r="B42" s="300">
        <f>'AUG 19'!D53</f>
        <v>-19696</v>
      </c>
      <c r="C42" s="152"/>
      <c r="D42" s="152"/>
      <c r="E42" s="152"/>
      <c r="F42" s="152" t="s">
        <v>368</v>
      </c>
      <c r="G42" s="300">
        <f>'AUG 19'!I53</f>
        <v>-23726</v>
      </c>
      <c r="H42" s="152"/>
      <c r="I42" s="152"/>
      <c r="J42" s="8"/>
    </row>
    <row r="43" spans="1:12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</row>
    <row r="44" spans="1:12" x14ac:dyDescent="0.25">
      <c r="A44" s="129"/>
      <c r="B44" s="301"/>
      <c r="C44" s="300"/>
      <c r="D44" s="152"/>
      <c r="E44" s="152"/>
      <c r="F44" s="152"/>
      <c r="G44" s="301"/>
      <c r="H44" s="300"/>
      <c r="I44" s="152"/>
      <c r="J44" s="8"/>
    </row>
    <row r="45" spans="1:12" x14ac:dyDescent="0.25">
      <c r="A45" s="298" t="s">
        <v>293</v>
      </c>
      <c r="B45" s="302"/>
      <c r="C45" s="152"/>
      <c r="D45" s="152"/>
      <c r="E45" s="152"/>
      <c r="F45" s="298" t="s">
        <v>293</v>
      </c>
      <c r="G45" s="152"/>
      <c r="H45" s="152"/>
      <c r="I45" s="152"/>
      <c r="J45" s="8"/>
    </row>
    <row r="46" spans="1:12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</row>
    <row r="47" spans="1:12" ht="14.25" customHeight="1" x14ac:dyDescent="0.25">
      <c r="A47" s="303" t="s">
        <v>470</v>
      </c>
      <c r="B47" s="301">
        <v>0.3</v>
      </c>
      <c r="C47" s="152">
        <f>B47*G11</f>
        <v>810</v>
      </c>
      <c r="D47" s="152"/>
      <c r="E47" s="152"/>
      <c r="F47" s="303" t="s">
        <v>470</v>
      </c>
      <c r="G47" s="301">
        <v>0.3</v>
      </c>
      <c r="H47" s="152">
        <f>C47</f>
        <v>810</v>
      </c>
      <c r="I47" s="152"/>
      <c r="J47" s="8"/>
    </row>
    <row r="48" spans="1:12" x14ac:dyDescent="0.25">
      <c r="A48" s="303"/>
      <c r="B48" s="301"/>
      <c r="C48" s="301"/>
      <c r="D48" s="152"/>
      <c r="E48" s="152"/>
      <c r="F48" s="303"/>
      <c r="G48" s="152"/>
      <c r="H48" s="152"/>
      <c r="I48" s="152"/>
      <c r="J48" s="8"/>
    </row>
    <row r="49" spans="1:12" x14ac:dyDescent="0.25">
      <c r="A49" s="303" t="s">
        <v>470</v>
      </c>
      <c r="B49" s="301">
        <v>0.3</v>
      </c>
      <c r="C49" s="152">
        <f>B49*G31</f>
        <v>990</v>
      </c>
      <c r="D49" s="152"/>
      <c r="E49" s="152"/>
      <c r="F49" s="303" t="s">
        <v>470</v>
      </c>
      <c r="G49" s="301">
        <v>0.3</v>
      </c>
      <c r="H49" s="152">
        <f>C49</f>
        <v>990</v>
      </c>
      <c r="I49" s="152"/>
      <c r="J49" s="8"/>
    </row>
    <row r="50" spans="1:12" x14ac:dyDescent="0.25">
      <c r="A50" s="304" t="s">
        <v>133</v>
      </c>
      <c r="B50" s="303"/>
      <c r="C50" s="152">
        <v>3300</v>
      </c>
      <c r="D50" s="152"/>
      <c r="E50" s="152"/>
      <c r="F50" s="303" t="s">
        <v>133</v>
      </c>
      <c r="G50" s="303"/>
      <c r="H50" s="152">
        <v>3300</v>
      </c>
      <c r="I50" s="152"/>
      <c r="J50" s="8"/>
    </row>
    <row r="51" spans="1:12" x14ac:dyDescent="0.25">
      <c r="A51" s="304" t="s">
        <v>567</v>
      </c>
      <c r="B51" s="129"/>
      <c r="C51" s="305">
        <v>10000</v>
      </c>
      <c r="D51" s="152"/>
      <c r="E51" s="152"/>
      <c r="F51" s="304" t="s">
        <v>567</v>
      </c>
      <c r="G51" s="129"/>
      <c r="H51" s="305">
        <v>10000</v>
      </c>
      <c r="I51" s="152"/>
      <c r="J51" s="8"/>
    </row>
    <row r="52" spans="1:12" s="129" customFormat="1" x14ac:dyDescent="0.25">
      <c r="A52" s="304" t="s">
        <v>569</v>
      </c>
      <c r="C52" s="305">
        <v>45714</v>
      </c>
      <c r="D52" s="333"/>
      <c r="E52" s="333"/>
      <c r="F52" s="304" t="s">
        <v>569</v>
      </c>
      <c r="H52" s="305">
        <v>45714</v>
      </c>
      <c r="I52" s="152"/>
      <c r="J52" s="8"/>
      <c r="L52" s="332">
        <f>I55-D55</f>
        <v>-1030</v>
      </c>
    </row>
    <row r="53" spans="1:12" s="129" customFormat="1" x14ac:dyDescent="0.25">
      <c r="A53" s="304" t="s">
        <v>574</v>
      </c>
      <c r="C53" s="305">
        <v>2700</v>
      </c>
      <c r="F53" s="304" t="s">
        <v>133</v>
      </c>
      <c r="H53" s="305">
        <v>2700</v>
      </c>
      <c r="I53" s="152"/>
      <c r="J53" s="8"/>
    </row>
    <row r="54" spans="1:12" x14ac:dyDescent="0.25">
      <c r="A54" s="304" t="s">
        <v>576</v>
      </c>
      <c r="B54" s="129"/>
      <c r="C54" s="305">
        <v>5157</v>
      </c>
      <c r="D54" s="129"/>
      <c r="E54" s="129"/>
      <c r="F54" s="304" t="s">
        <v>576</v>
      </c>
      <c r="G54" s="129"/>
      <c r="H54" s="305">
        <v>5157</v>
      </c>
      <c r="I54" s="152"/>
      <c r="J54" s="152"/>
    </row>
    <row r="55" spans="1:12" x14ac:dyDescent="0.25">
      <c r="A55" s="296" t="s">
        <v>4</v>
      </c>
      <c r="B55" s="309">
        <f>B40+B41+B42-C43</f>
        <v>80814</v>
      </c>
      <c r="C55" s="309">
        <f>SUM(C46:C54)</f>
        <v>88671</v>
      </c>
      <c r="D55" s="309">
        <f>B55-C55</f>
        <v>-7857</v>
      </c>
      <c r="E55" s="297"/>
      <c r="F55" s="296" t="s">
        <v>4</v>
      </c>
      <c r="G55" s="300">
        <f>G40+G41+G42-H43</f>
        <v>79784</v>
      </c>
      <c r="H55" s="152">
        <f>SUM(H46:H54 )</f>
        <v>88671</v>
      </c>
      <c r="I55" s="300">
        <f>G55-H55</f>
        <v>-8887</v>
      </c>
      <c r="J55" s="152"/>
      <c r="K55" s="332">
        <f>I55+J37</f>
        <v>-6987</v>
      </c>
    </row>
    <row r="56" spans="1:12" x14ac:dyDescent="0.25">
      <c r="A56" s="92" t="s">
        <v>112</v>
      </c>
      <c r="B56" s="92"/>
      <c r="C56" s="12"/>
      <c r="D56" s="12" t="s">
        <v>113</v>
      </c>
      <c r="E56" s="12"/>
      <c r="F56" s="12"/>
      <c r="G56" s="303" t="s">
        <v>571</v>
      </c>
      <c r="H56" s="152"/>
      <c r="I56" s="152"/>
      <c r="J56" s="152"/>
      <c r="K56" s="332"/>
    </row>
    <row r="57" spans="1:12" x14ac:dyDescent="0.25">
      <c r="A57" s="12" t="s">
        <v>570</v>
      </c>
      <c r="B57" s="12"/>
      <c r="C57" s="12"/>
      <c r="D57" s="12" t="s">
        <v>441</v>
      </c>
      <c r="E57" s="12"/>
      <c r="F57" s="12"/>
      <c r="G57" s="303" t="s">
        <v>523</v>
      </c>
      <c r="H57" s="301"/>
      <c r="I57" s="152"/>
      <c r="J57" s="152"/>
      <c r="L57" s="332">
        <f>I55-D55</f>
        <v>-1030</v>
      </c>
    </row>
    <row r="58" spans="1:12" x14ac:dyDescent="0.25">
      <c r="A58" s="12"/>
      <c r="B58" s="12"/>
      <c r="C58" s="12"/>
      <c r="D58" s="12"/>
      <c r="E58" s="12"/>
      <c r="F58" s="12"/>
      <c r="G58" s="303"/>
      <c r="H58" s="152"/>
      <c r="I58" s="152"/>
      <c r="J58" s="152"/>
    </row>
    <row r="59" spans="1:12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</row>
  </sheetData>
  <pageMargins left="0.7" right="0.7" top="0.75" bottom="0.75" header="0.3" footer="0.3"/>
  <pageSetup paperSize="5" orientation="portrait" horizontalDpi="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workbookViewId="0">
      <selection activeCell="L56" sqref="L56"/>
    </sheetView>
  </sheetViews>
  <sheetFormatPr defaultRowHeight="15" x14ac:dyDescent="0.25"/>
  <cols>
    <col min="1" max="1" width="14.42578125" customWidth="1"/>
  </cols>
  <sheetData>
    <row r="1" spans="1:12" x14ac:dyDescent="0.25"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575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'SEPTEMBER 19'!J4:J36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'SEPTEMBER 19'!J5:J37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 t="shared" ref="J5:J37" si="1">H5-I5</f>
        <v>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'SEPTEMBER 19'!J6:J38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'SEPTEMBER 19'!J7:J39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'SEPTEMBER 19'!J8:J40</f>
        <v>100</v>
      </c>
      <c r="F8" s="290">
        <v>100</v>
      </c>
      <c r="G8" s="290">
        <v>4000</v>
      </c>
      <c r="H8" s="290">
        <f t="shared" si="0"/>
        <v>4200</v>
      </c>
      <c r="I8" s="152">
        <v>4000</v>
      </c>
      <c r="J8" s="152">
        <f t="shared" si="1"/>
        <v>200</v>
      </c>
      <c r="K8" s="129"/>
      <c r="L8" s="129"/>
    </row>
    <row r="9" spans="1:12" x14ac:dyDescent="0.25">
      <c r="A9" s="152" t="s">
        <v>503</v>
      </c>
      <c r="B9" s="208">
        <v>6</v>
      </c>
      <c r="C9" s="152"/>
      <c r="D9" s="152"/>
      <c r="E9" s="290">
        <f>'SEPTEMBER 19'!J9:J41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'SEPTEMBER 19'!J10:J42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9"/>
      <c r="L10" s="129"/>
    </row>
    <row r="11" spans="1:12" x14ac:dyDescent="0.25">
      <c r="A11" s="289" t="s">
        <v>565</v>
      </c>
      <c r="B11" s="292">
        <v>8</v>
      </c>
      <c r="C11" s="289">
        <v>1400</v>
      </c>
      <c r="D11" s="289"/>
      <c r="E11" s="290"/>
      <c r="F11" s="290">
        <v>100</v>
      </c>
      <c r="G11" s="290">
        <v>2700</v>
      </c>
      <c r="H11" s="290">
        <f>C11+E11+F11+G11</f>
        <v>4200</v>
      </c>
      <c r="I11" s="152">
        <v>4200</v>
      </c>
      <c r="J11" s="152">
        <f t="shared" si="1"/>
        <v>0</v>
      </c>
      <c r="K11" s="129"/>
      <c r="L11" s="129"/>
    </row>
    <row r="12" spans="1:12" x14ac:dyDescent="0.25">
      <c r="A12" s="289" t="s">
        <v>531</v>
      </c>
      <c r="B12" s="208">
        <v>9</v>
      </c>
      <c r="C12" s="289"/>
      <c r="D12" s="289"/>
      <c r="E12" s="290">
        <f>'SEPTEMBER 19'!J12:J44</f>
        <v>0</v>
      </c>
      <c r="F12" s="290">
        <v>100</v>
      </c>
      <c r="G12" s="290">
        <v>2700</v>
      </c>
      <c r="H12" s="290">
        <f t="shared" si="0"/>
        <v>2800</v>
      </c>
      <c r="I12" s="152">
        <v>2800</v>
      </c>
      <c r="J12" s="152">
        <f t="shared" si="1"/>
        <v>0</v>
      </c>
      <c r="K12" s="129"/>
      <c r="L12" s="129"/>
    </row>
    <row r="13" spans="1:12" x14ac:dyDescent="0.25">
      <c r="A13" s="152" t="s">
        <v>519</v>
      </c>
      <c r="B13" s="152">
        <v>10</v>
      </c>
      <c r="C13" s="152"/>
      <c r="D13" s="152"/>
      <c r="E13" s="290">
        <f>'SEPTEMBER 19'!J13:J45</f>
        <v>0</v>
      </c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519</v>
      </c>
      <c r="B14" s="208">
        <v>11</v>
      </c>
      <c r="C14" s="289"/>
      <c r="D14" s="289"/>
      <c r="E14" s="290">
        <f>'SEPTEMBER 19'!J14:J46</f>
        <v>0</v>
      </c>
      <c r="F14" s="290">
        <v>100</v>
      </c>
      <c r="G14" s="290">
        <v>2700</v>
      </c>
      <c r="H14" s="290">
        <f t="shared" si="0"/>
        <v>2800</v>
      </c>
      <c r="I14" s="152"/>
      <c r="J14" s="152">
        <f t="shared" si="1"/>
        <v>2800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'SEPTEMBER 19'!J15:J47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'SEPTEMBER 19'!J16:J48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'SEPTEMBER 19'!J17:J49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'SEPTEMBER 19'!J18:J50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'SEPTEMBER 19'!J19:J51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'SEPTEMBER 19'!J20:J53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'SEPTEMBER 19'!J21:J54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  <c r="K21" s="129"/>
      <c r="L21" s="129"/>
    </row>
    <row r="22" spans="1:12" x14ac:dyDescent="0.25">
      <c r="A22" s="320" t="s">
        <v>550</v>
      </c>
      <c r="B22" s="324">
        <v>19</v>
      </c>
      <c r="C22" s="320"/>
      <c r="D22" s="320"/>
      <c r="E22" s="290">
        <f>'SEPTEMBER 19'!J22:J55</f>
        <v>0</v>
      </c>
      <c r="F22" s="323">
        <v>100</v>
      </c>
      <c r="G22" s="323">
        <v>2700</v>
      </c>
      <c r="H22" s="290">
        <f t="shared" si="0"/>
        <v>2800</v>
      </c>
      <c r="I22" s="295">
        <v>2800</v>
      </c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'SEPTEMBER 19'!J23:J56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9"/>
      <c r="L23" s="129"/>
    </row>
    <row r="24" spans="1:12" x14ac:dyDescent="0.25">
      <c r="A24" s="289" t="s">
        <v>37</v>
      </c>
      <c r="B24" s="208">
        <v>21</v>
      </c>
      <c r="C24" s="289"/>
      <c r="D24" s="289"/>
      <c r="E24" s="290">
        <f>'SEPTEMBER 19'!J24:J57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'SEPTEMBER 19'!J25:J58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'SEPTEMBER 19'!J26:J59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'SEPTEMBER 19'!J27:J60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'SEPTEMBER 19'!J28:J61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2" x14ac:dyDescent="0.25">
      <c r="A29" s="289" t="s">
        <v>577</v>
      </c>
      <c r="B29" s="208">
        <v>26</v>
      </c>
      <c r="C29" s="289"/>
      <c r="D29" s="289"/>
      <c r="E29" s="290">
        <f>'SEPTEMBER 19'!J29:J62</f>
        <v>400</v>
      </c>
      <c r="F29" s="290">
        <v>100</v>
      </c>
      <c r="G29" s="290">
        <v>3500</v>
      </c>
      <c r="H29" s="290">
        <f t="shared" si="0"/>
        <v>4000</v>
      </c>
      <c r="I29" s="152">
        <f>1900+600</f>
        <v>2500</v>
      </c>
      <c r="J29" s="152">
        <f t="shared" si="1"/>
        <v>1500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'SEPTEMBER 19'!J30:J63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2" x14ac:dyDescent="0.25">
      <c r="A31" s="289" t="s">
        <v>578</v>
      </c>
      <c r="B31" s="208">
        <v>28</v>
      </c>
      <c r="C31" s="289"/>
      <c r="D31" s="289"/>
      <c r="E31" s="290">
        <f>'SEPTEMBER 19'!J31:J64</f>
        <v>0</v>
      </c>
      <c r="F31" s="290"/>
      <c r="G31" s="293">
        <v>3300</v>
      </c>
      <c r="H31" s="290">
        <f t="shared" si="0"/>
        <v>3300</v>
      </c>
      <c r="I31" s="152">
        <v>3300</v>
      </c>
      <c r="J31" s="152">
        <f t="shared" si="1"/>
        <v>0</v>
      </c>
      <c r="K31" s="129" t="s">
        <v>581</v>
      </c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'SEPTEMBER 19'!J32:J65</f>
        <v>0</v>
      </c>
      <c r="F32" s="290">
        <v>100</v>
      </c>
      <c r="G32" s="290">
        <v>3300</v>
      </c>
      <c r="H32" s="290">
        <f t="shared" si="0"/>
        <v>3400</v>
      </c>
      <c r="I32" s="152">
        <v>3400</v>
      </c>
      <c r="J32" s="152">
        <f t="shared" si="1"/>
        <v>0</v>
      </c>
      <c r="K32" s="129"/>
      <c r="L32" s="129"/>
    </row>
    <row r="33" spans="1:13" x14ac:dyDescent="0.25">
      <c r="A33" s="289" t="s">
        <v>474</v>
      </c>
      <c r="B33" s="208">
        <v>30</v>
      </c>
      <c r="C33" s="289"/>
      <c r="D33" s="289"/>
      <c r="E33" s="290">
        <f>'SEPTEMBER 19'!J33:J66</f>
        <v>-100</v>
      </c>
      <c r="F33" s="290">
        <v>100</v>
      </c>
      <c r="G33" s="290">
        <v>3200</v>
      </c>
      <c r="H33" s="290">
        <f t="shared" si="0"/>
        <v>3200</v>
      </c>
      <c r="I33" s="152">
        <v>3200</v>
      </c>
      <c r="J33" s="152">
        <f t="shared" si="1"/>
        <v>0</v>
      </c>
      <c r="K33" s="129"/>
      <c r="L33" s="129"/>
    </row>
    <row r="34" spans="1:13" x14ac:dyDescent="0.25">
      <c r="A34" s="289" t="s">
        <v>459</v>
      </c>
      <c r="B34" s="208">
        <v>31</v>
      </c>
      <c r="C34" s="289"/>
      <c r="D34" s="289"/>
      <c r="E34" s="290">
        <f>'SEPTEMBER 19'!J34:J67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  <c r="L34" s="129"/>
    </row>
    <row r="35" spans="1:13" x14ac:dyDescent="0.25">
      <c r="A35" s="289" t="s">
        <v>534</v>
      </c>
      <c r="B35" s="208">
        <v>32</v>
      </c>
      <c r="C35" s="289"/>
      <c r="D35" s="289"/>
      <c r="E35" s="290">
        <f>'SEPTEMBER 19'!J35:J68</f>
        <v>100</v>
      </c>
      <c r="F35" s="290">
        <v>100</v>
      </c>
      <c r="G35" s="290">
        <v>2700</v>
      </c>
      <c r="H35" s="290">
        <f t="shared" si="0"/>
        <v>2900</v>
      </c>
      <c r="I35" s="152">
        <v>2900</v>
      </c>
      <c r="J35" s="152">
        <f t="shared" si="1"/>
        <v>0</v>
      </c>
      <c r="K35" s="129"/>
      <c r="L35" s="332"/>
    </row>
    <row r="36" spans="1:13" x14ac:dyDescent="0.25">
      <c r="A36" s="289" t="s">
        <v>506</v>
      </c>
      <c r="B36" s="208">
        <v>33</v>
      </c>
      <c r="C36" s="152"/>
      <c r="D36" s="152"/>
      <c r="E36" s="290">
        <f>'SEPTEMBER 19'!J36:J69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1"/>
        <v>0</v>
      </c>
      <c r="K36" s="129"/>
      <c r="L36" s="129"/>
    </row>
    <row r="37" spans="1:13" x14ac:dyDescent="0.25">
      <c r="A37" s="325" t="s">
        <v>4</v>
      </c>
      <c r="B37" s="326"/>
      <c r="C37" s="326">
        <f>SUM(C4:C36)</f>
        <v>1400</v>
      </c>
      <c r="D37" s="326">
        <f t="shared" ref="D37:I37" si="2">SUM(D4:D36)</f>
        <v>0</v>
      </c>
      <c r="E37" s="290">
        <f>SUM(E4:E36)</f>
        <v>500</v>
      </c>
      <c r="F37" s="327">
        <f t="shared" si="2"/>
        <v>3100</v>
      </c>
      <c r="G37" s="327">
        <f t="shared" si="2"/>
        <v>102900</v>
      </c>
      <c r="H37" s="327">
        <f t="shared" si="2"/>
        <v>107900</v>
      </c>
      <c r="I37" s="327">
        <f t="shared" si="2"/>
        <v>103400</v>
      </c>
      <c r="J37" s="152">
        <f t="shared" si="1"/>
        <v>4500</v>
      </c>
      <c r="K37" s="129"/>
      <c r="L37" s="129"/>
    </row>
    <row r="38" spans="1:13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100300</v>
      </c>
      <c r="J38" s="295"/>
      <c r="K38" s="129"/>
      <c r="L38" s="129"/>
    </row>
    <row r="39" spans="1:13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3" x14ac:dyDescent="0.25">
      <c r="A40" s="152" t="s">
        <v>496</v>
      </c>
      <c r="B40" s="300">
        <f>G37</f>
        <v>102900</v>
      </c>
      <c r="C40" s="152"/>
      <c r="D40" s="152"/>
      <c r="E40" s="152"/>
      <c r="F40" s="152" t="s">
        <v>496</v>
      </c>
      <c r="G40" s="300">
        <f>I38</f>
        <v>100300</v>
      </c>
      <c r="H40" s="152"/>
      <c r="I40" s="152"/>
      <c r="J40" s="8"/>
      <c r="K40" s="129"/>
      <c r="L40" s="129"/>
    </row>
    <row r="41" spans="1:13" x14ac:dyDescent="0.25">
      <c r="A41" s="152" t="s">
        <v>556</v>
      </c>
      <c r="B41" s="300">
        <v>1400</v>
      </c>
      <c r="C41" s="152"/>
      <c r="D41" s="152"/>
      <c r="E41" s="152"/>
      <c r="F41" s="152" t="s">
        <v>556</v>
      </c>
      <c r="G41" s="300"/>
      <c r="H41" s="152"/>
      <c r="I41" s="152"/>
      <c r="J41" s="8"/>
      <c r="K41" s="129"/>
      <c r="L41" s="129"/>
    </row>
    <row r="42" spans="1:13" x14ac:dyDescent="0.25">
      <c r="A42" s="152" t="s">
        <v>368</v>
      </c>
      <c r="B42" s="300">
        <f>'SEPTEMBER 19'!D55</f>
        <v>-7857</v>
      </c>
      <c r="C42" s="152"/>
      <c r="D42" s="152"/>
      <c r="E42" s="152"/>
      <c r="F42" s="152" t="s">
        <v>368</v>
      </c>
      <c r="G42" s="300">
        <f>'SEPTEMBER 19'!I55</f>
        <v>-8887</v>
      </c>
      <c r="H42" s="152"/>
      <c r="I42" s="152"/>
      <c r="J42" s="8"/>
      <c r="K42" s="129"/>
      <c r="L42" s="129"/>
    </row>
    <row r="43" spans="1:13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  <c r="K43" s="129"/>
      <c r="L43" s="129"/>
      <c r="M43" s="332"/>
    </row>
    <row r="44" spans="1:13" x14ac:dyDescent="0.25">
      <c r="A44" s="129"/>
      <c r="B44" s="301"/>
      <c r="C44" s="300"/>
      <c r="D44" s="152"/>
      <c r="E44" s="152"/>
      <c r="F44" s="152"/>
      <c r="G44" s="301"/>
      <c r="H44" s="300"/>
      <c r="I44" s="152"/>
      <c r="J44" s="8"/>
      <c r="K44" s="129"/>
      <c r="L44" s="129"/>
      <c r="M44" s="332"/>
    </row>
    <row r="45" spans="1:13" x14ac:dyDescent="0.25">
      <c r="A45" s="298" t="s">
        <v>293</v>
      </c>
      <c r="B45" s="302"/>
      <c r="C45" s="152"/>
      <c r="D45" s="152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</row>
    <row r="46" spans="1:13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  <c r="K46" s="129"/>
      <c r="L46" s="129"/>
      <c r="M46" s="332"/>
    </row>
    <row r="47" spans="1:13" x14ac:dyDescent="0.25">
      <c r="A47" s="303" t="s">
        <v>579</v>
      </c>
      <c r="B47" s="301"/>
      <c r="C47" s="152">
        <v>2700</v>
      </c>
      <c r="D47" s="152"/>
      <c r="E47" s="152"/>
      <c r="F47" s="303" t="s">
        <v>133</v>
      </c>
      <c r="G47" s="301"/>
      <c r="H47" s="152">
        <v>2700</v>
      </c>
      <c r="I47" s="152"/>
      <c r="J47" s="8"/>
      <c r="K47" s="129"/>
      <c r="L47" s="129"/>
      <c r="M47" s="332"/>
    </row>
    <row r="48" spans="1:13" x14ac:dyDescent="0.25">
      <c r="A48" s="303"/>
      <c r="B48" s="301"/>
      <c r="C48" s="301"/>
      <c r="D48" s="152"/>
      <c r="E48" s="152"/>
      <c r="F48" s="303"/>
      <c r="G48" s="152"/>
      <c r="H48" s="152"/>
      <c r="I48" s="152"/>
      <c r="J48" s="8"/>
      <c r="K48" s="129"/>
      <c r="L48" s="129"/>
      <c r="M48" s="332"/>
    </row>
    <row r="49" spans="1:13" x14ac:dyDescent="0.25">
      <c r="A49" s="303" t="s">
        <v>580</v>
      </c>
      <c r="B49" s="301"/>
      <c r="C49" s="152">
        <v>63453</v>
      </c>
      <c r="D49" s="152"/>
      <c r="E49" s="152"/>
      <c r="F49" s="303" t="s">
        <v>580</v>
      </c>
      <c r="G49" s="301"/>
      <c r="H49" s="152">
        <v>63453</v>
      </c>
      <c r="I49" s="152"/>
      <c r="J49" s="8"/>
      <c r="K49" s="129"/>
      <c r="L49" s="129"/>
      <c r="M49" s="332"/>
    </row>
    <row r="50" spans="1:13" x14ac:dyDescent="0.25">
      <c r="A50" s="304" t="s">
        <v>582</v>
      </c>
      <c r="C50" s="152">
        <v>3300</v>
      </c>
      <c r="D50" s="152"/>
      <c r="E50" s="152"/>
      <c r="F50" s="304" t="s">
        <v>582</v>
      </c>
      <c r="G50" s="129"/>
      <c r="H50" s="152">
        <v>3300</v>
      </c>
      <c r="I50" s="152"/>
      <c r="J50" s="8"/>
      <c r="K50" s="129"/>
      <c r="L50" s="129"/>
    </row>
    <row r="51" spans="1:13" x14ac:dyDescent="0.25">
      <c r="A51" s="304" t="s">
        <v>583</v>
      </c>
      <c r="B51" s="129"/>
      <c r="C51" s="305">
        <v>1200</v>
      </c>
      <c r="D51" s="152"/>
      <c r="E51" s="152"/>
      <c r="F51" s="304" t="s">
        <v>583</v>
      </c>
      <c r="G51" s="129"/>
      <c r="H51" s="305">
        <v>1200</v>
      </c>
      <c r="I51" s="152"/>
      <c r="J51" s="8"/>
      <c r="K51" s="129"/>
      <c r="L51" s="129"/>
    </row>
    <row r="52" spans="1:13" x14ac:dyDescent="0.25">
      <c r="A52" s="304"/>
      <c r="B52" s="129"/>
      <c r="C52" s="305"/>
      <c r="D52" s="333"/>
      <c r="E52" s="333"/>
      <c r="F52" s="304"/>
      <c r="G52" s="129"/>
      <c r="H52" s="305"/>
      <c r="I52" s="152"/>
      <c r="J52" s="8"/>
      <c r="K52" s="129"/>
      <c r="L52" s="129"/>
    </row>
    <row r="53" spans="1:13" x14ac:dyDescent="0.25">
      <c r="A53" s="304"/>
      <c r="B53" s="129"/>
      <c r="C53" s="305"/>
      <c r="D53" s="129"/>
      <c r="E53" s="129"/>
      <c r="F53" s="304"/>
      <c r="G53" s="129"/>
      <c r="H53" s="305"/>
      <c r="I53" s="152"/>
      <c r="J53" s="152"/>
      <c r="K53" s="129"/>
      <c r="L53" s="129"/>
    </row>
    <row r="54" spans="1:13" x14ac:dyDescent="0.25">
      <c r="A54" s="296" t="s">
        <v>4</v>
      </c>
      <c r="B54" s="309">
        <f>B40+B41+B42-C43</f>
        <v>86153</v>
      </c>
      <c r="C54" s="309">
        <f>SUM(C46:C53)</f>
        <v>90653</v>
      </c>
      <c r="D54" s="309">
        <f>B54-C54</f>
        <v>-4500</v>
      </c>
      <c r="E54" s="297"/>
      <c r="F54" s="296" t="s">
        <v>4</v>
      </c>
      <c r="G54" s="300">
        <f>G40+G41+G42-H43</f>
        <v>81123</v>
      </c>
      <c r="H54" s="152">
        <f>SUM(H46:H53 )</f>
        <v>90653</v>
      </c>
      <c r="I54" s="300">
        <f>G54-H54</f>
        <v>-9530</v>
      </c>
      <c r="J54" s="152"/>
      <c r="K54" s="129"/>
      <c r="L54" s="129"/>
    </row>
    <row r="55" spans="1:13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  <c r="L55" s="129"/>
    </row>
    <row r="56" spans="1:13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332"/>
    </row>
    <row r="57" spans="1:13" x14ac:dyDescent="0.25">
      <c r="A57" s="12"/>
      <c r="B57" s="12"/>
      <c r="C57" s="12"/>
      <c r="D57" s="12"/>
      <c r="E57" s="12"/>
      <c r="F57" s="12"/>
      <c r="G57" s="303"/>
      <c r="H57" s="152"/>
      <c r="I57" s="152"/>
      <c r="J57" s="152"/>
      <c r="K57" s="129"/>
      <c r="L57" s="129"/>
    </row>
    <row r="58" spans="1:13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</sheetData>
  <pageMargins left="0.7" right="0.7" top="0.75" bottom="0.75" header="0.3" footer="0.3"/>
  <pageSetup paperSize="286" orientation="portrait" horizontalDpi="0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workbookViewId="0">
      <selection activeCell="K55" sqref="K55"/>
    </sheetView>
  </sheetViews>
  <sheetFormatPr defaultRowHeight="15" x14ac:dyDescent="0.25"/>
  <cols>
    <col min="1" max="1" width="16.5703125" bestFit="1" customWidth="1"/>
    <col min="2" max="2" width="8.5703125" customWidth="1"/>
  </cols>
  <sheetData>
    <row r="1" spans="1:13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A2" s="129"/>
      <c r="B2" s="129"/>
      <c r="C2" s="286" t="s">
        <v>501</v>
      </c>
      <c r="D2" s="286"/>
      <c r="E2" s="286" t="s">
        <v>584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</row>
    <row r="4" spans="1:13" x14ac:dyDescent="0.25">
      <c r="A4" s="289" t="s">
        <v>275</v>
      </c>
      <c r="B4" s="208">
        <v>1</v>
      </c>
      <c r="C4" s="289"/>
      <c r="D4" s="289"/>
      <c r="E4" s="290">
        <f>'OCTOBER 19'!J4:J37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</row>
    <row r="5" spans="1:13" x14ac:dyDescent="0.25">
      <c r="A5" s="291" t="s">
        <v>505</v>
      </c>
      <c r="B5" s="208">
        <v>2</v>
      </c>
      <c r="C5" s="289"/>
      <c r="D5" s="289"/>
      <c r="E5" s="290">
        <f>'OCTOBER 19'!J5:J38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 t="shared" ref="J5:J37" si="1">H5-I5</f>
        <v>0</v>
      </c>
      <c r="K5" s="129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'OCTOBER 19'!J6:J39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'OCTOBER 19'!J7:J40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  <c r="L7" s="129"/>
      <c r="M7" s="129"/>
    </row>
    <row r="8" spans="1:13" x14ac:dyDescent="0.25">
      <c r="A8" s="289" t="s">
        <v>417</v>
      </c>
      <c r="B8" s="208">
        <v>5</v>
      </c>
      <c r="C8" s="289"/>
      <c r="D8" s="289"/>
      <c r="E8" s="290">
        <f>'OCTOBER 19'!J8:J41</f>
        <v>200</v>
      </c>
      <c r="F8" s="290">
        <v>100</v>
      </c>
      <c r="G8" s="290">
        <v>4000</v>
      </c>
      <c r="H8" s="290">
        <f t="shared" si="0"/>
        <v>4300</v>
      </c>
      <c r="I8" s="152">
        <v>4300</v>
      </c>
      <c r="J8" s="152">
        <f t="shared" si="1"/>
        <v>0</v>
      </c>
      <c r="K8" s="129"/>
      <c r="L8" s="129"/>
      <c r="M8" s="129"/>
    </row>
    <row r="9" spans="1:13" x14ac:dyDescent="0.25">
      <c r="A9" s="152" t="s">
        <v>503</v>
      </c>
      <c r="B9" s="208">
        <v>6</v>
      </c>
      <c r="C9" s="152"/>
      <c r="D9" s="152"/>
      <c r="E9" s="290">
        <f>'OCTOBER 19'!J9:J42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9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'OCTOBER 19'!J10:J43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9"/>
      <c r="L10" s="129"/>
      <c r="M10" s="129"/>
    </row>
    <row r="11" spans="1:13" x14ac:dyDescent="0.25">
      <c r="A11" s="289" t="s">
        <v>565</v>
      </c>
      <c r="B11" s="292">
        <v>8</v>
      </c>
      <c r="C11" s="289"/>
      <c r="D11" s="289"/>
      <c r="E11" s="290">
        <f>'OCTOBER 19'!J11:J44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1"/>
        <v>0</v>
      </c>
      <c r="K11" s="129"/>
      <c r="L11" s="129"/>
      <c r="M11" s="129"/>
    </row>
    <row r="12" spans="1:13" x14ac:dyDescent="0.25">
      <c r="A12" s="334" t="s">
        <v>64</v>
      </c>
      <c r="B12" s="208">
        <v>9</v>
      </c>
      <c r="C12" s="289"/>
      <c r="D12" s="289"/>
      <c r="E12" s="290">
        <f>'OCTOBER 19'!J12:J45</f>
        <v>0</v>
      </c>
      <c r="F12" s="290"/>
      <c r="G12" s="290"/>
      <c r="H12" s="290">
        <f t="shared" si="0"/>
        <v>0</v>
      </c>
      <c r="I12" s="152"/>
      <c r="J12" s="152">
        <f t="shared" si="1"/>
        <v>0</v>
      </c>
      <c r="K12" s="129"/>
      <c r="L12" s="129"/>
      <c r="M12" s="129"/>
    </row>
    <row r="13" spans="1:13" x14ac:dyDescent="0.25">
      <c r="A13" s="152" t="s">
        <v>519</v>
      </c>
      <c r="B13" s="152">
        <v>10</v>
      </c>
      <c r="C13" s="152"/>
      <c r="D13" s="152"/>
      <c r="E13" s="290">
        <f>'OCTOBER 19'!J13:J46</f>
        <v>0</v>
      </c>
      <c r="F13" s="152"/>
      <c r="G13" s="290">
        <v>2700</v>
      </c>
      <c r="H13" s="290">
        <f t="shared" si="0"/>
        <v>2700</v>
      </c>
      <c r="I13" s="152"/>
      <c r="J13" s="152">
        <f t="shared" si="1"/>
        <v>2700</v>
      </c>
      <c r="K13" s="129"/>
      <c r="L13" s="129"/>
      <c r="M13" s="129"/>
    </row>
    <row r="14" spans="1:13" x14ac:dyDescent="0.25">
      <c r="A14" s="152" t="s">
        <v>519</v>
      </c>
      <c r="B14" s="208">
        <v>11</v>
      </c>
      <c r="C14" s="289"/>
      <c r="D14" s="289"/>
      <c r="E14" s="290">
        <f>'OCTOBER 19'!J14:J47</f>
        <v>2800</v>
      </c>
      <c r="F14" s="290"/>
      <c r="G14" s="290"/>
      <c r="H14" s="290">
        <f t="shared" si="0"/>
        <v>2800</v>
      </c>
      <c r="I14" s="152">
        <v>2800</v>
      </c>
      <c r="J14" s="152">
        <f t="shared" si="1"/>
        <v>0</v>
      </c>
      <c r="K14" s="129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'OCTOBER 19'!J15:J48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L15" s="129"/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'OCTOBER 19'!J16:J49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'OCTOBER 19'!J17:J50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'OCTOBER 19'!J18:J51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  <c r="K18" s="129"/>
      <c r="L18" s="129"/>
      <c r="M18" s="129"/>
    </row>
    <row r="19" spans="1:13" x14ac:dyDescent="0.25">
      <c r="A19" s="289" t="s">
        <v>520</v>
      </c>
      <c r="B19" s="208">
        <v>16</v>
      </c>
      <c r="C19" s="289"/>
      <c r="D19" s="289"/>
      <c r="E19" s="290">
        <f>'OCTOBER 19'!J19:J52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'OCTOBER 19'!J20:J53</f>
        <v>0</v>
      </c>
      <c r="F20" s="152">
        <v>100</v>
      </c>
      <c r="G20" s="294">
        <v>3000</v>
      </c>
      <c r="H20" s="290">
        <f t="shared" si="0"/>
        <v>3100</v>
      </c>
      <c r="I20" s="152">
        <f>400+2700</f>
        <v>3100</v>
      </c>
      <c r="J20" s="152">
        <f t="shared" si="1"/>
        <v>0</v>
      </c>
      <c r="K20" s="129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'OCTOBER 19'!J21:J54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  <c r="K21" s="129"/>
      <c r="L21" s="129"/>
      <c r="M21" s="129"/>
    </row>
    <row r="22" spans="1:13" x14ac:dyDescent="0.25">
      <c r="A22" s="311" t="s">
        <v>550</v>
      </c>
      <c r="B22" s="312">
        <v>19</v>
      </c>
      <c r="C22" s="311"/>
      <c r="D22" s="311"/>
      <c r="E22" s="290">
        <f>'OCTOBER 19'!J22:J55</f>
        <v>0</v>
      </c>
      <c r="F22" s="313">
        <v>100</v>
      </c>
      <c r="G22" s="313">
        <v>2700</v>
      </c>
      <c r="H22" s="290">
        <f t="shared" si="0"/>
        <v>2800</v>
      </c>
      <c r="I22" s="295">
        <v>2800</v>
      </c>
      <c r="J22" s="152">
        <f t="shared" si="1"/>
        <v>0</v>
      </c>
      <c r="K22" s="129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289"/>
      <c r="E23" s="290">
        <f>'OCTOBER 19'!J23:J56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9"/>
      <c r="L23" s="129"/>
      <c r="M23" s="129"/>
    </row>
    <row r="24" spans="1:13" x14ac:dyDescent="0.25">
      <c r="A24" s="334" t="s">
        <v>37</v>
      </c>
      <c r="B24" s="208">
        <v>21</v>
      </c>
      <c r="C24" s="289"/>
      <c r="D24" s="289"/>
      <c r="E24" s="290">
        <f>'OCTOBER 19'!J24:J57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289"/>
      <c r="E25" s="290">
        <f>'OCTOBER 19'!J25:J58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9"/>
      <c r="L25" s="129"/>
      <c r="M25" s="129"/>
    </row>
    <row r="26" spans="1:13" x14ac:dyDescent="0.25">
      <c r="A26" s="289" t="s">
        <v>347</v>
      </c>
      <c r="B26" s="208">
        <v>23</v>
      </c>
      <c r="C26" s="289"/>
      <c r="D26" s="289"/>
      <c r="E26" s="290">
        <f>'OCTOBER 19'!J26:J59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'OCTOBER 19'!J27:J60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'OCTOBER 19'!J28:J61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  <c r="M28" s="129"/>
    </row>
    <row r="29" spans="1:13" x14ac:dyDescent="0.25">
      <c r="A29" s="289" t="s">
        <v>577</v>
      </c>
      <c r="B29" s="208">
        <v>26</v>
      </c>
      <c r="C29" s="289"/>
      <c r="D29" s="289"/>
      <c r="E29" s="290">
        <f>'OCTOBER 19'!J29:J62</f>
        <v>1500</v>
      </c>
      <c r="F29" s="290">
        <v>100</v>
      </c>
      <c r="G29" s="290">
        <v>3500</v>
      </c>
      <c r="H29" s="290">
        <f t="shared" si="0"/>
        <v>5100</v>
      </c>
      <c r="I29" s="152">
        <f>2000+3100</f>
        <v>5100</v>
      </c>
      <c r="J29" s="152">
        <f t="shared" si="1"/>
        <v>0</v>
      </c>
      <c r="K29" s="129"/>
      <c r="L29" s="129"/>
      <c r="M29" s="129"/>
    </row>
    <row r="30" spans="1:13" x14ac:dyDescent="0.25">
      <c r="A30" s="289" t="s">
        <v>572</v>
      </c>
      <c r="B30" s="208">
        <v>27</v>
      </c>
      <c r="C30" s="289"/>
      <c r="D30" s="289"/>
      <c r="E30" s="290">
        <f>'OCTOBER 19'!J30:J63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  <c r="M30" s="129"/>
    </row>
    <row r="31" spans="1:13" x14ac:dyDescent="0.25">
      <c r="A31" s="334" t="s">
        <v>446</v>
      </c>
      <c r="B31" s="208">
        <v>28</v>
      </c>
      <c r="C31" s="289"/>
      <c r="D31" s="289"/>
      <c r="E31" s="290">
        <f>'OCTOBER 19'!J31:J64</f>
        <v>0</v>
      </c>
      <c r="F31" s="290"/>
      <c r="G31" s="293"/>
      <c r="H31" s="290">
        <f t="shared" si="0"/>
        <v>0</v>
      </c>
      <c r="I31" s="152"/>
      <c r="J31" s="152">
        <f t="shared" si="1"/>
        <v>0</v>
      </c>
      <c r="K31" s="129" t="s">
        <v>581</v>
      </c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/>
      <c r="E32" s="290">
        <f>'OCTOBER 19'!J32:J65</f>
        <v>0</v>
      </c>
      <c r="F32" s="290">
        <v>100</v>
      </c>
      <c r="G32" s="290">
        <v>3300</v>
      </c>
      <c r="H32" s="290">
        <f t="shared" si="0"/>
        <v>3400</v>
      </c>
      <c r="I32" s="152">
        <v>3400</v>
      </c>
      <c r="J32" s="152">
        <f t="shared" si="1"/>
        <v>0</v>
      </c>
      <c r="K32" s="129"/>
      <c r="L32" s="129"/>
      <c r="M32" s="129"/>
    </row>
    <row r="33" spans="1:13" x14ac:dyDescent="0.25">
      <c r="A33" s="289" t="s">
        <v>474</v>
      </c>
      <c r="B33" s="208">
        <v>30</v>
      </c>
      <c r="C33" s="289"/>
      <c r="D33" s="289"/>
      <c r="E33" s="290">
        <f>'OCTOBER 19'!J33:J66</f>
        <v>0</v>
      </c>
      <c r="F33" s="290">
        <v>100</v>
      </c>
      <c r="G33" s="290">
        <v>3200</v>
      </c>
      <c r="H33" s="290">
        <f t="shared" si="0"/>
        <v>3300</v>
      </c>
      <c r="I33" s="152">
        <v>3300</v>
      </c>
      <c r="J33" s="152">
        <f t="shared" si="1"/>
        <v>0</v>
      </c>
      <c r="K33" s="129"/>
      <c r="L33" s="129"/>
      <c r="M33" s="129"/>
    </row>
    <row r="34" spans="1:13" x14ac:dyDescent="0.25">
      <c r="A34" s="289" t="s">
        <v>459</v>
      </c>
      <c r="B34" s="208">
        <v>31</v>
      </c>
      <c r="C34" s="289"/>
      <c r="D34" s="289"/>
      <c r="E34" s="290">
        <f>'OCTOBER 19'!J34:J67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  <c r="L34" s="129"/>
      <c r="M34" s="129"/>
    </row>
    <row r="35" spans="1:13" x14ac:dyDescent="0.25">
      <c r="A35" s="289" t="s">
        <v>534</v>
      </c>
      <c r="B35" s="208">
        <v>32</v>
      </c>
      <c r="C35" s="289"/>
      <c r="D35" s="289"/>
      <c r="E35" s="290">
        <f>'OCTOBER 19'!J35:J68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  <c r="L35" s="332"/>
      <c r="M35" s="129"/>
    </row>
    <row r="36" spans="1:13" x14ac:dyDescent="0.25">
      <c r="A36" s="289" t="s">
        <v>506</v>
      </c>
      <c r="B36" s="208">
        <v>33</v>
      </c>
      <c r="C36" s="152"/>
      <c r="D36" s="152"/>
      <c r="E36" s="290">
        <f>'OCTOBER 19'!J36:J69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1"/>
        <v>0</v>
      </c>
      <c r="K36" s="129"/>
      <c r="L36" s="129"/>
      <c r="M36" s="129"/>
    </row>
    <row r="37" spans="1:13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4500</v>
      </c>
      <c r="F37" s="327">
        <f t="shared" si="2"/>
        <v>2800</v>
      </c>
      <c r="G37" s="327">
        <f t="shared" si="2"/>
        <v>94200</v>
      </c>
      <c r="H37" s="327">
        <f>SUM(H4:H36)</f>
        <v>101500</v>
      </c>
      <c r="I37" s="327">
        <f t="shared" si="2"/>
        <v>98800</v>
      </c>
      <c r="J37" s="152">
        <f t="shared" si="1"/>
        <v>2700</v>
      </c>
      <c r="K37" s="129"/>
      <c r="L37" s="129"/>
      <c r="M37" s="129"/>
    </row>
    <row r="38" spans="1:13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96000</v>
      </c>
      <c r="J38" s="295"/>
      <c r="K38" s="129"/>
      <c r="L38" s="129"/>
      <c r="M38" s="129"/>
    </row>
    <row r="39" spans="1:13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</row>
    <row r="40" spans="1:13" x14ac:dyDescent="0.25">
      <c r="A40" s="152" t="s">
        <v>168</v>
      </c>
      <c r="B40" s="300">
        <f>G37</f>
        <v>94200</v>
      </c>
      <c r="C40" s="152"/>
      <c r="D40" s="152"/>
      <c r="E40" s="152"/>
      <c r="F40" s="152" t="s">
        <v>168</v>
      </c>
      <c r="G40" s="300">
        <f>I38</f>
        <v>96000</v>
      </c>
      <c r="H40" s="152"/>
      <c r="I40" s="152"/>
      <c r="J40" s="8"/>
      <c r="K40" s="129"/>
      <c r="L40" s="129"/>
      <c r="M40" s="129"/>
    </row>
    <row r="41" spans="1:13" x14ac:dyDescent="0.25">
      <c r="A41" s="152" t="s">
        <v>556</v>
      </c>
      <c r="B41" s="300"/>
      <c r="C41" s="152"/>
      <c r="D41" s="152"/>
      <c r="E41" s="152"/>
      <c r="F41" s="152" t="s">
        <v>556</v>
      </c>
      <c r="G41" s="300"/>
      <c r="H41" s="152"/>
      <c r="I41" s="152"/>
      <c r="J41" s="8"/>
      <c r="K41" s="129"/>
      <c r="L41" s="129"/>
      <c r="M41" s="129"/>
    </row>
    <row r="42" spans="1:13" x14ac:dyDescent="0.25">
      <c r="A42" s="152" t="s">
        <v>368</v>
      </c>
      <c r="B42" s="300">
        <f>'OCTOBER 19'!D54</f>
        <v>-4500</v>
      </c>
      <c r="C42" s="152"/>
      <c r="D42" s="152"/>
      <c r="E42" s="152"/>
      <c r="F42" s="152" t="s">
        <v>368</v>
      </c>
      <c r="G42" s="300">
        <f>'OCTOBER 19'!I54</f>
        <v>-9530</v>
      </c>
      <c r="H42" s="152"/>
      <c r="I42" s="152"/>
      <c r="J42" s="8"/>
      <c r="K42" s="129"/>
      <c r="L42" s="129"/>
      <c r="M42" s="129"/>
    </row>
    <row r="43" spans="1:13" ht="18" customHeight="1" x14ac:dyDescent="0.25">
      <c r="A43" s="152" t="s">
        <v>410</v>
      </c>
      <c r="B43" s="301">
        <v>0.1</v>
      </c>
      <c r="C43" s="300">
        <f>B43*B40</f>
        <v>9420</v>
      </c>
      <c r="D43" s="152"/>
      <c r="E43" s="152"/>
      <c r="F43" s="152" t="s">
        <v>410</v>
      </c>
      <c r="G43" s="301">
        <v>0.1</v>
      </c>
      <c r="H43" s="300">
        <f>C43</f>
        <v>9420</v>
      </c>
      <c r="I43" s="152"/>
      <c r="J43" s="8"/>
      <c r="K43" s="129"/>
      <c r="L43" s="129"/>
      <c r="M43" s="332"/>
    </row>
    <row r="44" spans="1:13" x14ac:dyDescent="0.25">
      <c r="B44" s="301"/>
      <c r="C44" s="300"/>
      <c r="D44" s="152"/>
      <c r="E44" s="152"/>
      <c r="F44" s="152"/>
      <c r="G44" s="301"/>
      <c r="H44" s="300"/>
      <c r="I44" s="152"/>
      <c r="J44" s="8"/>
      <c r="K44" s="129"/>
      <c r="L44" s="129"/>
      <c r="M44" s="332"/>
    </row>
    <row r="45" spans="1:13" x14ac:dyDescent="0.25">
      <c r="A45" s="298" t="s">
        <v>293</v>
      </c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</row>
    <row r="46" spans="1:13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  <c r="K46" s="129"/>
      <c r="L46" s="129"/>
      <c r="M46" s="332"/>
    </row>
    <row r="47" spans="1:13" x14ac:dyDescent="0.25">
      <c r="A47" s="303" t="s">
        <v>133</v>
      </c>
      <c r="B47" s="301"/>
      <c r="C47" s="152">
        <v>2700</v>
      </c>
      <c r="D47" s="152"/>
      <c r="E47" s="152"/>
      <c r="F47" s="303" t="s">
        <v>133</v>
      </c>
      <c r="G47" s="301"/>
      <c r="H47" s="152">
        <v>2700</v>
      </c>
      <c r="I47" s="152"/>
      <c r="J47" s="8"/>
      <c r="K47" s="129"/>
      <c r="L47" s="129"/>
      <c r="M47" s="332"/>
    </row>
    <row r="48" spans="1:13" x14ac:dyDescent="0.25">
      <c r="A48" s="303"/>
      <c r="B48" s="301"/>
      <c r="C48" s="301"/>
      <c r="D48" s="152"/>
      <c r="E48" s="152"/>
      <c r="F48" s="303"/>
      <c r="G48" s="152"/>
      <c r="H48" s="152"/>
      <c r="I48" s="152"/>
      <c r="J48" s="8"/>
      <c r="K48" s="129"/>
      <c r="L48" s="129"/>
      <c r="M48" s="332"/>
    </row>
    <row r="49" spans="1:13" x14ac:dyDescent="0.25">
      <c r="A49" s="303" t="s">
        <v>523</v>
      </c>
      <c r="B49" s="152"/>
      <c r="C49" s="152">
        <v>200</v>
      </c>
      <c r="D49" s="152"/>
      <c r="E49" s="152"/>
      <c r="F49" s="303" t="s">
        <v>523</v>
      </c>
      <c r="G49" s="152"/>
      <c r="H49" s="152">
        <v>200</v>
      </c>
      <c r="I49" s="152"/>
      <c r="J49" s="8"/>
      <c r="K49" s="129"/>
      <c r="L49" s="129"/>
      <c r="M49" s="332"/>
    </row>
    <row r="50" spans="1:13" x14ac:dyDescent="0.25">
      <c r="A50" s="303" t="s">
        <v>585</v>
      </c>
      <c r="B50" s="301"/>
      <c r="C50" s="152">
        <v>57380</v>
      </c>
      <c r="D50" s="152"/>
      <c r="E50" s="152"/>
      <c r="F50" s="303" t="s">
        <v>585</v>
      </c>
      <c r="G50" s="301"/>
      <c r="H50" s="152">
        <v>57380</v>
      </c>
      <c r="I50" s="152"/>
      <c r="J50" s="8"/>
      <c r="K50" s="129"/>
      <c r="L50" s="129"/>
      <c r="M50" s="129"/>
    </row>
    <row r="51" spans="1:13" x14ac:dyDescent="0.25">
      <c r="A51" s="303" t="s">
        <v>586</v>
      </c>
      <c r="B51" s="152"/>
      <c r="C51" s="152">
        <v>11170</v>
      </c>
      <c r="D51" s="152"/>
      <c r="E51" s="152"/>
      <c r="F51" s="303" t="s">
        <v>586</v>
      </c>
      <c r="G51" s="152"/>
      <c r="H51" s="152">
        <v>11170</v>
      </c>
      <c r="I51" s="152"/>
      <c r="J51" s="8"/>
      <c r="K51" s="129"/>
      <c r="L51" s="129"/>
      <c r="M51" s="129"/>
    </row>
    <row r="52" spans="1:13" x14ac:dyDescent="0.25">
      <c r="A52" s="303" t="s">
        <v>588</v>
      </c>
      <c r="B52" s="301"/>
      <c r="C52" s="152">
        <v>1500</v>
      </c>
      <c r="D52" s="152"/>
      <c r="F52" s="303" t="s">
        <v>588</v>
      </c>
      <c r="G52" s="301"/>
      <c r="H52" s="152">
        <v>1500</v>
      </c>
      <c r="I52" s="152"/>
      <c r="J52" s="8"/>
      <c r="K52" s="129"/>
      <c r="L52" s="129"/>
      <c r="M52" s="129"/>
    </row>
    <row r="53" spans="1:13" x14ac:dyDescent="0.25">
      <c r="A53" s="303"/>
      <c r="B53" s="301"/>
      <c r="C53" s="152"/>
      <c r="D53" s="152"/>
      <c r="F53" s="303"/>
      <c r="G53" s="152"/>
      <c r="H53" s="152"/>
      <c r="I53" s="152"/>
      <c r="J53" s="8"/>
      <c r="K53" s="332">
        <f>I54+J37</f>
        <v>-13200</v>
      </c>
      <c r="L53" s="129"/>
      <c r="M53" s="129"/>
    </row>
    <row r="54" spans="1:13" x14ac:dyDescent="0.25">
      <c r="A54" s="296" t="s">
        <v>4</v>
      </c>
      <c r="B54" s="309">
        <f>B40+B41+B42-C43</f>
        <v>80280</v>
      </c>
      <c r="C54" s="309">
        <f>SUM(C46:C53)</f>
        <v>92950</v>
      </c>
      <c r="D54" s="309">
        <f>B54-C54</f>
        <v>-12670</v>
      </c>
      <c r="E54" s="297"/>
      <c r="F54" s="296" t="s">
        <v>4</v>
      </c>
      <c r="G54" s="300">
        <f>G40+G41+G42-H43</f>
        <v>77050</v>
      </c>
      <c r="H54" s="152">
        <f>SUM(H46:H53 )</f>
        <v>92950</v>
      </c>
      <c r="I54" s="300">
        <f>G54-H54</f>
        <v>-15900</v>
      </c>
      <c r="J54" s="152"/>
      <c r="K54" s="332">
        <f>K53-D54</f>
        <v>-530</v>
      </c>
      <c r="L54" s="129"/>
      <c r="M54" s="129"/>
    </row>
    <row r="55" spans="1:13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  <c r="L55" s="332"/>
      <c r="M55" s="129"/>
    </row>
    <row r="56" spans="1:13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332"/>
      <c r="M56" s="129"/>
    </row>
    <row r="57" spans="1:13" x14ac:dyDescent="0.25">
      <c r="A57" s="12"/>
      <c r="B57" s="12"/>
      <c r="C57" s="12"/>
      <c r="D57" s="12"/>
      <c r="E57" s="12"/>
      <c r="F57" s="12"/>
      <c r="G57" s="303"/>
      <c r="H57" s="152"/>
      <c r="I57" s="152"/>
      <c r="J57" s="152"/>
      <c r="K57" s="129"/>
      <c r="L57" s="129"/>
      <c r="M57" s="129"/>
    </row>
    <row r="58" spans="1:13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</row>
  </sheetData>
  <pageMargins left="0.7" right="0.7" top="0.75" bottom="0.75" header="0.3" footer="0.3"/>
  <pageSetup orientation="portrait" horizontalDpi="0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25" workbookViewId="0">
      <selection activeCell="L18" sqref="L18"/>
    </sheetView>
  </sheetViews>
  <sheetFormatPr defaultRowHeight="15" x14ac:dyDescent="0.25"/>
  <cols>
    <col min="1" max="1" width="17.85546875" bestFit="1" customWidth="1"/>
  </cols>
  <sheetData>
    <row r="1" spans="1:13" x14ac:dyDescent="0.25"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B2" s="129"/>
      <c r="C2" s="286" t="s">
        <v>501</v>
      </c>
      <c r="D2" s="286"/>
      <c r="E2" s="286" t="s">
        <v>587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</row>
    <row r="4" spans="1:13" x14ac:dyDescent="0.25">
      <c r="A4" s="289" t="s">
        <v>275</v>
      </c>
      <c r="B4" s="208">
        <v>1</v>
      </c>
      <c r="C4" s="289"/>
      <c r="D4" s="289"/>
      <c r="E4" s="290">
        <f>'NOVEMBER 19'!J4:J36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</row>
    <row r="5" spans="1:13" x14ac:dyDescent="0.25">
      <c r="A5" s="291" t="s">
        <v>505</v>
      </c>
      <c r="B5" s="208">
        <v>2</v>
      </c>
      <c r="C5" s="289"/>
      <c r="D5" s="289"/>
      <c r="E5" s="290">
        <f>'NOVEMBER 19'!J5:J37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7" si="0">H5-I5</f>
        <v>0</v>
      </c>
      <c r="K5" s="129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'NOVEMBER 19'!J6:J38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'NOVEMBER 19'!J7:J39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  <c r="L7" s="129"/>
      <c r="M7" s="129"/>
    </row>
    <row r="8" spans="1:13" x14ac:dyDescent="0.25">
      <c r="A8" s="289" t="s">
        <v>417</v>
      </c>
      <c r="B8" s="208">
        <v>5</v>
      </c>
      <c r="C8" s="289"/>
      <c r="D8" s="289"/>
      <c r="E8" s="290">
        <f>'NOVEMBER 19'!J8:J40</f>
        <v>0</v>
      </c>
      <c r="F8" s="290">
        <v>100</v>
      </c>
      <c r="G8" s="290">
        <v>4000</v>
      </c>
      <c r="H8" s="290">
        <f t="shared" si="1"/>
        <v>4100</v>
      </c>
      <c r="I8" s="152">
        <v>2000</v>
      </c>
      <c r="J8" s="152">
        <f t="shared" si="0"/>
        <v>2100</v>
      </c>
      <c r="K8" s="129"/>
      <c r="L8" s="129"/>
      <c r="M8" s="129"/>
    </row>
    <row r="9" spans="1:13" x14ac:dyDescent="0.25">
      <c r="A9" s="152" t="s">
        <v>503</v>
      </c>
      <c r="B9" s="208">
        <v>6</v>
      </c>
      <c r="C9" s="152"/>
      <c r="D9" s="152"/>
      <c r="E9" s="290">
        <f>'NOVEMBER 19'!J9:J41</f>
        <v>0</v>
      </c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9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'NOVEMBER 19'!J10:J42</f>
        <v>0</v>
      </c>
      <c r="F10" s="290">
        <v>100</v>
      </c>
      <c r="G10" s="290">
        <v>5400</v>
      </c>
      <c r="H10" s="290">
        <f t="shared" si="1"/>
        <v>5500</v>
      </c>
      <c r="I10" s="152">
        <f>4000+1500</f>
        <v>5500</v>
      </c>
      <c r="J10" s="152">
        <f t="shared" si="0"/>
        <v>0</v>
      </c>
      <c r="K10" s="129"/>
      <c r="L10" s="129"/>
      <c r="M10" s="129"/>
    </row>
    <row r="11" spans="1:13" x14ac:dyDescent="0.25">
      <c r="A11" s="289" t="s">
        <v>565</v>
      </c>
      <c r="B11" s="292">
        <v>8</v>
      </c>
      <c r="C11" s="289"/>
      <c r="D11" s="289"/>
      <c r="E11" s="290">
        <f>'NOVEMBER 19'!J11:J43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  <c r="L11" s="129"/>
      <c r="M11" s="129"/>
    </row>
    <row r="12" spans="1:13" x14ac:dyDescent="0.25">
      <c r="A12" s="289" t="s">
        <v>594</v>
      </c>
      <c r="B12" s="208">
        <v>9</v>
      </c>
      <c r="C12" s="289"/>
      <c r="D12" s="289">
        <v>2700</v>
      </c>
      <c r="E12" s="290">
        <f>'NOVEMBER 19'!J12:J44</f>
        <v>0</v>
      </c>
      <c r="F12" s="290">
        <v>100</v>
      </c>
      <c r="G12" s="290">
        <v>2700</v>
      </c>
      <c r="H12" s="290">
        <f t="shared" si="1"/>
        <v>5500</v>
      </c>
      <c r="I12" s="152">
        <f>2800+600</f>
        <v>3400</v>
      </c>
      <c r="J12" s="152">
        <f t="shared" si="0"/>
        <v>2100</v>
      </c>
      <c r="K12" s="129"/>
      <c r="L12" s="129"/>
      <c r="M12" s="129"/>
    </row>
    <row r="13" spans="1:13" x14ac:dyDescent="0.25">
      <c r="A13" s="152" t="s">
        <v>519</v>
      </c>
      <c r="B13" s="152">
        <v>10</v>
      </c>
      <c r="C13" s="152"/>
      <c r="D13" s="152"/>
      <c r="E13" s="290">
        <f>'NOVEMBER 19'!J13:J45</f>
        <v>2700</v>
      </c>
      <c r="F13" s="152"/>
      <c r="G13" s="290">
        <v>2700</v>
      </c>
      <c r="H13" s="290">
        <f t="shared" si="1"/>
        <v>5400</v>
      </c>
      <c r="I13" s="152">
        <v>5400</v>
      </c>
      <c r="J13" s="152">
        <f t="shared" si="0"/>
        <v>0</v>
      </c>
      <c r="K13" s="129"/>
      <c r="L13" s="129"/>
      <c r="M13" s="129"/>
    </row>
    <row r="14" spans="1:13" x14ac:dyDescent="0.25">
      <c r="A14" s="152" t="s">
        <v>589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'NOVEMBER 19'!J15:J47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'NOVEMBER 19'!J16:J48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'NOVEMBER 19'!J17:J49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'NOVEMBER 19'!J18:J50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  <c r="L18" s="129"/>
      <c r="M18" s="129"/>
    </row>
    <row r="19" spans="1:13" x14ac:dyDescent="0.25">
      <c r="A19" s="289" t="s">
        <v>520</v>
      </c>
      <c r="B19" s="208">
        <v>16</v>
      </c>
      <c r="C19" s="289"/>
      <c r="D19" s="289"/>
      <c r="E19" s="290">
        <f>'NOVEMBER 19'!J19:J51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'NOVEMBER 19'!J20:J52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'NOVEMBER 19'!J21:J53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  <c r="L21" s="129"/>
      <c r="M21" s="129"/>
    </row>
    <row r="22" spans="1:13" x14ac:dyDescent="0.25">
      <c r="A22" s="311" t="s">
        <v>590</v>
      </c>
      <c r="B22" s="312">
        <v>19</v>
      </c>
      <c r="C22" s="311"/>
      <c r="D22" s="311"/>
      <c r="E22" s="290">
        <f>'NOVEMBER 19'!J22:J54</f>
        <v>0</v>
      </c>
      <c r="F22" s="313">
        <v>100</v>
      </c>
      <c r="G22" s="313">
        <v>2700</v>
      </c>
      <c r="H22" s="290">
        <f t="shared" si="1"/>
        <v>2800</v>
      </c>
      <c r="I22" s="295">
        <f>800+2000</f>
        <v>2800</v>
      </c>
      <c r="J22" s="152">
        <f t="shared" si="0"/>
        <v>0</v>
      </c>
      <c r="K22" s="129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289"/>
      <c r="E23" s="290">
        <f>'NOVEMBER 19'!J23:J55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  <c r="M23" s="129"/>
    </row>
    <row r="24" spans="1:13" x14ac:dyDescent="0.25">
      <c r="A24" s="334" t="s">
        <v>37</v>
      </c>
      <c r="B24" s="208">
        <v>21</v>
      </c>
      <c r="C24" s="289"/>
      <c r="D24" s="289"/>
      <c r="E24" s="290">
        <f>'NOVEMBER 19'!J24:J56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289"/>
      <c r="E25" s="290">
        <f>'NOVEMBER 19'!J25:J57</f>
        <v>0</v>
      </c>
      <c r="F25" s="290">
        <v>100</v>
      </c>
      <c r="G25" s="290">
        <v>3500</v>
      </c>
      <c r="H25" s="290">
        <f t="shared" si="1"/>
        <v>3600</v>
      </c>
      <c r="I25" s="152"/>
      <c r="J25" s="152">
        <f t="shared" si="0"/>
        <v>3600</v>
      </c>
      <c r="K25" s="129"/>
      <c r="L25" s="129"/>
      <c r="M25" s="129"/>
    </row>
    <row r="26" spans="1:13" x14ac:dyDescent="0.25">
      <c r="A26" s="289" t="s">
        <v>347</v>
      </c>
      <c r="B26" s="208">
        <v>23</v>
      </c>
      <c r="C26" s="289"/>
      <c r="D26" s="289"/>
      <c r="E26" s="290">
        <f>'NOVEMBER 19'!J26:J58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'NOVEMBER 19'!J27:J59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'NOVEMBER 19'!J28:J60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  <c r="M28" s="129"/>
    </row>
    <row r="29" spans="1:13" x14ac:dyDescent="0.25">
      <c r="A29" s="334" t="s">
        <v>446</v>
      </c>
      <c r="B29" s="208">
        <v>26</v>
      </c>
      <c r="C29" s="289"/>
      <c r="D29" s="289"/>
      <c r="E29" s="290">
        <f>'NOVEMBER 19'!J29:J61</f>
        <v>0</v>
      </c>
      <c r="F29" s="290"/>
      <c r="G29" s="290"/>
      <c r="H29" s="290">
        <f t="shared" si="1"/>
        <v>0</v>
      </c>
      <c r="I29" s="152"/>
      <c r="J29" s="152">
        <f t="shared" si="0"/>
        <v>0</v>
      </c>
      <c r="K29" s="129"/>
      <c r="L29" s="129"/>
      <c r="M29" s="129"/>
    </row>
    <row r="30" spans="1:13" x14ac:dyDescent="0.25">
      <c r="A30" s="289" t="s">
        <v>572</v>
      </c>
      <c r="B30" s="208">
        <v>27</v>
      </c>
      <c r="C30" s="289"/>
      <c r="D30" s="289"/>
      <c r="E30" s="290">
        <f>'NOVEMBER 19'!J30:J62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  <c r="M30" s="129"/>
    </row>
    <row r="31" spans="1:13" x14ac:dyDescent="0.25">
      <c r="A31" s="334" t="s">
        <v>592</v>
      </c>
      <c r="B31" s="208">
        <v>28</v>
      </c>
      <c r="C31" s="289"/>
      <c r="D31" s="289">
        <v>3400</v>
      </c>
      <c r="E31" s="290">
        <f>'NOVEMBER 19'!J31:J63</f>
        <v>0</v>
      </c>
      <c r="F31" s="290">
        <v>100</v>
      </c>
      <c r="G31" s="293">
        <v>3300</v>
      </c>
      <c r="H31" s="290">
        <f t="shared" si="1"/>
        <v>6800</v>
      </c>
      <c r="I31" s="152">
        <v>6800</v>
      </c>
      <c r="J31" s="152">
        <f t="shared" si="0"/>
        <v>0</v>
      </c>
      <c r="K31" s="129"/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/>
      <c r="E32" s="290">
        <f>'NOVEMBER 19'!J32:J64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  <c r="M32" s="129"/>
    </row>
    <row r="33" spans="1:14" x14ac:dyDescent="0.25">
      <c r="A33" s="289" t="s">
        <v>474</v>
      </c>
      <c r="B33" s="208">
        <v>30</v>
      </c>
      <c r="C33" s="289"/>
      <c r="D33" s="289"/>
      <c r="E33" s="290">
        <f>'NOVEMBER 19'!J33:J65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  <c r="L33" s="129"/>
      <c r="M33" s="129"/>
    </row>
    <row r="34" spans="1:14" x14ac:dyDescent="0.25">
      <c r="A34" s="289" t="s">
        <v>459</v>
      </c>
      <c r="B34" s="208">
        <v>31</v>
      </c>
      <c r="C34" s="289"/>
      <c r="D34" s="289"/>
      <c r="E34" s="290">
        <f>'NOVEMBER 19'!J34:J66</f>
        <v>0</v>
      </c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9"/>
      <c r="L34" s="129"/>
      <c r="M34" s="129"/>
    </row>
    <row r="35" spans="1:14" x14ac:dyDescent="0.25">
      <c r="A35" s="289" t="s">
        <v>534</v>
      </c>
      <c r="B35" s="208">
        <v>32</v>
      </c>
      <c r="C35" s="289"/>
      <c r="D35" s="289"/>
      <c r="E35" s="290">
        <f>'NOVEMBER 19'!J35:J67</f>
        <v>0</v>
      </c>
      <c r="F35" s="290"/>
      <c r="G35" s="290">
        <v>2700</v>
      </c>
      <c r="H35" s="290">
        <f t="shared" si="1"/>
        <v>2700</v>
      </c>
      <c r="I35" s="152"/>
      <c r="J35" s="152">
        <f t="shared" si="0"/>
        <v>2700</v>
      </c>
      <c r="K35" s="129"/>
      <c r="L35" s="332"/>
      <c r="M35" s="129"/>
    </row>
    <row r="36" spans="1:14" x14ac:dyDescent="0.25">
      <c r="A36" s="334" t="s">
        <v>446</v>
      </c>
      <c r="B36" s="208">
        <v>33</v>
      </c>
      <c r="C36" s="152"/>
      <c r="D36" s="152"/>
      <c r="E36" s="290">
        <f>'NOVEMBER 19'!J36:J68</f>
        <v>0</v>
      </c>
      <c r="F36" s="152"/>
      <c r="G36" s="152"/>
      <c r="H36" s="290">
        <f>D36+E36+F36+G36</f>
        <v>0</v>
      </c>
      <c r="I36" s="152"/>
      <c r="J36" s="152">
        <f t="shared" si="0"/>
        <v>0</v>
      </c>
      <c r="K36" s="129"/>
      <c r="L36" s="129"/>
      <c r="M36" s="129"/>
    </row>
    <row r="37" spans="1:14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6100</v>
      </c>
      <c r="E37" s="290">
        <f>SUM(E4:E36)</f>
        <v>2700</v>
      </c>
      <c r="F37" s="327">
        <f t="shared" si="2"/>
        <v>2800</v>
      </c>
      <c r="G37" s="327">
        <f t="shared" si="2"/>
        <v>96700</v>
      </c>
      <c r="H37" s="327">
        <f>SUM(H4:H36)</f>
        <v>108300</v>
      </c>
      <c r="I37" s="327">
        <f t="shared" si="2"/>
        <v>97800</v>
      </c>
      <c r="J37" s="152">
        <f t="shared" si="0"/>
        <v>10500</v>
      </c>
      <c r="K37" s="129"/>
      <c r="L37" s="129"/>
      <c r="M37" s="129"/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95000</v>
      </c>
      <c r="J38" s="295"/>
      <c r="K38" s="129"/>
      <c r="L38" s="129"/>
      <c r="M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</row>
    <row r="40" spans="1:14" x14ac:dyDescent="0.25">
      <c r="A40" s="152" t="s">
        <v>169</v>
      </c>
      <c r="B40" s="300">
        <f>G37</f>
        <v>96700</v>
      </c>
      <c r="C40" s="152"/>
      <c r="D40" s="152"/>
      <c r="E40" s="152"/>
      <c r="F40" s="152" t="s">
        <v>169</v>
      </c>
      <c r="G40" s="300">
        <f>I38</f>
        <v>95000</v>
      </c>
      <c r="H40" s="152"/>
      <c r="I40" s="152"/>
      <c r="J40" s="8"/>
      <c r="K40" s="129"/>
      <c r="L40" s="129"/>
      <c r="M40" s="129"/>
    </row>
    <row r="41" spans="1:14" x14ac:dyDescent="0.25">
      <c r="A41" s="152" t="s">
        <v>556</v>
      </c>
      <c r="B41" s="300">
        <f>3300</f>
        <v>3300</v>
      </c>
      <c r="C41" s="152"/>
      <c r="D41" s="152"/>
      <c r="E41" s="152"/>
      <c r="F41" s="152" t="s">
        <v>556</v>
      </c>
      <c r="G41" s="300"/>
      <c r="H41" s="152"/>
      <c r="I41" s="152"/>
      <c r="J41" s="8"/>
      <c r="K41" s="129"/>
      <c r="L41" s="129"/>
      <c r="M41" s="129"/>
    </row>
    <row r="42" spans="1:14" x14ac:dyDescent="0.25">
      <c r="A42" s="152" t="s">
        <v>368</v>
      </c>
      <c r="B42" s="300">
        <f>'NOVEMBER 19'!D54</f>
        <v>-12670</v>
      </c>
      <c r="C42" s="152"/>
      <c r="D42" s="152"/>
      <c r="E42" s="152"/>
      <c r="F42" s="152" t="s">
        <v>368</v>
      </c>
      <c r="G42" s="300">
        <f>'NOVEMBER 19'!I54</f>
        <v>-15900</v>
      </c>
      <c r="H42" s="152"/>
      <c r="I42" s="152"/>
      <c r="J42" s="8"/>
      <c r="K42" s="129"/>
      <c r="L42" s="129"/>
      <c r="M42" s="129"/>
    </row>
    <row r="43" spans="1:14" x14ac:dyDescent="0.25">
      <c r="A43" s="152" t="s">
        <v>410</v>
      </c>
      <c r="B43" s="301">
        <v>0.1</v>
      </c>
      <c r="C43" s="300">
        <f>B43*B40</f>
        <v>9670</v>
      </c>
      <c r="D43" s="152"/>
      <c r="E43" s="152"/>
      <c r="F43" s="152" t="s">
        <v>410</v>
      </c>
      <c r="G43" s="301">
        <v>0.1</v>
      </c>
      <c r="H43" s="300">
        <f>C43</f>
        <v>9670</v>
      </c>
      <c r="I43" s="152"/>
      <c r="J43" s="8"/>
      <c r="K43" s="129"/>
      <c r="L43" s="129"/>
      <c r="M43" s="332"/>
    </row>
    <row r="44" spans="1:14" x14ac:dyDescent="0.25">
      <c r="A44" s="305" t="s">
        <v>470</v>
      </c>
      <c r="B44" s="301">
        <v>0.3</v>
      </c>
      <c r="C44" s="300">
        <f>B44*G12</f>
        <v>810</v>
      </c>
      <c r="D44" s="152"/>
      <c r="E44" s="152"/>
      <c r="F44" s="305" t="s">
        <v>470</v>
      </c>
      <c r="G44" s="301">
        <v>0.3</v>
      </c>
      <c r="H44" s="300">
        <f>C44</f>
        <v>810</v>
      </c>
      <c r="I44" s="152"/>
      <c r="J44" s="8"/>
      <c r="K44" s="129"/>
      <c r="L44" s="129"/>
      <c r="M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</row>
    <row r="46" spans="1:14" x14ac:dyDescent="0.25">
      <c r="A46" s="303" t="s">
        <v>222</v>
      </c>
      <c r="B46" s="152"/>
      <c r="C46" s="152">
        <v>10000</v>
      </c>
      <c r="D46" s="152"/>
      <c r="E46" s="152"/>
      <c r="F46" s="303" t="s">
        <v>222</v>
      </c>
      <c r="G46" s="152"/>
      <c r="H46" s="152">
        <v>10000</v>
      </c>
      <c r="I46" s="152"/>
      <c r="J46" s="8"/>
      <c r="K46" s="129"/>
      <c r="L46" s="129"/>
      <c r="M46" s="332"/>
    </row>
    <row r="47" spans="1:14" x14ac:dyDescent="0.25">
      <c r="A47" s="303" t="s">
        <v>591</v>
      </c>
      <c r="B47" s="301"/>
      <c r="C47" s="152">
        <v>200</v>
      </c>
      <c r="D47" s="152"/>
      <c r="E47" s="152"/>
      <c r="F47" s="303" t="s">
        <v>591</v>
      </c>
      <c r="G47" s="301"/>
      <c r="H47" s="152">
        <v>200</v>
      </c>
      <c r="I47" s="152"/>
      <c r="J47" s="8"/>
      <c r="K47" s="129"/>
      <c r="L47" s="129"/>
      <c r="M47" s="332"/>
      <c r="N47">
        <f>5400+11170+810</f>
        <v>17380</v>
      </c>
    </row>
    <row r="48" spans="1:14" x14ac:dyDescent="0.25">
      <c r="A48" s="303" t="s">
        <v>133</v>
      </c>
      <c r="B48" s="152"/>
      <c r="C48" s="152">
        <v>2700</v>
      </c>
      <c r="D48" s="152"/>
      <c r="E48" s="152"/>
      <c r="F48" s="303" t="s">
        <v>133</v>
      </c>
      <c r="G48" s="152"/>
      <c r="H48" s="152">
        <v>2700</v>
      </c>
      <c r="I48" s="152"/>
      <c r="J48" s="8"/>
      <c r="K48" s="129"/>
      <c r="L48" s="129"/>
      <c r="M48" s="332"/>
    </row>
    <row r="49" spans="1:13" x14ac:dyDescent="0.25">
      <c r="A49" s="303" t="s">
        <v>593</v>
      </c>
      <c r="B49" s="301"/>
      <c r="C49" s="152">
        <v>73500</v>
      </c>
      <c r="D49" s="152"/>
      <c r="E49" s="152"/>
      <c r="F49" s="303" t="s">
        <v>593</v>
      </c>
      <c r="G49" s="301"/>
      <c r="H49" s="152">
        <v>73500</v>
      </c>
      <c r="I49" s="152"/>
      <c r="J49" s="8"/>
      <c r="K49" s="129"/>
      <c r="L49" s="129"/>
      <c r="M49" s="332"/>
    </row>
    <row r="50" spans="1:13" s="129" customFormat="1" x14ac:dyDescent="0.25">
      <c r="A50" s="303" t="s">
        <v>519</v>
      </c>
      <c r="B50" s="301"/>
      <c r="C50" s="152">
        <v>5400</v>
      </c>
      <c r="D50" s="152"/>
      <c r="E50" s="152"/>
      <c r="F50" s="303" t="s">
        <v>519</v>
      </c>
      <c r="G50" s="301"/>
      <c r="H50" s="152">
        <v>5400</v>
      </c>
      <c r="I50" s="152"/>
      <c r="J50" s="8"/>
      <c r="M50" s="332"/>
    </row>
    <row r="51" spans="1:13" x14ac:dyDescent="0.25">
      <c r="A51" s="303" t="s">
        <v>595</v>
      </c>
      <c r="B51" s="301"/>
      <c r="C51" s="152">
        <v>2430</v>
      </c>
      <c r="D51" s="152"/>
      <c r="E51" s="152"/>
      <c r="F51" s="303" t="s">
        <v>595</v>
      </c>
      <c r="G51" s="301"/>
      <c r="H51" s="152">
        <v>2430</v>
      </c>
      <c r="I51" s="152"/>
      <c r="J51" s="8"/>
      <c r="K51" s="129"/>
      <c r="L51" s="129"/>
      <c r="M51" s="129"/>
    </row>
    <row r="52" spans="1:13" x14ac:dyDescent="0.25">
      <c r="A52" s="296" t="s">
        <v>4</v>
      </c>
      <c r="B52" s="309">
        <f>B40+B41+B42-C43-C44</f>
        <v>76850</v>
      </c>
      <c r="C52" s="309">
        <f>SUM(C46:C51)</f>
        <v>94230</v>
      </c>
      <c r="D52" s="309">
        <f>B52-C52</f>
        <v>-17380</v>
      </c>
      <c r="E52" s="297"/>
      <c r="F52" s="296" t="s">
        <v>4</v>
      </c>
      <c r="G52" s="300">
        <f>G40+G41+G42-H43-H44</f>
        <v>68620</v>
      </c>
      <c r="H52" s="152">
        <f>SUM(H46:H51 )</f>
        <v>94230</v>
      </c>
      <c r="I52" s="300">
        <f>G52-H52</f>
        <v>-25610</v>
      </c>
      <c r="J52" s="152"/>
      <c r="K52" s="129"/>
      <c r="L52" s="129"/>
      <c r="M52" s="129"/>
    </row>
    <row r="53" spans="1:13" x14ac:dyDescent="0.25">
      <c r="A53" s="92" t="s">
        <v>112</v>
      </c>
      <c r="B53" s="92"/>
      <c r="C53" s="12"/>
      <c r="D53" s="12" t="s">
        <v>113</v>
      </c>
      <c r="E53" s="12"/>
      <c r="F53" s="12"/>
      <c r="G53" s="303" t="s">
        <v>571</v>
      </c>
      <c r="H53" s="152"/>
      <c r="I53" s="152"/>
      <c r="J53" s="152"/>
      <c r="K53" s="332"/>
      <c r="L53" s="129"/>
      <c r="M53" s="129"/>
    </row>
    <row r="54" spans="1:13" x14ac:dyDescent="0.25">
      <c r="A54" s="12" t="s">
        <v>570</v>
      </c>
      <c r="B54" s="12"/>
      <c r="C54" s="12"/>
      <c r="D54" s="12" t="s">
        <v>441</v>
      </c>
      <c r="E54" s="12"/>
      <c r="F54" s="12"/>
      <c r="G54" s="303" t="s">
        <v>523</v>
      </c>
      <c r="H54" s="301"/>
      <c r="I54" s="152"/>
      <c r="J54" s="152"/>
      <c r="K54" s="332"/>
      <c r="L54" s="129"/>
      <c r="M54" s="129"/>
    </row>
    <row r="55" spans="1:13" x14ac:dyDescent="0.25">
      <c r="A55" s="12"/>
      <c r="B55" s="12"/>
      <c r="C55" s="12"/>
      <c r="D55" s="12"/>
      <c r="E55" s="12"/>
      <c r="F55" s="12"/>
      <c r="G55" s="303"/>
      <c r="H55" s="152"/>
      <c r="I55" s="152"/>
      <c r="J55" s="152"/>
      <c r="K55" s="129"/>
      <c r="L55" s="129"/>
      <c r="M55" s="129"/>
    </row>
    <row r="56" spans="1:13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9" spans="1:13" x14ac:dyDescent="0.25">
      <c r="K59" s="332">
        <f>I52+J37</f>
        <v>-15110</v>
      </c>
    </row>
    <row r="60" spans="1:13" x14ac:dyDescent="0.25">
      <c r="K60" s="332">
        <f>K59-D52</f>
        <v>2270</v>
      </c>
    </row>
  </sheetData>
  <pageMargins left="0.1" right="0.1" top="0.1" bottom="0.1" header="0.3" footer="0.3"/>
  <pageSetup orientation="portrait" horizontalDpi="0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22" workbookViewId="0">
      <selection activeCell="B62" sqref="B62"/>
    </sheetView>
  </sheetViews>
  <sheetFormatPr defaultRowHeight="15" x14ac:dyDescent="0.25"/>
  <cols>
    <col min="1" max="1" width="18.85546875" customWidth="1"/>
  </cols>
  <sheetData>
    <row r="1" spans="1:14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  <c r="N1" s="129"/>
    </row>
    <row r="2" spans="1:14" x14ac:dyDescent="0.25">
      <c r="A2" s="129"/>
      <c r="B2" s="129"/>
      <c r="C2" s="286" t="s">
        <v>501</v>
      </c>
      <c r="D2" s="286"/>
      <c r="E2" s="286" t="s">
        <v>596</v>
      </c>
      <c r="F2" s="129"/>
      <c r="G2" s="23"/>
      <c r="H2" s="23"/>
      <c r="I2" s="31"/>
      <c r="J2" s="31"/>
      <c r="K2" s="129"/>
      <c r="L2" s="129"/>
      <c r="M2" s="129"/>
      <c r="N2" s="129"/>
    </row>
    <row r="3" spans="1:14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  <c r="N3" s="129"/>
    </row>
    <row r="4" spans="1:14" x14ac:dyDescent="0.25">
      <c r="A4" s="289" t="s">
        <v>275</v>
      </c>
      <c r="B4" s="208">
        <v>1</v>
      </c>
      <c r="C4" s="289"/>
      <c r="D4" s="289"/>
      <c r="E4" s="290">
        <f>'DECEMBER 19'!J4:J36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  <c r="N4" s="129"/>
    </row>
    <row r="5" spans="1:14" x14ac:dyDescent="0.25">
      <c r="A5" s="291" t="s">
        <v>505</v>
      </c>
      <c r="B5" s="208">
        <v>2</v>
      </c>
      <c r="C5" s="289"/>
      <c r="D5" s="289"/>
      <c r="E5" s="290">
        <f>'DECEMBER 19'!J5:J37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7" si="0">H5-I5</f>
        <v>0</v>
      </c>
      <c r="K5" s="129"/>
      <c r="L5" s="129"/>
      <c r="M5" s="129"/>
      <c r="N5" s="129"/>
    </row>
    <row r="6" spans="1:14" x14ac:dyDescent="0.25">
      <c r="A6" s="289" t="s">
        <v>560</v>
      </c>
      <c r="B6" s="208">
        <v>3</v>
      </c>
      <c r="C6" s="289"/>
      <c r="D6" s="289"/>
      <c r="E6" s="290">
        <f>'DECEMBER 19'!J6:J38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  <c r="M6" s="129"/>
      <c r="N6" s="129"/>
    </row>
    <row r="7" spans="1:14" x14ac:dyDescent="0.25">
      <c r="A7" s="289" t="s">
        <v>458</v>
      </c>
      <c r="B7" s="208">
        <v>4</v>
      </c>
      <c r="C7" s="289"/>
      <c r="D7" s="289"/>
      <c r="E7" s="290">
        <f>'DECEMBER 19'!J7:J39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  <c r="L7" s="129"/>
      <c r="M7" s="129"/>
      <c r="N7" s="129"/>
    </row>
    <row r="8" spans="1:14" x14ac:dyDescent="0.25">
      <c r="A8" s="289" t="s">
        <v>417</v>
      </c>
      <c r="B8" s="208">
        <v>5</v>
      </c>
      <c r="C8" s="289"/>
      <c r="D8" s="289"/>
      <c r="E8" s="290">
        <f>'DECEMBER 19'!J8:J40</f>
        <v>2100</v>
      </c>
      <c r="F8" s="290">
        <v>100</v>
      </c>
      <c r="G8" s="290">
        <v>4000</v>
      </c>
      <c r="H8" s="290">
        <f t="shared" si="1"/>
        <v>6200</v>
      </c>
      <c r="I8" s="152">
        <v>6200</v>
      </c>
      <c r="J8" s="152">
        <f t="shared" si="0"/>
        <v>0</v>
      </c>
      <c r="K8" s="129"/>
      <c r="L8" s="129"/>
      <c r="M8" s="129"/>
      <c r="N8" s="129"/>
    </row>
    <row r="9" spans="1:14" x14ac:dyDescent="0.25">
      <c r="A9" s="142" t="s">
        <v>446</v>
      </c>
      <c r="B9" s="208">
        <v>6</v>
      </c>
      <c r="C9" s="152"/>
      <c r="D9" s="152"/>
      <c r="E9" s="290">
        <f>'DECEMBER 19'!J9:J41</f>
        <v>0</v>
      </c>
      <c r="F9" s="152"/>
      <c r="G9" s="152"/>
      <c r="H9" s="290">
        <f t="shared" si="1"/>
        <v>0</v>
      </c>
      <c r="I9" s="152"/>
      <c r="J9" s="152">
        <f t="shared" si="0"/>
        <v>0</v>
      </c>
      <c r="K9" s="129"/>
      <c r="L9" s="129"/>
      <c r="M9" s="129"/>
      <c r="N9" s="129"/>
    </row>
    <row r="10" spans="1:14" x14ac:dyDescent="0.25">
      <c r="A10" s="289" t="s">
        <v>522</v>
      </c>
      <c r="B10" s="292">
        <v>7</v>
      </c>
      <c r="C10" s="289"/>
      <c r="D10" s="289"/>
      <c r="E10" s="290">
        <f>'DECEMBER 19'!J10:J42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  <c r="M10" s="129"/>
      <c r="N10" s="129"/>
    </row>
    <row r="11" spans="1:14" x14ac:dyDescent="0.25">
      <c r="A11" s="289" t="s">
        <v>565</v>
      </c>
      <c r="B11" s="292">
        <v>8</v>
      </c>
      <c r="C11" s="289"/>
      <c r="D11" s="289"/>
      <c r="E11" s="290">
        <f>'DECEMBER 19'!J11:J43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  <c r="L11" s="129"/>
      <c r="M11" s="129"/>
      <c r="N11" s="129"/>
    </row>
    <row r="12" spans="1:14" x14ac:dyDescent="0.25">
      <c r="A12" s="289" t="s">
        <v>594</v>
      </c>
      <c r="B12" s="208">
        <v>9</v>
      </c>
      <c r="C12" s="289"/>
      <c r="D12" s="289">
        <v>2100</v>
      </c>
      <c r="E12" s="290"/>
      <c r="F12" s="290">
        <v>100</v>
      </c>
      <c r="G12" s="290">
        <v>2700</v>
      </c>
      <c r="H12" s="290">
        <f t="shared" si="1"/>
        <v>4900</v>
      </c>
      <c r="I12" s="152">
        <v>4900</v>
      </c>
      <c r="J12" s="152">
        <f t="shared" si="0"/>
        <v>0</v>
      </c>
      <c r="K12" s="129"/>
      <c r="L12" s="129"/>
      <c r="M12" s="129"/>
      <c r="N12" s="129"/>
    </row>
    <row r="13" spans="1:14" x14ac:dyDescent="0.25">
      <c r="A13" s="152" t="s">
        <v>503</v>
      </c>
      <c r="B13" s="152">
        <v>10</v>
      </c>
      <c r="C13" s="152"/>
      <c r="D13" s="152"/>
      <c r="E13" s="290">
        <f>'DECEMBER 19'!J13:J45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  <c r="M13" s="129"/>
      <c r="N13" s="129"/>
    </row>
    <row r="14" spans="1:14" x14ac:dyDescent="0.25">
      <c r="A14" s="152" t="s">
        <v>589</v>
      </c>
      <c r="B14" s="208">
        <v>11</v>
      </c>
      <c r="C14" s="289"/>
      <c r="D14" s="289"/>
      <c r="E14" s="290">
        <f>'DECEMBER 19'!J14:J46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  <c r="M14" s="129"/>
      <c r="N14" s="129"/>
    </row>
    <row r="15" spans="1:14" x14ac:dyDescent="0.25">
      <c r="A15" s="289" t="s">
        <v>460</v>
      </c>
      <c r="B15" s="208">
        <v>12</v>
      </c>
      <c r="C15" s="289"/>
      <c r="D15" s="289"/>
      <c r="E15" s="290">
        <f>'DECEMBER 19'!J15:J47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  <c r="M15" s="129"/>
      <c r="N15" s="129"/>
    </row>
    <row r="16" spans="1:14" x14ac:dyDescent="0.25">
      <c r="A16" s="291" t="s">
        <v>444</v>
      </c>
      <c r="B16" s="208">
        <v>13</v>
      </c>
      <c r="C16" s="289"/>
      <c r="D16" s="289"/>
      <c r="E16" s="290">
        <f>'DECEMBER 19'!J16:J48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  <c r="M16" s="129"/>
      <c r="N16" s="129"/>
    </row>
    <row r="17" spans="1:14" x14ac:dyDescent="0.25">
      <c r="A17" s="289" t="s">
        <v>473</v>
      </c>
      <c r="B17" s="208">
        <v>14</v>
      </c>
      <c r="C17" s="289"/>
      <c r="D17" s="289"/>
      <c r="E17" s="290">
        <f>'DECEMBER 19'!J17:J49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  <c r="M17" s="129"/>
      <c r="N17" s="129"/>
    </row>
    <row r="18" spans="1:14" x14ac:dyDescent="0.25">
      <c r="A18" s="289" t="s">
        <v>521</v>
      </c>
      <c r="B18" s="208">
        <v>15</v>
      </c>
      <c r="C18" s="289"/>
      <c r="D18" s="289"/>
      <c r="E18" s="290">
        <f>'DECEMBER 19'!J18:J50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  <c r="L18" s="129"/>
      <c r="M18" s="129"/>
      <c r="N18" s="129"/>
    </row>
    <row r="19" spans="1:14" x14ac:dyDescent="0.25">
      <c r="A19" s="289" t="s">
        <v>520</v>
      </c>
      <c r="B19" s="208">
        <v>16</v>
      </c>
      <c r="C19" s="289"/>
      <c r="D19" s="289"/>
      <c r="E19" s="290">
        <f>'DECEMBER 19'!J19:J51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  <c r="M19" s="129"/>
      <c r="N19" s="129"/>
    </row>
    <row r="20" spans="1:14" x14ac:dyDescent="0.25">
      <c r="A20" s="291" t="s">
        <v>492</v>
      </c>
      <c r="B20" s="208">
        <v>17</v>
      </c>
      <c r="C20" s="289"/>
      <c r="D20" s="289"/>
      <c r="E20" s="290">
        <f>'DECEMBER 19'!J20:J52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  <c r="M20" s="129"/>
      <c r="N20" s="129"/>
    </row>
    <row r="21" spans="1:14" x14ac:dyDescent="0.25">
      <c r="A21" s="289" t="s">
        <v>346</v>
      </c>
      <c r="B21" s="208">
        <v>18</v>
      </c>
      <c r="C21" s="289"/>
      <c r="D21" s="289"/>
      <c r="E21" s="290">
        <f>'DECEMBER 19'!J21:J53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  <c r="L21" s="129"/>
      <c r="M21" s="129"/>
      <c r="N21" s="129"/>
    </row>
    <row r="22" spans="1:14" x14ac:dyDescent="0.25">
      <c r="A22" s="311" t="s">
        <v>590</v>
      </c>
      <c r="B22" s="312">
        <v>19</v>
      </c>
      <c r="C22" s="311"/>
      <c r="D22" s="311"/>
      <c r="E22" s="290">
        <f>'DECEMBER 19'!J22:J54</f>
        <v>0</v>
      </c>
      <c r="F22" s="313">
        <v>100</v>
      </c>
      <c r="G22" s="313">
        <v>2700</v>
      </c>
      <c r="H22" s="290">
        <f t="shared" si="1"/>
        <v>2800</v>
      </c>
      <c r="I22" s="295">
        <v>2800</v>
      </c>
      <c r="J22" s="152">
        <f t="shared" si="0"/>
        <v>0</v>
      </c>
      <c r="K22" s="129"/>
      <c r="L22" s="129"/>
      <c r="M22" s="129"/>
      <c r="N22" s="129"/>
    </row>
    <row r="23" spans="1:14" x14ac:dyDescent="0.25">
      <c r="A23" s="289" t="s">
        <v>461</v>
      </c>
      <c r="B23" s="208">
        <v>20</v>
      </c>
      <c r="C23" s="289"/>
      <c r="D23" s="289"/>
      <c r="E23" s="290">
        <f>'DECEMBER 19'!J23:J55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  <c r="M23" s="129"/>
      <c r="N23" s="129"/>
    </row>
    <row r="24" spans="1:14" x14ac:dyDescent="0.25">
      <c r="A24" s="334" t="s">
        <v>37</v>
      </c>
      <c r="B24" s="208">
        <v>21</v>
      </c>
      <c r="C24" s="289"/>
      <c r="D24" s="289"/>
      <c r="E24" s="290">
        <f>'DECEMBER 19'!J24:J56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  <c r="M24" s="129"/>
      <c r="N24" s="129"/>
    </row>
    <row r="25" spans="1:14" x14ac:dyDescent="0.25">
      <c r="A25" s="289" t="s">
        <v>435</v>
      </c>
      <c r="B25" s="208">
        <v>22</v>
      </c>
      <c r="C25" s="289"/>
      <c r="D25" s="289"/>
      <c r="E25" s="290">
        <f>'DECEMBER 19'!J25:J57</f>
        <v>3600</v>
      </c>
      <c r="F25" s="290">
        <v>100</v>
      </c>
      <c r="G25" s="290">
        <v>3500</v>
      </c>
      <c r="H25" s="290">
        <f t="shared" si="1"/>
        <v>7200</v>
      </c>
      <c r="I25" s="152">
        <f>5000</f>
        <v>5000</v>
      </c>
      <c r="J25" s="152">
        <f t="shared" si="0"/>
        <v>2200</v>
      </c>
      <c r="K25" s="129"/>
      <c r="L25" s="129"/>
      <c r="M25" s="129"/>
      <c r="N25" s="129"/>
    </row>
    <row r="26" spans="1:14" x14ac:dyDescent="0.25">
      <c r="A26" s="289" t="s">
        <v>347</v>
      </c>
      <c r="B26" s="208">
        <v>23</v>
      </c>
      <c r="C26" s="289"/>
      <c r="D26" s="289"/>
      <c r="E26" s="290">
        <f>'DECEMBER 19'!J26:J58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  <c r="M26" s="129"/>
      <c r="N26" s="129"/>
    </row>
    <row r="27" spans="1:14" x14ac:dyDescent="0.25">
      <c r="A27" s="289" t="s">
        <v>488</v>
      </c>
      <c r="B27" s="208">
        <v>24</v>
      </c>
      <c r="C27" s="289"/>
      <c r="D27" s="289"/>
      <c r="E27" s="290">
        <f>'DECEMBER 19'!J27:J59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  <c r="M27" s="129"/>
      <c r="N27" s="129"/>
    </row>
    <row r="28" spans="1:14" x14ac:dyDescent="0.25">
      <c r="A28" s="289" t="s">
        <v>462</v>
      </c>
      <c r="B28" s="208">
        <v>25</v>
      </c>
      <c r="C28" s="289"/>
      <c r="D28" s="289"/>
      <c r="E28" s="290">
        <f>'DECEMBER 19'!J28:J60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  <c r="M28" s="129"/>
      <c r="N28" s="129"/>
    </row>
    <row r="29" spans="1:14" x14ac:dyDescent="0.25">
      <c r="A29" s="334" t="s">
        <v>599</v>
      </c>
      <c r="B29" s="208">
        <v>26</v>
      </c>
      <c r="C29" s="289"/>
      <c r="D29" s="289">
        <v>3500</v>
      </c>
      <c r="E29" s="290">
        <f>'DECEMBER 19'!J29:J61</f>
        <v>0</v>
      </c>
      <c r="F29" s="290">
        <v>100</v>
      </c>
      <c r="G29" s="290">
        <v>3500</v>
      </c>
      <c r="H29" s="290">
        <f t="shared" si="1"/>
        <v>7100</v>
      </c>
      <c r="I29" s="152">
        <v>7100</v>
      </c>
      <c r="J29" s="152">
        <f>H29-I29</f>
        <v>0</v>
      </c>
      <c r="K29" s="129"/>
      <c r="L29" s="129"/>
      <c r="M29" s="129"/>
      <c r="N29" s="129"/>
    </row>
    <row r="30" spans="1:14" x14ac:dyDescent="0.25">
      <c r="A30" s="289" t="s">
        <v>572</v>
      </c>
      <c r="B30" s="208">
        <v>27</v>
      </c>
      <c r="C30" s="289"/>
      <c r="D30" s="289"/>
      <c r="E30" s="290">
        <f>'DECEMBER 19'!J30:J62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  <c r="M30" s="129"/>
      <c r="N30" s="129"/>
    </row>
    <row r="31" spans="1:14" x14ac:dyDescent="0.25">
      <c r="A31" s="289" t="s">
        <v>592</v>
      </c>
      <c r="B31" s="208">
        <v>28</v>
      </c>
      <c r="C31" s="289"/>
      <c r="D31" s="289"/>
      <c r="E31" s="290">
        <f>'DECEMBER 19'!J31:J63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/>
      <c r="L31" s="129"/>
      <c r="M31" s="129"/>
      <c r="N31" s="129"/>
    </row>
    <row r="32" spans="1:14" x14ac:dyDescent="0.25">
      <c r="A32" s="289" t="s">
        <v>559</v>
      </c>
      <c r="B32" s="208">
        <v>29</v>
      </c>
      <c r="C32" s="289"/>
      <c r="D32" s="289"/>
      <c r="E32" s="290">
        <f>'DECEMBER 19'!J32:J64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  <c r="M32" s="129"/>
      <c r="N32" s="129"/>
    </row>
    <row r="33" spans="1:14" x14ac:dyDescent="0.25">
      <c r="A33" s="289" t="s">
        <v>474</v>
      </c>
      <c r="B33" s="208">
        <v>30</v>
      </c>
      <c r="C33" s="289"/>
      <c r="D33" s="289"/>
      <c r="E33" s="290">
        <f>'DECEMBER 19'!J33:J65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  <c r="L33" s="129"/>
      <c r="M33" s="129"/>
      <c r="N33" s="129"/>
    </row>
    <row r="34" spans="1:14" x14ac:dyDescent="0.25">
      <c r="A34" s="289" t="s">
        <v>459</v>
      </c>
      <c r="B34" s="208">
        <v>31</v>
      </c>
      <c r="C34" s="289"/>
      <c r="D34" s="289"/>
      <c r="E34" s="290">
        <f>'DECEMBER 19'!J34:J66</f>
        <v>0</v>
      </c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9"/>
      <c r="L34" s="129"/>
      <c r="M34" s="129"/>
      <c r="N34" s="129"/>
    </row>
    <row r="35" spans="1:14" x14ac:dyDescent="0.25">
      <c r="A35" s="289" t="s">
        <v>534</v>
      </c>
      <c r="B35" s="208">
        <v>32</v>
      </c>
      <c r="C35" s="289"/>
      <c r="D35" s="289"/>
      <c r="E35" s="290">
        <f>'DECEMBER 19'!J35:J67</f>
        <v>2700</v>
      </c>
      <c r="F35" s="290"/>
      <c r="G35" s="290">
        <v>2700</v>
      </c>
      <c r="H35" s="290">
        <f t="shared" si="1"/>
        <v>5400</v>
      </c>
      <c r="I35" s="152">
        <v>5400</v>
      </c>
      <c r="J35" s="152">
        <f t="shared" si="0"/>
        <v>0</v>
      </c>
      <c r="K35" s="129" t="s">
        <v>607</v>
      </c>
      <c r="L35" s="332"/>
      <c r="M35" s="129"/>
      <c r="N35" s="129"/>
    </row>
    <row r="36" spans="1:14" x14ac:dyDescent="0.25">
      <c r="A36" s="334" t="s">
        <v>600</v>
      </c>
      <c r="B36" s="208">
        <v>33</v>
      </c>
      <c r="C36" s="152"/>
      <c r="D36" s="152">
        <v>2700</v>
      </c>
      <c r="E36" s="290"/>
      <c r="F36" s="152">
        <v>100</v>
      </c>
      <c r="G36" s="152">
        <v>2700</v>
      </c>
      <c r="H36" s="290">
        <f>D36+E36+F36+G36</f>
        <v>5500</v>
      </c>
      <c r="I36" s="152">
        <v>5500</v>
      </c>
      <c r="J36" s="152">
        <f t="shared" si="0"/>
        <v>0</v>
      </c>
      <c r="K36" s="129"/>
      <c r="L36" s="129"/>
      <c r="M36" s="129"/>
      <c r="N36" s="129"/>
    </row>
    <row r="37" spans="1:14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8300</v>
      </c>
      <c r="E37" s="290">
        <f>'DECEMBER 19'!J37:J69</f>
        <v>10500</v>
      </c>
      <c r="F37" s="327">
        <f t="shared" si="2"/>
        <v>3000</v>
      </c>
      <c r="G37" s="327">
        <f t="shared" si="2"/>
        <v>100200</v>
      </c>
      <c r="H37" s="327">
        <f>SUM(H4:H36)</f>
        <v>119900</v>
      </c>
      <c r="I37" s="327">
        <f t="shared" si="2"/>
        <v>117700</v>
      </c>
      <c r="J37" s="152">
        <f t="shared" si="0"/>
        <v>2200</v>
      </c>
      <c r="K37" s="129"/>
      <c r="L37" s="129"/>
      <c r="M37" s="129"/>
      <c r="N37" s="129"/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114700</v>
      </c>
      <c r="J38" s="295"/>
      <c r="K38" s="129"/>
      <c r="L38" s="129"/>
      <c r="M38" s="129"/>
      <c r="N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  <c r="N39" s="129"/>
    </row>
    <row r="40" spans="1:14" x14ac:dyDescent="0.25">
      <c r="A40" s="152" t="s">
        <v>170</v>
      </c>
      <c r="B40" s="300">
        <f>G37</f>
        <v>100200</v>
      </c>
      <c r="C40" s="152"/>
      <c r="D40" s="152"/>
      <c r="E40" s="152"/>
      <c r="F40" s="152" t="s">
        <v>170</v>
      </c>
      <c r="G40" s="300">
        <f>I38</f>
        <v>114700</v>
      </c>
      <c r="H40" s="152"/>
      <c r="I40" s="152"/>
      <c r="J40" s="8"/>
      <c r="K40" s="129"/>
      <c r="L40" s="129"/>
      <c r="M40" s="129"/>
      <c r="N40" s="129"/>
    </row>
    <row r="41" spans="1:14" x14ac:dyDescent="0.25">
      <c r="A41" s="152" t="s">
        <v>556</v>
      </c>
      <c r="B41" s="300">
        <f>3500+2700+2700</f>
        <v>8900</v>
      </c>
      <c r="C41" s="152"/>
      <c r="D41" s="152"/>
      <c r="E41" s="152"/>
      <c r="F41" s="152"/>
      <c r="G41" s="300"/>
      <c r="H41" s="152"/>
      <c r="I41" s="152"/>
      <c r="J41" s="8"/>
      <c r="K41" s="129"/>
      <c r="L41" s="129"/>
      <c r="M41" s="129"/>
      <c r="N41" s="129"/>
    </row>
    <row r="42" spans="1:14" x14ac:dyDescent="0.25">
      <c r="A42" s="152" t="s">
        <v>368</v>
      </c>
      <c r="B42" s="300">
        <f>'DECEMBER 19'!D52</f>
        <v>-17380</v>
      </c>
      <c r="C42" s="152"/>
      <c r="D42" s="152"/>
      <c r="E42" s="152"/>
      <c r="F42" s="152" t="s">
        <v>368</v>
      </c>
      <c r="G42" s="300">
        <f>'DECEMBER 19'!I52</f>
        <v>-25610</v>
      </c>
      <c r="H42" s="152"/>
      <c r="I42" s="152"/>
      <c r="J42" s="8"/>
      <c r="K42" s="129"/>
      <c r="L42" s="129"/>
      <c r="M42" s="129"/>
      <c r="N42" s="129"/>
    </row>
    <row r="43" spans="1:14" x14ac:dyDescent="0.25">
      <c r="A43" s="152" t="s">
        <v>410</v>
      </c>
      <c r="B43" s="301">
        <v>0.1</v>
      </c>
      <c r="C43" s="300">
        <f>B43*B40</f>
        <v>10020</v>
      </c>
      <c r="D43" s="152"/>
      <c r="E43" s="152"/>
      <c r="F43" s="152" t="s">
        <v>410</v>
      </c>
      <c r="G43" s="301">
        <v>0.1</v>
      </c>
      <c r="H43" s="300">
        <f>C43</f>
        <v>10020</v>
      </c>
      <c r="I43" s="152"/>
      <c r="J43" s="8"/>
      <c r="K43" s="129"/>
      <c r="L43" s="129"/>
      <c r="M43" s="332"/>
      <c r="N43" s="129"/>
    </row>
    <row r="44" spans="1:14" x14ac:dyDescent="0.25">
      <c r="A44" s="305" t="s">
        <v>470</v>
      </c>
      <c r="B44" s="301">
        <v>0.3</v>
      </c>
      <c r="C44" s="300"/>
      <c r="D44" s="152"/>
      <c r="E44" s="152"/>
      <c r="F44" s="305" t="s">
        <v>470</v>
      </c>
      <c r="G44" s="301">
        <v>0.3</v>
      </c>
      <c r="H44" s="300">
        <f>C44</f>
        <v>0</v>
      </c>
      <c r="I44" s="152"/>
      <c r="J44" s="8"/>
      <c r="K44" s="129"/>
      <c r="L44" s="129"/>
      <c r="M44" s="332"/>
      <c r="N44" s="129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  <c r="N45" s="129"/>
    </row>
    <row r="46" spans="1:14" x14ac:dyDescent="0.25">
      <c r="A46" s="303" t="s">
        <v>222</v>
      </c>
      <c r="B46" s="152"/>
      <c r="C46" s="152">
        <v>5000</v>
      </c>
      <c r="D46" s="152"/>
      <c r="E46" s="152"/>
      <c r="F46" s="303" t="s">
        <v>222</v>
      </c>
      <c r="G46" s="152"/>
      <c r="H46" s="152">
        <v>5000</v>
      </c>
      <c r="I46" s="152"/>
      <c r="J46" s="8"/>
      <c r="K46" s="129"/>
      <c r="L46" s="129"/>
      <c r="M46" s="332"/>
      <c r="N46" s="129"/>
    </row>
    <row r="47" spans="1:14" x14ac:dyDescent="0.25">
      <c r="A47" s="303" t="s">
        <v>597</v>
      </c>
      <c r="B47" s="301"/>
      <c r="C47" s="152">
        <v>1015</v>
      </c>
      <c r="D47" s="152"/>
      <c r="E47" s="152"/>
      <c r="F47" s="303" t="s">
        <v>597</v>
      </c>
      <c r="G47" s="301"/>
      <c r="H47" s="152">
        <v>1015</v>
      </c>
      <c r="I47" s="152"/>
      <c r="J47" s="8"/>
      <c r="K47" s="129"/>
      <c r="L47" s="129"/>
      <c r="M47" s="332"/>
      <c r="N47" s="129"/>
    </row>
    <row r="48" spans="1:14" x14ac:dyDescent="0.25">
      <c r="A48" s="303" t="s">
        <v>598</v>
      </c>
      <c r="B48" s="152"/>
      <c r="C48" s="152">
        <v>61205</v>
      </c>
      <c r="D48" s="152"/>
      <c r="E48" s="152"/>
      <c r="F48" s="303" t="s">
        <v>598</v>
      </c>
      <c r="G48" s="152"/>
      <c r="H48" s="152">
        <v>61205</v>
      </c>
      <c r="I48" s="152"/>
      <c r="J48" s="8"/>
      <c r="K48" s="129"/>
      <c r="L48" s="129"/>
      <c r="M48" s="332"/>
      <c r="N48" s="129"/>
    </row>
    <row r="49" spans="1:14" x14ac:dyDescent="0.25">
      <c r="A49" s="303" t="s">
        <v>601</v>
      </c>
      <c r="B49" s="301"/>
      <c r="C49" s="152">
        <v>5480</v>
      </c>
      <c r="D49" s="152"/>
      <c r="E49" s="152"/>
      <c r="F49" s="303" t="s">
        <v>601</v>
      </c>
      <c r="G49" s="301"/>
      <c r="H49" s="152">
        <v>5480</v>
      </c>
      <c r="I49" s="152"/>
      <c r="J49" s="8"/>
      <c r="K49" s="129"/>
      <c r="L49" s="129"/>
      <c r="M49" s="332"/>
      <c r="N49" s="129"/>
    </row>
    <row r="50" spans="1:14" s="129" customFormat="1" x14ac:dyDescent="0.25">
      <c r="A50" s="303" t="s">
        <v>602</v>
      </c>
      <c r="B50" s="301"/>
      <c r="C50" s="152">
        <v>5000</v>
      </c>
      <c r="D50" s="152"/>
      <c r="E50" s="152"/>
      <c r="F50" s="303" t="s">
        <v>602</v>
      </c>
      <c r="G50" s="301"/>
      <c r="H50" s="152">
        <v>5000</v>
      </c>
      <c r="I50" s="152"/>
      <c r="J50" s="8"/>
      <c r="M50" s="332"/>
    </row>
    <row r="51" spans="1:14" s="129" customFormat="1" x14ac:dyDescent="0.25">
      <c r="A51" s="303" t="s">
        <v>605</v>
      </c>
      <c r="B51" s="301"/>
      <c r="C51" s="152">
        <v>4000</v>
      </c>
      <c r="D51" s="152"/>
      <c r="E51" s="152"/>
      <c r="F51" s="303" t="s">
        <v>605</v>
      </c>
      <c r="G51" s="301"/>
      <c r="H51" s="152">
        <v>4000</v>
      </c>
      <c r="I51" s="152"/>
      <c r="J51" s="8"/>
      <c r="M51" s="332"/>
    </row>
    <row r="52" spans="1:14" s="129" customFormat="1" x14ac:dyDescent="0.25">
      <c r="A52" s="303" t="s">
        <v>606</v>
      </c>
      <c r="B52" s="301"/>
      <c r="C52" s="152">
        <v>200</v>
      </c>
      <c r="D52" s="152"/>
      <c r="E52" s="152"/>
      <c r="F52" s="303" t="s">
        <v>606</v>
      </c>
      <c r="G52" s="301"/>
      <c r="H52" s="152">
        <v>200</v>
      </c>
      <c r="I52" s="152"/>
      <c r="J52" s="8"/>
      <c r="L52" s="332"/>
      <c r="M52" s="332"/>
    </row>
    <row r="53" spans="1:14" x14ac:dyDescent="0.25">
      <c r="A53" s="304"/>
      <c r="C53" s="152"/>
      <c r="D53" s="152"/>
      <c r="E53" s="152"/>
      <c r="F53" s="304"/>
      <c r="G53" s="129"/>
      <c r="H53" s="152"/>
      <c r="I53" s="152"/>
      <c r="J53" s="8"/>
      <c r="K53" s="129"/>
      <c r="L53" s="332"/>
      <c r="M53" s="129"/>
      <c r="N53" s="129"/>
    </row>
    <row r="54" spans="1:14" x14ac:dyDescent="0.25">
      <c r="A54" s="296" t="s">
        <v>4</v>
      </c>
      <c r="B54" s="309">
        <f>B40+B41+B42-C43-C44</f>
        <v>81700</v>
      </c>
      <c r="C54" s="309">
        <f>SUM(C46:C53)</f>
        <v>81900</v>
      </c>
      <c r="D54" s="309">
        <f>B54-C54</f>
        <v>-200</v>
      </c>
      <c r="E54" s="297"/>
      <c r="F54" s="296" t="s">
        <v>4</v>
      </c>
      <c r="G54" s="300">
        <f>G40+G41+G42-H43-H44</f>
        <v>79070</v>
      </c>
      <c r="H54" s="152">
        <f>SUM(H46:H53 )</f>
        <v>81900</v>
      </c>
      <c r="I54" s="300">
        <f>G54-H54</f>
        <v>-2830</v>
      </c>
      <c r="J54" s="152"/>
      <c r="K54" s="129"/>
      <c r="L54" s="129"/>
      <c r="M54" s="129"/>
      <c r="N54" s="129"/>
    </row>
    <row r="55" spans="1:14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  <c r="L55" s="129"/>
      <c r="M55" s="129"/>
      <c r="N55" s="129"/>
    </row>
    <row r="56" spans="1:14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129"/>
      <c r="M56" s="129"/>
      <c r="N56" s="129"/>
    </row>
    <row r="57" spans="1:14" x14ac:dyDescent="0.25">
      <c r="A57" s="12"/>
      <c r="B57" s="12"/>
      <c r="C57" s="12"/>
      <c r="D57" s="12"/>
      <c r="E57" s="12"/>
      <c r="F57" s="12"/>
      <c r="G57" s="303"/>
      <c r="H57" s="152"/>
      <c r="I57" s="152"/>
      <c r="J57" s="152"/>
      <c r="K57" s="129"/>
      <c r="L57" s="129"/>
      <c r="M57" s="129"/>
      <c r="N57" s="129"/>
    </row>
    <row r="58" spans="1:14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</row>
    <row r="59" spans="1:14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</row>
  </sheetData>
  <pageMargins left="0" right="0" top="0" bottom="0" header="0.3" footer="0.3"/>
  <pageSetup orientation="portrait" horizontalDpi="0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19" workbookViewId="0">
      <pane xSplit="18735" topLeftCell="T1"/>
      <selection activeCell="N52" sqref="N52"/>
      <selection pane="topRight" activeCell="T22" sqref="T22"/>
    </sheetView>
  </sheetViews>
  <sheetFormatPr defaultRowHeight="15" x14ac:dyDescent="0.25"/>
  <cols>
    <col min="1" max="1" width="15" bestFit="1" customWidth="1"/>
    <col min="2" max="2" width="7.42578125" customWidth="1"/>
    <col min="3" max="3" width="7.140625" customWidth="1"/>
    <col min="4" max="4" width="6.85546875" customWidth="1"/>
    <col min="5" max="5" width="7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603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'JANUARY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'JANUARY 20'!J5:J37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'JANUARY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'JANUARY 20'!J7:J39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'JANUARY 20'!J8:J40</f>
        <v>0</v>
      </c>
      <c r="F8" s="290">
        <v>100</v>
      </c>
      <c r="G8" s="290">
        <v>4000</v>
      </c>
      <c r="H8" s="290">
        <f t="shared" si="1"/>
        <v>4100</v>
      </c>
      <c r="I8" s="152">
        <v>4100</v>
      </c>
      <c r="J8" s="152">
        <f t="shared" si="0"/>
        <v>0</v>
      </c>
      <c r="K8" s="129"/>
      <c r="L8" s="129"/>
    </row>
    <row r="9" spans="1:12" x14ac:dyDescent="0.25">
      <c r="A9" s="152" t="s">
        <v>609</v>
      </c>
      <c r="B9" s="208">
        <v>6</v>
      </c>
      <c r="C9" s="152"/>
      <c r="D9" s="152">
        <v>2700</v>
      </c>
      <c r="E9" s="290">
        <f>'JANUARY 20'!J9:J41</f>
        <v>0</v>
      </c>
      <c r="F9" s="152">
        <v>100</v>
      </c>
      <c r="G9" s="152">
        <v>2700</v>
      </c>
      <c r="H9" s="290">
        <f t="shared" si="1"/>
        <v>5500</v>
      </c>
      <c r="I9" s="152">
        <v>5500</v>
      </c>
      <c r="J9" s="152">
        <f t="shared" si="0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'JANUARY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</row>
    <row r="11" spans="1:12" x14ac:dyDescent="0.25">
      <c r="A11" s="289" t="s">
        <v>565</v>
      </c>
      <c r="B11" s="292">
        <v>8</v>
      </c>
      <c r="C11" s="289"/>
      <c r="D11" s="289"/>
      <c r="E11" s="290">
        <f>'JANUARY 20'!J11:J43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'JANUARY 20'!J12:J44</f>
        <v>0</v>
      </c>
      <c r="F12" s="290">
        <v>100</v>
      </c>
      <c r="G12" s="290">
        <v>2700</v>
      </c>
      <c r="H12" s="290">
        <f t="shared" si="1"/>
        <v>2800</v>
      </c>
      <c r="I12" s="152">
        <v>2800</v>
      </c>
      <c r="J12" s="152">
        <f t="shared" si="0"/>
        <v>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'JANUARY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'JANUARY 20'!J14:J46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'JANUARY 20'!J15:J47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'JANUARY 20'!J16:J48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'JANUARY 20'!J17:J49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'JANUARY 20'!J18:J50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'JANUARY 20'!J19:J53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'JANUARY 20'!J20:J54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'JANUARY 20'!J21:J55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  <c r="L21" s="129"/>
    </row>
    <row r="22" spans="1:12" x14ac:dyDescent="0.25">
      <c r="A22" s="311" t="s">
        <v>590</v>
      </c>
      <c r="B22" s="312">
        <v>19</v>
      </c>
      <c r="C22" s="311"/>
      <c r="D22" s="311"/>
      <c r="E22" s="290">
        <f>'JANUARY 20'!J22:J56</f>
        <v>0</v>
      </c>
      <c r="F22" s="313">
        <v>100</v>
      </c>
      <c r="G22" s="313">
        <v>2700</v>
      </c>
      <c r="H22" s="290">
        <f t="shared" si="1"/>
        <v>2800</v>
      </c>
      <c r="I22" s="297">
        <f>1000+1800</f>
        <v>2800</v>
      </c>
      <c r="J22" s="152">
        <f t="shared" si="0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'JANUARY 20'!J23:J57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289"/>
      <c r="E24" s="290">
        <f>'JANUARY 20'!J24:J58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'JANUARY 20'!J25:J59</f>
        <v>2200</v>
      </c>
      <c r="F25" s="290">
        <v>100</v>
      </c>
      <c r="G25" s="290">
        <v>3500</v>
      </c>
      <c r="H25" s="290">
        <f t="shared" si="1"/>
        <v>5800</v>
      </c>
      <c r="I25" s="152"/>
      <c r="J25" s="152">
        <f t="shared" si="0"/>
        <v>5800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'JANUARY 20'!J26:J60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'JANUARY 20'!J27:J61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'JANUARY 20'!J28:J62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</row>
    <row r="29" spans="1:12" x14ac:dyDescent="0.25">
      <c r="A29" s="289" t="s">
        <v>599</v>
      </c>
      <c r="B29" s="208">
        <v>26</v>
      </c>
      <c r="C29" s="289"/>
      <c r="D29" s="289"/>
      <c r="E29" s="290">
        <f>'JANUARY 20'!J29:J63</f>
        <v>0</v>
      </c>
      <c r="F29" s="290">
        <v>100</v>
      </c>
      <c r="G29" s="290">
        <v>3500</v>
      </c>
      <c r="H29" s="290">
        <f t="shared" si="1"/>
        <v>3600</v>
      </c>
      <c r="I29" s="152">
        <v>3600</v>
      </c>
      <c r="J29" s="152">
        <f>H29-I29</f>
        <v>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'JANUARY 20'!J30:J64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</row>
    <row r="31" spans="1:12" x14ac:dyDescent="0.25">
      <c r="A31" s="289" t="s">
        <v>592</v>
      </c>
      <c r="B31" s="208">
        <v>28</v>
      </c>
      <c r="C31" s="289"/>
      <c r="D31" s="289"/>
      <c r="E31" s="290">
        <f>'JANUARY 20'!J31:J65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/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'JANUARY 20'!J32:J66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</row>
    <row r="33" spans="1:12" x14ac:dyDescent="0.25">
      <c r="A33" s="289" t="s">
        <v>474</v>
      </c>
      <c r="B33" s="208">
        <v>30</v>
      </c>
      <c r="C33" s="289"/>
      <c r="D33" s="289"/>
      <c r="E33" s="290">
        <f>'JANUARY 20'!J33:J67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  <c r="L33" s="129"/>
    </row>
    <row r="34" spans="1:12" x14ac:dyDescent="0.25">
      <c r="A34" s="289" t="s">
        <v>610</v>
      </c>
      <c r="B34" s="208">
        <v>31</v>
      </c>
      <c r="C34" s="289"/>
      <c r="D34" s="289">
        <v>3200</v>
      </c>
      <c r="E34" s="290">
        <f>'JANUARY 20'!J34:J68</f>
        <v>0</v>
      </c>
      <c r="F34" s="290">
        <v>100</v>
      </c>
      <c r="G34" s="290">
        <v>3200</v>
      </c>
      <c r="H34" s="290">
        <f t="shared" si="1"/>
        <v>6500</v>
      </c>
      <c r="I34" s="152">
        <v>6500</v>
      </c>
      <c r="J34" s="152">
        <f t="shared" si="0"/>
        <v>0</v>
      </c>
      <c r="K34" s="129"/>
      <c r="L34" s="129"/>
    </row>
    <row r="35" spans="1:12" x14ac:dyDescent="0.25">
      <c r="A35" s="289" t="s">
        <v>608</v>
      </c>
      <c r="B35" s="208">
        <v>32</v>
      </c>
      <c r="C35" s="289"/>
      <c r="D35" s="289">
        <v>2700</v>
      </c>
      <c r="E35" s="290">
        <f>'JANUARY 20'!J35:J69</f>
        <v>0</v>
      </c>
      <c r="F35" s="290">
        <v>100</v>
      </c>
      <c r="G35" s="290">
        <v>2700</v>
      </c>
      <c r="H35" s="290">
        <f t="shared" si="1"/>
        <v>5500</v>
      </c>
      <c r="I35" s="152">
        <v>5500</v>
      </c>
      <c r="J35" s="152">
        <f t="shared" si="0"/>
        <v>0</v>
      </c>
      <c r="K35" s="129"/>
      <c r="L35" s="332"/>
    </row>
    <row r="36" spans="1:12" x14ac:dyDescent="0.25">
      <c r="A36" s="289" t="s">
        <v>600</v>
      </c>
      <c r="B36" s="208">
        <v>33</v>
      </c>
      <c r="C36" s="152"/>
      <c r="D36" s="152"/>
      <c r="E36" s="290">
        <f>'JANUARY 20'!J36:J70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0"/>
        <v>0</v>
      </c>
      <c r="K36" s="129"/>
      <c r="L36" s="129"/>
    </row>
    <row r="37" spans="1:12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8600</v>
      </c>
      <c r="E37" s="290">
        <f>SUM(E4:E36)</f>
        <v>2200</v>
      </c>
      <c r="F37" s="327">
        <f t="shared" si="2"/>
        <v>3200</v>
      </c>
      <c r="G37" s="327">
        <f t="shared" si="2"/>
        <v>102900</v>
      </c>
      <c r="H37" s="327">
        <f>SUM(H4:H36)</f>
        <v>116900</v>
      </c>
      <c r="I37" s="327">
        <f t="shared" si="2"/>
        <v>111100</v>
      </c>
      <c r="J37" s="152">
        <f>H37-I37</f>
        <v>5800</v>
      </c>
      <c r="K37" s="129"/>
      <c r="L37" s="129"/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107900</v>
      </c>
      <c r="J38" s="295"/>
      <c r="K38" s="129"/>
      <c r="L38" s="129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2" x14ac:dyDescent="0.25">
      <c r="A40" s="152" t="s">
        <v>604</v>
      </c>
      <c r="B40" s="300">
        <f>G37</f>
        <v>102900</v>
      </c>
      <c r="C40" s="152"/>
      <c r="D40" s="152"/>
      <c r="E40" s="152"/>
      <c r="F40" s="152" t="s">
        <v>604</v>
      </c>
      <c r="G40" s="300">
        <f>I38</f>
        <v>107900</v>
      </c>
      <c r="H40" s="152"/>
      <c r="I40" s="152"/>
      <c r="J40" s="8"/>
      <c r="K40" s="129"/>
      <c r="L40" s="129"/>
    </row>
    <row r="41" spans="1:12" x14ac:dyDescent="0.25">
      <c r="A41" s="152" t="s">
        <v>556</v>
      </c>
      <c r="B41" s="300">
        <f>D37</f>
        <v>8600</v>
      </c>
      <c r="C41" s="152"/>
      <c r="D41" s="152"/>
      <c r="E41" s="152"/>
      <c r="F41" s="152"/>
      <c r="G41" s="300"/>
      <c r="H41" s="152"/>
      <c r="I41" s="152"/>
      <c r="J41" s="8"/>
      <c r="K41" s="129"/>
      <c r="L41" s="129"/>
    </row>
    <row r="42" spans="1:12" x14ac:dyDescent="0.25">
      <c r="A42" s="152" t="s">
        <v>368</v>
      </c>
      <c r="B42" s="300">
        <f>'JANUARY 20'!D54</f>
        <v>-200</v>
      </c>
      <c r="C42" s="152"/>
      <c r="D42" s="152"/>
      <c r="E42" s="152"/>
      <c r="F42" s="152" t="s">
        <v>368</v>
      </c>
      <c r="G42" s="300">
        <f>'JANUARY 20'!I54</f>
        <v>-2830</v>
      </c>
      <c r="H42" s="152"/>
      <c r="I42" s="152"/>
      <c r="J42" s="8"/>
      <c r="K42" s="129"/>
      <c r="L42" s="129"/>
    </row>
    <row r="43" spans="1:12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  <c r="K43" s="129"/>
      <c r="L43" s="129"/>
    </row>
    <row r="44" spans="1:12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8"/>
      <c r="K44" s="129"/>
      <c r="L44" s="332"/>
    </row>
    <row r="45" spans="1:12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</row>
    <row r="46" spans="1:12" x14ac:dyDescent="0.25">
      <c r="A46" s="305" t="s">
        <v>470</v>
      </c>
      <c r="B46" s="301">
        <v>0.3</v>
      </c>
      <c r="C46" s="300">
        <f>B46*G29+(B46*G35)+(B46*G9)+(B46*G34)</f>
        <v>3630</v>
      </c>
      <c r="D46" s="152"/>
      <c r="E46" s="152"/>
      <c r="F46" s="305" t="s">
        <v>470</v>
      </c>
      <c r="G46" s="301">
        <v>0.3</v>
      </c>
      <c r="H46" s="300">
        <f>C46</f>
        <v>3630</v>
      </c>
      <c r="I46" s="152"/>
      <c r="J46" s="8"/>
      <c r="K46" s="129"/>
      <c r="L46" s="129"/>
    </row>
    <row r="47" spans="1:12" x14ac:dyDescent="0.25">
      <c r="A47" s="303" t="s">
        <v>222</v>
      </c>
      <c r="B47" s="152"/>
      <c r="C47" s="152">
        <v>10000</v>
      </c>
      <c r="D47" s="152"/>
      <c r="E47" s="152"/>
      <c r="F47" s="303" t="s">
        <v>222</v>
      </c>
      <c r="G47" s="152"/>
      <c r="H47" s="152">
        <v>10000</v>
      </c>
      <c r="I47" s="152"/>
      <c r="J47" s="8"/>
      <c r="K47" s="129"/>
      <c r="L47" s="129"/>
    </row>
    <row r="48" spans="1:12" x14ac:dyDescent="0.25">
      <c r="A48" s="303" t="s">
        <v>611</v>
      </c>
      <c r="B48" s="152"/>
      <c r="C48" s="152">
        <v>87350</v>
      </c>
      <c r="D48" s="152"/>
      <c r="E48" s="152"/>
      <c r="F48" s="303" t="s">
        <v>611</v>
      </c>
      <c r="G48" s="152"/>
      <c r="H48" s="152">
        <v>87350</v>
      </c>
      <c r="I48" s="152"/>
      <c r="J48" s="8"/>
      <c r="K48" s="129"/>
      <c r="L48" s="129"/>
    </row>
    <row r="49" spans="1:12" x14ac:dyDescent="0.25">
      <c r="A49" s="303" t="s">
        <v>614</v>
      </c>
      <c r="B49" s="301"/>
      <c r="C49" s="152">
        <v>2000</v>
      </c>
      <c r="D49" s="152"/>
      <c r="E49" s="152"/>
      <c r="F49" s="303" t="s">
        <v>612</v>
      </c>
      <c r="G49" s="301"/>
      <c r="H49" s="152">
        <v>2000</v>
      </c>
      <c r="I49" s="152"/>
      <c r="J49" s="8"/>
      <c r="K49" s="129"/>
      <c r="L49" s="129"/>
    </row>
    <row r="50" spans="1:12" s="129" customFormat="1" x14ac:dyDescent="0.25">
      <c r="A50" s="303" t="s">
        <v>613</v>
      </c>
      <c r="B50" s="301"/>
      <c r="C50" s="152">
        <v>2000</v>
      </c>
      <c r="D50" s="152"/>
      <c r="E50" s="152"/>
      <c r="F50" s="303" t="s">
        <v>613</v>
      </c>
      <c r="G50" s="301"/>
      <c r="H50" s="152">
        <v>2000</v>
      </c>
      <c r="I50" s="152"/>
      <c r="J50" s="8"/>
    </row>
    <row r="51" spans="1:12" x14ac:dyDescent="0.25">
      <c r="A51" s="296" t="s">
        <v>4</v>
      </c>
      <c r="B51" s="309">
        <f>B40+B41+B42-C43</f>
        <v>101010</v>
      </c>
      <c r="C51" s="309">
        <f>SUM(C46:C50)</f>
        <v>104980</v>
      </c>
      <c r="D51" s="309">
        <f>B51-C51</f>
        <v>-3970</v>
      </c>
      <c r="E51" s="297"/>
      <c r="F51" s="296" t="s">
        <v>4</v>
      </c>
      <c r="G51" s="300">
        <f>G40+G41+G42-H43-H44</f>
        <v>94780</v>
      </c>
      <c r="H51" s="300">
        <f>SUM(H46:H50 )</f>
        <v>104980</v>
      </c>
      <c r="I51" s="300">
        <f>G51-H51</f>
        <v>-10200</v>
      </c>
      <c r="J51" s="152"/>
      <c r="K51" s="129"/>
      <c r="L51" s="129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129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</row>
    <row r="54" spans="1:12" x14ac:dyDescent="0.25">
      <c r="A54" s="12"/>
      <c r="B54" s="12"/>
      <c r="C54" s="12"/>
      <c r="D54" s="12"/>
      <c r="E54" s="12"/>
      <c r="F54" s="12"/>
      <c r="G54" s="303"/>
      <c r="H54" s="152"/>
      <c r="I54" s="152"/>
      <c r="J54" s="152"/>
      <c r="K54" s="129"/>
      <c r="L54" s="332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</sheetData>
  <pageMargins left="0.7" right="0.7" top="0" bottom="0" header="0.3" footer="0.3"/>
  <pageSetup orientation="portrait" horizontalDpi="203" verticalDpi="203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19" workbookViewId="0">
      <selection activeCell="K53" sqref="K53"/>
    </sheetView>
  </sheetViews>
  <sheetFormatPr defaultRowHeight="15" x14ac:dyDescent="0.25"/>
  <cols>
    <col min="1" max="1" width="14.5703125" customWidth="1"/>
    <col min="2" max="2" width="7.140625" customWidth="1"/>
    <col min="3" max="3" width="8.140625" customWidth="1"/>
    <col min="4" max="4" width="8.28515625" customWidth="1"/>
    <col min="5" max="5" width="8" customWidth="1"/>
    <col min="6" max="6" width="7" customWidth="1"/>
    <col min="7" max="7" width="8.710937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615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/>
      <c r="D4" s="289"/>
      <c r="E4" s="290">
        <f>'FEBRUARY 20'!J4:J37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'FEBRUARY 20'!J5:J38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'FEBRUARY 20'!J6:J39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</row>
    <row r="7" spans="1:11" x14ac:dyDescent="0.25">
      <c r="A7" s="289" t="s">
        <v>458</v>
      </c>
      <c r="B7" s="208">
        <v>4</v>
      </c>
      <c r="C7" s="289"/>
      <c r="D7" s="289"/>
      <c r="E7" s="290">
        <f>'FEBRUARY 20'!J7:J40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</row>
    <row r="8" spans="1:11" x14ac:dyDescent="0.25">
      <c r="A8" s="289" t="s">
        <v>417</v>
      </c>
      <c r="B8" s="208">
        <v>5</v>
      </c>
      <c r="C8" s="289"/>
      <c r="D8" s="289"/>
      <c r="E8" s="290">
        <f>'FEBRUARY 20'!J8:J41</f>
        <v>0</v>
      </c>
      <c r="F8" s="290">
        <v>100</v>
      </c>
      <c r="G8" s="290">
        <v>4000</v>
      </c>
      <c r="H8" s="290">
        <f t="shared" si="1"/>
        <v>4100</v>
      </c>
      <c r="I8" s="152">
        <f>2000+2100</f>
        <v>4100</v>
      </c>
      <c r="J8" s="152">
        <f t="shared" si="0"/>
        <v>0</v>
      </c>
      <c r="K8" s="129"/>
    </row>
    <row r="9" spans="1:11" x14ac:dyDescent="0.25">
      <c r="A9" s="152" t="s">
        <v>609</v>
      </c>
      <c r="B9" s="208">
        <v>6</v>
      </c>
      <c r="C9" s="152"/>
      <c r="D9" s="152"/>
      <c r="E9" s="290">
        <f>'FEBRUARY 20'!J9:J42</f>
        <v>0</v>
      </c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'FEBRUARY 20'!J10:J43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</row>
    <row r="11" spans="1:11" x14ac:dyDescent="0.25">
      <c r="A11" s="289" t="s">
        <v>565</v>
      </c>
      <c r="B11" s="292">
        <v>8</v>
      </c>
      <c r="C11" s="289"/>
      <c r="D11" s="289"/>
      <c r="E11" s="290">
        <f>'FEBRUARY 20'!J11:J44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'FEBRUARY 20'!J12:J45</f>
        <v>0</v>
      </c>
      <c r="F12" s="290">
        <v>100</v>
      </c>
      <c r="G12" s="290">
        <v>2700</v>
      </c>
      <c r="H12" s="290">
        <f t="shared" si="1"/>
        <v>2800</v>
      </c>
      <c r="I12" s="152">
        <v>2800</v>
      </c>
      <c r="J12" s="152">
        <f t="shared" si="0"/>
        <v>0</v>
      </c>
      <c r="K12" s="129"/>
    </row>
    <row r="13" spans="1:11" x14ac:dyDescent="0.25">
      <c r="A13" s="152" t="s">
        <v>503</v>
      </c>
      <c r="B13" s="152">
        <v>10</v>
      </c>
      <c r="C13" s="152"/>
      <c r="D13" s="152"/>
      <c r="E13" s="290">
        <f>'FEBRUARY 20'!J13:J46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'FEBRUARY 20'!J14:J47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'FEBRUARY 20'!J15:J48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'FEBRUARY 20'!J16:J49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'FEBRUARY 20'!J17:J50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</row>
    <row r="18" spans="1:11" x14ac:dyDescent="0.25">
      <c r="A18" s="289" t="s">
        <v>521</v>
      </c>
      <c r="B18" s="208">
        <v>15</v>
      </c>
      <c r="C18" s="289"/>
      <c r="D18" s="289"/>
      <c r="E18" s="290">
        <f>'FEBRUARY 20'!J18:J51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</row>
    <row r="19" spans="1:11" x14ac:dyDescent="0.25">
      <c r="A19" s="289" t="s">
        <v>520</v>
      </c>
      <c r="B19" s="208">
        <v>16</v>
      </c>
      <c r="C19" s="289"/>
      <c r="D19" s="289"/>
      <c r="E19" s="290">
        <f>'FEBRUARY 20'!J19:J52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'FEBRUARY 20'!J20:J53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</row>
    <row r="21" spans="1:11" x14ac:dyDescent="0.25">
      <c r="A21" s="289" t="s">
        <v>346</v>
      </c>
      <c r="B21" s="208">
        <v>18</v>
      </c>
      <c r="C21" s="289"/>
      <c r="D21" s="289"/>
      <c r="E21" s="290">
        <f>'FEBRUARY 20'!J21:J54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</row>
    <row r="22" spans="1:11" x14ac:dyDescent="0.25">
      <c r="A22" s="311" t="s">
        <v>590</v>
      </c>
      <c r="B22" s="312">
        <v>19</v>
      </c>
      <c r="C22" s="311"/>
      <c r="D22" s="311"/>
      <c r="E22" s="290">
        <f>'FEBRUARY 20'!J22:J55</f>
        <v>0</v>
      </c>
      <c r="F22" s="313">
        <v>100</v>
      </c>
      <c r="G22" s="313">
        <v>2700</v>
      </c>
      <c r="H22" s="290">
        <f t="shared" si="1"/>
        <v>2800</v>
      </c>
      <c r="I22" s="297">
        <v>2800</v>
      </c>
      <c r="J22" s="152">
        <f t="shared" si="0"/>
        <v>0</v>
      </c>
      <c r="K22" s="129"/>
    </row>
    <row r="23" spans="1:11" x14ac:dyDescent="0.25">
      <c r="A23" s="289" t="s">
        <v>461</v>
      </c>
      <c r="B23" s="208">
        <v>20</v>
      </c>
      <c r="C23" s="289"/>
      <c r="D23" s="289"/>
      <c r="E23" s="290">
        <f>'FEBRUARY 20'!J23:J56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</row>
    <row r="24" spans="1:11" x14ac:dyDescent="0.25">
      <c r="A24" s="334" t="s">
        <v>37</v>
      </c>
      <c r="B24" s="208">
        <v>21</v>
      </c>
      <c r="C24" s="289"/>
      <c r="D24" s="289"/>
      <c r="E24" s="290">
        <f>'FEBRUARY 20'!J24:J57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</row>
    <row r="25" spans="1:11" x14ac:dyDescent="0.25">
      <c r="A25" s="289" t="s">
        <v>435</v>
      </c>
      <c r="B25" s="208">
        <v>22</v>
      </c>
      <c r="C25" s="289"/>
      <c r="D25" s="289"/>
      <c r="E25" s="290">
        <f>'FEBRUARY 20'!J25:J58</f>
        <v>5800</v>
      </c>
      <c r="F25" s="290">
        <v>100</v>
      </c>
      <c r="G25" s="290">
        <v>3500</v>
      </c>
      <c r="H25" s="290">
        <f t="shared" si="1"/>
        <v>9400</v>
      </c>
      <c r="I25" s="152">
        <f>4000+5000</f>
        <v>9000</v>
      </c>
      <c r="J25" s="152">
        <f t="shared" si="0"/>
        <v>400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'FEBRUARY 20'!J26:J59</f>
        <v>0</v>
      </c>
      <c r="F26" s="290">
        <v>100</v>
      </c>
      <c r="G26" s="293">
        <v>3700</v>
      </c>
      <c r="H26" s="290">
        <f t="shared" si="1"/>
        <v>3800</v>
      </c>
      <c r="I26" s="152">
        <f>1000+2800</f>
        <v>3800</v>
      </c>
      <c r="J26" s="152">
        <f t="shared" si="0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'FEBRUARY 20'!J27:J60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'FEBRUARY 20'!J28:J61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</row>
    <row r="29" spans="1:11" x14ac:dyDescent="0.25">
      <c r="A29" s="289" t="s">
        <v>599</v>
      </c>
      <c r="B29" s="208">
        <v>26</v>
      </c>
      <c r="C29" s="289"/>
      <c r="D29" s="289"/>
      <c r="E29" s="290">
        <f>'FEBRUARY 20'!J29:J62</f>
        <v>0</v>
      </c>
      <c r="F29" s="290">
        <v>100</v>
      </c>
      <c r="G29" s="290">
        <v>3500</v>
      </c>
      <c r="H29" s="290">
        <f t="shared" si="1"/>
        <v>3600</v>
      </c>
      <c r="I29" s="152">
        <v>3600</v>
      </c>
      <c r="J29" s="152">
        <f>H29-I29</f>
        <v>0</v>
      </c>
      <c r="K29" s="129"/>
    </row>
    <row r="30" spans="1:11" x14ac:dyDescent="0.25">
      <c r="A30" s="289" t="s">
        <v>572</v>
      </c>
      <c r="B30" s="208">
        <v>27</v>
      </c>
      <c r="C30" s="289"/>
      <c r="D30" s="289"/>
      <c r="E30" s="290">
        <f>'FEBRUARY 20'!J30:J63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</row>
    <row r="31" spans="1:11" x14ac:dyDescent="0.25">
      <c r="A31" s="289" t="s">
        <v>592</v>
      </c>
      <c r="B31" s="208">
        <v>28</v>
      </c>
      <c r="C31" s="289"/>
      <c r="D31" s="289"/>
      <c r="E31" s="290">
        <f>'FEBRUARY 20'!J31:J64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/>
    </row>
    <row r="32" spans="1:11" x14ac:dyDescent="0.25">
      <c r="A32" s="289" t="s">
        <v>559</v>
      </c>
      <c r="B32" s="208">
        <v>29</v>
      </c>
      <c r="C32" s="289"/>
      <c r="D32" s="289"/>
      <c r="E32" s="290">
        <f>'FEBRUARY 20'!J32:J65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</row>
    <row r="33" spans="1:11" x14ac:dyDescent="0.25">
      <c r="A33" s="289" t="s">
        <v>474</v>
      </c>
      <c r="B33" s="208">
        <v>30</v>
      </c>
      <c r="C33" s="289"/>
      <c r="D33" s="289"/>
      <c r="E33" s="290">
        <f>'FEBRUARY 20'!J33:J66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</row>
    <row r="34" spans="1:11" x14ac:dyDescent="0.25">
      <c r="A34" s="289" t="s">
        <v>610</v>
      </c>
      <c r="B34" s="208">
        <v>31</v>
      </c>
      <c r="C34" s="289"/>
      <c r="D34" s="289"/>
      <c r="E34" s="290">
        <f>'FEBRUARY 20'!J34:J67</f>
        <v>0</v>
      </c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9"/>
    </row>
    <row r="35" spans="1:11" x14ac:dyDescent="0.25">
      <c r="A35" s="289" t="s">
        <v>608</v>
      </c>
      <c r="B35" s="208">
        <v>32</v>
      </c>
      <c r="C35" s="289"/>
      <c r="D35" s="289"/>
      <c r="E35" s="290">
        <f>'FEBRUARY 20'!J35:J68</f>
        <v>0</v>
      </c>
      <c r="F35" s="290">
        <v>100</v>
      </c>
      <c r="G35" s="290">
        <v>2700</v>
      </c>
      <c r="H35" s="290">
        <f t="shared" si="1"/>
        <v>2800</v>
      </c>
      <c r="I35" s="152">
        <v>2800</v>
      </c>
      <c r="J35" s="152">
        <f t="shared" si="0"/>
        <v>0</v>
      </c>
      <c r="K35" s="129"/>
    </row>
    <row r="36" spans="1:11" x14ac:dyDescent="0.25">
      <c r="A36" s="289" t="s">
        <v>600</v>
      </c>
      <c r="B36" s="208">
        <v>33</v>
      </c>
      <c r="C36" s="152"/>
      <c r="D36" s="152"/>
      <c r="E36" s="290">
        <f>'FEBRUARY 20'!J36:J69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0"/>
        <v>0</v>
      </c>
      <c r="K36" s="129"/>
    </row>
    <row r="37" spans="1:11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5800</v>
      </c>
      <c r="F37" s="327">
        <f t="shared" si="2"/>
        <v>3200</v>
      </c>
      <c r="G37" s="327">
        <f t="shared" si="2"/>
        <v>102900</v>
      </c>
      <c r="H37" s="327">
        <f>SUM(H4:H36)</f>
        <v>111900</v>
      </c>
      <c r="I37" s="327">
        <f t="shared" si="2"/>
        <v>111500</v>
      </c>
      <c r="J37" s="152">
        <f>H37-I37</f>
        <v>400</v>
      </c>
      <c r="K37" s="129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I37-F37+430</f>
        <v>108730</v>
      </c>
      <c r="J38" s="295"/>
      <c r="K38" s="129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</row>
    <row r="40" spans="1:11" x14ac:dyDescent="0.25">
      <c r="A40" s="152" t="s">
        <v>179</v>
      </c>
      <c r="B40" s="300">
        <f>G37</f>
        <v>102900</v>
      </c>
      <c r="C40" s="152"/>
      <c r="D40" s="152"/>
      <c r="E40" s="152"/>
      <c r="F40" s="152" t="s">
        <v>179</v>
      </c>
      <c r="G40" s="300">
        <f>I38</f>
        <v>108730</v>
      </c>
      <c r="H40" s="152"/>
      <c r="I40" s="152"/>
      <c r="J40" s="8"/>
      <c r="K40" s="129"/>
    </row>
    <row r="41" spans="1:11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8"/>
      <c r="K41" s="129"/>
    </row>
    <row r="42" spans="1:11" x14ac:dyDescent="0.25">
      <c r="A42" s="152" t="s">
        <v>368</v>
      </c>
      <c r="B42" s="300">
        <f>'FEBRUARY 20'!D51</f>
        <v>-3970</v>
      </c>
      <c r="C42" s="152"/>
      <c r="D42" s="152"/>
      <c r="E42" s="152"/>
      <c r="F42" s="152" t="s">
        <v>368</v>
      </c>
      <c r="G42" s="300">
        <f>'FEBRUARY 20'!I51</f>
        <v>-10200</v>
      </c>
      <c r="H42" s="152"/>
      <c r="I42" s="152"/>
      <c r="J42" s="8"/>
      <c r="K42" s="129"/>
    </row>
    <row r="43" spans="1:11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  <c r="K43" s="129"/>
    </row>
    <row r="44" spans="1:11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8"/>
      <c r="K44" s="129"/>
    </row>
    <row r="45" spans="1:11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</row>
    <row r="46" spans="1:11" x14ac:dyDescent="0.25">
      <c r="A46" s="305" t="s">
        <v>470</v>
      </c>
      <c r="B46" s="301">
        <v>0.3</v>
      </c>
      <c r="C46" s="300"/>
      <c r="D46" s="152"/>
      <c r="E46" s="152"/>
      <c r="F46" s="305" t="s">
        <v>470</v>
      </c>
      <c r="G46" s="301">
        <v>0.3</v>
      </c>
      <c r="H46" s="300">
        <f>C46</f>
        <v>0</v>
      </c>
      <c r="I46" s="152"/>
      <c r="J46" s="8"/>
      <c r="K46" s="129"/>
    </row>
    <row r="47" spans="1:11" x14ac:dyDescent="0.25">
      <c r="A47" s="303" t="s">
        <v>222</v>
      </c>
      <c r="B47" s="152"/>
      <c r="C47" s="152">
        <v>10490.07</v>
      </c>
      <c r="D47" s="152"/>
      <c r="E47" s="152"/>
      <c r="F47" s="303" t="s">
        <v>222</v>
      </c>
      <c r="G47" s="152"/>
      <c r="H47" s="152">
        <f>C47</f>
        <v>10490.07</v>
      </c>
      <c r="I47" s="152"/>
      <c r="J47" s="8"/>
      <c r="K47" s="129"/>
    </row>
    <row r="48" spans="1:11" x14ac:dyDescent="0.25">
      <c r="A48" s="303" t="s">
        <v>616</v>
      </c>
      <c r="B48" s="152"/>
      <c r="C48" s="152">
        <v>80550</v>
      </c>
      <c r="D48" s="152"/>
      <c r="E48" s="152"/>
      <c r="F48" s="303" t="s">
        <v>616</v>
      </c>
      <c r="G48" s="152"/>
      <c r="H48" s="152">
        <v>80550</v>
      </c>
      <c r="I48" s="152"/>
      <c r="J48" s="8"/>
      <c r="K48" s="129"/>
    </row>
    <row r="49" spans="1:11" x14ac:dyDescent="0.25">
      <c r="A49" s="303" t="s">
        <v>618</v>
      </c>
      <c r="B49" s="301"/>
      <c r="C49" s="152">
        <v>5000</v>
      </c>
      <c r="D49" s="152"/>
      <c r="E49" s="152"/>
      <c r="F49" s="303" t="s">
        <v>618</v>
      </c>
      <c r="G49" s="301"/>
      <c r="H49" s="152">
        <v>5000</v>
      </c>
      <c r="I49" s="152"/>
      <c r="J49" s="8"/>
      <c r="K49" s="129"/>
    </row>
    <row r="50" spans="1:11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</row>
    <row r="51" spans="1:11" x14ac:dyDescent="0.25">
      <c r="A51" s="296" t="s">
        <v>4</v>
      </c>
      <c r="B51" s="309">
        <f>B40+B41+B42-C43</f>
        <v>88640</v>
      </c>
      <c r="C51" s="309">
        <f>SUM(C46:C50)</f>
        <v>96040.07</v>
      </c>
      <c r="D51" s="309">
        <f>B51-C51</f>
        <v>-7400.070000000007</v>
      </c>
      <c r="E51" s="297"/>
      <c r="F51" s="296" t="s">
        <v>4</v>
      </c>
      <c r="G51" s="300">
        <f>G40+G41+G42-H43-H44</f>
        <v>88240</v>
      </c>
      <c r="H51" s="300">
        <f>SUM(H46:H50 )</f>
        <v>96040.07</v>
      </c>
      <c r="I51" s="300">
        <f>G51-H51</f>
        <v>-7800.070000000007</v>
      </c>
      <c r="J51" s="152"/>
      <c r="K51" s="129"/>
    </row>
    <row r="52" spans="1:11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</row>
    <row r="53" spans="1:11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</row>
    <row r="54" spans="1:11" x14ac:dyDescent="0.25">
      <c r="A54" s="12"/>
      <c r="B54" s="12"/>
      <c r="C54" s="12"/>
      <c r="D54" s="12"/>
      <c r="E54" s="12"/>
      <c r="F54" s="12"/>
      <c r="G54" s="303"/>
      <c r="H54" s="152"/>
      <c r="I54" s="152"/>
      <c r="J54" s="152"/>
      <c r="K54" s="129"/>
    </row>
    <row r="55" spans="1:11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</row>
    <row r="56" spans="1:11" x14ac:dyDescent="0.25">
      <c r="K56" s="332"/>
    </row>
    <row r="57" spans="1:11" x14ac:dyDescent="0.25">
      <c r="J57" s="332"/>
      <c r="K57" s="332"/>
    </row>
    <row r="58" spans="1:11" x14ac:dyDescent="0.25">
      <c r="J58" s="332"/>
    </row>
  </sheetData>
  <pageMargins left="0.7" right="0.7" top="0" bottom="0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A19" workbookViewId="0">
      <selection activeCell="P26" sqref="P26"/>
    </sheetView>
  </sheetViews>
  <sheetFormatPr defaultRowHeight="15" x14ac:dyDescent="0.25"/>
  <cols>
    <col min="1" max="1" width="13.7109375" customWidth="1"/>
    <col min="2" max="2" width="7.28515625" customWidth="1"/>
    <col min="3" max="3" width="6.5703125" customWidth="1"/>
    <col min="4" max="4" width="7.5703125" customWidth="1"/>
    <col min="5" max="5" width="5.5703125" customWidth="1"/>
    <col min="6" max="6" width="7.140625" customWidth="1"/>
    <col min="7" max="7" width="7.28515625" customWidth="1"/>
    <col min="8" max="8" width="7" customWidth="1"/>
    <col min="9" max="9" width="7.425781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617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/>
      <c r="D4" s="289"/>
      <c r="E4" s="290">
        <f>'MARCH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'MARCH 20'!J5:J37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'MARCH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</row>
    <row r="7" spans="1:11" ht="13.5" customHeight="1" x14ac:dyDescent="0.25">
      <c r="A7" s="289" t="s">
        <v>458</v>
      </c>
      <c r="B7" s="208">
        <v>4</v>
      </c>
      <c r="C7" s="289"/>
      <c r="D7" s="289"/>
      <c r="E7" s="290">
        <f>'MARCH 20'!J7:J39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</row>
    <row r="8" spans="1:11" x14ac:dyDescent="0.25">
      <c r="A8" s="289" t="s">
        <v>417</v>
      </c>
      <c r="B8" s="208">
        <v>5</v>
      </c>
      <c r="C8" s="289"/>
      <c r="D8" s="289"/>
      <c r="E8" s="290">
        <f>'MARCH 20'!J8:J40</f>
        <v>0</v>
      </c>
      <c r="F8" s="290">
        <v>100</v>
      </c>
      <c r="G8" s="290">
        <v>4000</v>
      </c>
      <c r="H8" s="290">
        <f t="shared" si="1"/>
        <v>4100</v>
      </c>
      <c r="I8" s="152">
        <f>900+3200</f>
        <v>4100</v>
      </c>
      <c r="J8" s="152">
        <f t="shared" si="0"/>
        <v>0</v>
      </c>
      <c r="K8" s="129" t="s">
        <v>629</v>
      </c>
    </row>
    <row r="9" spans="1:11" x14ac:dyDescent="0.25">
      <c r="A9" s="152" t="s">
        <v>609</v>
      </c>
      <c r="B9" s="208">
        <v>6</v>
      </c>
      <c r="C9" s="152"/>
      <c r="D9" s="152"/>
      <c r="E9" s="290">
        <f>'MARCH 20'!J9:J41</f>
        <v>0</v>
      </c>
      <c r="F9" s="152">
        <v>100</v>
      </c>
      <c r="G9" s="152">
        <v>2700</v>
      </c>
      <c r="H9" s="290">
        <f t="shared" si="1"/>
        <v>2800</v>
      </c>
      <c r="I9" s="152">
        <v>2600</v>
      </c>
      <c r="J9" s="152">
        <f t="shared" si="0"/>
        <v>200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'MARCH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</row>
    <row r="11" spans="1:11" x14ac:dyDescent="0.25">
      <c r="A11" s="289" t="s">
        <v>565</v>
      </c>
      <c r="B11" s="292">
        <v>8</v>
      </c>
      <c r="C11" s="289"/>
      <c r="D11" s="289"/>
      <c r="E11" s="290">
        <f>'MARCH 20'!J11:J43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'MARCH 20'!J12:J44</f>
        <v>0</v>
      </c>
      <c r="F12" s="290">
        <v>100</v>
      </c>
      <c r="G12" s="290">
        <v>2700</v>
      </c>
      <c r="H12" s="290">
        <f t="shared" si="1"/>
        <v>2800</v>
      </c>
      <c r="I12" s="152">
        <v>2800</v>
      </c>
      <c r="J12" s="152">
        <f t="shared" si="0"/>
        <v>0</v>
      </c>
      <c r="K12" s="129"/>
    </row>
    <row r="13" spans="1:11" x14ac:dyDescent="0.25">
      <c r="A13" s="152" t="s">
        <v>503</v>
      </c>
      <c r="B13" s="152">
        <v>10</v>
      </c>
      <c r="C13" s="152"/>
      <c r="D13" s="152"/>
      <c r="E13" s="290">
        <f>'MARCH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'MARCH 20'!J14:J46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'MARCH 20'!J15:J47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'MARCH 20'!J16:J48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</row>
    <row r="17" spans="1:16" x14ac:dyDescent="0.25">
      <c r="A17" s="289" t="s">
        <v>473</v>
      </c>
      <c r="B17" s="208">
        <v>14</v>
      </c>
      <c r="C17" s="289"/>
      <c r="D17" s="289"/>
      <c r="E17" s="290">
        <f>'MARCH 20'!J17:J49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</row>
    <row r="18" spans="1:16" x14ac:dyDescent="0.25">
      <c r="A18" s="289" t="s">
        <v>521</v>
      </c>
      <c r="B18" s="208">
        <v>15</v>
      </c>
      <c r="C18" s="289"/>
      <c r="D18" s="289"/>
      <c r="E18" s="290">
        <f>'MARCH 20'!J18:J50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</row>
    <row r="19" spans="1:16" x14ac:dyDescent="0.25">
      <c r="A19" s="289" t="s">
        <v>520</v>
      </c>
      <c r="B19" s="208">
        <v>16</v>
      </c>
      <c r="C19" s="289"/>
      <c r="D19" s="289"/>
      <c r="E19" s="290">
        <f>'MARCH 20'!J19:J51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</row>
    <row r="20" spans="1:16" x14ac:dyDescent="0.25">
      <c r="A20" s="291" t="s">
        <v>492</v>
      </c>
      <c r="B20" s="208">
        <v>17</v>
      </c>
      <c r="C20" s="289"/>
      <c r="D20" s="289"/>
      <c r="E20" s="290">
        <f>'MARCH 20'!J20:J52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</row>
    <row r="21" spans="1:16" x14ac:dyDescent="0.25">
      <c r="A21" s="289" t="s">
        <v>346</v>
      </c>
      <c r="B21" s="208">
        <v>18</v>
      </c>
      <c r="C21" s="289"/>
      <c r="D21" s="289"/>
      <c r="E21" s="290">
        <f>'MARCH 20'!J21:J53</f>
        <v>0</v>
      </c>
      <c r="F21" s="290">
        <v>100</v>
      </c>
      <c r="G21" s="290">
        <v>2700</v>
      </c>
      <c r="H21" s="290">
        <f t="shared" si="1"/>
        <v>2800</v>
      </c>
      <c r="I21" s="152"/>
      <c r="J21" s="152">
        <f t="shared" si="0"/>
        <v>2800</v>
      </c>
      <c r="K21" s="129" t="s">
        <v>628</v>
      </c>
    </row>
    <row r="22" spans="1:16" x14ac:dyDescent="0.25">
      <c r="A22" s="311" t="s">
        <v>590</v>
      </c>
      <c r="B22" s="312">
        <v>19</v>
      </c>
      <c r="C22" s="311"/>
      <c r="D22" s="311"/>
      <c r="E22" s="290">
        <f>'MARCH 20'!J22:J54</f>
        <v>0</v>
      </c>
      <c r="F22" s="313">
        <v>100</v>
      </c>
      <c r="G22" s="313">
        <v>2700</v>
      </c>
      <c r="H22" s="290">
        <f t="shared" si="1"/>
        <v>2800</v>
      </c>
      <c r="I22" s="297">
        <v>2800</v>
      </c>
      <c r="J22" s="152">
        <f t="shared" si="0"/>
        <v>0</v>
      </c>
      <c r="K22" s="129"/>
    </row>
    <row r="23" spans="1:16" x14ac:dyDescent="0.25">
      <c r="A23" s="289" t="s">
        <v>461</v>
      </c>
      <c r="B23" s="208">
        <v>20</v>
      </c>
      <c r="C23" s="289"/>
      <c r="D23" s="289"/>
      <c r="E23" s="290">
        <f>'MARCH 20'!J23:J55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</row>
    <row r="24" spans="1:16" x14ac:dyDescent="0.25">
      <c r="A24" s="334" t="s">
        <v>37</v>
      </c>
      <c r="B24" s="208">
        <v>21</v>
      </c>
      <c r="C24" s="289"/>
      <c r="D24" s="289"/>
      <c r="E24" s="290">
        <f>'MARCH 20'!J24:J56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</row>
    <row r="25" spans="1:16" x14ac:dyDescent="0.25">
      <c r="A25" s="289" t="s">
        <v>435</v>
      </c>
      <c r="B25" s="208">
        <v>22</v>
      </c>
      <c r="C25" s="289"/>
      <c r="D25" s="289"/>
      <c r="E25" s="290">
        <f>'MARCH 20'!J25:J57</f>
        <v>400</v>
      </c>
      <c r="F25" s="290">
        <v>100</v>
      </c>
      <c r="G25" s="290">
        <v>3500</v>
      </c>
      <c r="H25" s="290">
        <f t="shared" si="1"/>
        <v>4000</v>
      </c>
      <c r="I25" s="152">
        <f>4000</f>
        <v>4000</v>
      </c>
      <c r="J25" s="152">
        <f t="shared" si="0"/>
        <v>0</v>
      </c>
      <c r="K25" s="129" t="s">
        <v>632</v>
      </c>
      <c r="P25">
        <f>2800+2800</f>
        <v>5600</v>
      </c>
    </row>
    <row r="26" spans="1:16" x14ac:dyDescent="0.25">
      <c r="A26" s="289" t="s">
        <v>347</v>
      </c>
      <c r="B26" s="208">
        <v>23</v>
      </c>
      <c r="C26" s="289"/>
      <c r="D26" s="289"/>
      <c r="E26" s="290">
        <f>'MARCH 20'!J26:J58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</row>
    <row r="27" spans="1:16" x14ac:dyDescent="0.25">
      <c r="A27" s="289" t="s">
        <v>488</v>
      </c>
      <c r="B27" s="208">
        <v>24</v>
      </c>
      <c r="C27" s="289"/>
      <c r="D27" s="289"/>
      <c r="E27" s="290">
        <f>'MARCH 20'!J27:J59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</row>
    <row r="28" spans="1:16" x14ac:dyDescent="0.25">
      <c r="A28" s="289" t="s">
        <v>462</v>
      </c>
      <c r="B28" s="208">
        <v>25</v>
      </c>
      <c r="C28" s="289"/>
      <c r="D28" s="289"/>
      <c r="E28" s="290">
        <f>'MARCH 20'!J28:J60</f>
        <v>0</v>
      </c>
      <c r="F28" s="290">
        <v>100</v>
      </c>
      <c r="G28" s="289">
        <v>3500</v>
      </c>
      <c r="H28" s="290">
        <f t="shared" si="1"/>
        <v>3600</v>
      </c>
      <c r="I28" s="152">
        <f>2500+1100</f>
        <v>3600</v>
      </c>
      <c r="J28" s="152">
        <f t="shared" si="0"/>
        <v>0</v>
      </c>
      <c r="K28" s="129" t="s">
        <v>628</v>
      </c>
    </row>
    <row r="29" spans="1:16" x14ac:dyDescent="0.25">
      <c r="A29" s="289" t="s">
        <v>599</v>
      </c>
      <c r="B29" s="208">
        <v>26</v>
      </c>
      <c r="C29" s="289"/>
      <c r="D29" s="289"/>
      <c r="E29" s="290">
        <f>'MARCH 20'!J29:J61</f>
        <v>0</v>
      </c>
      <c r="F29" s="290">
        <v>100</v>
      </c>
      <c r="G29" s="290">
        <v>3500</v>
      </c>
      <c r="H29" s="290">
        <f t="shared" si="1"/>
        <v>3600</v>
      </c>
      <c r="I29" s="152">
        <v>2000</v>
      </c>
      <c r="J29" s="152">
        <f>H29-I29</f>
        <v>1600</v>
      </c>
      <c r="K29" s="129"/>
    </row>
    <row r="30" spans="1:16" x14ac:dyDescent="0.25">
      <c r="A30" s="289" t="s">
        <v>572</v>
      </c>
      <c r="B30" s="208">
        <v>27</v>
      </c>
      <c r="C30" s="289"/>
      <c r="D30" s="289"/>
      <c r="E30" s="290">
        <f>'MARCH 20'!J30:J62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</row>
    <row r="31" spans="1:16" x14ac:dyDescent="0.25">
      <c r="A31" s="289" t="s">
        <v>592</v>
      </c>
      <c r="B31" s="208">
        <v>28</v>
      </c>
      <c r="C31" s="289"/>
      <c r="D31" s="289"/>
      <c r="E31" s="290">
        <f>'MARCH 20'!J31:J63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 t="s">
        <v>624</v>
      </c>
    </row>
    <row r="32" spans="1:16" x14ac:dyDescent="0.25">
      <c r="A32" s="289" t="s">
        <v>559</v>
      </c>
      <c r="B32" s="208">
        <v>29</v>
      </c>
      <c r="C32" s="289"/>
      <c r="D32" s="289"/>
      <c r="E32" s="290">
        <f>'MARCH 20'!J32:J64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</row>
    <row r="33" spans="1:15" x14ac:dyDescent="0.25">
      <c r="A33" s="289" t="s">
        <v>474</v>
      </c>
      <c r="B33" s="208">
        <v>30</v>
      </c>
      <c r="C33" s="289"/>
      <c r="D33" s="289"/>
      <c r="E33" s="290">
        <f>'MARCH 20'!J33:J65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 t="s">
        <v>624</v>
      </c>
    </row>
    <row r="34" spans="1:15" x14ac:dyDescent="0.25">
      <c r="A34" s="289" t="s">
        <v>610</v>
      </c>
      <c r="B34" s="208">
        <v>31</v>
      </c>
      <c r="C34" s="289"/>
      <c r="D34" s="289"/>
      <c r="E34" s="290">
        <f>'MARCH 20'!J34:J66</f>
        <v>0</v>
      </c>
      <c r="F34" s="290">
        <v>100</v>
      </c>
      <c r="G34" s="290">
        <v>3200</v>
      </c>
      <c r="H34" s="290">
        <f t="shared" si="1"/>
        <v>3300</v>
      </c>
      <c r="I34" s="152"/>
      <c r="J34" s="152">
        <f t="shared" si="0"/>
        <v>3300</v>
      </c>
      <c r="K34" s="129" t="s">
        <v>630</v>
      </c>
    </row>
    <row r="35" spans="1:15" x14ac:dyDescent="0.25">
      <c r="A35" s="289" t="s">
        <v>608</v>
      </c>
      <c r="B35" s="208">
        <v>32</v>
      </c>
      <c r="C35" s="289"/>
      <c r="D35" s="289"/>
      <c r="E35" s="290">
        <f>'MARCH 20'!J35:J67</f>
        <v>0</v>
      </c>
      <c r="F35" s="290">
        <v>100</v>
      </c>
      <c r="G35" s="290">
        <v>2700</v>
      </c>
      <c r="H35" s="290">
        <f t="shared" si="1"/>
        <v>2800</v>
      </c>
      <c r="I35" s="152">
        <v>2800</v>
      </c>
      <c r="J35" s="152">
        <f t="shared" si="0"/>
        <v>0</v>
      </c>
      <c r="K35" s="129"/>
    </row>
    <row r="36" spans="1:15" x14ac:dyDescent="0.25">
      <c r="A36" s="289" t="s">
        <v>600</v>
      </c>
      <c r="B36" s="208">
        <v>33</v>
      </c>
      <c r="C36" s="152"/>
      <c r="D36" s="152"/>
      <c r="E36" s="290">
        <f>'MARCH 20'!J36:J68</f>
        <v>0</v>
      </c>
      <c r="F36" s="152">
        <v>100</v>
      </c>
      <c r="G36" s="152">
        <v>2700</v>
      </c>
      <c r="H36" s="290">
        <f>D36+E36+F36+G36</f>
        <v>2800</v>
      </c>
      <c r="I36" s="152"/>
      <c r="J36" s="152">
        <f t="shared" si="0"/>
        <v>2800</v>
      </c>
      <c r="K36" s="129" t="s">
        <v>631</v>
      </c>
      <c r="O36">
        <f>J36+H36</f>
        <v>5600</v>
      </c>
    </row>
    <row r="37" spans="1:15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400</v>
      </c>
      <c r="F37" s="327">
        <f t="shared" si="2"/>
        <v>3200</v>
      </c>
      <c r="G37" s="327">
        <f t="shared" si="2"/>
        <v>102900</v>
      </c>
      <c r="H37" s="327">
        <f>SUM(H4:H36)</f>
        <v>106500</v>
      </c>
      <c r="I37" s="327">
        <f t="shared" si="2"/>
        <v>95800</v>
      </c>
      <c r="J37" s="152">
        <f>H37-I37</f>
        <v>10700</v>
      </c>
      <c r="K37" s="129"/>
    </row>
    <row r="38" spans="1:15" ht="13.5" customHeight="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/>
      <c r="K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</row>
    <row r="40" spans="1:15" x14ac:dyDescent="0.25">
      <c r="A40" s="152" t="s">
        <v>218</v>
      </c>
      <c r="B40" s="300">
        <f>G37</f>
        <v>102900</v>
      </c>
      <c r="C40" s="152"/>
      <c r="D40" s="152"/>
      <c r="E40" s="152"/>
      <c r="F40" s="152" t="s">
        <v>218</v>
      </c>
      <c r="G40" s="300">
        <f>I37</f>
        <v>95800</v>
      </c>
      <c r="H40" s="152"/>
      <c r="I40" s="152"/>
      <c r="J40" s="335"/>
      <c r="K40" s="336">
        <f>J38</f>
        <v>0</v>
      </c>
    </row>
    <row r="41" spans="1:15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0</v>
      </c>
      <c r="L41" s="332">
        <f>G40</f>
        <v>95800</v>
      </c>
    </row>
    <row r="42" spans="1:15" ht="10.5" customHeight="1" x14ac:dyDescent="0.25">
      <c r="A42" s="152" t="s">
        <v>368</v>
      </c>
      <c r="B42" s="300">
        <f>'MARCH 20'!D51</f>
        <v>-7400.070000000007</v>
      </c>
      <c r="C42" s="152"/>
      <c r="D42" s="152"/>
      <c r="E42" s="152"/>
      <c r="F42" s="152" t="s">
        <v>368</v>
      </c>
      <c r="G42" s="300">
        <f>'MARCH 20'!I51</f>
        <v>-7800.070000000007</v>
      </c>
      <c r="H42" s="152"/>
      <c r="I42" s="152"/>
      <c r="J42" s="286"/>
      <c r="K42" s="336"/>
      <c r="L42">
        <f>3000+4996</f>
        <v>7996</v>
      </c>
    </row>
    <row r="43" spans="1:15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G43*B40</f>
        <v>10290</v>
      </c>
      <c r="I43" s="152"/>
      <c r="J43" s="286"/>
      <c r="K43" s="286"/>
    </row>
    <row r="44" spans="1:15" ht="3.75" customHeight="1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  <c r="M44" s="332"/>
    </row>
    <row r="45" spans="1:15" ht="11.25" customHeight="1" x14ac:dyDescent="0.25">
      <c r="A45" s="298" t="s">
        <v>293</v>
      </c>
      <c r="B45" s="10"/>
      <c r="C45" s="10"/>
      <c r="D45" s="10"/>
      <c r="E45" s="152"/>
      <c r="F45" s="298" t="s">
        <v>293</v>
      </c>
      <c r="G45" s="152"/>
      <c r="H45" s="152"/>
      <c r="I45" s="152"/>
      <c r="J45" s="286"/>
      <c r="L45" s="332"/>
      <c r="M45" s="332"/>
    </row>
    <row r="46" spans="1:15" s="129" customFormat="1" ht="11.25" customHeight="1" x14ac:dyDescent="0.25">
      <c r="A46" s="298"/>
      <c r="B46" s="10"/>
      <c r="C46" s="10"/>
      <c r="D46" s="10"/>
      <c r="E46" s="152"/>
      <c r="F46" s="152" t="s">
        <v>161</v>
      </c>
      <c r="G46" s="152"/>
      <c r="H46" s="152">
        <f>F37</f>
        <v>3200</v>
      </c>
      <c r="I46" s="152"/>
      <c r="J46" s="286"/>
      <c r="L46" s="332"/>
      <c r="M46" s="332"/>
    </row>
    <row r="47" spans="1:15" x14ac:dyDescent="0.25">
      <c r="A47" s="305" t="s">
        <v>619</v>
      </c>
      <c r="B47" s="337"/>
      <c r="C47" s="338">
        <v>3000</v>
      </c>
      <c r="D47" s="339"/>
      <c r="E47" s="152"/>
      <c r="F47" s="305" t="s">
        <v>619</v>
      </c>
      <c r="G47" s="301"/>
      <c r="H47" s="300">
        <v>3000</v>
      </c>
      <c r="I47" s="152"/>
      <c r="J47" s="8"/>
      <c r="K47" s="332"/>
      <c r="L47" s="332"/>
      <c r="M47" s="332"/>
    </row>
    <row r="48" spans="1:15" x14ac:dyDescent="0.25">
      <c r="A48" s="303" t="s">
        <v>620</v>
      </c>
      <c r="B48" s="152"/>
      <c r="C48" s="152">
        <v>46180</v>
      </c>
      <c r="D48" s="152"/>
      <c r="E48" s="152"/>
      <c r="F48" s="303" t="s">
        <v>620</v>
      </c>
      <c r="G48" s="152"/>
      <c r="H48" s="152">
        <v>46180</v>
      </c>
      <c r="I48" s="152"/>
      <c r="J48" s="8"/>
      <c r="K48" s="332"/>
      <c r="L48" s="332"/>
      <c r="M48" s="332"/>
    </row>
    <row r="49" spans="1:14" x14ac:dyDescent="0.25">
      <c r="A49" s="303" t="s">
        <v>621</v>
      </c>
      <c r="B49" s="152"/>
      <c r="C49" s="152">
        <v>1000</v>
      </c>
      <c r="D49" s="152"/>
      <c r="E49" s="152"/>
      <c r="F49" s="303" t="s">
        <v>621</v>
      </c>
      <c r="G49" s="152"/>
      <c r="H49" s="152">
        <v>1000</v>
      </c>
      <c r="I49" s="152"/>
      <c r="J49" s="8"/>
      <c r="K49" s="332"/>
    </row>
    <row r="50" spans="1:14" x14ac:dyDescent="0.25">
      <c r="A50" s="303" t="s">
        <v>623</v>
      </c>
      <c r="B50" s="301"/>
      <c r="C50" s="152">
        <v>2100</v>
      </c>
      <c r="D50" s="152"/>
      <c r="E50" s="152"/>
      <c r="F50" s="303" t="s">
        <v>623</v>
      </c>
      <c r="G50" s="301"/>
      <c r="H50" s="152">
        <v>2100</v>
      </c>
      <c r="I50" s="152"/>
      <c r="J50" s="8"/>
      <c r="K50" s="129"/>
    </row>
    <row r="51" spans="1:14" s="129" customFormat="1" x14ac:dyDescent="0.25">
      <c r="A51" s="303" t="s">
        <v>625</v>
      </c>
      <c r="B51" s="301"/>
      <c r="C51" s="152">
        <v>3300</v>
      </c>
      <c r="D51" s="152"/>
      <c r="E51" s="152"/>
      <c r="F51" s="303" t="s">
        <v>625</v>
      </c>
      <c r="G51" s="301"/>
      <c r="H51" s="152">
        <v>3300</v>
      </c>
      <c r="I51" s="152"/>
      <c r="J51" s="8"/>
    </row>
    <row r="52" spans="1:14" s="129" customFormat="1" x14ac:dyDescent="0.25">
      <c r="A52" s="303" t="s">
        <v>626</v>
      </c>
      <c r="B52" s="301"/>
      <c r="C52" s="152">
        <v>15000</v>
      </c>
      <c r="D52" s="152"/>
      <c r="E52" s="152"/>
      <c r="F52" s="303" t="s">
        <v>626</v>
      </c>
      <c r="G52" s="301"/>
      <c r="H52" s="152">
        <v>15000</v>
      </c>
      <c r="I52" s="152"/>
      <c r="J52" s="8"/>
    </row>
    <row r="53" spans="1:14" s="129" customFormat="1" x14ac:dyDescent="0.25">
      <c r="A53" s="303" t="s">
        <v>646</v>
      </c>
      <c r="B53" s="301"/>
      <c r="C53" s="152">
        <v>3400</v>
      </c>
      <c r="D53" s="152"/>
      <c r="E53" s="152"/>
      <c r="F53" s="303" t="s">
        <v>646</v>
      </c>
      <c r="G53" s="301"/>
      <c r="H53" s="152">
        <v>3400</v>
      </c>
      <c r="I53" s="152"/>
      <c r="J53" s="8"/>
    </row>
    <row r="54" spans="1:14" s="129" customFormat="1" x14ac:dyDescent="0.25">
      <c r="A54" s="303" t="s">
        <v>222</v>
      </c>
      <c r="B54" s="301"/>
      <c r="C54" s="152">
        <v>10000</v>
      </c>
      <c r="D54" s="152"/>
      <c r="E54" s="152"/>
      <c r="F54" s="303" t="s">
        <v>222</v>
      </c>
      <c r="G54" s="301"/>
      <c r="H54" s="152">
        <v>10000</v>
      </c>
      <c r="I54" s="152"/>
      <c r="J54" s="8"/>
    </row>
    <row r="55" spans="1:14" s="129" customFormat="1" x14ac:dyDescent="0.25">
      <c r="A55" s="303" t="s">
        <v>633</v>
      </c>
      <c r="B55" s="301"/>
      <c r="C55" s="152">
        <v>3086</v>
      </c>
      <c r="D55" s="152"/>
      <c r="E55" s="152"/>
      <c r="F55" s="303" t="s">
        <v>84</v>
      </c>
      <c r="G55" s="301"/>
      <c r="H55" s="152">
        <v>3086</v>
      </c>
      <c r="I55" s="152"/>
      <c r="J55" s="8"/>
    </row>
    <row r="56" spans="1:14" ht="13.5" customHeight="1" x14ac:dyDescent="0.25">
      <c r="A56" s="303"/>
      <c r="B56" s="301"/>
      <c r="C56" s="152"/>
      <c r="D56" s="152"/>
      <c r="E56" s="152"/>
      <c r="F56" s="303"/>
      <c r="G56" s="301"/>
      <c r="H56" s="152"/>
      <c r="I56" s="152"/>
      <c r="J56" s="8"/>
      <c r="K56" s="129"/>
      <c r="N56" s="332"/>
    </row>
    <row r="57" spans="1:14" x14ac:dyDescent="0.25">
      <c r="A57" s="296" t="s">
        <v>4</v>
      </c>
      <c r="B57" s="309">
        <f>B40+B41+B42-C43</f>
        <v>85209.93</v>
      </c>
      <c r="C57" s="309">
        <f>SUM(C47:C56)</f>
        <v>87066</v>
      </c>
      <c r="D57" s="309">
        <f>B57-C57</f>
        <v>-1856.070000000007</v>
      </c>
      <c r="E57" s="297"/>
      <c r="F57" s="296" t="s">
        <v>4</v>
      </c>
      <c r="G57" s="300">
        <f>G40+G41+G42-H43-H44</f>
        <v>77709.929999999993</v>
      </c>
      <c r="H57" s="300">
        <f>SUM(H46:H56 )</f>
        <v>90266</v>
      </c>
      <c r="I57" s="300">
        <f>G57-H57</f>
        <v>-12556.070000000007</v>
      </c>
      <c r="J57" s="152"/>
      <c r="K57" s="129"/>
      <c r="L57" s="332"/>
    </row>
    <row r="58" spans="1:14" x14ac:dyDescent="0.25">
      <c r="A58" s="92" t="s">
        <v>112</v>
      </c>
      <c r="B58" s="92"/>
      <c r="C58" s="12"/>
      <c r="D58" s="12" t="s">
        <v>113</v>
      </c>
      <c r="E58" s="12"/>
      <c r="F58" s="12"/>
      <c r="G58" s="303" t="s">
        <v>571</v>
      </c>
      <c r="H58" s="152"/>
      <c r="I58" s="152"/>
      <c r="J58" s="152"/>
      <c r="K58" s="129"/>
      <c r="L58" s="332"/>
    </row>
    <row r="59" spans="1:14" x14ac:dyDescent="0.25">
      <c r="A59" s="12" t="s">
        <v>570</v>
      </c>
      <c r="B59" s="12"/>
      <c r="C59" s="12"/>
      <c r="D59" s="12" t="s">
        <v>441</v>
      </c>
      <c r="E59" s="12"/>
      <c r="F59" s="12"/>
      <c r="G59" s="303" t="s">
        <v>523</v>
      </c>
      <c r="H59" s="301"/>
      <c r="I59" s="152"/>
      <c r="J59" s="152"/>
      <c r="K59" s="129"/>
      <c r="L59" s="332"/>
    </row>
    <row r="60" spans="1:14" x14ac:dyDescent="0.25">
      <c r="A60" s="12"/>
      <c r="B60" s="12"/>
      <c r="C60" s="12"/>
      <c r="D60" s="12"/>
      <c r="E60" s="12"/>
      <c r="F60" s="12"/>
      <c r="G60" s="303"/>
      <c r="H60" s="152"/>
      <c r="I60" s="152"/>
      <c r="J60" s="152"/>
      <c r="K60" s="129"/>
    </row>
    <row r="61" spans="1:14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</row>
    <row r="62" spans="1:14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</row>
  </sheetData>
  <pageMargins left="0.7" right="0.7" top="0" bottom="0" header="0.3" footer="0.3"/>
  <pageSetup orientation="portrait" horizontalDpi="0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9" workbookViewId="0">
      <selection activeCell="N47" sqref="N47"/>
    </sheetView>
  </sheetViews>
  <sheetFormatPr defaultRowHeight="15" x14ac:dyDescent="0.25"/>
  <cols>
    <col min="1" max="1" width="14.42578125" customWidth="1"/>
    <col min="2" max="2" width="7" customWidth="1"/>
    <col min="3" max="3" width="7.28515625" customWidth="1"/>
    <col min="4" max="4" width="8.5703125" customWidth="1"/>
    <col min="7" max="7" width="7.7109375" customWidth="1"/>
    <col min="9" max="9" width="7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627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'APRIL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'APRIL 20'!J5:J37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'APRIL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'APRIL 20'!J7:J39</f>
        <v>0</v>
      </c>
      <c r="F7" s="290">
        <v>100</v>
      </c>
      <c r="G7" s="290">
        <v>4000</v>
      </c>
      <c r="H7" s="290">
        <f t="shared" si="1"/>
        <v>4100</v>
      </c>
      <c r="I7" s="152">
        <f>2100+2000</f>
        <v>4100</v>
      </c>
      <c r="J7" s="152">
        <f t="shared" si="0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'APRIL 20'!J8:J40</f>
        <v>0</v>
      </c>
      <c r="F8" s="290"/>
      <c r="G8" s="290">
        <v>4000</v>
      </c>
      <c r="H8" s="290">
        <f t="shared" si="1"/>
        <v>4000</v>
      </c>
      <c r="I8" s="152">
        <v>800</v>
      </c>
      <c r="J8" s="152">
        <f t="shared" si="0"/>
        <v>3200</v>
      </c>
      <c r="K8" s="129"/>
      <c r="L8" s="129"/>
    </row>
    <row r="9" spans="1:12" x14ac:dyDescent="0.25">
      <c r="A9" s="152" t="s">
        <v>609</v>
      </c>
      <c r="B9" s="208">
        <v>6</v>
      </c>
      <c r="C9" s="152"/>
      <c r="D9" s="152"/>
      <c r="E9" s="290">
        <f>'APRIL 20'!J9:J41</f>
        <v>200</v>
      </c>
      <c r="F9" s="152">
        <v>100</v>
      </c>
      <c r="G9" s="152">
        <v>2700</v>
      </c>
      <c r="H9" s="290">
        <f t="shared" si="1"/>
        <v>3000</v>
      </c>
      <c r="I9" s="152"/>
      <c r="J9" s="152">
        <f t="shared" si="0"/>
        <v>3000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'APRIL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</row>
    <row r="11" spans="1:12" x14ac:dyDescent="0.25">
      <c r="A11" s="289" t="s">
        <v>565</v>
      </c>
      <c r="B11" s="292">
        <v>8</v>
      </c>
      <c r="C11" s="289"/>
      <c r="D11" s="289"/>
      <c r="E11" s="290">
        <f>'APRIL 20'!J11:J43</f>
        <v>0</v>
      </c>
      <c r="F11" s="290">
        <v>100</v>
      </c>
      <c r="G11" s="290">
        <v>2700</v>
      </c>
      <c r="H11" s="290">
        <f>C11+E11+F11+G11</f>
        <v>2800</v>
      </c>
      <c r="I11" s="152"/>
      <c r="J11" s="152">
        <f t="shared" si="0"/>
        <v>2800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'APRIL 20'!J12:J44</f>
        <v>0</v>
      </c>
      <c r="F12" s="290">
        <v>100</v>
      </c>
      <c r="G12" s="290">
        <v>2700</v>
      </c>
      <c r="H12" s="290">
        <f t="shared" si="1"/>
        <v>2800</v>
      </c>
      <c r="I12" s="152"/>
      <c r="J12" s="152">
        <f t="shared" si="0"/>
        <v>2800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'APRIL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'APRIL 20'!J14:J47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'APRIL 20'!J15:J48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'APRIL 20'!J16:J49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'APRIL 20'!J17:J50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'APRIL 20'!J18:J51</f>
        <v>0</v>
      </c>
      <c r="F18" s="290">
        <v>100</v>
      </c>
      <c r="G18" s="290">
        <v>2700</v>
      </c>
      <c r="H18" s="290">
        <f t="shared" si="1"/>
        <v>2800</v>
      </c>
      <c r="I18" s="152">
        <v>1800</v>
      </c>
      <c r="J18" s="152">
        <f t="shared" si="0"/>
        <v>1000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'APRIL 20'!J19:J52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'APRIL 20'!J20:J56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'APRIL 20'!J21:J57</f>
        <v>2800</v>
      </c>
      <c r="F21" s="290">
        <v>100</v>
      </c>
      <c r="G21" s="290">
        <v>2700</v>
      </c>
      <c r="H21" s="290">
        <f t="shared" si="1"/>
        <v>5600</v>
      </c>
      <c r="I21" s="152"/>
      <c r="J21" s="152">
        <f t="shared" si="0"/>
        <v>5600</v>
      </c>
      <c r="K21" s="129"/>
      <c r="L21" s="129"/>
    </row>
    <row r="22" spans="1:12" x14ac:dyDescent="0.25">
      <c r="A22" s="311" t="s">
        <v>590</v>
      </c>
      <c r="B22" s="312">
        <v>19</v>
      </c>
      <c r="C22" s="311"/>
      <c r="D22" s="311"/>
      <c r="E22" s="290">
        <f>'APRIL 20'!J22:J58</f>
        <v>0</v>
      </c>
      <c r="F22" s="313">
        <v>100</v>
      </c>
      <c r="G22" s="313">
        <v>2700</v>
      </c>
      <c r="H22" s="290">
        <f t="shared" si="1"/>
        <v>2800</v>
      </c>
      <c r="I22" s="297"/>
      <c r="J22" s="152">
        <f t="shared" si="0"/>
        <v>2800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'APRIL 20'!J23:J59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289"/>
      <c r="E24" s="290">
        <f>'APRIL 20'!J24:J60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'APRIL 20'!J25:J61</f>
        <v>0</v>
      </c>
      <c r="F25" s="290">
        <v>100</v>
      </c>
      <c r="G25" s="290">
        <v>3500</v>
      </c>
      <c r="H25" s="290">
        <f t="shared" si="1"/>
        <v>3600</v>
      </c>
      <c r="I25" s="152">
        <f>3000</f>
        <v>3000</v>
      </c>
      <c r="J25" s="152">
        <f t="shared" si="0"/>
        <v>600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'APRIL 20'!J26:J62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'APRIL 20'!J27:J63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'APRIL 20'!J28:J64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</row>
    <row r="29" spans="1:12" x14ac:dyDescent="0.25">
      <c r="A29" s="289" t="s">
        <v>599</v>
      </c>
      <c r="B29" s="208">
        <v>26</v>
      </c>
      <c r="C29" s="289"/>
      <c r="D29" s="289"/>
      <c r="E29" s="290">
        <f>'APRIL 20'!J29:J65</f>
        <v>1600</v>
      </c>
      <c r="F29" s="290"/>
      <c r="G29" s="290">
        <v>3500</v>
      </c>
      <c r="H29" s="290">
        <f t="shared" si="1"/>
        <v>5100</v>
      </c>
      <c r="I29" s="152">
        <v>5100</v>
      </c>
      <c r="J29" s="152">
        <f>H29-I29</f>
        <v>0</v>
      </c>
      <c r="K29" s="129" t="s">
        <v>562</v>
      </c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'APRIL 20'!J30:J66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</row>
    <row r="31" spans="1:12" x14ac:dyDescent="0.25">
      <c r="A31" s="289" t="s">
        <v>446</v>
      </c>
      <c r="B31" s="208">
        <v>28</v>
      </c>
      <c r="C31" s="289"/>
      <c r="D31" s="289"/>
      <c r="E31" s="290">
        <f>'APRIL 20'!J31:J67</f>
        <v>0</v>
      </c>
      <c r="F31" s="290"/>
      <c r="G31" s="293"/>
      <c r="H31" s="290">
        <f t="shared" si="1"/>
        <v>0</v>
      </c>
      <c r="I31" s="152"/>
      <c r="J31" s="152">
        <f t="shared" si="0"/>
        <v>0</v>
      </c>
      <c r="K31" s="129"/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'APRIL 20'!J32:J68</f>
        <v>0</v>
      </c>
      <c r="F32" s="290">
        <v>100</v>
      </c>
      <c r="G32" s="290">
        <v>3300</v>
      </c>
      <c r="H32" s="290">
        <f t="shared" si="1"/>
        <v>3400</v>
      </c>
      <c r="I32" s="152">
        <f>3000+400</f>
        <v>3400</v>
      </c>
      <c r="J32" s="152">
        <f t="shared" si="0"/>
        <v>0</v>
      </c>
      <c r="K32" s="129"/>
      <c r="L32" s="129"/>
    </row>
    <row r="33" spans="1:12" x14ac:dyDescent="0.25">
      <c r="A33" s="289" t="s">
        <v>446</v>
      </c>
      <c r="B33" s="208">
        <v>30</v>
      </c>
      <c r="C33" s="289"/>
      <c r="D33" s="289"/>
      <c r="E33" s="290">
        <f>'APRIL 20'!J33:J69</f>
        <v>0</v>
      </c>
      <c r="F33" s="290"/>
      <c r="G33" s="290"/>
      <c r="H33" s="290">
        <f t="shared" si="1"/>
        <v>0</v>
      </c>
      <c r="I33" s="152"/>
      <c r="J33" s="152">
        <f t="shared" si="0"/>
        <v>0</v>
      </c>
      <c r="K33" s="129"/>
      <c r="L33" s="129"/>
    </row>
    <row r="34" spans="1:12" x14ac:dyDescent="0.25">
      <c r="A34" s="289" t="s">
        <v>610</v>
      </c>
      <c r="B34" s="208">
        <v>31</v>
      </c>
      <c r="C34" s="289"/>
      <c r="D34" s="289"/>
      <c r="E34" s="290">
        <f>'APRIL 20'!J34:J70</f>
        <v>3300</v>
      </c>
      <c r="F34" s="290">
        <v>100</v>
      </c>
      <c r="G34" s="290">
        <v>3200</v>
      </c>
      <c r="H34" s="290">
        <f t="shared" si="1"/>
        <v>6600</v>
      </c>
      <c r="I34" s="152"/>
      <c r="J34" s="152">
        <f t="shared" si="0"/>
        <v>6600</v>
      </c>
      <c r="K34" s="129"/>
      <c r="L34" s="129"/>
    </row>
    <row r="35" spans="1:12" x14ac:dyDescent="0.25">
      <c r="A35" s="289" t="s">
        <v>608</v>
      </c>
      <c r="B35" s="208">
        <v>32</v>
      </c>
      <c r="C35" s="289"/>
      <c r="D35" s="289"/>
      <c r="E35" s="290">
        <f>'APRIL 20'!J35:J71</f>
        <v>0</v>
      </c>
      <c r="F35" s="290">
        <v>100</v>
      </c>
      <c r="G35" s="290">
        <v>2700</v>
      </c>
      <c r="H35" s="290">
        <f t="shared" si="1"/>
        <v>2800</v>
      </c>
      <c r="I35" s="152">
        <v>2800</v>
      </c>
      <c r="J35" s="152">
        <f t="shared" si="0"/>
        <v>0</v>
      </c>
      <c r="K35" s="129"/>
      <c r="L35" s="129"/>
    </row>
    <row r="36" spans="1:12" x14ac:dyDescent="0.25">
      <c r="A36" s="289" t="s">
        <v>446</v>
      </c>
      <c r="B36" s="208">
        <v>33</v>
      </c>
      <c r="C36" s="152"/>
      <c r="D36" s="152"/>
      <c r="E36" s="290">
        <f>'APRIL 20'!J36:J72</f>
        <v>2800</v>
      </c>
      <c r="F36" s="152"/>
      <c r="G36" s="152"/>
      <c r="H36" s="290">
        <f>D36+E36+F36+G36</f>
        <v>2800</v>
      </c>
      <c r="I36" s="152">
        <v>2800</v>
      </c>
      <c r="J36" s="152">
        <f t="shared" si="0"/>
        <v>0</v>
      </c>
      <c r="K36" s="129" t="s">
        <v>562</v>
      </c>
      <c r="L36" s="129"/>
    </row>
    <row r="37" spans="1:12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10700</v>
      </c>
      <c r="F37" s="327">
        <f t="shared" si="2"/>
        <v>2700</v>
      </c>
      <c r="G37" s="327">
        <f t="shared" si="2"/>
        <v>93700</v>
      </c>
      <c r="H37" s="327">
        <f>SUM(H4:H36)</f>
        <v>107100</v>
      </c>
      <c r="I37" s="327">
        <f t="shared" si="2"/>
        <v>78700</v>
      </c>
      <c r="J37" s="152">
        <f>H37-I37</f>
        <v>28400</v>
      </c>
      <c r="K37" s="129"/>
      <c r="L37" s="129"/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/>
      <c r="K38" s="129"/>
      <c r="L38" s="129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2" x14ac:dyDescent="0.25">
      <c r="A40" s="152" t="s">
        <v>130</v>
      </c>
      <c r="B40" s="300">
        <f>G37</f>
        <v>93700</v>
      </c>
      <c r="C40" s="152"/>
      <c r="D40" s="152"/>
      <c r="E40" s="152"/>
      <c r="F40" s="152" t="s">
        <v>130</v>
      </c>
      <c r="G40" s="300">
        <f>I37</f>
        <v>78700</v>
      </c>
      <c r="H40" s="152"/>
      <c r="I40" s="152"/>
      <c r="J40" s="335"/>
      <c r="K40" s="336">
        <f>J38</f>
        <v>0</v>
      </c>
      <c r="L40" s="129"/>
    </row>
    <row r="41" spans="1:12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0</v>
      </c>
      <c r="L41" s="129"/>
    </row>
    <row r="42" spans="1:12" x14ac:dyDescent="0.25">
      <c r="A42" s="152" t="s">
        <v>368</v>
      </c>
      <c r="B42" s="300">
        <f>'APRIL 20'!D57</f>
        <v>-1856.070000000007</v>
      </c>
      <c r="C42" s="152"/>
      <c r="D42" s="152"/>
      <c r="E42" s="152"/>
      <c r="F42" s="152" t="s">
        <v>368</v>
      </c>
      <c r="G42" s="300">
        <f>'APRIL 20'!I57</f>
        <v>-12556.070000000007</v>
      </c>
      <c r="H42" s="152"/>
      <c r="I42" s="152"/>
      <c r="J42" s="286"/>
      <c r="K42" s="336"/>
      <c r="L42" s="129"/>
    </row>
    <row r="43" spans="1:12" x14ac:dyDescent="0.25">
      <c r="A43" s="152" t="s">
        <v>410</v>
      </c>
      <c r="B43" s="301">
        <v>0.1</v>
      </c>
      <c r="C43" s="300">
        <f>B43*B40</f>
        <v>9370</v>
      </c>
      <c r="D43" s="152"/>
      <c r="E43" s="152"/>
      <c r="F43" s="152" t="s">
        <v>410</v>
      </c>
      <c r="G43" s="301">
        <v>0.1</v>
      </c>
      <c r="H43" s="300">
        <f>G43*B40</f>
        <v>9370</v>
      </c>
      <c r="I43" s="152"/>
      <c r="J43" s="286"/>
      <c r="K43" s="286"/>
      <c r="L43" s="129"/>
    </row>
    <row r="44" spans="1:12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</row>
    <row r="45" spans="1:12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</row>
    <row r="46" spans="1:12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2700</v>
      </c>
      <c r="I46" s="152"/>
      <c r="J46" s="8"/>
      <c r="K46" s="332"/>
      <c r="L46" s="332"/>
    </row>
    <row r="47" spans="1:12" x14ac:dyDescent="0.25">
      <c r="A47" s="303" t="s">
        <v>642</v>
      </c>
      <c r="B47" s="152"/>
      <c r="C47" s="152">
        <v>2800</v>
      </c>
      <c r="D47" s="152"/>
      <c r="E47" s="152"/>
      <c r="F47" s="303" t="s">
        <v>642</v>
      </c>
      <c r="G47" s="152"/>
      <c r="H47" s="152">
        <v>2800</v>
      </c>
      <c r="I47" s="152"/>
      <c r="J47" s="8"/>
      <c r="K47" s="332"/>
      <c r="L47" s="129"/>
    </row>
    <row r="48" spans="1:12" x14ac:dyDescent="0.25">
      <c r="A48" s="303" t="s">
        <v>641</v>
      </c>
      <c r="B48" s="301"/>
      <c r="C48" s="152">
        <f>H21</f>
        <v>5600</v>
      </c>
      <c r="D48" s="152"/>
      <c r="E48" s="152"/>
      <c r="F48" s="303" t="s">
        <v>641</v>
      </c>
      <c r="G48" s="301"/>
      <c r="H48" s="152"/>
      <c r="I48" s="152"/>
      <c r="J48" s="8"/>
      <c r="K48" s="129"/>
      <c r="L48" s="129"/>
    </row>
    <row r="49" spans="1:16" x14ac:dyDescent="0.25">
      <c r="A49" s="303" t="s">
        <v>643</v>
      </c>
      <c r="B49" s="301"/>
      <c r="C49" s="152">
        <f>H34</f>
        <v>6600</v>
      </c>
      <c r="D49" s="152"/>
      <c r="E49" s="152"/>
      <c r="F49" s="303" t="s">
        <v>645</v>
      </c>
      <c r="G49" s="301"/>
      <c r="H49" s="152">
        <v>6600</v>
      </c>
      <c r="I49" s="152"/>
      <c r="J49" s="8"/>
      <c r="K49" s="129"/>
      <c r="L49" s="332"/>
    </row>
    <row r="50" spans="1:16" s="129" customFormat="1" x14ac:dyDescent="0.25">
      <c r="A50" s="303" t="s">
        <v>634</v>
      </c>
      <c r="B50" s="301"/>
      <c r="C50" s="152">
        <v>69870</v>
      </c>
      <c r="D50" s="152"/>
      <c r="E50" s="152"/>
      <c r="F50" s="303" t="s">
        <v>634</v>
      </c>
      <c r="G50" s="301"/>
      <c r="H50" s="152">
        <v>69870</v>
      </c>
      <c r="I50" s="152"/>
      <c r="J50" s="8"/>
      <c r="L50" s="332"/>
    </row>
    <row r="51" spans="1:16" s="129" customFormat="1" x14ac:dyDescent="0.25">
      <c r="A51" s="303" t="s">
        <v>635</v>
      </c>
      <c r="B51" s="301"/>
      <c r="C51" s="152">
        <v>10000</v>
      </c>
      <c r="D51" s="152"/>
      <c r="E51" s="152"/>
      <c r="F51" s="303" t="s">
        <v>635</v>
      </c>
      <c r="G51" s="301"/>
      <c r="H51" s="152">
        <v>10000</v>
      </c>
      <c r="I51" s="152"/>
      <c r="J51" s="8"/>
      <c r="L51" s="332"/>
    </row>
    <row r="52" spans="1:16" x14ac:dyDescent="0.25">
      <c r="A52" s="303" t="s">
        <v>644</v>
      </c>
      <c r="B52" s="301"/>
      <c r="C52" s="152">
        <v>5100</v>
      </c>
      <c r="D52" s="152"/>
      <c r="E52" s="152"/>
      <c r="F52" s="303" t="s">
        <v>599</v>
      </c>
      <c r="G52" s="301"/>
      <c r="H52" s="152">
        <v>5100</v>
      </c>
      <c r="I52" s="152"/>
      <c r="J52" s="8"/>
      <c r="K52" s="129"/>
      <c r="L52" s="129"/>
    </row>
    <row r="53" spans="1:16" x14ac:dyDescent="0.25">
      <c r="A53" s="296" t="s">
        <v>4</v>
      </c>
      <c r="B53" s="309">
        <f>B40+B41+B42-C43</f>
        <v>82473.929999999993</v>
      </c>
      <c r="C53" s="309">
        <f>SUM(C46:C52)</f>
        <v>99970</v>
      </c>
      <c r="D53" s="309">
        <f>B53-C53</f>
        <v>-17496.070000000007</v>
      </c>
      <c r="E53" s="297"/>
      <c r="F53" s="296" t="s">
        <v>4</v>
      </c>
      <c r="G53" s="300">
        <f>G40+G41+G42-H43-H44</f>
        <v>56773.929999999993</v>
      </c>
      <c r="H53" s="300">
        <f>SUM(H46:H52 )</f>
        <v>97070</v>
      </c>
      <c r="I53" s="300">
        <f>G53-H53</f>
        <v>-40296.070000000007</v>
      </c>
      <c r="J53" s="152"/>
      <c r="K53" s="129"/>
      <c r="L53" s="332"/>
    </row>
    <row r="54" spans="1:16" x14ac:dyDescent="0.25">
      <c r="A54" s="92" t="s">
        <v>112</v>
      </c>
      <c r="B54" s="92"/>
      <c r="C54" s="12"/>
      <c r="D54" s="12" t="s">
        <v>113</v>
      </c>
      <c r="E54" s="12"/>
      <c r="F54" s="12"/>
      <c r="G54" s="303" t="s">
        <v>571</v>
      </c>
      <c r="H54" s="152"/>
      <c r="I54" s="152"/>
      <c r="J54" s="152"/>
      <c r="K54" s="129"/>
      <c r="L54" s="332"/>
    </row>
    <row r="55" spans="1:16" x14ac:dyDescent="0.25">
      <c r="A55" s="12" t="s">
        <v>570</v>
      </c>
      <c r="B55" s="12"/>
      <c r="C55" s="12"/>
      <c r="D55" s="12" t="s">
        <v>441</v>
      </c>
      <c r="E55" s="12"/>
      <c r="F55" s="12"/>
      <c r="G55" s="303" t="s">
        <v>523</v>
      </c>
      <c r="H55" s="301"/>
      <c r="I55" s="152"/>
      <c r="J55" s="152"/>
      <c r="K55" s="129"/>
      <c r="L55" s="332"/>
      <c r="P55" s="332"/>
    </row>
    <row r="56" spans="1:16" x14ac:dyDescent="0.25">
      <c r="A56" s="12"/>
      <c r="B56" s="12"/>
      <c r="C56" s="12"/>
      <c r="D56" s="12"/>
      <c r="E56" s="12"/>
      <c r="F56" s="12"/>
      <c r="G56" s="303"/>
      <c r="H56" s="152"/>
      <c r="I56" s="152"/>
      <c r="J56" s="152"/>
      <c r="K56" s="332"/>
      <c r="L56" s="129"/>
    </row>
    <row r="57" spans="1:1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</sheetData>
  <pageMargins left="0.7" right="0.7" top="0" bottom="0" header="0.3" footer="0.3"/>
  <pageSetup orientation="portrait" horizontalDpi="0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22" workbookViewId="0">
      <selection activeCell="P42" sqref="P42"/>
    </sheetView>
  </sheetViews>
  <sheetFormatPr defaultRowHeight="15" x14ac:dyDescent="0.25"/>
  <cols>
    <col min="1" max="1" width="15.85546875" customWidth="1"/>
    <col min="2" max="2" width="7.7109375" customWidth="1"/>
    <col min="3" max="3" width="8.85546875" customWidth="1"/>
  </cols>
  <sheetData>
    <row r="1" spans="1:14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  <c r="N1" s="129"/>
    </row>
    <row r="2" spans="1:14" x14ac:dyDescent="0.25">
      <c r="A2" s="129"/>
      <c r="B2" s="129"/>
      <c r="C2" s="286" t="s">
        <v>501</v>
      </c>
      <c r="D2" s="286"/>
      <c r="E2" s="286" t="s">
        <v>636</v>
      </c>
      <c r="F2" s="129"/>
      <c r="G2" s="23"/>
      <c r="H2" s="23"/>
      <c r="I2" s="31"/>
      <c r="J2" s="31"/>
      <c r="K2" s="129"/>
      <c r="L2" s="129"/>
      <c r="M2" s="129"/>
      <c r="N2" s="129"/>
    </row>
    <row r="3" spans="1:14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  <c r="N3" s="129"/>
    </row>
    <row r="4" spans="1:14" x14ac:dyDescent="0.25">
      <c r="A4" s="289" t="s">
        <v>275</v>
      </c>
      <c r="B4" s="208">
        <v>1</v>
      </c>
      <c r="C4" s="289"/>
      <c r="D4" s="289"/>
      <c r="E4" s="290">
        <f>'MAY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  <c r="N4" s="129"/>
    </row>
    <row r="5" spans="1:14" x14ac:dyDescent="0.25">
      <c r="A5" s="291" t="s">
        <v>505</v>
      </c>
      <c r="B5" s="208">
        <v>2</v>
      </c>
      <c r="C5" s="289"/>
      <c r="D5" s="289"/>
      <c r="E5" s="290">
        <f>'MAY 20'!J5:J37</f>
        <v>0</v>
      </c>
      <c r="F5" s="290">
        <v>100</v>
      </c>
      <c r="G5" s="290">
        <v>3300</v>
      </c>
      <c r="H5" s="290">
        <f>D5+E5+F5+G5</f>
        <v>3400</v>
      </c>
      <c r="I5" s="152">
        <f>2000</f>
        <v>2000</v>
      </c>
      <c r="J5" s="152">
        <f t="shared" ref="J5:J36" si="0">H5-I5</f>
        <v>1400</v>
      </c>
      <c r="K5" s="129"/>
      <c r="L5" s="129"/>
      <c r="M5" s="129"/>
      <c r="N5" s="129"/>
    </row>
    <row r="6" spans="1:14" x14ac:dyDescent="0.25">
      <c r="A6" s="289" t="s">
        <v>560</v>
      </c>
      <c r="B6" s="208">
        <v>3</v>
      </c>
      <c r="C6" s="289"/>
      <c r="D6" s="289"/>
      <c r="E6" s="290">
        <f>'MAY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  <c r="M6" s="129"/>
      <c r="N6" s="129"/>
    </row>
    <row r="7" spans="1:14" x14ac:dyDescent="0.25">
      <c r="A7" s="289" t="s">
        <v>458</v>
      </c>
      <c r="B7" s="208">
        <v>4</v>
      </c>
      <c r="C7" s="289"/>
      <c r="D7" s="289"/>
      <c r="E7" s="290">
        <f>'MAY 20'!J7:J39</f>
        <v>0</v>
      </c>
      <c r="F7" s="290">
        <v>100</v>
      </c>
      <c r="G7" s="290">
        <v>4000</v>
      </c>
      <c r="H7" s="290">
        <f t="shared" si="1"/>
        <v>4100</v>
      </c>
      <c r="I7" s="152"/>
      <c r="J7" s="152">
        <f t="shared" si="0"/>
        <v>4100</v>
      </c>
      <c r="K7" s="129"/>
      <c r="L7" s="129"/>
      <c r="M7" s="129"/>
      <c r="N7" s="129"/>
    </row>
    <row r="8" spans="1:14" x14ac:dyDescent="0.25">
      <c r="A8" s="289" t="s">
        <v>417</v>
      </c>
      <c r="B8" s="208">
        <v>5</v>
      </c>
      <c r="C8" s="289"/>
      <c r="D8" s="289"/>
      <c r="E8" s="290">
        <f>'MAY 20'!J8:J40</f>
        <v>3200</v>
      </c>
      <c r="F8" s="290"/>
      <c r="G8" s="290">
        <v>4000</v>
      </c>
      <c r="H8" s="290">
        <f t="shared" si="1"/>
        <v>7200</v>
      </c>
      <c r="I8" s="152"/>
      <c r="J8" s="152">
        <f t="shared" si="0"/>
        <v>7200</v>
      </c>
      <c r="K8" s="129"/>
      <c r="L8" s="129"/>
      <c r="M8" s="129"/>
      <c r="N8" s="129"/>
    </row>
    <row r="9" spans="1:14" x14ac:dyDescent="0.25">
      <c r="A9" s="152" t="s">
        <v>609</v>
      </c>
      <c r="B9" s="208">
        <v>6</v>
      </c>
      <c r="C9" s="152"/>
      <c r="D9" s="152"/>
      <c r="E9" s="290">
        <f>'MAY 20'!J9:J41</f>
        <v>3000</v>
      </c>
      <c r="F9" s="152"/>
      <c r="G9" s="152">
        <v>2700</v>
      </c>
      <c r="H9" s="290">
        <f t="shared" si="1"/>
        <v>5700</v>
      </c>
      <c r="I9" s="152">
        <v>5700</v>
      </c>
      <c r="J9" s="152">
        <f t="shared" si="0"/>
        <v>0</v>
      </c>
      <c r="K9" s="129" t="s">
        <v>638</v>
      </c>
      <c r="L9" s="129"/>
      <c r="M9" s="129"/>
      <c r="N9" s="129"/>
    </row>
    <row r="10" spans="1:14" x14ac:dyDescent="0.25">
      <c r="A10" s="289" t="s">
        <v>522</v>
      </c>
      <c r="B10" s="292">
        <v>7</v>
      </c>
      <c r="C10" s="289"/>
      <c r="D10" s="289"/>
      <c r="E10" s="290">
        <f>'MAY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  <c r="M10" s="129"/>
      <c r="N10" s="129"/>
    </row>
    <row r="11" spans="1:14" x14ac:dyDescent="0.25">
      <c r="A11" s="289" t="s">
        <v>565</v>
      </c>
      <c r="B11" s="292">
        <v>8</v>
      </c>
      <c r="C11" s="289"/>
      <c r="D11" s="289"/>
      <c r="E11" s="290">
        <f>'MAY 20'!J11:J43</f>
        <v>2800</v>
      </c>
      <c r="F11" s="290"/>
      <c r="G11" s="290">
        <v>2700</v>
      </c>
      <c r="H11" s="290">
        <f>C11+E11+F11+G11</f>
        <v>5500</v>
      </c>
      <c r="I11" s="152">
        <f>2800+2700</f>
        <v>5500</v>
      </c>
      <c r="J11" s="152">
        <f t="shared" si="0"/>
        <v>0</v>
      </c>
      <c r="K11" s="129" t="s">
        <v>624</v>
      </c>
      <c r="L11" s="129"/>
      <c r="M11" s="129"/>
      <c r="N11" s="129"/>
    </row>
    <row r="12" spans="1:14" x14ac:dyDescent="0.25">
      <c r="A12" s="289" t="s">
        <v>594</v>
      </c>
      <c r="B12" s="208">
        <v>9</v>
      </c>
      <c r="C12" s="289"/>
      <c r="D12" s="289"/>
      <c r="E12" s="290">
        <f>'MAY 20'!J12:J44</f>
        <v>2800</v>
      </c>
      <c r="F12" s="290">
        <v>100</v>
      </c>
      <c r="G12" s="290">
        <v>2700</v>
      </c>
      <c r="H12" s="290">
        <f t="shared" si="1"/>
        <v>5600</v>
      </c>
      <c r="I12" s="152">
        <f>1000+900+1500</f>
        <v>3400</v>
      </c>
      <c r="J12" s="152">
        <f t="shared" si="0"/>
        <v>2200</v>
      </c>
      <c r="K12" s="129"/>
      <c r="L12" s="129"/>
      <c r="M12" s="129"/>
      <c r="N12" s="129"/>
    </row>
    <row r="13" spans="1:14" x14ac:dyDescent="0.25">
      <c r="A13" s="152" t="s">
        <v>503</v>
      </c>
      <c r="B13" s="152">
        <v>10</v>
      </c>
      <c r="C13" s="152"/>
      <c r="D13" s="152"/>
      <c r="E13" s="290">
        <f>'MAY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  <c r="M13" s="129"/>
      <c r="N13" s="129"/>
    </row>
    <row r="14" spans="1:14" x14ac:dyDescent="0.25">
      <c r="A14" s="152" t="s">
        <v>589</v>
      </c>
      <c r="B14" s="208">
        <v>11</v>
      </c>
      <c r="C14" s="289"/>
      <c r="D14" s="289"/>
      <c r="E14" s="290">
        <f>'MAY 20'!J14:J46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  <c r="M14" s="129"/>
      <c r="N14" s="129"/>
    </row>
    <row r="15" spans="1:14" x14ac:dyDescent="0.25">
      <c r="A15" s="289" t="s">
        <v>460</v>
      </c>
      <c r="B15" s="208">
        <v>12</v>
      </c>
      <c r="C15" s="289"/>
      <c r="D15" s="289"/>
      <c r="E15" s="290">
        <f>'MAY 20'!J15:J47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  <c r="M15" s="129"/>
      <c r="N15" s="129"/>
    </row>
    <row r="16" spans="1:14" x14ac:dyDescent="0.25">
      <c r="A16" s="291" t="s">
        <v>444</v>
      </c>
      <c r="B16" s="208">
        <v>13</v>
      </c>
      <c r="C16" s="289"/>
      <c r="D16" s="289"/>
      <c r="E16" s="290">
        <f>'MAY 20'!J16:J48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  <c r="M16" s="129"/>
      <c r="N16" s="129"/>
    </row>
    <row r="17" spans="1:14" x14ac:dyDescent="0.25">
      <c r="A17" s="289" t="s">
        <v>473</v>
      </c>
      <c r="B17" s="208">
        <v>14</v>
      </c>
      <c r="C17" s="289"/>
      <c r="D17" s="289"/>
      <c r="E17" s="290">
        <f>'MAY 20'!J17:J49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  <c r="M17" s="129"/>
      <c r="N17" s="129"/>
    </row>
    <row r="18" spans="1:14" x14ac:dyDescent="0.25">
      <c r="A18" s="289" t="s">
        <v>521</v>
      </c>
      <c r="B18" s="208">
        <v>15</v>
      </c>
      <c r="C18" s="289"/>
      <c r="D18" s="289"/>
      <c r="E18" s="290">
        <f>'MAY 20'!J18:J50</f>
        <v>1000</v>
      </c>
      <c r="F18" s="290">
        <v>100</v>
      </c>
      <c r="G18" s="290">
        <v>2700</v>
      </c>
      <c r="H18" s="290">
        <f t="shared" si="1"/>
        <v>3800</v>
      </c>
      <c r="I18" s="152">
        <f>2800</f>
        <v>2800</v>
      </c>
      <c r="J18" s="152">
        <f t="shared" si="0"/>
        <v>1000</v>
      </c>
      <c r="K18" s="129"/>
      <c r="L18" s="129"/>
      <c r="M18" s="129"/>
      <c r="N18" s="129"/>
    </row>
    <row r="19" spans="1:14" x14ac:dyDescent="0.25">
      <c r="A19" s="289" t="s">
        <v>520</v>
      </c>
      <c r="B19" s="208">
        <v>16</v>
      </c>
      <c r="C19" s="289"/>
      <c r="D19" s="289"/>
      <c r="E19" s="290">
        <f>'MAY 20'!J19:J51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  <c r="M19" s="129"/>
      <c r="N19" s="129"/>
    </row>
    <row r="20" spans="1:14" x14ac:dyDescent="0.25">
      <c r="A20" s="291" t="s">
        <v>492</v>
      </c>
      <c r="B20" s="208">
        <v>17</v>
      </c>
      <c r="C20" s="289"/>
      <c r="D20" s="289"/>
      <c r="E20" s="290">
        <f>'MAY 20'!J20:J52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  <c r="M20" s="129"/>
      <c r="N20" s="129"/>
    </row>
    <row r="21" spans="1:14" x14ac:dyDescent="0.25">
      <c r="A21" s="289" t="s">
        <v>346</v>
      </c>
      <c r="B21" s="208">
        <v>18</v>
      </c>
      <c r="C21" s="289"/>
      <c r="D21" s="289"/>
      <c r="E21" s="290">
        <f>'MAY 20'!J21:J53</f>
        <v>5600</v>
      </c>
      <c r="F21" s="290"/>
      <c r="G21" s="290">
        <v>2700</v>
      </c>
      <c r="H21" s="290">
        <f t="shared" si="1"/>
        <v>8300</v>
      </c>
      <c r="I21" s="152"/>
      <c r="J21" s="152">
        <f t="shared" si="0"/>
        <v>8300</v>
      </c>
      <c r="K21" s="129"/>
      <c r="L21" s="129"/>
      <c r="M21" s="129"/>
      <c r="N21" s="129"/>
    </row>
    <row r="22" spans="1:14" x14ac:dyDescent="0.25">
      <c r="A22" s="311" t="s">
        <v>590</v>
      </c>
      <c r="B22" s="312">
        <v>19</v>
      </c>
      <c r="C22" s="311"/>
      <c r="D22" s="311"/>
      <c r="E22" s="290">
        <f>'MAY 20'!J22:J54</f>
        <v>2800</v>
      </c>
      <c r="F22" s="313"/>
      <c r="G22" s="313">
        <v>2700</v>
      </c>
      <c r="H22" s="290">
        <f t="shared" si="1"/>
        <v>5500</v>
      </c>
      <c r="I22" s="297">
        <v>5500</v>
      </c>
      <c r="J22" s="152">
        <f t="shared" si="0"/>
        <v>0</v>
      </c>
      <c r="K22" s="129" t="s">
        <v>607</v>
      </c>
      <c r="L22" s="129"/>
      <c r="M22" s="129"/>
      <c r="N22" s="129"/>
    </row>
    <row r="23" spans="1:14" x14ac:dyDescent="0.25">
      <c r="A23" s="289" t="s">
        <v>461</v>
      </c>
      <c r="B23" s="208">
        <v>20</v>
      </c>
      <c r="C23" s="289"/>
      <c r="D23" s="289"/>
      <c r="E23" s="290">
        <f>'MAY 20'!J23:J55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  <c r="M23" s="129"/>
      <c r="N23" s="129"/>
    </row>
    <row r="24" spans="1:14" x14ac:dyDescent="0.25">
      <c r="A24" s="334" t="s">
        <v>37</v>
      </c>
      <c r="B24" s="208">
        <v>21</v>
      </c>
      <c r="C24" s="289"/>
      <c r="D24" s="289"/>
      <c r="E24" s="290">
        <f>'MAY 20'!J24:J56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  <c r="M24" s="129"/>
      <c r="N24" s="129"/>
    </row>
    <row r="25" spans="1:14" x14ac:dyDescent="0.25">
      <c r="A25" s="289" t="s">
        <v>435</v>
      </c>
      <c r="B25" s="208">
        <v>22</v>
      </c>
      <c r="C25" s="289"/>
      <c r="D25" s="289"/>
      <c r="E25" s="290">
        <f>'MAY 20'!J25:J57</f>
        <v>600</v>
      </c>
      <c r="F25" s="290">
        <v>100</v>
      </c>
      <c r="G25" s="290">
        <v>3500</v>
      </c>
      <c r="H25" s="290">
        <f t="shared" si="1"/>
        <v>4200</v>
      </c>
      <c r="I25" s="152">
        <f>600+2600+1000</f>
        <v>4200</v>
      </c>
      <c r="J25" s="152">
        <f t="shared" si="0"/>
        <v>0</v>
      </c>
      <c r="K25" s="129"/>
      <c r="L25" s="129"/>
      <c r="M25" s="129"/>
      <c r="N25" s="129"/>
    </row>
    <row r="26" spans="1:14" x14ac:dyDescent="0.25">
      <c r="A26" s="289" t="s">
        <v>347</v>
      </c>
      <c r="B26" s="208">
        <v>23</v>
      </c>
      <c r="C26" s="289"/>
      <c r="D26" s="289"/>
      <c r="E26" s="290">
        <f>'MAY 20'!J26:J58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  <c r="M26" s="129"/>
      <c r="N26" s="129"/>
    </row>
    <row r="27" spans="1:14" x14ac:dyDescent="0.25">
      <c r="A27" s="289" t="s">
        <v>488</v>
      </c>
      <c r="B27" s="208">
        <v>24</v>
      </c>
      <c r="C27" s="289"/>
      <c r="D27" s="289"/>
      <c r="E27" s="290">
        <f>'MAY 20'!J27:J59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M27" s="129"/>
      <c r="N27" s="129"/>
    </row>
    <row r="28" spans="1:14" x14ac:dyDescent="0.25">
      <c r="A28" s="289" t="s">
        <v>462</v>
      </c>
      <c r="B28" s="208">
        <v>25</v>
      </c>
      <c r="C28" s="289"/>
      <c r="D28" s="289"/>
      <c r="E28" s="290">
        <f>'MAY 20'!J28:J60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  <c r="M28" s="129"/>
      <c r="N28" s="129"/>
    </row>
    <row r="29" spans="1:14" x14ac:dyDescent="0.25">
      <c r="A29" s="289" t="s">
        <v>446</v>
      </c>
      <c r="B29" s="208">
        <v>26</v>
      </c>
      <c r="C29" s="289"/>
      <c r="D29" s="289"/>
      <c r="E29" s="290"/>
      <c r="F29" s="290"/>
      <c r="G29" s="290"/>
      <c r="H29" s="290">
        <f t="shared" si="1"/>
        <v>0</v>
      </c>
      <c r="I29" s="152"/>
      <c r="J29" s="152">
        <f>H29-I29</f>
        <v>0</v>
      </c>
      <c r="K29" s="129"/>
      <c r="L29" s="129"/>
      <c r="M29" s="129"/>
      <c r="N29" s="129"/>
    </row>
    <row r="30" spans="1:14" x14ac:dyDescent="0.25">
      <c r="A30" s="289" t="s">
        <v>572</v>
      </c>
      <c r="B30" s="208">
        <v>27</v>
      </c>
      <c r="C30" s="289"/>
      <c r="D30" s="289"/>
      <c r="E30" s="290">
        <f>'MAY 20'!J30:J62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  <c r="M30" s="129"/>
      <c r="N30" s="129"/>
    </row>
    <row r="31" spans="1:14" x14ac:dyDescent="0.25">
      <c r="A31" s="289" t="s">
        <v>446</v>
      </c>
      <c r="B31" s="208">
        <v>28</v>
      </c>
      <c r="C31" s="289"/>
      <c r="D31" s="289"/>
      <c r="E31" s="290">
        <f>'MAY 20'!J31:J63</f>
        <v>0</v>
      </c>
      <c r="F31" s="290"/>
      <c r="G31" s="293"/>
      <c r="H31" s="290">
        <f t="shared" si="1"/>
        <v>0</v>
      </c>
      <c r="I31" s="152"/>
      <c r="J31" s="152">
        <f t="shared" si="0"/>
        <v>0</v>
      </c>
      <c r="K31" s="129"/>
      <c r="L31" s="129"/>
      <c r="M31" s="129"/>
      <c r="N31" s="129"/>
    </row>
    <row r="32" spans="1:14" x14ac:dyDescent="0.25">
      <c r="A32" s="289" t="s">
        <v>559</v>
      </c>
      <c r="B32" s="208">
        <v>29</v>
      </c>
      <c r="C32" s="289"/>
      <c r="D32" s="289"/>
      <c r="E32" s="290">
        <f>'MAY 20'!J32:J64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  <c r="M32" s="129"/>
      <c r="N32" s="129"/>
    </row>
    <row r="33" spans="1:16" x14ac:dyDescent="0.25">
      <c r="A33" s="289" t="s">
        <v>446</v>
      </c>
      <c r="B33" s="208">
        <v>30</v>
      </c>
      <c r="C33" s="289"/>
      <c r="D33" s="289"/>
      <c r="E33" s="290">
        <f>'MAY 20'!J33:J65</f>
        <v>0</v>
      </c>
      <c r="F33" s="290"/>
      <c r="G33" s="290"/>
      <c r="H33" s="290">
        <f t="shared" si="1"/>
        <v>0</v>
      </c>
      <c r="I33" s="152"/>
      <c r="J33" s="152">
        <f t="shared" si="0"/>
        <v>0</v>
      </c>
      <c r="K33" s="129"/>
      <c r="L33" s="129"/>
      <c r="M33" s="129"/>
      <c r="N33" s="129"/>
    </row>
    <row r="34" spans="1:16" x14ac:dyDescent="0.25">
      <c r="A34" s="289" t="s">
        <v>610</v>
      </c>
      <c r="B34" s="208">
        <v>31</v>
      </c>
      <c r="C34" s="289"/>
      <c r="D34" s="289"/>
      <c r="E34" s="290">
        <f>'MAY 20'!J34:J66</f>
        <v>6600</v>
      </c>
      <c r="F34" s="290">
        <v>100</v>
      </c>
      <c r="G34" s="290">
        <v>3200</v>
      </c>
      <c r="H34" s="290">
        <f>D34+E34+F34+G34</f>
        <v>9900</v>
      </c>
      <c r="I34" s="152">
        <v>9900</v>
      </c>
      <c r="J34" s="152">
        <f t="shared" si="0"/>
        <v>0</v>
      </c>
      <c r="K34" s="129" t="s">
        <v>607</v>
      </c>
      <c r="L34" s="129"/>
      <c r="M34" s="129"/>
      <c r="N34" s="129"/>
    </row>
    <row r="35" spans="1:16" x14ac:dyDescent="0.25">
      <c r="A35" s="289" t="s">
        <v>608</v>
      </c>
      <c r="B35" s="208">
        <v>32</v>
      </c>
      <c r="C35" s="289"/>
      <c r="D35" s="289"/>
      <c r="E35" s="290">
        <f>'MAY 20'!J35:J67</f>
        <v>0</v>
      </c>
      <c r="F35" s="290">
        <v>100</v>
      </c>
      <c r="G35" s="290">
        <v>2700</v>
      </c>
      <c r="H35" s="290">
        <f t="shared" si="1"/>
        <v>2800</v>
      </c>
      <c r="I35" s="152">
        <f>2800</f>
        <v>2800</v>
      </c>
      <c r="J35" s="152">
        <f t="shared" si="0"/>
        <v>0</v>
      </c>
      <c r="K35" s="129"/>
      <c r="L35" s="129"/>
      <c r="M35" s="129"/>
      <c r="N35" s="129"/>
    </row>
    <row r="36" spans="1:16" x14ac:dyDescent="0.25">
      <c r="A36" s="289" t="s">
        <v>446</v>
      </c>
      <c r="B36" s="208">
        <v>33</v>
      </c>
      <c r="C36" s="152"/>
      <c r="D36" s="152"/>
      <c r="E36" s="290">
        <f>'MAY 20'!J36:J68</f>
        <v>0</v>
      </c>
      <c r="F36" s="152"/>
      <c r="G36" s="152"/>
      <c r="H36" s="290">
        <f>D36+E36+F36+G36</f>
        <v>0</v>
      </c>
      <c r="I36" s="152"/>
      <c r="J36" s="152">
        <f t="shared" si="0"/>
        <v>0</v>
      </c>
      <c r="K36" s="129"/>
      <c r="L36" s="129"/>
      <c r="M36" s="129"/>
      <c r="N36" s="129"/>
    </row>
    <row r="37" spans="1:16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28400</v>
      </c>
      <c r="F37" s="327">
        <f t="shared" si="2"/>
        <v>2300</v>
      </c>
      <c r="G37" s="327">
        <f>SUM(G4:G36)</f>
        <v>90200</v>
      </c>
      <c r="H37" s="327">
        <f>SUM(H4:H36)</f>
        <v>120900</v>
      </c>
      <c r="I37" s="327">
        <f t="shared" si="2"/>
        <v>96700</v>
      </c>
      <c r="J37" s="152">
        <f>H37-I37</f>
        <v>24200</v>
      </c>
      <c r="K37" s="129"/>
      <c r="L37" s="129"/>
      <c r="M37" s="129"/>
      <c r="N37" s="129"/>
    </row>
    <row r="38" spans="1:16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J37-J21</f>
        <v>15900</v>
      </c>
      <c r="K38" s="129"/>
      <c r="L38" s="129"/>
      <c r="M38" s="129"/>
      <c r="N38" s="129"/>
    </row>
    <row r="39" spans="1:16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  <c r="N39" s="129"/>
    </row>
    <row r="40" spans="1:16" x14ac:dyDescent="0.25">
      <c r="A40" s="152" t="s">
        <v>468</v>
      </c>
      <c r="B40" s="300">
        <f>G37</f>
        <v>90200</v>
      </c>
      <c r="C40" s="152"/>
      <c r="D40" s="152"/>
      <c r="E40" s="152"/>
      <c r="F40" s="152" t="s">
        <v>468</v>
      </c>
      <c r="G40" s="300">
        <f>I37</f>
        <v>96700</v>
      </c>
      <c r="H40" s="152"/>
      <c r="I40" s="152"/>
      <c r="J40" s="335"/>
      <c r="K40" s="336">
        <f>J38</f>
        <v>15900</v>
      </c>
      <c r="L40" s="129"/>
      <c r="M40" s="129"/>
      <c r="N40" s="129"/>
      <c r="P40">
        <f>3300*3</f>
        <v>9900</v>
      </c>
    </row>
    <row r="41" spans="1:16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1590</v>
      </c>
      <c r="L41" s="129"/>
      <c r="M41" s="129"/>
      <c r="N41" s="129"/>
      <c r="P41">
        <f>2800*2</f>
        <v>5600</v>
      </c>
    </row>
    <row r="42" spans="1:16" x14ac:dyDescent="0.25">
      <c r="A42" s="152" t="s">
        <v>368</v>
      </c>
      <c r="B42" s="300">
        <f>'MAY 20'!D53</f>
        <v>-17496.070000000007</v>
      </c>
      <c r="C42" s="152"/>
      <c r="D42" s="152"/>
      <c r="E42" s="152"/>
      <c r="F42" s="152" t="s">
        <v>368</v>
      </c>
      <c r="G42" s="300">
        <f>'MAY 20'!I53</f>
        <v>-40296.070000000007</v>
      </c>
      <c r="H42" s="152"/>
      <c r="I42" s="152"/>
      <c r="J42" s="286"/>
      <c r="K42" s="336"/>
      <c r="L42" s="129"/>
      <c r="M42" s="129"/>
      <c r="N42" s="129"/>
      <c r="P42">
        <f>SUM(P40:P41)</f>
        <v>15500</v>
      </c>
    </row>
    <row r="43" spans="1:16" x14ac:dyDescent="0.25">
      <c r="A43" s="152" t="s">
        <v>410</v>
      </c>
      <c r="B43" s="301">
        <v>0.1</v>
      </c>
      <c r="C43" s="300">
        <f>B43*B40</f>
        <v>9020</v>
      </c>
      <c r="D43" s="152"/>
      <c r="E43" s="152"/>
      <c r="F43" s="152" t="s">
        <v>410</v>
      </c>
      <c r="G43" s="301">
        <v>0.1</v>
      </c>
      <c r="H43" s="300">
        <f>G43*B40</f>
        <v>9020</v>
      </c>
      <c r="I43" s="152"/>
      <c r="J43" s="286"/>
      <c r="K43" s="286"/>
      <c r="L43" s="129"/>
      <c r="M43" s="129"/>
      <c r="N43" s="129"/>
    </row>
    <row r="44" spans="1:16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  <c r="M44" s="129"/>
      <c r="N44" s="129"/>
    </row>
    <row r="45" spans="1:16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  <c r="M45" s="129"/>
      <c r="N45" s="129"/>
    </row>
    <row r="46" spans="1:16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2300</v>
      </c>
      <c r="I46" s="152"/>
      <c r="J46" s="8"/>
      <c r="K46" s="332"/>
      <c r="L46" s="332"/>
      <c r="M46" s="129"/>
      <c r="N46" s="129"/>
    </row>
    <row r="47" spans="1:16" x14ac:dyDescent="0.25">
      <c r="A47" s="303" t="s">
        <v>641</v>
      </c>
      <c r="B47" s="152"/>
      <c r="C47" s="152">
        <v>2800</v>
      </c>
      <c r="D47" s="152"/>
      <c r="E47" s="152"/>
      <c r="F47" s="303" t="s">
        <v>641</v>
      </c>
      <c r="G47" s="152"/>
      <c r="H47" s="152"/>
      <c r="I47" s="152"/>
      <c r="J47" s="8"/>
      <c r="K47" s="332"/>
      <c r="L47" s="129"/>
      <c r="M47" s="129"/>
      <c r="N47" s="129"/>
    </row>
    <row r="48" spans="1:16" x14ac:dyDescent="0.25">
      <c r="A48" s="303" t="s">
        <v>639</v>
      </c>
      <c r="B48" s="301"/>
      <c r="C48" s="152">
        <v>3300</v>
      </c>
      <c r="D48" s="152"/>
      <c r="E48" s="152"/>
      <c r="F48" s="303" t="s">
        <v>639</v>
      </c>
      <c r="G48" s="301"/>
      <c r="H48" s="152">
        <v>3300</v>
      </c>
      <c r="I48" s="152"/>
      <c r="J48" s="8"/>
      <c r="K48" s="129"/>
      <c r="L48" s="129"/>
      <c r="M48" s="129"/>
      <c r="N48" s="129"/>
    </row>
    <row r="49" spans="1:14" x14ac:dyDescent="0.25">
      <c r="A49" s="303" t="s">
        <v>640</v>
      </c>
      <c r="B49" s="301"/>
      <c r="C49" s="152">
        <f>2700</f>
        <v>2700</v>
      </c>
      <c r="D49" s="152"/>
      <c r="E49" s="152"/>
      <c r="F49" s="303" t="s">
        <v>640</v>
      </c>
      <c r="G49" s="301"/>
      <c r="H49" s="152">
        <v>2800</v>
      </c>
      <c r="I49" s="152"/>
      <c r="J49" s="8"/>
      <c r="K49" s="129"/>
      <c r="L49" s="332"/>
      <c r="M49" s="129"/>
      <c r="N49" s="129"/>
    </row>
    <row r="50" spans="1:14" x14ac:dyDescent="0.25">
      <c r="A50" s="303" t="s">
        <v>637</v>
      </c>
      <c r="B50" s="301"/>
      <c r="C50" s="152">
        <v>54784</v>
      </c>
      <c r="D50" s="152"/>
      <c r="E50" s="152"/>
      <c r="F50" s="303" t="s">
        <v>637</v>
      </c>
      <c r="G50" s="301"/>
      <c r="H50" s="152">
        <v>54784</v>
      </c>
      <c r="I50" s="152"/>
      <c r="J50" s="8"/>
      <c r="K50" s="129"/>
      <c r="L50" s="332"/>
      <c r="M50" s="129">
        <f>320*3</f>
        <v>960</v>
      </c>
      <c r="N50" s="129"/>
    </row>
    <row r="51" spans="1:14" s="129" customFormat="1" x14ac:dyDescent="0.25">
      <c r="A51" s="303" t="s">
        <v>650</v>
      </c>
      <c r="B51" s="301"/>
      <c r="C51" s="152">
        <v>2700</v>
      </c>
      <c r="D51" s="152"/>
      <c r="E51" s="152"/>
      <c r="F51" s="303" t="s">
        <v>650</v>
      </c>
      <c r="G51" s="301"/>
      <c r="H51" s="152">
        <v>2700</v>
      </c>
      <c r="I51" s="152"/>
      <c r="J51" s="8"/>
      <c r="L51" s="332">
        <f>I55-D55</f>
        <v>-15900</v>
      </c>
      <c r="M51" s="129">
        <v>9900</v>
      </c>
    </row>
    <row r="52" spans="1:14" s="129" customFormat="1" x14ac:dyDescent="0.25">
      <c r="A52" s="303" t="s">
        <v>649</v>
      </c>
      <c r="B52" s="301"/>
      <c r="C52" s="152">
        <f>5700</f>
        <v>5700</v>
      </c>
      <c r="D52" s="152"/>
      <c r="E52" s="152"/>
      <c r="F52" s="303" t="s">
        <v>649</v>
      </c>
      <c r="G52" s="301"/>
      <c r="H52" s="152">
        <f>C52</f>
        <v>5700</v>
      </c>
      <c r="I52" s="152"/>
      <c r="J52" s="8"/>
      <c r="L52" s="332"/>
      <c r="M52" s="129">
        <f>SUM(M50:M51)</f>
        <v>10860</v>
      </c>
    </row>
    <row r="53" spans="1:14" s="129" customFormat="1" x14ac:dyDescent="0.25">
      <c r="A53" s="303" t="s">
        <v>651</v>
      </c>
      <c r="B53" s="301"/>
      <c r="C53" s="152">
        <f>2700</f>
        <v>2700</v>
      </c>
      <c r="D53" s="152"/>
      <c r="E53" s="152"/>
      <c r="F53" s="303" t="s">
        <v>651</v>
      </c>
      <c r="G53" s="301"/>
      <c r="H53" s="152">
        <f>C53</f>
        <v>2700</v>
      </c>
      <c r="I53" s="152"/>
      <c r="J53" s="8"/>
      <c r="L53" s="332"/>
      <c r="M53" s="129">
        <f>1000*4</f>
        <v>4000</v>
      </c>
    </row>
    <row r="54" spans="1:14" ht="14.25" customHeight="1" x14ac:dyDescent="0.25">
      <c r="A54" s="303"/>
      <c r="B54" s="301"/>
      <c r="C54" s="152"/>
      <c r="D54" s="152"/>
      <c r="E54" s="152"/>
      <c r="F54" s="303"/>
      <c r="G54" s="301"/>
      <c r="H54" s="152"/>
      <c r="I54" s="152"/>
      <c r="J54" s="8"/>
      <c r="K54" s="129"/>
      <c r="L54" s="129"/>
      <c r="M54" s="129"/>
      <c r="N54" s="129">
        <f>M55-3200</f>
        <v>11660</v>
      </c>
    </row>
    <row r="55" spans="1:14" x14ac:dyDescent="0.25">
      <c r="A55" s="296" t="s">
        <v>4</v>
      </c>
      <c r="B55" s="309">
        <f>B40+B41+B42-C43</f>
        <v>63683.929999999993</v>
      </c>
      <c r="C55" s="309">
        <f>SUM(C46:C54)</f>
        <v>74684</v>
      </c>
      <c r="D55" s="309">
        <f>B55-C55</f>
        <v>-11000.070000000007</v>
      </c>
      <c r="E55" s="297"/>
      <c r="F55" s="296" t="s">
        <v>4</v>
      </c>
      <c r="G55" s="300">
        <f>G40+G41+G42-H43-H44</f>
        <v>47383.929999999993</v>
      </c>
      <c r="H55" s="300">
        <f>SUM(H46:H54 )</f>
        <v>74284</v>
      </c>
      <c r="I55" s="300">
        <f>G55-H55</f>
        <v>-26900.070000000007</v>
      </c>
      <c r="J55" s="152"/>
      <c r="K55" s="332"/>
      <c r="L55" s="332"/>
      <c r="M55" s="129">
        <f>M52+M53</f>
        <v>14860</v>
      </c>
      <c r="N55" s="129"/>
    </row>
    <row r="56" spans="1:14" x14ac:dyDescent="0.25">
      <c r="A56" s="92" t="s">
        <v>112</v>
      </c>
      <c r="B56" s="92"/>
      <c r="C56" s="12"/>
      <c r="D56" s="12" t="s">
        <v>113</v>
      </c>
      <c r="E56" s="12"/>
      <c r="F56" s="12"/>
      <c r="G56" s="303" t="s">
        <v>571</v>
      </c>
      <c r="H56" s="152"/>
      <c r="I56" s="152"/>
      <c r="J56" s="152"/>
      <c r="K56" s="332"/>
      <c r="L56" s="332"/>
      <c r="M56" s="129"/>
      <c r="N56" s="129"/>
    </row>
    <row r="57" spans="1:14" x14ac:dyDescent="0.25">
      <c r="A57" s="12" t="s">
        <v>570</v>
      </c>
      <c r="B57" s="12"/>
      <c r="C57" s="12"/>
      <c r="D57" s="12" t="s">
        <v>441</v>
      </c>
      <c r="E57" s="12"/>
      <c r="F57" s="12"/>
      <c r="G57" s="303" t="s">
        <v>523</v>
      </c>
      <c r="H57" s="301"/>
      <c r="I57" s="152"/>
      <c r="J57" s="152"/>
      <c r="K57" s="332">
        <f>I55-D55</f>
        <v>-15900</v>
      </c>
      <c r="L57" s="332"/>
      <c r="M57" s="129"/>
      <c r="N57" s="129"/>
    </row>
    <row r="58" spans="1:14" x14ac:dyDescent="0.25">
      <c r="A58" s="328">
        <f>B40-E59</f>
        <v>81300</v>
      </c>
      <c r="B58" s="12"/>
      <c r="C58" s="12"/>
      <c r="D58" s="12"/>
      <c r="E58" s="12"/>
      <c r="F58" s="12"/>
      <c r="G58" s="303"/>
      <c r="H58" s="152"/>
      <c r="I58" s="152"/>
      <c r="J58" s="152"/>
      <c r="K58" s="129"/>
      <c r="L58" s="129"/>
      <c r="M58" s="129"/>
      <c r="N58" s="129"/>
    </row>
    <row r="59" spans="1:14" x14ac:dyDescent="0.25">
      <c r="A59" s="332">
        <f>A58-C43</f>
        <v>72280</v>
      </c>
      <c r="B59" s="129"/>
      <c r="C59" s="129"/>
      <c r="D59" s="129"/>
      <c r="E59" s="129">
        <f>C47+C48+E22</f>
        <v>8900</v>
      </c>
      <c r="F59" s="129"/>
      <c r="G59" s="129"/>
      <c r="H59" s="129"/>
      <c r="I59" s="129"/>
      <c r="J59" s="129"/>
      <c r="K59" s="129"/>
      <c r="L59" s="129"/>
      <c r="M59" s="129"/>
      <c r="N59" s="129"/>
    </row>
    <row r="60" spans="1:14" x14ac:dyDescent="0.25">
      <c r="A60" s="332">
        <f>A59-10000</f>
        <v>62280</v>
      </c>
      <c r="B60" s="129"/>
      <c r="C60" s="129">
        <v>9020</v>
      </c>
      <c r="D60" s="129"/>
      <c r="E60" s="129">
        <f>B43*E59</f>
        <v>890</v>
      </c>
      <c r="F60" s="129"/>
      <c r="G60" s="129"/>
      <c r="H60" s="129"/>
      <c r="I60" s="129"/>
      <c r="J60" s="129"/>
      <c r="K60" s="129"/>
      <c r="L60" s="129"/>
      <c r="M60" s="129"/>
      <c r="N60" s="129"/>
    </row>
    <row r="61" spans="1:14" x14ac:dyDescent="0.25">
      <c r="A61" s="129"/>
      <c r="B61" s="129"/>
      <c r="C61" s="20">
        <f>B43*C55</f>
        <v>7468.4000000000005</v>
      </c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</row>
    <row r="62" spans="1:14" x14ac:dyDescent="0.25">
      <c r="A62" s="332">
        <f>A60-5100</f>
        <v>57180</v>
      </c>
      <c r="C62">
        <f>C60-C61</f>
        <v>1551.5999999999995</v>
      </c>
    </row>
    <row r="63" spans="1:14" x14ac:dyDescent="0.25">
      <c r="B63" s="332">
        <f>A62-G22</f>
        <v>54480</v>
      </c>
    </row>
    <row r="64" spans="1:14" x14ac:dyDescent="0.25">
      <c r="A64" s="332">
        <f>A62-C50</f>
        <v>2396</v>
      </c>
      <c r="B64" s="332">
        <f>C50-B63</f>
        <v>304</v>
      </c>
    </row>
  </sheetData>
  <pageMargins left="0" right="0" top="0" bottom="0" header="0.3" footer="0.3"/>
  <pageSetup orientation="portrait" horizontalDpi="0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9" workbookViewId="0">
      <selection activeCell="G43" sqref="G43"/>
    </sheetView>
  </sheetViews>
  <sheetFormatPr defaultRowHeight="15" x14ac:dyDescent="0.25"/>
  <cols>
    <col min="1" max="1" width="15" bestFit="1" customWidth="1"/>
    <col min="2" max="2" width="6.85546875" customWidth="1"/>
    <col min="3" max="3" width="8.7109375" customWidth="1"/>
    <col min="6" max="6" width="7.85546875" customWidth="1"/>
    <col min="7" max="7" width="7.28515625" customWidth="1"/>
    <col min="8" max="8" width="7.5703125" customWidth="1"/>
    <col min="9" max="9" width="7.140625" customWidth="1"/>
    <col min="10" max="10" width="7.42578125" customWidth="1"/>
    <col min="12" max="12" width="9.42578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655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'JUNE 20'!J4:J36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'JUNE 20'!J5:J37</f>
        <v>1400</v>
      </c>
      <c r="F5" s="290"/>
      <c r="G5" s="290">
        <v>3300</v>
      </c>
      <c r="H5" s="290">
        <f t="shared" ref="H5:H36" si="0">C5-D5+E5+F5+G5</f>
        <v>4700</v>
      </c>
      <c r="I5" s="152">
        <f>3400</f>
        <v>3400</v>
      </c>
      <c r="J5" s="152">
        <f t="shared" ref="J5:J36" si="1">H5-I5</f>
        <v>1300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'JUNE 20'!J6:J38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'JUNE 20'!J7:J39</f>
        <v>4100</v>
      </c>
      <c r="F7" s="290">
        <v>100</v>
      </c>
      <c r="G7" s="290">
        <v>4000</v>
      </c>
      <c r="H7" s="290">
        <f t="shared" si="0"/>
        <v>8200</v>
      </c>
      <c r="I7" s="152">
        <f>4100+3000</f>
        <v>7100</v>
      </c>
      <c r="J7" s="152">
        <f t="shared" si="1"/>
        <v>1100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'JUNE 20'!J8:J40</f>
        <v>7200</v>
      </c>
      <c r="F8" s="290"/>
      <c r="G8" s="290">
        <v>4000</v>
      </c>
      <c r="H8" s="290">
        <f t="shared" si="0"/>
        <v>11200</v>
      </c>
      <c r="I8" s="152">
        <f>5000+1500</f>
        <v>6500</v>
      </c>
      <c r="J8" s="152">
        <f t="shared" si="1"/>
        <v>4700</v>
      </c>
      <c r="K8" s="129"/>
      <c r="L8" s="129"/>
    </row>
    <row r="9" spans="1:12" x14ac:dyDescent="0.25">
      <c r="A9" s="152" t="s">
        <v>653</v>
      </c>
      <c r="B9" s="208">
        <v>6</v>
      </c>
      <c r="C9" s="152">
        <v>2700</v>
      </c>
      <c r="D9" s="152"/>
      <c r="E9" s="290"/>
      <c r="F9" s="152">
        <v>100</v>
      </c>
      <c r="G9" s="152">
        <v>1500</v>
      </c>
      <c r="H9" s="290">
        <f t="shared" si="0"/>
        <v>4300</v>
      </c>
      <c r="I9" s="152">
        <v>4300</v>
      </c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'JUNE 20'!J10:J42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9"/>
      <c r="L10" s="129"/>
    </row>
    <row r="11" spans="1:12" x14ac:dyDescent="0.25">
      <c r="A11" s="289" t="s">
        <v>446</v>
      </c>
      <c r="B11" s="292">
        <v>8</v>
      </c>
      <c r="C11" s="289"/>
      <c r="D11" s="289"/>
      <c r="E11" s="290">
        <f>'JUNE 20'!J11:J43</f>
        <v>0</v>
      </c>
      <c r="F11" s="290"/>
      <c r="G11" s="290"/>
      <c r="H11" s="290">
        <f t="shared" si="0"/>
        <v>0</v>
      </c>
      <c r="I11" s="152"/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'JUNE 20'!J12:J44</f>
        <v>2200</v>
      </c>
      <c r="F12" s="290">
        <v>100</v>
      </c>
      <c r="G12" s="290">
        <v>2700</v>
      </c>
      <c r="H12" s="290">
        <f t="shared" si="0"/>
        <v>5000</v>
      </c>
      <c r="I12" s="152">
        <f>4000+1000</f>
        <v>5000</v>
      </c>
      <c r="J12" s="152">
        <f t="shared" si="1"/>
        <v>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'JUNE 20'!J13:J45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'JUNE 20'!J14:J46</f>
        <v>0</v>
      </c>
      <c r="F14" s="290">
        <v>100</v>
      </c>
      <c r="G14" s="290">
        <v>2700</v>
      </c>
      <c r="H14" s="290">
        <f t="shared" si="0"/>
        <v>2800</v>
      </c>
      <c r="I14" s="152">
        <f>2000+800</f>
        <v>2800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'JUNE 20'!J15:J47</f>
        <v>0</v>
      </c>
      <c r="F15" s="290">
        <v>100</v>
      </c>
      <c r="G15" s="290">
        <v>2700</v>
      </c>
      <c r="H15" s="290">
        <f t="shared" si="0"/>
        <v>2800</v>
      </c>
      <c r="I15" s="152">
        <f>2700+100</f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'JUNE 20'!J16:J48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6" x14ac:dyDescent="0.25">
      <c r="A17" s="289" t="s">
        <v>473</v>
      </c>
      <c r="B17" s="208">
        <v>14</v>
      </c>
      <c r="C17" s="289"/>
      <c r="D17" s="289"/>
      <c r="E17" s="290">
        <f>'JUNE 20'!J17:J49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6" x14ac:dyDescent="0.25">
      <c r="A18" s="289" t="s">
        <v>521</v>
      </c>
      <c r="B18" s="208">
        <v>15</v>
      </c>
      <c r="C18" s="289"/>
      <c r="D18" s="289"/>
      <c r="E18" s="290">
        <f>'JUNE 20'!J18:J50</f>
        <v>1000</v>
      </c>
      <c r="F18" s="290">
        <v>100</v>
      </c>
      <c r="G18" s="290">
        <v>2700</v>
      </c>
      <c r="H18" s="290">
        <f t="shared" si="0"/>
        <v>3800</v>
      </c>
      <c r="I18" s="152">
        <f>2800</f>
        <v>2800</v>
      </c>
      <c r="J18" s="152">
        <f t="shared" si="1"/>
        <v>1000</v>
      </c>
      <c r="K18" s="129"/>
      <c r="L18" s="129"/>
    </row>
    <row r="19" spans="1:16" x14ac:dyDescent="0.25">
      <c r="A19" s="289" t="s">
        <v>520</v>
      </c>
      <c r="B19" s="208">
        <v>16</v>
      </c>
      <c r="C19" s="289"/>
      <c r="D19" s="289"/>
      <c r="E19" s="290">
        <f>'JUNE 20'!J19:J51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</row>
    <row r="20" spans="1:16" x14ac:dyDescent="0.25">
      <c r="A20" s="291" t="s">
        <v>492</v>
      </c>
      <c r="B20" s="208">
        <v>17</v>
      </c>
      <c r="C20" s="289"/>
      <c r="D20" s="289"/>
      <c r="E20" s="290">
        <f>'JUNE 20'!J20:J52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  <c r="L20" s="129"/>
    </row>
    <row r="21" spans="1:16" x14ac:dyDescent="0.25">
      <c r="A21" s="289" t="s">
        <v>346</v>
      </c>
      <c r="B21" s="208">
        <v>18</v>
      </c>
      <c r="C21" s="289"/>
      <c r="D21" s="289"/>
      <c r="E21" s="290">
        <f>'JUNE 20'!J21:J53</f>
        <v>8300</v>
      </c>
      <c r="F21" s="290"/>
      <c r="G21" s="290">
        <v>2700</v>
      </c>
      <c r="H21" s="290">
        <f t="shared" si="0"/>
        <v>11000</v>
      </c>
      <c r="I21" s="152">
        <f>2800</f>
        <v>2800</v>
      </c>
      <c r="J21" s="152">
        <f t="shared" si="1"/>
        <v>8200</v>
      </c>
      <c r="K21" s="129"/>
      <c r="L21" s="129"/>
    </row>
    <row r="22" spans="1:16" x14ac:dyDescent="0.25">
      <c r="A22" s="311" t="s">
        <v>446</v>
      </c>
      <c r="B22" s="312">
        <v>19</v>
      </c>
      <c r="C22" s="311"/>
      <c r="D22" s="311"/>
      <c r="E22" s="290"/>
      <c r="F22" s="313"/>
      <c r="G22" s="313"/>
      <c r="H22" s="290">
        <f t="shared" si="0"/>
        <v>0</v>
      </c>
      <c r="I22" s="297"/>
      <c r="J22" s="152">
        <f t="shared" si="1"/>
        <v>0</v>
      </c>
      <c r="K22" s="129"/>
      <c r="L22" s="129"/>
    </row>
    <row r="23" spans="1:16" x14ac:dyDescent="0.25">
      <c r="A23" s="289" t="s">
        <v>461</v>
      </c>
      <c r="B23" s="208">
        <v>20</v>
      </c>
      <c r="C23" s="289"/>
      <c r="D23" s="289"/>
      <c r="E23" s="290">
        <f>'JUNE 20'!J23:J55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9"/>
      <c r="L23" s="129"/>
    </row>
    <row r="24" spans="1:16" x14ac:dyDescent="0.25">
      <c r="A24" s="334" t="s">
        <v>37</v>
      </c>
      <c r="B24" s="208">
        <v>21</v>
      </c>
      <c r="C24" s="289"/>
      <c r="D24" s="289"/>
      <c r="E24" s="290">
        <f>'JUNE 20'!J24:J56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</row>
    <row r="25" spans="1:16" x14ac:dyDescent="0.25">
      <c r="A25" s="289" t="s">
        <v>435</v>
      </c>
      <c r="B25" s="208">
        <v>22</v>
      </c>
      <c r="C25" s="289"/>
      <c r="D25" s="289"/>
      <c r="E25" s="290">
        <f>'JUNE 20'!J25:J57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9"/>
      <c r="L25" s="129"/>
    </row>
    <row r="26" spans="1:16" x14ac:dyDescent="0.25">
      <c r="A26" s="289" t="s">
        <v>347</v>
      </c>
      <c r="B26" s="208">
        <v>23</v>
      </c>
      <c r="C26" s="289"/>
      <c r="D26" s="289"/>
      <c r="E26" s="290">
        <f>'JUNE 20'!J26:J58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6" x14ac:dyDescent="0.25">
      <c r="A27" s="289" t="s">
        <v>488</v>
      </c>
      <c r="B27" s="208">
        <v>24</v>
      </c>
      <c r="C27" s="289"/>
      <c r="D27" s="289"/>
      <c r="E27" s="290">
        <f>'JUNE 20'!J27:J59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6" x14ac:dyDescent="0.25">
      <c r="A28" s="289" t="s">
        <v>462</v>
      </c>
      <c r="B28" s="208">
        <v>25</v>
      </c>
      <c r="C28" s="289"/>
      <c r="D28" s="289"/>
      <c r="E28" s="290">
        <f>'JUNE 20'!J28:J60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6" x14ac:dyDescent="0.25">
      <c r="A29" s="289" t="s">
        <v>647</v>
      </c>
      <c r="B29" s="208">
        <v>26</v>
      </c>
      <c r="C29" s="289">
        <v>3400</v>
      </c>
      <c r="D29" s="289"/>
      <c r="E29" s="290"/>
      <c r="F29" s="290">
        <v>100</v>
      </c>
      <c r="G29" s="290">
        <v>3300</v>
      </c>
      <c r="H29" s="290">
        <f t="shared" si="0"/>
        <v>6800</v>
      </c>
      <c r="I29" s="152">
        <f>3400</f>
        <v>3400</v>
      </c>
      <c r="J29" s="152">
        <f>H29-I29</f>
        <v>3400</v>
      </c>
      <c r="K29" s="129"/>
      <c r="L29" s="129"/>
      <c r="P29">
        <f>20000+12200+8000+3000</f>
        <v>43200</v>
      </c>
    </row>
    <row r="30" spans="1:16" x14ac:dyDescent="0.25">
      <c r="A30" s="289" t="s">
        <v>572</v>
      </c>
      <c r="B30" s="208">
        <v>27</v>
      </c>
      <c r="C30" s="289"/>
      <c r="D30" s="289"/>
      <c r="E30" s="290">
        <f>'JUNE 20'!J30:J62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>
        <f>J32+J18+J8+J7+J5</f>
        <v>9100</v>
      </c>
      <c r="P30">
        <f>36880-P29</f>
        <v>-6320</v>
      </c>
    </row>
    <row r="31" spans="1:16" x14ac:dyDescent="0.25">
      <c r="A31" s="289" t="s">
        <v>648</v>
      </c>
      <c r="B31" s="208">
        <v>28</v>
      </c>
      <c r="C31" s="289">
        <v>3400</v>
      </c>
      <c r="D31" s="289"/>
      <c r="E31" s="290">
        <f>'JUNE 20'!J31:J63</f>
        <v>0</v>
      </c>
      <c r="F31" s="290">
        <v>100</v>
      </c>
      <c r="G31" s="293">
        <v>3300</v>
      </c>
      <c r="H31" s="290">
        <f t="shared" si="0"/>
        <v>6800</v>
      </c>
      <c r="I31" s="152">
        <f>3400+1000</f>
        <v>4400</v>
      </c>
      <c r="J31" s="152">
        <f t="shared" si="1"/>
        <v>2400</v>
      </c>
      <c r="K31" s="129"/>
      <c r="L31" s="129"/>
    </row>
    <row r="32" spans="1:16" x14ac:dyDescent="0.25">
      <c r="A32" s="289" t="s">
        <v>559</v>
      </c>
      <c r="B32" s="208">
        <v>29</v>
      </c>
      <c r="C32" s="289"/>
      <c r="D32" s="289"/>
      <c r="E32" s="290">
        <f>'JUNE 20'!J32:J64</f>
        <v>0</v>
      </c>
      <c r="F32" s="290">
        <v>100</v>
      </c>
      <c r="G32" s="290">
        <v>3300</v>
      </c>
      <c r="H32" s="290">
        <f t="shared" si="0"/>
        <v>3400</v>
      </c>
      <c r="I32" s="152">
        <f>2400</f>
        <v>2400</v>
      </c>
      <c r="J32" s="152">
        <f t="shared" si="1"/>
        <v>1000</v>
      </c>
      <c r="K32" s="129"/>
      <c r="L32" s="129"/>
    </row>
    <row r="33" spans="1:14" x14ac:dyDescent="0.25">
      <c r="A33" s="289" t="s">
        <v>446</v>
      </c>
      <c r="B33" s="208">
        <v>30</v>
      </c>
      <c r="C33" s="289"/>
      <c r="D33" s="289"/>
      <c r="E33" s="290">
        <f>'JUNE 20'!J33:J65</f>
        <v>0</v>
      </c>
      <c r="F33" s="290"/>
      <c r="G33" s="290"/>
      <c r="H33" s="290">
        <f t="shared" si="0"/>
        <v>0</v>
      </c>
      <c r="I33" s="152"/>
      <c r="J33" s="152">
        <f t="shared" si="1"/>
        <v>0</v>
      </c>
      <c r="K33" s="129"/>
      <c r="L33" s="129"/>
    </row>
    <row r="34" spans="1:14" x14ac:dyDescent="0.25">
      <c r="A34" s="289" t="s">
        <v>446</v>
      </c>
      <c r="B34" s="208">
        <v>31</v>
      </c>
      <c r="C34" s="289"/>
      <c r="D34" s="289"/>
      <c r="E34" s="290"/>
      <c r="F34" s="290"/>
      <c r="G34" s="290"/>
      <c r="H34" s="290">
        <f t="shared" si="0"/>
        <v>0</v>
      </c>
      <c r="I34" s="152"/>
      <c r="J34" s="152">
        <f t="shared" si="1"/>
        <v>0</v>
      </c>
      <c r="K34" s="129"/>
      <c r="L34" s="129"/>
    </row>
    <row r="35" spans="1:14" x14ac:dyDescent="0.25">
      <c r="A35" s="289" t="s">
        <v>608</v>
      </c>
      <c r="B35" s="208">
        <v>32</v>
      </c>
      <c r="C35" s="289"/>
      <c r="D35" s="289"/>
      <c r="E35" s="290">
        <f>'JUNE 20'!J35:J67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  <c r="L35" s="129"/>
    </row>
    <row r="36" spans="1:14" x14ac:dyDescent="0.25">
      <c r="A36" s="289" t="s">
        <v>446</v>
      </c>
      <c r="B36" s="208">
        <v>33</v>
      </c>
      <c r="C36" s="152"/>
      <c r="D36" s="152"/>
      <c r="E36" s="290">
        <f>'JUNE 20'!J36:J68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</row>
    <row r="37" spans="1:14" x14ac:dyDescent="0.25">
      <c r="A37" s="325" t="s">
        <v>4</v>
      </c>
      <c r="B37" s="326"/>
      <c r="C37" s="326">
        <f t="shared" ref="C37:I37" si="2">SUM(C4:C36)</f>
        <v>9500</v>
      </c>
      <c r="D37" s="326">
        <f t="shared" si="2"/>
        <v>0</v>
      </c>
      <c r="E37" s="290">
        <f t="shared" si="2"/>
        <v>24200</v>
      </c>
      <c r="F37" s="327">
        <f t="shared" si="2"/>
        <v>2400</v>
      </c>
      <c r="G37" s="327">
        <f t="shared" si="2"/>
        <v>87000</v>
      </c>
      <c r="H37" s="327">
        <f t="shared" si="2"/>
        <v>123100</v>
      </c>
      <c r="I37" s="327">
        <f t="shared" si="2"/>
        <v>100000</v>
      </c>
      <c r="J37" s="152">
        <f>H37-I37</f>
        <v>23100</v>
      </c>
      <c r="K37" s="340"/>
      <c r="L37" s="129"/>
      <c r="N37">
        <f>1500*4</f>
        <v>6000</v>
      </c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J37-C31-C29-J21-2800</f>
        <v>5300</v>
      </c>
      <c r="K38" s="129">
        <f>J5+J7+J8+J18+J32</f>
        <v>9100</v>
      </c>
      <c r="L38" s="129"/>
      <c r="N38">
        <v>5870</v>
      </c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N39">
        <f>SUM(N37:N38)</f>
        <v>11870</v>
      </c>
    </row>
    <row r="40" spans="1:14" x14ac:dyDescent="0.25">
      <c r="A40" s="152" t="s">
        <v>140</v>
      </c>
      <c r="B40" s="300">
        <f>G37</f>
        <v>87000</v>
      </c>
      <c r="C40" s="152"/>
      <c r="D40" s="152"/>
      <c r="E40" s="152"/>
      <c r="F40" s="152" t="s">
        <v>140</v>
      </c>
      <c r="G40" s="300">
        <f>I37</f>
        <v>100000</v>
      </c>
      <c r="H40" s="152"/>
      <c r="I40" s="152"/>
      <c r="J40" s="335"/>
      <c r="K40" s="336">
        <f>J38</f>
        <v>5300</v>
      </c>
      <c r="L40" s="129"/>
    </row>
    <row r="41" spans="1:14" x14ac:dyDescent="0.25">
      <c r="A41" s="152" t="s">
        <v>556</v>
      </c>
      <c r="B41" s="300"/>
      <c r="C41" s="152"/>
      <c r="D41" s="152"/>
      <c r="E41" s="152"/>
      <c r="F41" s="152"/>
      <c r="G41" s="300"/>
      <c r="H41" s="152"/>
      <c r="I41" s="152"/>
      <c r="J41" s="286"/>
      <c r="K41" s="336">
        <f>G43*J38</f>
        <v>530</v>
      </c>
      <c r="L41" s="129"/>
    </row>
    <row r="42" spans="1:14" x14ac:dyDescent="0.25">
      <c r="A42" s="152" t="s">
        <v>368</v>
      </c>
      <c r="B42" s="300">
        <f>'JUNE 20'!D55</f>
        <v>-11000.070000000007</v>
      </c>
      <c r="C42" s="152"/>
      <c r="D42" s="152"/>
      <c r="E42" s="152"/>
      <c r="F42" s="152" t="s">
        <v>368</v>
      </c>
      <c r="G42" s="300">
        <f>'JUNE 20'!I55</f>
        <v>-26900.070000000007</v>
      </c>
      <c r="H42" s="152"/>
      <c r="I42" s="152"/>
      <c r="J42" s="286"/>
      <c r="K42" s="336"/>
      <c r="L42" s="129">
        <f>J32+J20+J18+J15+J12+J8+J7+J5</f>
        <v>9100</v>
      </c>
    </row>
    <row r="43" spans="1:14" x14ac:dyDescent="0.25">
      <c r="A43" s="152" t="s">
        <v>410</v>
      </c>
      <c r="B43" s="301">
        <v>0.1</v>
      </c>
      <c r="C43" s="300">
        <f>B43*B40</f>
        <v>8700</v>
      </c>
      <c r="D43" s="152"/>
      <c r="E43" s="152"/>
      <c r="F43" s="152" t="s">
        <v>410</v>
      </c>
      <c r="G43" s="301">
        <v>0.1</v>
      </c>
      <c r="H43" s="300">
        <f>G43*B40</f>
        <v>8700</v>
      </c>
      <c r="I43" s="152"/>
      <c r="J43" s="286"/>
      <c r="K43" s="286"/>
      <c r="L43" s="129"/>
    </row>
    <row r="44" spans="1:14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</row>
    <row r="46" spans="1:14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2400</v>
      </c>
      <c r="I46" s="152"/>
      <c r="J46" s="8"/>
      <c r="K46" s="332"/>
      <c r="L46" s="332"/>
    </row>
    <row r="47" spans="1:14" x14ac:dyDescent="0.25">
      <c r="A47" s="303" t="s">
        <v>652</v>
      </c>
      <c r="B47" s="152"/>
      <c r="C47" s="152">
        <v>65850</v>
      </c>
      <c r="D47" s="152"/>
      <c r="E47" s="152"/>
      <c r="F47" s="303" t="s">
        <v>652</v>
      </c>
      <c r="G47" s="152"/>
      <c r="H47" s="152">
        <v>65850</v>
      </c>
      <c r="I47" s="152"/>
      <c r="J47" s="8"/>
      <c r="K47" s="332"/>
      <c r="L47" s="129"/>
    </row>
    <row r="48" spans="1:14" x14ac:dyDescent="0.25">
      <c r="A48" s="303" t="s">
        <v>654</v>
      </c>
      <c r="B48" s="301"/>
      <c r="C48" s="152">
        <v>1350</v>
      </c>
      <c r="D48" s="152"/>
      <c r="E48" s="152"/>
      <c r="F48" s="303" t="s">
        <v>654</v>
      </c>
      <c r="G48" s="301"/>
      <c r="H48" s="152">
        <v>1350</v>
      </c>
      <c r="I48" s="152"/>
      <c r="J48" s="8"/>
      <c r="K48" s="129"/>
      <c r="L48" s="129"/>
    </row>
    <row r="49" spans="1:12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/>
    </row>
    <row r="50" spans="1:12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</row>
    <row r="51" spans="1:12" x14ac:dyDescent="0.25">
      <c r="A51" s="296" t="s">
        <v>4</v>
      </c>
      <c r="B51" s="309">
        <f>B40+B41+B42-C43</f>
        <v>67299.929999999993</v>
      </c>
      <c r="C51" s="309">
        <f>SUM(C46:C50)</f>
        <v>67200</v>
      </c>
      <c r="D51" s="309">
        <f>B51-C51</f>
        <v>99.929999999993015</v>
      </c>
      <c r="E51" s="297"/>
      <c r="F51" s="296" t="s">
        <v>4</v>
      </c>
      <c r="G51" s="300">
        <f>G40+G41+G42-H43-H44</f>
        <v>64399.929999999993</v>
      </c>
      <c r="H51" s="300">
        <f>SUM(H46:H50 )</f>
        <v>69600</v>
      </c>
      <c r="I51" s="300">
        <f>G51-H51</f>
        <v>-5200.070000000007</v>
      </c>
      <c r="J51" s="152"/>
      <c r="K51" s="129"/>
      <c r="L51" s="33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332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</row>
    <row r="57" spans="1:12" x14ac:dyDescent="0.25">
      <c r="H57" s="332">
        <f>I51-D51</f>
        <v>-5300</v>
      </c>
    </row>
  </sheetData>
  <pageMargins left="0" right="0" top="0" bottom="0" header="0.3" footer="0.3"/>
  <pageSetup orientation="portrait" horizontalDpi="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9" workbookViewId="0">
      <selection activeCell="B42" sqref="B42"/>
    </sheetView>
  </sheetViews>
  <sheetFormatPr defaultRowHeight="15" x14ac:dyDescent="0.25"/>
  <cols>
    <col min="1" max="1" width="14.710937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655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'JULY 20'!J4:J36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'JULY 20'!J5:J37</f>
        <v>1300</v>
      </c>
      <c r="F5" s="290"/>
      <c r="G5" s="290">
        <v>3300</v>
      </c>
      <c r="H5" s="290">
        <f t="shared" ref="H5:H36" si="0">C5-D5+E5+F5+G5</f>
        <v>4600</v>
      </c>
      <c r="I5" s="152">
        <f>3400</f>
        <v>3400</v>
      </c>
      <c r="J5" s="152">
        <f t="shared" ref="J5:J36" si="1">H5-I5</f>
        <v>1200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'JULY 20'!J6:J38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'JULY 20'!J7:J39</f>
        <v>1100</v>
      </c>
      <c r="F7" s="290">
        <v>100</v>
      </c>
      <c r="G7" s="290">
        <v>4000</v>
      </c>
      <c r="H7" s="290">
        <f t="shared" si="0"/>
        <v>5200</v>
      </c>
      <c r="I7" s="152">
        <v>5200</v>
      </c>
      <c r="J7" s="152">
        <f t="shared" si="1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'JULY 20'!J8:J40</f>
        <v>4700</v>
      </c>
      <c r="F8" s="290"/>
      <c r="G8" s="290">
        <v>4000</v>
      </c>
      <c r="H8" s="290">
        <f t="shared" si="0"/>
        <v>8700</v>
      </c>
      <c r="I8" s="152">
        <f>3500</f>
        <v>3500</v>
      </c>
      <c r="J8" s="152">
        <f t="shared" si="1"/>
        <v>5200</v>
      </c>
      <c r="K8" s="129"/>
      <c r="L8" s="129"/>
    </row>
    <row r="9" spans="1:12" x14ac:dyDescent="0.25">
      <c r="A9" s="142" t="s">
        <v>446</v>
      </c>
      <c r="B9" s="208">
        <v>6</v>
      </c>
      <c r="C9" s="152"/>
      <c r="D9" s="152"/>
      <c r="E9" s="290">
        <f>'JULY 20'!J9:J41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'JULY 20'!J10:J42</f>
        <v>0</v>
      </c>
      <c r="F10" s="290">
        <v>100</v>
      </c>
      <c r="G10" s="290">
        <v>5400</v>
      </c>
      <c r="H10" s="290">
        <f t="shared" si="0"/>
        <v>5500</v>
      </c>
      <c r="I10" s="152">
        <f>5000</f>
        <v>5000</v>
      </c>
      <c r="J10" s="152">
        <f t="shared" si="1"/>
        <v>500</v>
      </c>
      <c r="K10" s="129"/>
      <c r="L10" s="129"/>
    </row>
    <row r="11" spans="1:12" x14ac:dyDescent="0.25">
      <c r="A11" s="334" t="s">
        <v>446</v>
      </c>
      <c r="B11" s="292">
        <v>8</v>
      </c>
      <c r="C11" s="289"/>
      <c r="D11" s="289"/>
      <c r="E11" s="290">
        <f>'JULY 20'!J11:J43</f>
        <v>0</v>
      </c>
      <c r="F11" s="290"/>
      <c r="G11" s="290"/>
      <c r="H11" s="290">
        <f t="shared" si="0"/>
        <v>0</v>
      </c>
      <c r="I11" s="152"/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'JULY 20'!J12:J44</f>
        <v>0</v>
      </c>
      <c r="F12" s="290">
        <v>100</v>
      </c>
      <c r="G12" s="290">
        <v>2700</v>
      </c>
      <c r="H12" s="290">
        <f t="shared" si="0"/>
        <v>2800</v>
      </c>
      <c r="I12" s="152">
        <f>1500+700</f>
        <v>2200</v>
      </c>
      <c r="J12" s="152">
        <f t="shared" si="1"/>
        <v>600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'JULY 20'!J13:J45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'JULY 20'!J14:J46</f>
        <v>0</v>
      </c>
      <c r="F14" s="290">
        <v>100</v>
      </c>
      <c r="G14" s="290">
        <v>2700</v>
      </c>
      <c r="H14" s="290">
        <f t="shared" si="0"/>
        <v>2800</v>
      </c>
      <c r="I14" s="152">
        <v>2800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'JULY 20'!J15:J47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'JULY 20'!J16:J48</f>
        <v>0</v>
      </c>
      <c r="F16" s="290">
        <v>100</v>
      </c>
      <c r="G16" s="293">
        <v>2700</v>
      </c>
      <c r="H16" s="290">
        <f t="shared" si="0"/>
        <v>2800</v>
      </c>
      <c r="I16" s="152">
        <f>2700+100</f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'JULY 20'!J17:J49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'JULY 20'!J18:J50</f>
        <v>1000</v>
      </c>
      <c r="F18" s="290">
        <v>100</v>
      </c>
      <c r="G18" s="290">
        <v>2700</v>
      </c>
      <c r="H18" s="290">
        <f t="shared" si="0"/>
        <v>3800</v>
      </c>
      <c r="I18" s="152">
        <f>2500</f>
        <v>2500</v>
      </c>
      <c r="J18" s="152">
        <f t="shared" si="1"/>
        <v>1300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'JULY 20'!J19:J51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'JULY 20'!J20:J52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'JULY 20'!J21:J53</f>
        <v>8200</v>
      </c>
      <c r="F21" s="290"/>
      <c r="G21" s="290">
        <v>2700</v>
      </c>
      <c r="H21" s="290">
        <f t="shared" si="0"/>
        <v>10900</v>
      </c>
      <c r="I21" s="152">
        <f>2800</f>
        <v>2800</v>
      </c>
      <c r="J21" s="152">
        <f t="shared" si="1"/>
        <v>8100</v>
      </c>
      <c r="K21" s="129"/>
      <c r="L21" s="129"/>
    </row>
    <row r="22" spans="1:12" x14ac:dyDescent="0.25">
      <c r="A22" s="311"/>
      <c r="B22" s="312">
        <v>19</v>
      </c>
      <c r="C22" s="311"/>
      <c r="D22" s="311"/>
      <c r="E22" s="290">
        <f>'JULY 20'!J22:J54</f>
        <v>0</v>
      </c>
      <c r="F22" s="313"/>
      <c r="G22" s="313"/>
      <c r="H22" s="290">
        <f t="shared" si="0"/>
        <v>0</v>
      </c>
      <c r="I22" s="297"/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'JULY 20'!J23:J55</f>
        <v>0</v>
      </c>
      <c r="F23" s="290">
        <v>100</v>
      </c>
      <c r="G23" s="290">
        <v>3700</v>
      </c>
      <c r="H23" s="290">
        <f t="shared" si="0"/>
        <v>3800</v>
      </c>
      <c r="I23" s="152">
        <f>3700+100</f>
        <v>3800</v>
      </c>
      <c r="J23" s="152">
        <f t="shared" si="1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289"/>
      <c r="E24" s="290">
        <f>'JULY 20'!J24:J56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'JULY 20'!J25:J57</f>
        <v>0</v>
      </c>
      <c r="F25" s="290">
        <v>100</v>
      </c>
      <c r="G25" s="290">
        <v>3500</v>
      </c>
      <c r="H25" s="290">
        <f t="shared" si="0"/>
        <v>3600</v>
      </c>
      <c r="I25" s="152">
        <f>3500+100</f>
        <v>3600</v>
      </c>
      <c r="J25" s="152">
        <f t="shared" si="1"/>
        <v>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'JULY 20'!J26:J58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'JULY 20'!J27:J59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'JULY 20'!J28:J60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>
        <v>3400</v>
      </c>
      <c r="D29" s="289"/>
      <c r="E29" s="290"/>
      <c r="F29" s="290">
        <v>100</v>
      </c>
      <c r="G29" s="290">
        <v>3300</v>
      </c>
      <c r="H29" s="290">
        <f t="shared" si="0"/>
        <v>6800</v>
      </c>
      <c r="I29" s="152">
        <f>3000+3800</f>
        <v>6800</v>
      </c>
      <c r="J29" s="152">
        <f>H29-I29</f>
        <v>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'JULY 20'!J30:J62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2" x14ac:dyDescent="0.25">
      <c r="A31" s="289" t="s">
        <v>648</v>
      </c>
      <c r="B31" s="208">
        <v>28</v>
      </c>
      <c r="C31" s="289">
        <v>2400</v>
      </c>
      <c r="D31" s="289"/>
      <c r="E31" s="290"/>
      <c r="F31" s="290">
        <v>100</v>
      </c>
      <c r="G31" s="293">
        <v>3300</v>
      </c>
      <c r="H31" s="290">
        <f t="shared" si="0"/>
        <v>5800</v>
      </c>
      <c r="I31" s="152">
        <f>3400</f>
        <v>3400</v>
      </c>
      <c r="J31" s="152">
        <f t="shared" si="1"/>
        <v>2400</v>
      </c>
      <c r="K31" s="129">
        <v>1000</v>
      </c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'JULY 20'!J32:J64</f>
        <v>1000</v>
      </c>
      <c r="F32" s="290">
        <v>100</v>
      </c>
      <c r="G32" s="290">
        <v>3300</v>
      </c>
      <c r="H32" s="290">
        <f t="shared" si="0"/>
        <v>4400</v>
      </c>
      <c r="I32" s="152">
        <f>4400</f>
        <v>4400</v>
      </c>
      <c r="J32" s="152">
        <f t="shared" si="1"/>
        <v>0</v>
      </c>
      <c r="K32" s="129"/>
      <c r="L32" s="129"/>
    </row>
    <row r="33" spans="1:15" x14ac:dyDescent="0.25">
      <c r="A33" s="334" t="s">
        <v>446</v>
      </c>
      <c r="B33" s="208">
        <v>30</v>
      </c>
      <c r="C33" s="289"/>
      <c r="D33" s="289"/>
      <c r="E33" s="290">
        <f>'JULY 20'!J33:J65</f>
        <v>0</v>
      </c>
      <c r="F33" s="290"/>
      <c r="G33" s="290"/>
      <c r="H33" s="290">
        <f t="shared" si="0"/>
        <v>0</v>
      </c>
      <c r="I33" s="152"/>
      <c r="J33" s="152">
        <f t="shared" si="1"/>
        <v>0</v>
      </c>
      <c r="K33" s="129"/>
      <c r="L33" s="129"/>
    </row>
    <row r="34" spans="1:15" x14ac:dyDescent="0.25">
      <c r="A34" s="289" t="s">
        <v>656</v>
      </c>
      <c r="B34" s="208">
        <v>31</v>
      </c>
      <c r="C34" s="289">
        <v>500</v>
      </c>
      <c r="D34" s="289"/>
      <c r="E34" s="290">
        <f>'JULY 20'!J34:J66</f>
        <v>0</v>
      </c>
      <c r="F34" s="290">
        <v>100</v>
      </c>
      <c r="G34" s="290">
        <v>3200</v>
      </c>
      <c r="H34" s="290">
        <f t="shared" si="0"/>
        <v>3800</v>
      </c>
      <c r="I34" s="152">
        <f>500+3300</f>
        <v>3800</v>
      </c>
      <c r="J34" s="152">
        <f t="shared" si="1"/>
        <v>0</v>
      </c>
      <c r="K34" s="129">
        <f>500+2800</f>
        <v>3300</v>
      </c>
      <c r="L34" s="129"/>
    </row>
    <row r="35" spans="1:15" x14ac:dyDescent="0.25">
      <c r="A35" s="289" t="s">
        <v>608</v>
      </c>
      <c r="B35" s="208">
        <v>32</v>
      </c>
      <c r="C35" s="289"/>
      <c r="D35" s="289"/>
      <c r="E35" s="290">
        <f>'JULY 20'!J35:J67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  <c r="L35" s="129"/>
    </row>
    <row r="36" spans="1:15" x14ac:dyDescent="0.25">
      <c r="A36" s="334" t="s">
        <v>446</v>
      </c>
      <c r="B36" s="208">
        <v>33</v>
      </c>
      <c r="C36" s="152"/>
      <c r="D36" s="152"/>
      <c r="E36" s="290">
        <f>'JULY 20'!J36:J68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</row>
    <row r="37" spans="1:15" x14ac:dyDescent="0.25">
      <c r="A37" s="325" t="s">
        <v>4</v>
      </c>
      <c r="B37" s="326"/>
      <c r="C37" s="326">
        <f>SUM(C4:C36)</f>
        <v>6300</v>
      </c>
      <c r="D37" s="326">
        <f t="shared" ref="D37:I37" si="2">SUM(D4:D36)</f>
        <v>0</v>
      </c>
      <c r="E37" s="290">
        <f>SUM(E4:E36)</f>
        <v>17300</v>
      </c>
      <c r="F37" s="327">
        <f t="shared" si="2"/>
        <v>2400</v>
      </c>
      <c r="G37" s="327">
        <f t="shared" si="2"/>
        <v>88700</v>
      </c>
      <c r="H37" s="327">
        <f>SUM(H4:H36)</f>
        <v>114700</v>
      </c>
      <c r="I37" s="327">
        <f t="shared" si="2"/>
        <v>95400</v>
      </c>
      <c r="J37" s="152">
        <f>H37-I37</f>
        <v>19300</v>
      </c>
      <c r="K37" s="340"/>
      <c r="L37" s="129"/>
      <c r="N37" s="332"/>
    </row>
    <row r="38" spans="1:15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J37-J31-J21-C29</f>
        <v>5400</v>
      </c>
      <c r="K38" s="129"/>
      <c r="L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N39" s="332"/>
    </row>
    <row r="40" spans="1:15" x14ac:dyDescent="0.25">
      <c r="A40" s="152" t="s">
        <v>147</v>
      </c>
      <c r="B40" s="300">
        <f>G37</f>
        <v>88700</v>
      </c>
      <c r="C40" s="152"/>
      <c r="D40" s="152"/>
      <c r="E40" s="152"/>
      <c r="F40" s="152" t="s">
        <v>147</v>
      </c>
      <c r="G40" s="300">
        <f>I37</f>
        <v>95400</v>
      </c>
      <c r="H40" s="152"/>
      <c r="I40" s="152"/>
      <c r="J40" s="335">
        <f>J37-J21</f>
        <v>11200</v>
      </c>
      <c r="K40" s="336">
        <f>J38</f>
        <v>5400</v>
      </c>
      <c r="L40" s="129"/>
    </row>
    <row r="41" spans="1:15" x14ac:dyDescent="0.25">
      <c r="A41" s="152" t="s">
        <v>657</v>
      </c>
      <c r="B41" s="300">
        <f>3800+500</f>
        <v>4300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540</v>
      </c>
      <c r="L41" s="129"/>
    </row>
    <row r="42" spans="1:15" x14ac:dyDescent="0.25">
      <c r="A42" s="152" t="s">
        <v>368</v>
      </c>
      <c r="B42" s="300">
        <f>'JULY 20'!D51</f>
        <v>99.929999999993015</v>
      </c>
      <c r="C42" s="152"/>
      <c r="D42" s="152"/>
      <c r="E42" s="152"/>
      <c r="F42" s="152" t="s">
        <v>368</v>
      </c>
      <c r="G42" s="300">
        <f>'JULY 20'!I51</f>
        <v>-5200.070000000007</v>
      </c>
      <c r="H42" s="152"/>
      <c r="I42" s="152"/>
      <c r="J42" s="286"/>
      <c r="K42" s="336"/>
      <c r="L42" s="129"/>
    </row>
    <row r="43" spans="1:15" x14ac:dyDescent="0.25">
      <c r="A43" s="152" t="s">
        <v>410</v>
      </c>
      <c r="B43" s="301">
        <v>0.1</v>
      </c>
      <c r="C43" s="300">
        <f>B43*B40</f>
        <v>8870</v>
      </c>
      <c r="D43" s="152"/>
      <c r="E43" s="152"/>
      <c r="F43" s="152" t="s">
        <v>410</v>
      </c>
      <c r="G43" s="301">
        <v>0.1</v>
      </c>
      <c r="H43" s="300">
        <f>G43*B40</f>
        <v>8870</v>
      </c>
      <c r="I43" s="152"/>
      <c r="J43" s="286"/>
      <c r="K43" s="286"/>
      <c r="L43" s="129"/>
    </row>
    <row r="44" spans="1:15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</row>
    <row r="46" spans="1:15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F37+100</f>
        <v>2500</v>
      </c>
      <c r="I46" s="152"/>
      <c r="J46" s="8"/>
      <c r="K46" s="332"/>
      <c r="L46" s="332"/>
      <c r="N46">
        <f>3500/30</f>
        <v>116.66666666666667</v>
      </c>
      <c r="O46">
        <f>117*8</f>
        <v>936</v>
      </c>
    </row>
    <row r="47" spans="1:15" x14ac:dyDescent="0.25">
      <c r="A47" s="303" t="s">
        <v>659</v>
      </c>
      <c r="B47" s="152"/>
      <c r="C47" s="152">
        <v>84130</v>
      </c>
      <c r="D47" s="152"/>
      <c r="E47" s="152"/>
      <c r="F47" s="303" t="s">
        <v>659</v>
      </c>
      <c r="G47" s="152"/>
      <c r="H47" s="152">
        <v>84130</v>
      </c>
      <c r="I47" s="152"/>
      <c r="J47" s="8"/>
      <c r="K47" s="332"/>
      <c r="L47" s="129"/>
      <c r="N47">
        <f>N46*8</f>
        <v>933.33333333333337</v>
      </c>
    </row>
    <row r="48" spans="1:15" x14ac:dyDescent="0.25">
      <c r="A48" s="303"/>
      <c r="B48" s="301"/>
      <c r="C48" s="152"/>
      <c r="D48" s="152"/>
      <c r="E48" s="152"/>
      <c r="F48" s="303"/>
      <c r="G48" s="301"/>
      <c r="H48" s="152"/>
      <c r="I48" s="152"/>
      <c r="J48" s="8"/>
      <c r="K48" s="129"/>
      <c r="L48" s="129"/>
    </row>
    <row r="49" spans="1:12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/>
    </row>
    <row r="50" spans="1:12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</row>
    <row r="51" spans="1:12" x14ac:dyDescent="0.25">
      <c r="A51" s="296" t="s">
        <v>4</v>
      </c>
      <c r="B51" s="309">
        <f>B40+B41+B42-C43</f>
        <v>84229.93</v>
      </c>
      <c r="C51" s="309">
        <f>SUM(C46:C50)</f>
        <v>84130</v>
      </c>
      <c r="D51" s="309">
        <f>B51-C51</f>
        <v>99.929999999993015</v>
      </c>
      <c r="E51" s="297"/>
      <c r="F51" s="296" t="s">
        <v>4</v>
      </c>
      <c r="G51" s="300">
        <f>G40+G41+G42-H43-H44</f>
        <v>81329.929999999993</v>
      </c>
      <c r="H51" s="300">
        <f>SUM(H46:H50 )</f>
        <v>86630</v>
      </c>
      <c r="I51" s="300">
        <f>G51-H51</f>
        <v>-5300.070000000007</v>
      </c>
      <c r="J51" s="152"/>
      <c r="K51" s="129"/>
      <c r="L51" s="33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332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</row>
    <row r="54" spans="1:12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</sheetData>
  <pageMargins left="0" right="0" top="0" bottom="0" header="0.3" footer="0.3"/>
  <pageSetup orientation="portrait" horizontalDpi="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22" workbookViewId="0">
      <selection activeCell="N50" sqref="N50"/>
    </sheetView>
  </sheetViews>
  <sheetFormatPr defaultRowHeight="15" x14ac:dyDescent="0.25"/>
  <cols>
    <col min="1" max="1" width="14" customWidth="1"/>
    <col min="2" max="2" width="6.85546875" customWidth="1"/>
    <col min="5" max="5" width="7" customWidth="1"/>
    <col min="6" max="6" width="7.57031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662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AUGUST20!J4:J36</f>
        <v>0</v>
      </c>
      <c r="F4" s="290">
        <v>100</v>
      </c>
      <c r="G4" s="290">
        <v>4500</v>
      </c>
      <c r="H4" s="290">
        <f>C4-D4+E4+F4+G4</f>
        <v>4600</v>
      </c>
      <c r="I4" s="152">
        <f>2600+2000</f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AUGUST20!J5:J37</f>
        <v>1200</v>
      </c>
      <c r="F5" s="290"/>
      <c r="G5" s="290">
        <v>3300</v>
      </c>
      <c r="H5" s="290">
        <f t="shared" ref="H5:H36" si="0">C5-D5+E5+F5+G5</f>
        <v>4500</v>
      </c>
      <c r="I5" s="152">
        <f>3400</f>
        <v>3400</v>
      </c>
      <c r="J5" s="152">
        <f t="shared" ref="J5:J36" si="1">H5-I5</f>
        <v>1100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AUGUST20!J6:J38</f>
        <v>0</v>
      </c>
      <c r="F6" s="290">
        <v>100</v>
      </c>
      <c r="G6" s="290">
        <v>2700</v>
      </c>
      <c r="H6" s="290">
        <f t="shared" si="0"/>
        <v>2800</v>
      </c>
      <c r="I6" s="152">
        <f>2700+100</f>
        <v>2800</v>
      </c>
      <c r="J6" s="152">
        <f t="shared" si="1"/>
        <v>0</v>
      </c>
      <c r="K6" s="129"/>
    </row>
    <row r="7" spans="1:11" x14ac:dyDescent="0.25">
      <c r="A7" s="289" t="s">
        <v>458</v>
      </c>
      <c r="B7" s="208">
        <v>4</v>
      </c>
      <c r="C7" s="289"/>
      <c r="D7" s="289"/>
      <c r="E7" s="290">
        <f>AUGUST20!J7:J39</f>
        <v>0</v>
      </c>
      <c r="F7" s="290">
        <v>100</v>
      </c>
      <c r="G7" s="290">
        <v>4000</v>
      </c>
      <c r="H7" s="290">
        <f t="shared" si="0"/>
        <v>4100</v>
      </c>
      <c r="I7" s="152">
        <f>2000+2100</f>
        <v>4100</v>
      </c>
      <c r="J7" s="152">
        <f t="shared" si="1"/>
        <v>0</v>
      </c>
      <c r="K7" s="129"/>
    </row>
    <row r="8" spans="1:11" x14ac:dyDescent="0.25">
      <c r="A8" s="289" t="s">
        <v>417</v>
      </c>
      <c r="B8" s="208">
        <v>5</v>
      </c>
      <c r="C8" s="289"/>
      <c r="D8" s="289"/>
      <c r="E8" s="290">
        <f>AUGUST20!J8:J40</f>
        <v>5200</v>
      </c>
      <c r="F8" s="290"/>
      <c r="G8" s="290">
        <v>4000</v>
      </c>
      <c r="H8" s="290">
        <f t="shared" si="0"/>
        <v>9200</v>
      </c>
      <c r="I8" s="152"/>
      <c r="J8" s="152">
        <f t="shared" si="1"/>
        <v>9200</v>
      </c>
      <c r="K8" s="129" t="s">
        <v>607</v>
      </c>
    </row>
    <row r="9" spans="1:11" x14ac:dyDescent="0.25">
      <c r="A9" s="142" t="s">
        <v>446</v>
      </c>
      <c r="B9" s="208">
        <v>6</v>
      </c>
      <c r="C9" s="289"/>
      <c r="D9" s="152"/>
      <c r="E9" s="290">
        <f>AUGUST20!J9:J41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AUGUST20!J10:J42</f>
        <v>500</v>
      </c>
      <c r="F10" s="290">
        <v>100</v>
      </c>
      <c r="G10" s="290">
        <v>5400</v>
      </c>
      <c r="H10" s="290">
        <f t="shared" si="0"/>
        <v>6000</v>
      </c>
      <c r="I10" s="152">
        <f>6000</f>
        <v>6000</v>
      </c>
      <c r="J10" s="152">
        <f t="shared" si="1"/>
        <v>0</v>
      </c>
      <c r="K10" s="129"/>
    </row>
    <row r="11" spans="1:11" x14ac:dyDescent="0.25">
      <c r="A11" s="334" t="s">
        <v>446</v>
      </c>
      <c r="B11" s="292">
        <v>8</v>
      </c>
      <c r="C11" s="289"/>
      <c r="D11" s="289"/>
      <c r="E11" s="290">
        <f>AUGUST20!J11:J43</f>
        <v>0</v>
      </c>
      <c r="F11" s="290"/>
      <c r="G11" s="290"/>
      <c r="H11" s="290">
        <f t="shared" si="0"/>
        <v>0</v>
      </c>
      <c r="I11" s="152"/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AUGUST20!J12:J44</f>
        <v>600</v>
      </c>
      <c r="F12" s="290">
        <v>100</v>
      </c>
      <c r="G12" s="290">
        <v>2700</v>
      </c>
      <c r="H12" s="290">
        <f t="shared" si="0"/>
        <v>3400</v>
      </c>
      <c r="I12" s="152">
        <f>1200</f>
        <v>1200</v>
      </c>
      <c r="J12" s="152">
        <f t="shared" si="1"/>
        <v>2200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AUGUST20!J13:J45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AUGUST20!J14:J46</f>
        <v>0</v>
      </c>
      <c r="F14" s="290">
        <v>100</v>
      </c>
      <c r="G14" s="290">
        <v>2700</v>
      </c>
      <c r="H14" s="290">
        <f t="shared" si="0"/>
        <v>2800</v>
      </c>
      <c r="I14" s="152">
        <f>2000+800</f>
        <v>2800</v>
      </c>
      <c r="J14" s="152">
        <f t="shared" si="1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AUGUST20!J15:J47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AUGUST20!J16:J48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AUGUST20!J17:J49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</row>
    <row r="18" spans="1:11" x14ac:dyDescent="0.25">
      <c r="A18" s="289" t="s">
        <v>521</v>
      </c>
      <c r="B18" s="208">
        <v>15</v>
      </c>
      <c r="C18" s="289"/>
      <c r="D18" s="289"/>
      <c r="E18" s="290">
        <f>AUGUST20!J18:J50</f>
        <v>1300</v>
      </c>
      <c r="F18" s="290">
        <v>100</v>
      </c>
      <c r="G18" s="290">
        <v>2700</v>
      </c>
      <c r="H18" s="290">
        <f t="shared" si="0"/>
        <v>4100</v>
      </c>
      <c r="I18" s="152">
        <f>2800</f>
        <v>2800</v>
      </c>
      <c r="J18" s="152">
        <f t="shared" si="1"/>
        <v>1300</v>
      </c>
      <c r="K18" s="129"/>
    </row>
    <row r="19" spans="1:11" x14ac:dyDescent="0.25">
      <c r="A19" s="289" t="s">
        <v>520</v>
      </c>
      <c r="B19" s="208">
        <v>16</v>
      </c>
      <c r="C19" s="289"/>
      <c r="D19" s="289"/>
      <c r="E19" s="290">
        <f>AUGUST20!J19:J51</f>
        <v>0</v>
      </c>
      <c r="F19" s="290">
        <v>100</v>
      </c>
      <c r="G19" s="290">
        <v>3000</v>
      </c>
      <c r="H19" s="290">
        <f t="shared" si="0"/>
        <v>3100</v>
      </c>
      <c r="I19" s="152">
        <f>3100</f>
        <v>3100</v>
      </c>
      <c r="J19" s="152">
        <f t="shared" si="1"/>
        <v>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AUGUST20!J20:J52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</row>
    <row r="21" spans="1:11" x14ac:dyDescent="0.25">
      <c r="A21" s="289" t="s">
        <v>346</v>
      </c>
      <c r="B21" s="208">
        <v>18</v>
      </c>
      <c r="C21" s="289"/>
      <c r="D21" s="289"/>
      <c r="E21" s="290">
        <f>AUGUST20!J21:J53</f>
        <v>8100</v>
      </c>
      <c r="F21" s="290"/>
      <c r="G21" s="290"/>
      <c r="H21" s="290">
        <f t="shared" si="0"/>
        <v>8100</v>
      </c>
      <c r="I21" s="152"/>
      <c r="J21" s="152">
        <f t="shared" si="1"/>
        <v>8100</v>
      </c>
      <c r="K21" s="129"/>
    </row>
    <row r="22" spans="1:11" x14ac:dyDescent="0.25">
      <c r="A22" s="311"/>
      <c r="B22" s="312">
        <v>19</v>
      </c>
      <c r="C22" s="289"/>
      <c r="D22" s="289"/>
      <c r="E22" s="290">
        <f>AUGUST20!J22:J54</f>
        <v>0</v>
      </c>
      <c r="F22" s="313"/>
      <c r="G22" s="313"/>
      <c r="H22" s="290">
        <f t="shared" si="0"/>
        <v>0</v>
      </c>
      <c r="I22" s="297"/>
      <c r="J22" s="152">
        <f t="shared" si="1"/>
        <v>0</v>
      </c>
      <c r="K22" s="129"/>
    </row>
    <row r="23" spans="1:11" x14ac:dyDescent="0.25">
      <c r="A23" s="289" t="s">
        <v>461</v>
      </c>
      <c r="B23" s="208">
        <v>20</v>
      </c>
      <c r="C23" s="289"/>
      <c r="E23" s="290">
        <f>AUGUST20!J23:J55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f>3700+100</f>
        <v>3800</v>
      </c>
      <c r="J23" s="152">
        <f t="shared" si="1"/>
        <v>0</v>
      </c>
      <c r="K23" s="129"/>
    </row>
    <row r="24" spans="1:11" x14ac:dyDescent="0.25">
      <c r="A24" s="334" t="s">
        <v>37</v>
      </c>
      <c r="B24" s="208">
        <v>21</v>
      </c>
      <c r="C24" s="289"/>
      <c r="E24" s="290">
        <f>AUGUST20!J24:J56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</row>
    <row r="25" spans="1:11" x14ac:dyDescent="0.25">
      <c r="A25" s="289" t="s">
        <v>435</v>
      </c>
      <c r="B25" s="208">
        <v>22</v>
      </c>
      <c r="C25" s="289"/>
      <c r="E25" s="290">
        <f>AUGUST20!J25:J57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f>3600</f>
        <v>3600</v>
      </c>
      <c r="J25" s="152">
        <f t="shared" si="1"/>
        <v>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AUGUST20!J26:J58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AUGUST20!J27:J59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AUGUST20!J28:J60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AUGUST20!J29:J61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</row>
    <row r="30" spans="1:11" x14ac:dyDescent="0.25">
      <c r="A30" s="289" t="s">
        <v>572</v>
      </c>
      <c r="B30" s="208">
        <v>27</v>
      </c>
      <c r="C30" s="289"/>
      <c r="D30" s="289"/>
      <c r="E30" s="290">
        <f>AUGUST20!J30:J62</f>
        <v>0</v>
      </c>
      <c r="F30" s="290">
        <v>100</v>
      </c>
      <c r="G30" s="290">
        <v>3300</v>
      </c>
      <c r="H30" s="290">
        <f t="shared" si="0"/>
        <v>3400</v>
      </c>
      <c r="I30" s="152">
        <f>3400</f>
        <v>3400</v>
      </c>
      <c r="J30" s="152">
        <f t="shared" si="1"/>
        <v>0</v>
      </c>
      <c r="K30" s="129"/>
    </row>
    <row r="31" spans="1:11" x14ac:dyDescent="0.25">
      <c r="A31" s="289" t="s">
        <v>648</v>
      </c>
      <c r="B31" s="208">
        <v>28</v>
      </c>
      <c r="C31" s="289"/>
      <c r="D31" s="289"/>
      <c r="E31" s="290">
        <f>AUGUST20!J31:J63</f>
        <v>2400</v>
      </c>
      <c r="F31" s="290">
        <v>100</v>
      </c>
      <c r="G31" s="293">
        <v>3300</v>
      </c>
      <c r="H31" s="290">
        <f t="shared" si="0"/>
        <v>5800</v>
      </c>
      <c r="I31" s="152">
        <f>1000+1000+1400</f>
        <v>3400</v>
      </c>
      <c r="J31" s="152">
        <f t="shared" si="1"/>
        <v>2400</v>
      </c>
      <c r="K31" s="129"/>
    </row>
    <row r="32" spans="1:11" x14ac:dyDescent="0.25">
      <c r="A32" s="289" t="s">
        <v>559</v>
      </c>
      <c r="B32" s="208">
        <v>29</v>
      </c>
      <c r="C32" s="289"/>
      <c r="D32" s="289"/>
      <c r="E32" s="290">
        <f>AUGUST20!J32:J64</f>
        <v>0</v>
      </c>
      <c r="F32" s="290">
        <v>100</v>
      </c>
      <c r="G32" s="290">
        <v>3300</v>
      </c>
      <c r="H32" s="290">
        <f t="shared" si="0"/>
        <v>3400</v>
      </c>
      <c r="I32" s="152">
        <f>1000+2400</f>
        <v>3400</v>
      </c>
      <c r="J32" s="152">
        <f t="shared" si="1"/>
        <v>0</v>
      </c>
      <c r="K32" s="129"/>
    </row>
    <row r="33" spans="1:14" x14ac:dyDescent="0.25">
      <c r="A33" s="334" t="s">
        <v>661</v>
      </c>
      <c r="B33" s="208">
        <v>30</v>
      </c>
      <c r="C33" s="289">
        <v>3300</v>
      </c>
      <c r="D33" s="289"/>
      <c r="E33" s="290">
        <f>AUGUST20!J33:J65</f>
        <v>0</v>
      </c>
      <c r="F33" s="290">
        <v>100</v>
      </c>
      <c r="G33" s="290">
        <v>3200</v>
      </c>
      <c r="H33" s="290">
        <f t="shared" si="0"/>
        <v>6600</v>
      </c>
      <c r="I33" s="152">
        <v>3300</v>
      </c>
      <c r="J33" s="152">
        <f t="shared" si="1"/>
        <v>3300</v>
      </c>
      <c r="K33" s="129"/>
    </row>
    <row r="34" spans="1:14" x14ac:dyDescent="0.25">
      <c r="A34" s="289" t="s">
        <v>656</v>
      </c>
      <c r="B34" s="208">
        <v>31</v>
      </c>
      <c r="C34" s="289"/>
      <c r="D34" s="289"/>
      <c r="E34" s="290">
        <f>AUGUST20!J34:J66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</row>
    <row r="35" spans="1:14" x14ac:dyDescent="0.25">
      <c r="A35" s="289" t="s">
        <v>608</v>
      </c>
      <c r="B35" s="208">
        <v>32</v>
      </c>
      <c r="C35" s="289"/>
      <c r="D35" s="289"/>
      <c r="E35" s="290">
        <f>AUGUST20!J35:J67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</row>
    <row r="36" spans="1:14" x14ac:dyDescent="0.25">
      <c r="A36" s="334" t="s">
        <v>446</v>
      </c>
      <c r="B36" s="208">
        <v>33</v>
      </c>
      <c r="C36" s="289"/>
      <c r="D36" s="152"/>
      <c r="E36" s="290">
        <f>AUGUST20!J36:J68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</row>
    <row r="37" spans="1:14" x14ac:dyDescent="0.25">
      <c r="A37" s="325" t="s">
        <v>4</v>
      </c>
      <c r="B37" s="326"/>
      <c r="C37" s="326">
        <f>SUM(C4:C36)</f>
        <v>3300</v>
      </c>
      <c r="D37" s="326">
        <f t="shared" ref="D37:I37" si="2">SUM(D4:D36)</f>
        <v>0</v>
      </c>
      <c r="E37" s="290">
        <f>SUM(E4:E36)</f>
        <v>19300</v>
      </c>
      <c r="F37" s="327">
        <f t="shared" si="2"/>
        <v>2500</v>
      </c>
      <c r="G37" s="327">
        <f t="shared" si="2"/>
        <v>89200</v>
      </c>
      <c r="H37" s="327">
        <f>SUM(H4:H36)</f>
        <v>114300</v>
      </c>
      <c r="I37" s="327">
        <f t="shared" si="2"/>
        <v>86700</v>
      </c>
      <c r="J37" s="152">
        <f>H37-I37</f>
        <v>27600</v>
      </c>
      <c r="K37" s="340"/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J37-J8-J33-J31-J21</f>
        <v>4600</v>
      </c>
      <c r="K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</row>
    <row r="40" spans="1:14" x14ac:dyDescent="0.25">
      <c r="A40" s="152"/>
      <c r="B40" s="300">
        <f>G37</f>
        <v>89200</v>
      </c>
      <c r="C40" s="152"/>
      <c r="D40" s="152"/>
      <c r="E40" s="152"/>
      <c r="F40" s="152" t="s">
        <v>152</v>
      </c>
      <c r="G40" s="300">
        <f>I37</f>
        <v>86700</v>
      </c>
      <c r="H40" s="152"/>
      <c r="I40" s="152"/>
      <c r="J40" s="335"/>
      <c r="K40" s="336"/>
      <c r="N40" s="332"/>
    </row>
    <row r="41" spans="1:14" x14ac:dyDescent="0.25">
      <c r="A41" s="152" t="s">
        <v>660</v>
      </c>
      <c r="B41" s="300">
        <v>3300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4" x14ac:dyDescent="0.25">
      <c r="A42" s="152" t="s">
        <v>368</v>
      </c>
      <c r="B42" s="300">
        <f>AUGUST20!D51</f>
        <v>99.929999999993015</v>
      </c>
      <c r="C42" s="152"/>
      <c r="D42" s="152"/>
      <c r="E42" s="152"/>
      <c r="F42" s="152" t="s">
        <v>368</v>
      </c>
      <c r="G42" s="300">
        <f>AUGUST20!I51</f>
        <v>-5300.070000000007</v>
      </c>
      <c r="H42" s="152"/>
      <c r="I42" s="152"/>
      <c r="J42" s="286"/>
      <c r="K42" s="336"/>
      <c r="N42" s="332"/>
    </row>
    <row r="43" spans="1:14" x14ac:dyDescent="0.25">
      <c r="A43" s="152" t="s">
        <v>410</v>
      </c>
      <c r="B43" s="301">
        <v>0.1</v>
      </c>
      <c r="C43" s="300">
        <f>B43*B40</f>
        <v>8920</v>
      </c>
      <c r="D43" s="152"/>
      <c r="E43" s="152"/>
      <c r="F43" s="152" t="s">
        <v>410</v>
      </c>
      <c r="G43" s="301">
        <v>0.1</v>
      </c>
      <c r="H43" s="300">
        <f>G43*B40</f>
        <v>8920</v>
      </c>
      <c r="I43" s="152"/>
      <c r="J43" s="286"/>
      <c r="K43" s="286"/>
    </row>
    <row r="44" spans="1:14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N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</row>
    <row r="46" spans="1:14" x14ac:dyDescent="0.25">
      <c r="A46" s="305" t="s">
        <v>663</v>
      </c>
      <c r="B46" s="301"/>
      <c r="C46" s="300">
        <v>4000</v>
      </c>
      <c r="D46" s="152"/>
      <c r="E46" s="152"/>
      <c r="F46" s="305" t="s">
        <v>161</v>
      </c>
      <c r="G46" s="301"/>
      <c r="H46" s="300">
        <f>F37+100</f>
        <v>2600</v>
      </c>
      <c r="I46" s="152"/>
      <c r="J46" s="8"/>
      <c r="K46" s="332"/>
      <c r="N46" s="332"/>
    </row>
    <row r="47" spans="1:14" x14ac:dyDescent="0.25">
      <c r="A47" s="303" t="s">
        <v>664</v>
      </c>
      <c r="B47" s="152"/>
      <c r="C47" s="152">
        <v>5000</v>
      </c>
      <c r="D47" s="152"/>
      <c r="E47" s="152"/>
      <c r="F47" s="303" t="s">
        <v>664</v>
      </c>
      <c r="G47" s="152"/>
      <c r="H47" s="152">
        <v>5000</v>
      </c>
      <c r="I47" s="152"/>
      <c r="J47" s="8"/>
      <c r="K47" s="332"/>
    </row>
    <row r="48" spans="1:14" x14ac:dyDescent="0.25">
      <c r="A48" s="303" t="s">
        <v>665</v>
      </c>
      <c r="B48" s="301"/>
      <c r="C48" s="152">
        <v>74580</v>
      </c>
      <c r="D48" s="152"/>
      <c r="E48" s="152"/>
      <c r="F48" s="303" t="s">
        <v>665</v>
      </c>
      <c r="G48" s="301"/>
      <c r="H48" s="152">
        <v>74580</v>
      </c>
      <c r="I48" s="152"/>
      <c r="J48" s="8"/>
      <c r="K48" s="129"/>
    </row>
    <row r="49" spans="1:14" x14ac:dyDescent="0.25">
      <c r="A49" s="303" t="s">
        <v>669</v>
      </c>
      <c r="B49" s="301"/>
      <c r="C49" s="152">
        <v>3056</v>
      </c>
      <c r="D49" s="152"/>
      <c r="E49" s="152"/>
      <c r="F49" s="303" t="s">
        <v>667</v>
      </c>
      <c r="G49" s="301"/>
      <c r="H49" s="152">
        <v>3056</v>
      </c>
      <c r="I49" s="152"/>
      <c r="J49" s="8"/>
      <c r="K49" s="129"/>
      <c r="N49">
        <f>2300+2400+2400+2400</f>
        <v>9500</v>
      </c>
    </row>
    <row r="50" spans="1:14" x14ac:dyDescent="0.25">
      <c r="A50" s="303" t="s">
        <v>663</v>
      </c>
      <c r="B50" s="301"/>
      <c r="C50" s="152">
        <v>5200</v>
      </c>
      <c r="D50" s="152"/>
      <c r="E50" s="152"/>
      <c r="F50" s="303"/>
      <c r="G50" s="301"/>
      <c r="H50" s="152"/>
      <c r="I50" s="152"/>
      <c r="J50" s="8"/>
      <c r="K50" s="129"/>
    </row>
    <row r="51" spans="1:14" x14ac:dyDescent="0.25">
      <c r="A51" s="296" t="s">
        <v>4</v>
      </c>
      <c r="B51" s="309">
        <f>B40+B41+B42-C43</f>
        <v>83679.929999999993</v>
      </c>
      <c r="C51" s="309">
        <f>SUM(C46:C50)</f>
        <v>91836</v>
      </c>
      <c r="D51" s="309">
        <f>B51-C51</f>
        <v>-8156.070000000007</v>
      </c>
      <c r="E51" s="297"/>
      <c r="F51" s="296" t="s">
        <v>4</v>
      </c>
      <c r="G51" s="300">
        <f>G40+G41+G42-H43-H44</f>
        <v>72479.929999999993</v>
      </c>
      <c r="H51" s="300">
        <f>SUM(H46:H50 )</f>
        <v>85236</v>
      </c>
      <c r="I51" s="300">
        <f>G51-H51</f>
        <v>-12756.070000000007</v>
      </c>
      <c r="J51" s="152"/>
      <c r="K51" s="129"/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</row>
    <row r="54" spans="1:14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</row>
    <row r="55" spans="1:14" x14ac:dyDescent="0.25">
      <c r="A55" s="129"/>
      <c r="B55" s="129"/>
      <c r="C55" s="129"/>
      <c r="D55" s="129"/>
      <c r="E55" s="129"/>
      <c r="F55" s="129"/>
      <c r="G55" s="129"/>
      <c r="H55" s="129"/>
      <c r="I55" s="332"/>
      <c r="J55" s="129"/>
      <c r="K55" s="129"/>
    </row>
    <row r="56" spans="1:14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</sheetData>
  <pageMargins left="0.7" right="0.7" top="0" bottom="0" header="0.3" footer="0.3"/>
  <pageSetup orientation="portrait" horizontalDpi="0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A19" workbookViewId="0">
      <selection activeCell="O30" sqref="O30"/>
    </sheetView>
  </sheetViews>
  <sheetFormatPr defaultRowHeight="15" x14ac:dyDescent="0.25"/>
  <cols>
    <col min="1" max="1" width="14.28515625" customWidth="1"/>
    <col min="2" max="2" width="6.7109375" customWidth="1"/>
    <col min="3" max="3" width="7.42578125" customWidth="1"/>
    <col min="4" max="4" width="7.7109375" customWidth="1"/>
    <col min="5" max="5" width="7.5703125" customWidth="1"/>
    <col min="9" max="9" width="8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666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'SEPTEMBER 20'!J4:J38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'SEPTEMBER 20'!J5:J39</f>
        <v>1100</v>
      </c>
      <c r="F5" s="290"/>
      <c r="G5" s="290">
        <v>3300</v>
      </c>
      <c r="H5" s="290">
        <f t="shared" ref="H5:H36" si="0">C5-D5+E5+F5+G5</f>
        <v>4400</v>
      </c>
      <c r="I5" s="152"/>
      <c r="J5" s="152"/>
      <c r="K5" s="129" t="s">
        <v>562</v>
      </c>
    </row>
    <row r="6" spans="1:11" x14ac:dyDescent="0.25">
      <c r="A6" s="289" t="s">
        <v>560</v>
      </c>
      <c r="B6" s="208">
        <v>3</v>
      </c>
      <c r="C6" s="289"/>
      <c r="D6" s="289"/>
      <c r="E6" s="290">
        <f>'SEPTEMBER 20'!J6:J40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289"/>
      <c r="E7" s="290">
        <f>'SEPTEMBER 20'!J7:J41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>
        <v>300</v>
      </c>
      <c r="D8" s="289"/>
      <c r="E8" s="290"/>
      <c r="F8" s="290">
        <v>100</v>
      </c>
      <c r="G8" s="290">
        <v>4000</v>
      </c>
      <c r="H8" s="290">
        <f t="shared" si="0"/>
        <v>4400</v>
      </c>
      <c r="I8" s="152">
        <v>4400</v>
      </c>
      <c r="J8" s="152">
        <f t="shared" si="1"/>
        <v>0</v>
      </c>
      <c r="K8" s="129"/>
    </row>
    <row r="9" spans="1:11" x14ac:dyDescent="0.25">
      <c r="A9" s="142" t="s">
        <v>446</v>
      </c>
      <c r="B9" s="208">
        <v>6</v>
      </c>
      <c r="C9" s="289"/>
      <c r="D9" s="152"/>
      <c r="E9" s="290">
        <f>'SEPTEMBER 20'!J9:J43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'SEPTEMBER 20'!J10:J44</f>
        <v>0</v>
      </c>
      <c r="F10" s="290">
        <v>100</v>
      </c>
      <c r="G10" s="290">
        <v>5400</v>
      </c>
      <c r="H10" s="290">
        <f t="shared" si="0"/>
        <v>5500</v>
      </c>
      <c r="I10" s="152">
        <f>5500</f>
        <v>5500</v>
      </c>
      <c r="J10" s="152">
        <f t="shared" si="1"/>
        <v>0</v>
      </c>
      <c r="K10" s="129"/>
    </row>
    <row r="11" spans="1:11" x14ac:dyDescent="0.25">
      <c r="A11" s="334" t="s">
        <v>672</v>
      </c>
      <c r="B11" s="292">
        <v>8</v>
      </c>
      <c r="C11" s="289">
        <v>2800</v>
      </c>
      <c r="D11" s="289"/>
      <c r="E11" s="290">
        <f>'SEPTEMBER 20'!J11:J45</f>
        <v>0</v>
      </c>
      <c r="F11" s="290"/>
      <c r="G11" s="290">
        <v>1400</v>
      </c>
      <c r="H11" s="290">
        <f t="shared" si="0"/>
        <v>4200</v>
      </c>
      <c r="I11" s="152">
        <f>1400+1400</f>
        <v>2800</v>
      </c>
      <c r="J11" s="152">
        <f t="shared" si="1"/>
        <v>1400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'SEPTEMBER 20'!J12:J46</f>
        <v>2200</v>
      </c>
      <c r="F12" s="290">
        <v>100</v>
      </c>
      <c r="G12" s="290">
        <v>2700</v>
      </c>
      <c r="H12" s="290">
        <f t="shared" si="0"/>
        <v>5000</v>
      </c>
      <c r="I12" s="152">
        <f>1000+900</f>
        <v>1900</v>
      </c>
      <c r="J12" s="152">
        <f t="shared" si="1"/>
        <v>3100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'SEPTEMBER 20'!J13:J47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'SEPTEMBER 20'!J14:J48</f>
        <v>0</v>
      </c>
      <c r="F14" s="290">
        <v>100</v>
      </c>
      <c r="G14" s="290">
        <v>2700</v>
      </c>
      <c r="H14" s="290">
        <f t="shared" si="0"/>
        <v>2800</v>
      </c>
      <c r="I14" s="152">
        <v>2800</v>
      </c>
      <c r="J14" s="152">
        <f t="shared" si="1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'SEPTEMBER 20'!J15:J49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'SEPTEMBER 20'!J16:J50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</row>
    <row r="17" spans="1:19" x14ac:dyDescent="0.25">
      <c r="A17" s="289" t="s">
        <v>473</v>
      </c>
      <c r="B17" s="208">
        <v>14</v>
      </c>
      <c r="C17" s="289"/>
      <c r="D17" s="289"/>
      <c r="E17" s="290">
        <f>'SEPTEMBER 20'!J17:J51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9" x14ac:dyDescent="0.25">
      <c r="A18" s="289" t="s">
        <v>521</v>
      </c>
      <c r="B18" s="208">
        <v>15</v>
      </c>
      <c r="C18" s="289"/>
      <c r="D18" s="289"/>
      <c r="E18" s="290">
        <f>'SEPTEMBER 20'!J18:J52</f>
        <v>1300</v>
      </c>
      <c r="F18" s="290">
        <v>100</v>
      </c>
      <c r="G18" s="290">
        <v>2700</v>
      </c>
      <c r="H18" s="290">
        <f t="shared" si="0"/>
        <v>4100</v>
      </c>
      <c r="I18" s="152">
        <f>2800</f>
        <v>2800</v>
      </c>
      <c r="J18" s="152">
        <f t="shared" si="1"/>
        <v>1300</v>
      </c>
      <c r="K18" s="129"/>
    </row>
    <row r="19" spans="1:19" x14ac:dyDescent="0.25">
      <c r="A19" s="289" t="s">
        <v>520</v>
      </c>
      <c r="B19" s="208">
        <v>16</v>
      </c>
      <c r="C19" s="289"/>
      <c r="D19" s="289"/>
      <c r="E19" s="290">
        <f>'SEPTEMBER 20'!J19:J53</f>
        <v>0</v>
      </c>
      <c r="F19" s="290">
        <v>100</v>
      </c>
      <c r="G19" s="290">
        <v>3000</v>
      </c>
      <c r="H19" s="290">
        <f t="shared" si="0"/>
        <v>3100</v>
      </c>
      <c r="I19" s="152">
        <f>3100</f>
        <v>3100</v>
      </c>
      <c r="J19" s="152">
        <f t="shared" si="1"/>
        <v>0</v>
      </c>
      <c r="K19" s="129"/>
    </row>
    <row r="20" spans="1:19" x14ac:dyDescent="0.25">
      <c r="A20" s="291" t="s">
        <v>492</v>
      </c>
      <c r="B20" s="208">
        <v>17</v>
      </c>
      <c r="C20" s="289"/>
      <c r="D20" s="289"/>
      <c r="E20" s="290">
        <f>'SEPTEMBER 20'!J20:J54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</row>
    <row r="21" spans="1:19" x14ac:dyDescent="0.25">
      <c r="A21" s="289" t="s">
        <v>346</v>
      </c>
      <c r="B21" s="208">
        <v>18</v>
      </c>
      <c r="C21" s="289"/>
      <c r="D21" s="289"/>
      <c r="E21" s="290">
        <f>'SEPTEMBER 20'!J21:J55</f>
        <v>8100</v>
      </c>
      <c r="F21" s="290">
        <v>200</v>
      </c>
      <c r="G21" s="290">
        <v>5400</v>
      </c>
      <c r="H21" s="290">
        <f>C21-D21+E21+F21+G21</f>
        <v>13700</v>
      </c>
      <c r="I21" s="152">
        <f>10000</f>
        <v>10000</v>
      </c>
      <c r="J21" s="152">
        <f t="shared" si="1"/>
        <v>3700</v>
      </c>
      <c r="K21" s="129"/>
      <c r="R21">
        <f>8940-2800</f>
        <v>6140</v>
      </c>
    </row>
    <row r="22" spans="1:19" x14ac:dyDescent="0.25">
      <c r="A22" s="311"/>
      <c r="B22" s="312">
        <v>19</v>
      </c>
      <c r="C22" s="289"/>
      <c r="D22" s="289"/>
      <c r="E22" s="290">
        <f>'SEPTEMBER 20'!J22:J56</f>
        <v>0</v>
      </c>
      <c r="F22" s="313"/>
      <c r="G22" s="313"/>
      <c r="H22" s="290">
        <f t="shared" si="0"/>
        <v>0</v>
      </c>
      <c r="I22" s="152"/>
      <c r="J22" s="152">
        <f t="shared" si="1"/>
        <v>0</v>
      </c>
      <c r="K22" s="129"/>
      <c r="R22">
        <f>6140+10000</f>
        <v>16140</v>
      </c>
    </row>
    <row r="23" spans="1:19" x14ac:dyDescent="0.25">
      <c r="A23" s="289" t="s">
        <v>461</v>
      </c>
      <c r="B23" s="208">
        <v>20</v>
      </c>
      <c r="C23" s="289"/>
      <c r="D23" s="129"/>
      <c r="E23" s="290">
        <f>'SEPTEMBER 20'!J23:J57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</row>
    <row r="24" spans="1:19" x14ac:dyDescent="0.25">
      <c r="A24" s="334" t="s">
        <v>37</v>
      </c>
      <c r="B24" s="208">
        <v>21</v>
      </c>
      <c r="C24" s="289"/>
      <c r="D24" s="129"/>
      <c r="E24" s="290">
        <f>'SEPTEMBER 20'!J24:J58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</row>
    <row r="25" spans="1:19" x14ac:dyDescent="0.25">
      <c r="A25" s="289" t="s">
        <v>435</v>
      </c>
      <c r="B25" s="208">
        <v>22</v>
      </c>
      <c r="C25" s="289"/>
      <c r="D25" s="129"/>
      <c r="E25" s="290">
        <f>'SEPTEMBER 20'!J25:J59</f>
        <v>0</v>
      </c>
      <c r="F25" s="290">
        <v>100</v>
      </c>
      <c r="G25" s="290">
        <v>3500</v>
      </c>
      <c r="H25" s="290">
        <f>C25-D22+E25+F25+G25</f>
        <v>3600</v>
      </c>
      <c r="I25" s="152">
        <f>3600</f>
        <v>3600</v>
      </c>
      <c r="J25" s="152">
        <f t="shared" si="1"/>
        <v>0</v>
      </c>
      <c r="K25" s="129"/>
      <c r="R25">
        <f>3300-540</f>
        <v>2760</v>
      </c>
      <c r="S25">
        <f>3300+10000</f>
        <v>13300</v>
      </c>
    </row>
    <row r="26" spans="1:19" x14ac:dyDescent="0.25">
      <c r="A26" s="289" t="s">
        <v>347</v>
      </c>
      <c r="B26" s="208">
        <v>23</v>
      </c>
      <c r="C26" s="289"/>
      <c r="D26" s="289"/>
      <c r="E26" s="290">
        <f>'SEPTEMBER 20'!J26:J60</f>
        <v>0</v>
      </c>
      <c r="F26" s="290"/>
      <c r="G26" s="293"/>
      <c r="H26" s="290">
        <f t="shared" si="0"/>
        <v>0</v>
      </c>
      <c r="I26" s="152"/>
      <c r="J26" s="152">
        <f t="shared" si="1"/>
        <v>0</v>
      </c>
      <c r="K26" s="129"/>
      <c r="S26">
        <v>1020</v>
      </c>
    </row>
    <row r="27" spans="1:19" x14ac:dyDescent="0.25">
      <c r="A27" s="289" t="s">
        <v>488</v>
      </c>
      <c r="B27" s="208">
        <v>24</v>
      </c>
      <c r="C27" s="289"/>
      <c r="D27" s="289"/>
      <c r="E27" s="290">
        <f>'SEPTEMBER 20'!J27:J61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S27">
        <v>1820</v>
      </c>
    </row>
    <row r="28" spans="1:19" x14ac:dyDescent="0.25">
      <c r="A28" s="289" t="s">
        <v>462</v>
      </c>
      <c r="B28" s="208">
        <v>25</v>
      </c>
      <c r="C28" s="289"/>
      <c r="D28" s="289"/>
      <c r="E28" s="290">
        <f>'SEPTEMBER 20'!J28:J62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S28">
        <f>SUM(S25:S27)</f>
        <v>16140</v>
      </c>
    </row>
    <row r="29" spans="1:19" x14ac:dyDescent="0.25">
      <c r="A29" s="289" t="s">
        <v>658</v>
      </c>
      <c r="B29" s="208">
        <v>26</v>
      </c>
      <c r="C29" s="289"/>
      <c r="D29" s="289"/>
      <c r="E29" s="290">
        <f>'SEPTEMBER 20'!J29:J63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</row>
    <row r="30" spans="1:19" x14ac:dyDescent="0.25">
      <c r="A30" s="289" t="s">
        <v>572</v>
      </c>
      <c r="B30" s="208">
        <v>27</v>
      </c>
      <c r="C30" s="289"/>
      <c r="D30" s="289"/>
      <c r="E30" s="290">
        <f>'SEPTEMBER 20'!J30:J64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O30">
        <f>6000-2700</f>
        <v>3300</v>
      </c>
    </row>
    <row r="31" spans="1:19" x14ac:dyDescent="0.25">
      <c r="A31" s="289" t="s">
        <v>648</v>
      </c>
      <c r="B31" s="208">
        <v>28</v>
      </c>
      <c r="C31" s="289"/>
      <c r="D31" s="289"/>
      <c r="E31" s="290">
        <f>'SEPTEMBER 20'!J31:J65</f>
        <v>2400</v>
      </c>
      <c r="F31" s="290">
        <v>100</v>
      </c>
      <c r="G31" s="293">
        <v>3300</v>
      </c>
      <c r="H31" s="290">
        <f t="shared" si="0"/>
        <v>5800</v>
      </c>
      <c r="I31" s="152">
        <f>3300+100</f>
        <v>3400</v>
      </c>
      <c r="J31" s="152">
        <f t="shared" si="1"/>
        <v>2400</v>
      </c>
      <c r="K31" s="129"/>
    </row>
    <row r="32" spans="1:19" x14ac:dyDescent="0.25">
      <c r="A32" s="289" t="s">
        <v>559</v>
      </c>
      <c r="B32" s="208">
        <v>29</v>
      </c>
      <c r="C32" s="289"/>
      <c r="D32" s="289"/>
      <c r="E32" s="290">
        <f>'SEPTEMBER 20'!J32:J66</f>
        <v>0</v>
      </c>
      <c r="F32" s="290">
        <v>100</v>
      </c>
      <c r="G32" s="290">
        <v>3300</v>
      </c>
      <c r="H32" s="290">
        <f t="shared" si="0"/>
        <v>3400</v>
      </c>
      <c r="I32" s="152">
        <f>2000+1400</f>
        <v>3400</v>
      </c>
      <c r="J32" s="152">
        <f t="shared" si="1"/>
        <v>0</v>
      </c>
      <c r="K32" s="129"/>
      <c r="M32">
        <f>S25-540</f>
        <v>12760</v>
      </c>
    </row>
    <row r="33" spans="1:16" x14ac:dyDescent="0.25">
      <c r="A33" s="334" t="s">
        <v>347</v>
      </c>
      <c r="B33" s="208">
        <v>30</v>
      </c>
      <c r="C33" s="289">
        <v>3300</v>
      </c>
      <c r="D33" s="289"/>
      <c r="E33" s="290"/>
      <c r="F33" s="290">
        <v>100</v>
      </c>
      <c r="G33" s="290">
        <v>3300</v>
      </c>
      <c r="H33" s="290">
        <f t="shared" si="0"/>
        <v>6700</v>
      </c>
      <c r="I33" s="152">
        <v>6700</v>
      </c>
      <c r="J33" s="152"/>
    </row>
    <row r="34" spans="1:16" x14ac:dyDescent="0.25">
      <c r="A34" s="289" t="s">
        <v>656</v>
      </c>
      <c r="B34" s="208">
        <v>31</v>
      </c>
      <c r="C34" s="289"/>
      <c r="D34" s="289"/>
      <c r="E34" s="290">
        <f>'SEPTEMBER 20'!J34:J68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</row>
    <row r="35" spans="1:16" x14ac:dyDescent="0.25">
      <c r="A35" s="289" t="s">
        <v>446</v>
      </c>
      <c r="B35" s="208">
        <v>32</v>
      </c>
      <c r="C35" s="289"/>
      <c r="D35" s="289"/>
      <c r="E35" s="290">
        <f>'SEPTEMBER 20'!J35:J69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</row>
    <row r="36" spans="1:16" x14ac:dyDescent="0.25">
      <c r="A36" s="334" t="s">
        <v>446</v>
      </c>
      <c r="B36" s="208">
        <v>33</v>
      </c>
      <c r="C36" s="289"/>
      <c r="D36" s="152"/>
      <c r="E36" s="290">
        <f>'SEPTEMBER 20'!J36:J70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P36">
        <v>82500</v>
      </c>
    </row>
    <row r="37" spans="1:16" x14ac:dyDescent="0.25">
      <c r="A37" s="325" t="s">
        <v>4</v>
      </c>
      <c r="B37" s="326"/>
      <c r="C37" s="326">
        <f>SUM(C4:C36)</f>
        <v>6400</v>
      </c>
      <c r="D37" s="326">
        <f>SUM(D4:D36)</f>
        <v>0</v>
      </c>
      <c r="E37" s="290">
        <f>'SEPTEMBER 20'!J37:J71</f>
        <v>27600</v>
      </c>
      <c r="F37" s="327">
        <f>SUM(F4:F36)</f>
        <v>2600</v>
      </c>
      <c r="G37" s="327">
        <f>SUM(G4:G36)</f>
        <v>89700</v>
      </c>
      <c r="H37" s="327">
        <f>SUM(H4:H36)</f>
        <v>113800</v>
      </c>
      <c r="I37" s="152">
        <f>SUM(I4:I36)</f>
        <v>97500</v>
      </c>
      <c r="J37" s="152">
        <f>SUM(J4:J36)</f>
        <v>11900</v>
      </c>
      <c r="K37" s="129"/>
      <c r="O37" t="s">
        <v>410</v>
      </c>
      <c r="P37">
        <v>8250</v>
      </c>
    </row>
    <row r="38" spans="1:16" x14ac:dyDescent="0.25">
      <c r="A38" s="298" t="s">
        <v>286</v>
      </c>
      <c r="B38" s="297" t="s">
        <v>370</v>
      </c>
      <c r="C38" s="297"/>
      <c r="D38" s="308"/>
      <c r="E38" s="290">
        <v>4600</v>
      </c>
      <c r="F38" s="297" t="s">
        <v>84</v>
      </c>
      <c r="G38" s="297" t="s">
        <v>153</v>
      </c>
      <c r="H38" s="295"/>
      <c r="I38" s="295"/>
      <c r="J38" s="295">
        <f>J37-J31-J5-J11</f>
        <v>8100</v>
      </c>
      <c r="K38" s="129"/>
      <c r="P38">
        <f>P36-P37</f>
        <v>74250</v>
      </c>
    </row>
    <row r="39" spans="1:16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P39">
        <v>8256</v>
      </c>
    </row>
    <row r="40" spans="1:16" x14ac:dyDescent="0.25">
      <c r="A40" s="152" t="s">
        <v>159</v>
      </c>
      <c r="B40" s="300">
        <f>G37</f>
        <v>89700</v>
      </c>
      <c r="C40" s="152"/>
      <c r="D40" s="152"/>
      <c r="E40" s="152"/>
      <c r="F40" s="152" t="s">
        <v>159</v>
      </c>
      <c r="G40" s="300">
        <f>I37</f>
        <v>97500</v>
      </c>
      <c r="H40" s="152"/>
      <c r="I40" s="152"/>
      <c r="J40" s="335"/>
      <c r="K40" s="336"/>
      <c r="P40">
        <f>P38-P39</f>
        <v>65994</v>
      </c>
    </row>
    <row r="41" spans="1:16" s="129" customFormat="1" x14ac:dyDescent="0.25">
      <c r="A41" s="152" t="s">
        <v>677</v>
      </c>
      <c r="B41" s="300">
        <v>8100</v>
      </c>
      <c r="C41" s="152"/>
      <c r="D41" s="152"/>
      <c r="E41" s="152"/>
      <c r="F41" s="152"/>
      <c r="G41" s="300"/>
      <c r="H41" s="152"/>
      <c r="I41" s="152"/>
      <c r="J41" s="341"/>
      <c r="K41" s="336"/>
    </row>
    <row r="42" spans="1:16" x14ac:dyDescent="0.25">
      <c r="A42" s="152" t="s">
        <v>668</v>
      </c>
      <c r="B42" s="300">
        <f>3300+1400+300</f>
        <v>5000</v>
      </c>
      <c r="C42" s="152"/>
      <c r="D42" s="152"/>
      <c r="E42" s="152"/>
      <c r="F42" s="152"/>
      <c r="G42" s="300"/>
      <c r="H42" s="152"/>
      <c r="I42" s="152"/>
      <c r="J42" s="286"/>
      <c r="K42" s="336"/>
      <c r="O42" t="s">
        <v>222</v>
      </c>
      <c r="P42">
        <v>5000</v>
      </c>
    </row>
    <row r="43" spans="1:16" x14ac:dyDescent="0.25">
      <c r="A43" s="152" t="s">
        <v>368</v>
      </c>
      <c r="B43" s="300">
        <f>'SEPTEMBER 20'!D51</f>
        <v>-8156.070000000007</v>
      </c>
      <c r="C43" s="152"/>
      <c r="D43" s="152"/>
      <c r="E43" s="152"/>
      <c r="F43" s="152" t="s">
        <v>368</v>
      </c>
      <c r="G43" s="300">
        <f>'SEPTEMBER 20'!I51</f>
        <v>-12756.070000000007</v>
      </c>
      <c r="H43" s="152"/>
      <c r="I43" s="152"/>
      <c r="J43" s="286"/>
      <c r="K43" s="336"/>
      <c r="P43">
        <f>P40-P42</f>
        <v>60994</v>
      </c>
    </row>
    <row r="44" spans="1:16" x14ac:dyDescent="0.25">
      <c r="A44" s="152" t="s">
        <v>410</v>
      </c>
      <c r="B44" s="301">
        <v>0.1</v>
      </c>
      <c r="C44" s="300">
        <f>B44*B40</f>
        <v>8970</v>
      </c>
      <c r="D44" s="152"/>
      <c r="E44" s="152"/>
      <c r="F44" s="152" t="s">
        <v>410</v>
      </c>
      <c r="G44" s="301">
        <v>0.1</v>
      </c>
      <c r="H44" s="300">
        <f>G44*B40</f>
        <v>8970</v>
      </c>
      <c r="I44" s="152"/>
      <c r="J44" s="286"/>
      <c r="K44" s="336"/>
      <c r="P44">
        <v>3300</v>
      </c>
    </row>
    <row r="45" spans="1:16" x14ac:dyDescent="0.25">
      <c r="A45" s="305"/>
      <c r="B45" s="301"/>
      <c r="C45" s="300"/>
      <c r="D45" s="152"/>
      <c r="E45" s="152"/>
      <c r="F45" s="305"/>
      <c r="G45" s="301"/>
      <c r="H45" s="300"/>
      <c r="I45" s="152"/>
      <c r="J45" s="286"/>
      <c r="K45" s="336"/>
      <c r="P45">
        <f>P43+P44</f>
        <v>64294</v>
      </c>
    </row>
    <row r="46" spans="1:16" x14ac:dyDescent="0.25">
      <c r="A46" s="298" t="s">
        <v>293</v>
      </c>
      <c r="B46" s="129"/>
      <c r="C46" s="129"/>
      <c r="D46" s="129"/>
      <c r="E46" s="152"/>
      <c r="F46" s="298" t="s">
        <v>293</v>
      </c>
      <c r="G46" s="152"/>
      <c r="H46" s="152"/>
      <c r="I46" s="152"/>
      <c r="J46" s="286"/>
      <c r="K46" s="129"/>
      <c r="M46">
        <f>10000-8100</f>
        <v>1900</v>
      </c>
    </row>
    <row r="47" spans="1:16" x14ac:dyDescent="0.25">
      <c r="A47" s="305"/>
      <c r="B47" s="301"/>
      <c r="C47" s="300"/>
      <c r="D47" s="152"/>
      <c r="E47" s="152"/>
      <c r="F47" s="305" t="s">
        <v>161</v>
      </c>
      <c r="G47" s="301"/>
      <c r="H47" s="300">
        <v>2600</v>
      </c>
      <c r="I47" s="152"/>
      <c r="J47" s="8"/>
      <c r="K47" s="332"/>
    </row>
    <row r="48" spans="1:16" x14ac:dyDescent="0.25">
      <c r="A48" s="305" t="s">
        <v>671</v>
      </c>
      <c r="B48" s="301"/>
      <c r="C48" s="300">
        <v>5000</v>
      </c>
      <c r="D48" s="152"/>
      <c r="E48" s="152"/>
      <c r="F48" s="305" t="s">
        <v>671</v>
      </c>
      <c r="G48" s="301"/>
      <c r="H48" s="300">
        <v>5000</v>
      </c>
      <c r="I48" s="152"/>
      <c r="J48" s="8"/>
      <c r="K48" s="332"/>
    </row>
    <row r="49" spans="1:15" x14ac:dyDescent="0.25">
      <c r="A49" s="303" t="s">
        <v>670</v>
      </c>
      <c r="B49" s="152"/>
      <c r="C49" s="152">
        <v>64294</v>
      </c>
      <c r="D49" s="152"/>
      <c r="E49" s="152"/>
      <c r="F49" s="303" t="s">
        <v>670</v>
      </c>
      <c r="G49" s="152"/>
      <c r="H49" s="152">
        <v>64294</v>
      </c>
      <c r="I49" s="152"/>
      <c r="J49" s="8"/>
      <c r="K49" s="129"/>
    </row>
    <row r="50" spans="1:15" s="129" customFormat="1" x14ac:dyDescent="0.25">
      <c r="A50" s="303" t="s">
        <v>673</v>
      </c>
      <c r="B50" s="301"/>
      <c r="C50" s="152">
        <v>400</v>
      </c>
      <c r="D50" s="152"/>
      <c r="E50" s="152"/>
      <c r="F50" s="303" t="s">
        <v>673</v>
      </c>
      <c r="G50" s="301"/>
      <c r="H50" s="152">
        <v>400</v>
      </c>
      <c r="I50" s="152"/>
      <c r="J50" s="8"/>
    </row>
    <row r="51" spans="1:15" x14ac:dyDescent="0.25">
      <c r="A51" s="303" t="s">
        <v>674</v>
      </c>
      <c r="B51" s="301"/>
      <c r="C51" s="152">
        <v>7880</v>
      </c>
      <c r="D51" s="152"/>
      <c r="E51" s="152"/>
      <c r="F51" s="303" t="s">
        <v>674</v>
      </c>
      <c r="G51" s="301"/>
      <c r="H51" s="152">
        <v>7880</v>
      </c>
      <c r="I51" s="152"/>
      <c r="J51" s="8"/>
      <c r="K51" s="129"/>
    </row>
    <row r="52" spans="1:15" s="129" customFormat="1" x14ac:dyDescent="0.25">
      <c r="A52" s="303" t="s">
        <v>678</v>
      </c>
      <c r="B52" s="301"/>
      <c r="C52" s="152">
        <v>10000</v>
      </c>
      <c r="D52" s="152"/>
      <c r="E52" s="152"/>
      <c r="F52" s="303" t="s">
        <v>676</v>
      </c>
      <c r="G52" s="301"/>
      <c r="H52" s="152">
        <v>10000</v>
      </c>
      <c r="I52" s="152"/>
      <c r="J52" s="8"/>
    </row>
    <row r="53" spans="1:15" x14ac:dyDescent="0.25">
      <c r="A53" s="303" t="s">
        <v>679</v>
      </c>
      <c r="B53" s="301"/>
      <c r="C53" s="152">
        <v>4400</v>
      </c>
      <c r="D53" s="152"/>
      <c r="E53" s="152"/>
      <c r="F53" s="303"/>
      <c r="G53" s="301"/>
      <c r="H53" s="152"/>
      <c r="I53" s="152"/>
      <c r="J53" s="8"/>
      <c r="K53" s="129"/>
    </row>
    <row r="54" spans="1:15" x14ac:dyDescent="0.25">
      <c r="A54" s="296" t="s">
        <v>4</v>
      </c>
      <c r="B54" s="309">
        <f>B40+B41+B42+B43-C44</f>
        <v>85673.93</v>
      </c>
      <c r="C54" s="309">
        <f>SUM(C47:C53)</f>
        <v>91974</v>
      </c>
      <c r="D54" s="309">
        <f>B54-C54</f>
        <v>-6300.070000000007</v>
      </c>
      <c r="E54" s="297"/>
      <c r="F54" s="296" t="s">
        <v>4</v>
      </c>
      <c r="G54" s="300">
        <f>G40+G42+G43-H44+G41-H45</f>
        <v>75773.929999999993</v>
      </c>
      <c r="H54" s="300">
        <f>SUM(H46:H53 )</f>
        <v>90174</v>
      </c>
      <c r="I54" s="300">
        <f>G54-H54</f>
        <v>-14400.070000000007</v>
      </c>
      <c r="J54" s="152"/>
      <c r="K54" s="129"/>
    </row>
    <row r="55" spans="1:15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</row>
    <row r="56" spans="1:15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332"/>
      <c r="O56">
        <f>8840-2700</f>
        <v>6140</v>
      </c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332">
        <f>I54-D54</f>
        <v>-8100</v>
      </c>
      <c r="J57" s="129"/>
      <c r="K57" s="129"/>
    </row>
    <row r="58" spans="1:15" x14ac:dyDescent="0.25">
      <c r="A58" s="129"/>
      <c r="B58" s="129"/>
      <c r="C58" s="129"/>
      <c r="D58" s="129"/>
      <c r="E58" s="129"/>
      <c r="F58" s="129"/>
      <c r="G58" s="129"/>
      <c r="H58" s="129"/>
      <c r="I58" s="332"/>
      <c r="J58" s="129"/>
      <c r="K58" s="129"/>
    </row>
    <row r="59" spans="1:15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</row>
  </sheetData>
  <pageMargins left="0" right="0" top="0" bottom="0" header="0.3" footer="0.3"/>
  <pageSetup orientation="portrait" horizontalDpi="0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21" workbookViewId="0">
      <selection activeCell="M45" sqref="M45"/>
    </sheetView>
  </sheetViews>
  <sheetFormatPr defaultRowHeight="15" x14ac:dyDescent="0.25"/>
  <cols>
    <col min="1" max="1" width="18.8554687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675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'OCTOBER 20'!J4:J38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/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'OCTOBER 20'!J6:J40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'OCTOBER 20'!J7:J42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'OCTOBER 20'!J8:J43</f>
        <v>0</v>
      </c>
      <c r="F8" s="290">
        <v>100</v>
      </c>
      <c r="G8" s="290">
        <v>4000</v>
      </c>
      <c r="H8" s="290">
        <f t="shared" si="0"/>
        <v>4100</v>
      </c>
      <c r="I8" s="152">
        <v>4100</v>
      </c>
      <c r="J8" s="152">
        <f t="shared" si="1"/>
        <v>0</v>
      </c>
      <c r="K8" s="129"/>
      <c r="L8" s="129"/>
    </row>
    <row r="9" spans="1:12" x14ac:dyDescent="0.25">
      <c r="A9" s="142" t="s">
        <v>446</v>
      </c>
      <c r="B9" s="208">
        <v>6</v>
      </c>
      <c r="C9" s="289"/>
      <c r="D9" s="152"/>
      <c r="E9" s="290">
        <f>'OCTOBER 20'!J9:J44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'OCTOBER 20'!J10:J45</f>
        <v>0</v>
      </c>
      <c r="F10" s="290">
        <v>100</v>
      </c>
      <c r="G10" s="290">
        <v>5400</v>
      </c>
      <c r="H10" s="290">
        <f t="shared" si="0"/>
        <v>5500</v>
      </c>
      <c r="I10" s="152">
        <f>5000+500</f>
        <v>5500</v>
      </c>
      <c r="J10" s="152">
        <f t="shared" si="1"/>
        <v>0</v>
      </c>
      <c r="K10" s="129"/>
      <c r="L10" s="129"/>
    </row>
    <row r="11" spans="1:12" x14ac:dyDescent="0.25">
      <c r="A11" s="289" t="s">
        <v>672</v>
      </c>
      <c r="B11" s="292">
        <v>8</v>
      </c>
      <c r="C11" s="289">
        <v>1400</v>
      </c>
      <c r="D11" s="289"/>
      <c r="E11" s="290"/>
      <c r="F11" s="290">
        <v>100</v>
      </c>
      <c r="G11" s="290">
        <v>2700</v>
      </c>
      <c r="H11" s="290">
        <f t="shared" si="0"/>
        <v>4200</v>
      </c>
      <c r="I11" s="152">
        <f>3300</f>
        <v>3300</v>
      </c>
      <c r="J11" s="152">
        <f t="shared" si="1"/>
        <v>900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'OCTOBER 20'!J12:J47</f>
        <v>3100</v>
      </c>
      <c r="F12" s="290">
        <v>100</v>
      </c>
      <c r="G12" s="290">
        <v>2700</v>
      </c>
      <c r="H12" s="290">
        <f t="shared" si="0"/>
        <v>5900</v>
      </c>
      <c r="I12" s="152">
        <f>600+2000+1900</f>
        <v>4500</v>
      </c>
      <c r="J12" s="152">
        <f t="shared" si="1"/>
        <v>1400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'OCTOBER 20'!J13:J48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'OCTOBER 20'!J14:J49</f>
        <v>0</v>
      </c>
      <c r="F14" s="290">
        <v>100</v>
      </c>
      <c r="G14" s="290">
        <v>2700</v>
      </c>
      <c r="H14" s="290">
        <f t="shared" si="0"/>
        <v>2800</v>
      </c>
      <c r="I14" s="152">
        <v>2800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'OCTOBER 20'!J15:J51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'OCTOBER 20'!J16:J53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'OCTOBER 20'!J17:J54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'OCTOBER 20'!J18:J55</f>
        <v>1300</v>
      </c>
      <c r="F18" s="290">
        <v>100</v>
      </c>
      <c r="G18" s="290">
        <v>2700</v>
      </c>
      <c r="H18" s="290">
        <f t="shared" si="0"/>
        <v>4100</v>
      </c>
      <c r="I18" s="152">
        <f>2800</f>
        <v>2800</v>
      </c>
      <c r="J18" s="152">
        <f t="shared" si="1"/>
        <v>1300</v>
      </c>
      <c r="K18" s="129"/>
      <c r="L18" s="129"/>
    </row>
    <row r="19" spans="1:12" x14ac:dyDescent="0.25">
      <c r="A19" s="334" t="s">
        <v>446</v>
      </c>
      <c r="B19" s="208">
        <v>16</v>
      </c>
      <c r="C19" s="289"/>
      <c r="D19" s="289"/>
      <c r="E19" s="290">
        <f>'OCTOBER 20'!J19:J56</f>
        <v>0</v>
      </c>
      <c r="F19" s="290"/>
      <c r="G19" s="290"/>
      <c r="H19" s="290">
        <f t="shared" si="0"/>
        <v>0</v>
      </c>
      <c r="I19" s="152"/>
      <c r="J19" s="152">
        <f t="shared" si="1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'OCTOBER 20'!J20:J57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'OCTOBER 20'!J21:J58</f>
        <v>3700</v>
      </c>
      <c r="F21" s="290">
        <v>100</v>
      </c>
      <c r="G21" s="290">
        <v>2700</v>
      </c>
      <c r="H21" s="290">
        <f t="shared" si="0"/>
        <v>6500</v>
      </c>
      <c r="I21" s="152">
        <f>4000+1680</f>
        <v>5680</v>
      </c>
      <c r="J21" s="152">
        <f t="shared" si="1"/>
        <v>820</v>
      </c>
      <c r="K21" s="129"/>
      <c r="L21" s="129"/>
    </row>
    <row r="22" spans="1:12" x14ac:dyDescent="0.25">
      <c r="A22" s="320" t="s">
        <v>446</v>
      </c>
      <c r="B22" s="312">
        <v>19</v>
      </c>
      <c r="C22" s="289"/>
      <c r="D22" s="289"/>
      <c r="E22" s="290">
        <f>'OCTOBER 20'!J22:J59</f>
        <v>0</v>
      </c>
      <c r="F22" s="313"/>
      <c r="G22" s="313"/>
      <c r="H22" s="290">
        <f t="shared" si="0"/>
        <v>0</v>
      </c>
      <c r="I22" s="152"/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129"/>
      <c r="E23" s="290">
        <f>'OCTOBER 20'!J23:J60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129"/>
      <c r="E24" s="290">
        <f>'OCTOBER 20'!J24:J61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129"/>
      <c r="E25" s="290">
        <f>'OCTOBER 20'!J25:J62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  <c r="L25" s="129"/>
    </row>
    <row r="26" spans="1:12" x14ac:dyDescent="0.25">
      <c r="A26" s="334" t="s">
        <v>446</v>
      </c>
      <c r="B26" s="208">
        <v>23</v>
      </c>
      <c r="C26" s="289"/>
      <c r="D26" s="289"/>
      <c r="E26" s="290">
        <f>'OCTOBER 20'!J26:J63</f>
        <v>0</v>
      </c>
      <c r="F26" s="290"/>
      <c r="G26" s="293"/>
      <c r="H26" s="290">
        <f t="shared" si="0"/>
        <v>0</v>
      </c>
      <c r="I26" s="152"/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'OCTOBER 20'!J27:J64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'OCTOBER 20'!J28:J65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/>
      <c r="D29" s="289"/>
      <c r="E29" s="290">
        <f>'OCTOBER 20'!J29:J66</f>
        <v>0</v>
      </c>
      <c r="F29" s="290">
        <v>100</v>
      </c>
      <c r="G29" s="290">
        <v>3300</v>
      </c>
      <c r="H29" s="290">
        <f t="shared" si="0"/>
        <v>3400</v>
      </c>
      <c r="I29" s="152">
        <f>2000+1000+400</f>
        <v>3400</v>
      </c>
      <c r="J29" s="152">
        <f>H29-I29</f>
        <v>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'OCTOBER 20'!J30:J67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2" x14ac:dyDescent="0.25">
      <c r="A31" s="289" t="s">
        <v>648</v>
      </c>
      <c r="B31" s="208">
        <v>28</v>
      </c>
      <c r="C31" s="289"/>
      <c r="D31" s="289"/>
      <c r="E31" s="290">
        <f>'OCTOBER 20'!J31:J68</f>
        <v>2400</v>
      </c>
      <c r="F31" s="290">
        <v>100</v>
      </c>
      <c r="G31" s="293">
        <v>3300</v>
      </c>
      <c r="H31" s="290">
        <f t="shared" si="0"/>
        <v>5800</v>
      </c>
      <c r="I31" s="152">
        <f>3300</f>
        <v>3300</v>
      </c>
      <c r="J31" s="152">
        <f t="shared" si="1"/>
        <v>2500</v>
      </c>
      <c r="K31" s="129"/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'OCTOBER 20'!J32:J69</f>
        <v>0</v>
      </c>
      <c r="F32" s="290">
        <v>100</v>
      </c>
      <c r="G32" s="290">
        <v>3300</v>
      </c>
      <c r="H32" s="290">
        <f t="shared" si="0"/>
        <v>3400</v>
      </c>
      <c r="I32" s="152">
        <f>2400</f>
        <v>2400</v>
      </c>
      <c r="J32" s="152">
        <f t="shared" si="1"/>
        <v>1000</v>
      </c>
      <c r="K32" s="129"/>
      <c r="L32" s="129"/>
    </row>
    <row r="33" spans="1:16" x14ac:dyDescent="0.25">
      <c r="A33" s="289" t="s">
        <v>347</v>
      </c>
      <c r="B33" s="208">
        <v>30</v>
      </c>
      <c r="C33" s="289"/>
      <c r="D33" s="289"/>
      <c r="E33" s="290">
        <f>'OCTOBER 20'!J33:J70</f>
        <v>0</v>
      </c>
      <c r="F33" s="290">
        <v>100</v>
      </c>
      <c r="G33" s="290">
        <v>3300</v>
      </c>
      <c r="H33" s="290">
        <f t="shared" si="0"/>
        <v>3400</v>
      </c>
      <c r="I33" s="152">
        <v>3400</v>
      </c>
      <c r="J33" s="152"/>
      <c r="K33" s="129"/>
      <c r="L33" s="129"/>
    </row>
    <row r="34" spans="1:16" x14ac:dyDescent="0.25">
      <c r="A34" s="289" t="s">
        <v>656</v>
      </c>
      <c r="B34" s="208">
        <v>31</v>
      </c>
      <c r="C34" s="289"/>
      <c r="D34" s="289"/>
      <c r="E34" s="290">
        <f>'OCTOBER 20'!J34:J71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  <c r="L34" s="129"/>
    </row>
    <row r="35" spans="1:16" x14ac:dyDescent="0.25">
      <c r="A35" s="334" t="s">
        <v>446</v>
      </c>
      <c r="B35" s="208">
        <v>32</v>
      </c>
      <c r="C35" s="289"/>
      <c r="D35" s="289"/>
      <c r="E35" s="290">
        <f>'OCTOBER 20'!J35:J72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  <c r="L35" s="129"/>
    </row>
    <row r="36" spans="1:16" x14ac:dyDescent="0.25">
      <c r="A36" s="334" t="s">
        <v>446</v>
      </c>
      <c r="B36" s="208">
        <v>33</v>
      </c>
      <c r="C36" s="289"/>
      <c r="D36" s="152"/>
      <c r="E36" s="290">
        <f>'OCTOBER 20'!J36:J73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</row>
    <row r="37" spans="1:16" x14ac:dyDescent="0.25">
      <c r="A37" s="325" t="s">
        <v>4</v>
      </c>
      <c r="B37" s="326"/>
      <c r="C37" s="326">
        <f t="shared" ref="C37:I37" si="2">SUM(C4:C36)</f>
        <v>1400</v>
      </c>
      <c r="D37" s="326">
        <f t="shared" si="2"/>
        <v>0</v>
      </c>
      <c r="E37" s="290">
        <f t="shared" si="2"/>
        <v>10500</v>
      </c>
      <c r="F37" s="327">
        <f t="shared" si="2"/>
        <v>2500</v>
      </c>
      <c r="G37" s="327">
        <f t="shared" si="2"/>
        <v>82000</v>
      </c>
      <c r="H37" s="327">
        <f t="shared" si="2"/>
        <v>96400</v>
      </c>
      <c r="I37" s="152">
        <f t="shared" si="2"/>
        <v>88480</v>
      </c>
      <c r="J37" s="152">
        <f>H37-I37</f>
        <v>7920</v>
      </c>
      <c r="K37" s="129"/>
      <c r="L37" s="129"/>
    </row>
    <row r="38" spans="1:16" x14ac:dyDescent="0.25">
      <c r="A38" s="298" t="s">
        <v>286</v>
      </c>
      <c r="B38" s="297" t="s">
        <v>370</v>
      </c>
      <c r="C38" s="297"/>
      <c r="D38" s="308"/>
      <c r="E38" s="290">
        <f>AUGUST20!J38:J70</f>
        <v>5400</v>
      </c>
      <c r="F38" s="297" t="s">
        <v>84</v>
      </c>
      <c r="G38" s="297" t="s">
        <v>153</v>
      </c>
      <c r="H38" s="295"/>
      <c r="I38" s="295"/>
      <c r="J38" s="295">
        <f>J37-E31-J11</f>
        <v>4620</v>
      </c>
      <c r="K38" s="129"/>
      <c r="L38" s="129"/>
    </row>
    <row r="39" spans="1:16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6" x14ac:dyDescent="0.25">
      <c r="A40" s="152" t="s">
        <v>168</v>
      </c>
      <c r="B40" s="300">
        <f>G37</f>
        <v>82000</v>
      </c>
      <c r="C40" s="152"/>
      <c r="D40" s="152"/>
      <c r="E40" s="152"/>
      <c r="F40" s="152" t="s">
        <v>168</v>
      </c>
      <c r="G40" s="300">
        <f>I37</f>
        <v>88480</v>
      </c>
      <c r="H40" s="152"/>
      <c r="I40" s="152"/>
      <c r="J40" s="335"/>
      <c r="K40" s="336"/>
      <c r="L40" s="129"/>
    </row>
    <row r="41" spans="1:16" x14ac:dyDescent="0.25">
      <c r="A41" s="152" t="s">
        <v>680</v>
      </c>
      <c r="B41" s="300">
        <v>500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6" x14ac:dyDescent="0.25">
      <c r="A42" s="152" t="s">
        <v>368</v>
      </c>
      <c r="B42" s="300">
        <f>'OCTOBER 20'!D54</f>
        <v>-6300.070000000007</v>
      </c>
      <c r="C42" s="152"/>
      <c r="D42" s="152"/>
      <c r="E42" s="152"/>
      <c r="F42" s="152" t="s">
        <v>368</v>
      </c>
      <c r="G42" s="300">
        <f>'OCTOBER 20'!I54</f>
        <v>-14400.070000000007</v>
      </c>
      <c r="H42" s="152"/>
      <c r="I42" s="152"/>
      <c r="J42" s="286"/>
      <c r="K42" s="336"/>
      <c r="L42" s="129"/>
    </row>
    <row r="43" spans="1:16" x14ac:dyDescent="0.25">
      <c r="A43" s="152" t="s">
        <v>410</v>
      </c>
      <c r="B43" s="301">
        <v>0.1</v>
      </c>
      <c r="C43" s="300">
        <f>B43*B40</f>
        <v>8200</v>
      </c>
      <c r="D43" s="152"/>
      <c r="E43" s="152"/>
      <c r="F43" s="152" t="s">
        <v>410</v>
      </c>
      <c r="G43" s="301">
        <v>0.1</v>
      </c>
      <c r="H43" s="300">
        <f>G43*B40</f>
        <v>8200</v>
      </c>
      <c r="I43" s="152"/>
      <c r="J43" s="286"/>
      <c r="K43" s="286"/>
      <c r="L43" s="129"/>
    </row>
    <row r="44" spans="1:16" x14ac:dyDescent="0.25">
      <c r="A44" s="305" t="s">
        <v>682</v>
      </c>
      <c r="B44">
        <v>9600</v>
      </c>
      <c r="C44" s="300"/>
      <c r="D44" s="152"/>
      <c r="E44" s="152"/>
      <c r="F44" s="305" t="s">
        <v>682</v>
      </c>
      <c r="G44" s="129">
        <v>9600</v>
      </c>
      <c r="H44" s="300"/>
      <c r="I44" s="152"/>
      <c r="J44" s="286"/>
      <c r="K44" s="336"/>
      <c r="L44" s="332"/>
      <c r="M44">
        <f>F37+'DECEMBER 20'!F37+'JANUARY 21'!F37</f>
        <v>7500</v>
      </c>
    </row>
    <row r="45" spans="1:16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  <c r="P45" s="301"/>
    </row>
    <row r="46" spans="1:16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2500</v>
      </c>
      <c r="I46" s="152"/>
      <c r="J46" s="8"/>
      <c r="K46" s="332"/>
      <c r="L46" s="332"/>
    </row>
    <row r="47" spans="1:16" x14ac:dyDescent="0.25">
      <c r="A47" s="305" t="s">
        <v>681</v>
      </c>
      <c r="B47" s="301"/>
      <c r="C47" s="300">
        <v>69400</v>
      </c>
      <c r="D47" s="152"/>
      <c r="E47" s="152"/>
      <c r="F47" s="305" t="s">
        <v>681</v>
      </c>
      <c r="G47" s="301"/>
      <c r="H47" s="300">
        <v>69400</v>
      </c>
      <c r="I47" s="152"/>
      <c r="J47" s="8"/>
      <c r="K47" s="332"/>
      <c r="L47" s="129"/>
    </row>
    <row r="48" spans="1:16" x14ac:dyDescent="0.25">
      <c r="A48" s="303" t="s">
        <v>684</v>
      </c>
      <c r="B48" s="301"/>
      <c r="C48" s="152">
        <v>1000</v>
      </c>
      <c r="D48" s="152"/>
      <c r="E48" s="152"/>
      <c r="F48" s="303" t="s">
        <v>684</v>
      </c>
      <c r="G48" s="301"/>
      <c r="H48" s="152">
        <v>1000</v>
      </c>
      <c r="I48" s="152"/>
      <c r="J48" s="8"/>
      <c r="K48" s="129"/>
      <c r="L48" s="332"/>
    </row>
    <row r="49" spans="1:12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129"/>
    </row>
    <row r="50" spans="1:12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</row>
    <row r="51" spans="1:12" x14ac:dyDescent="0.25">
      <c r="A51" s="296" t="s">
        <v>4</v>
      </c>
      <c r="B51" s="309">
        <f>B40+B41+B42+B44-C43</f>
        <v>77599.929999999993</v>
      </c>
      <c r="C51" s="309">
        <f>SUM(C46:C50)</f>
        <v>70400</v>
      </c>
      <c r="D51" s="309">
        <f>B51-C51</f>
        <v>7199.929999999993</v>
      </c>
      <c r="E51" s="297"/>
      <c r="F51" s="296" t="s">
        <v>4</v>
      </c>
      <c r="G51" s="300">
        <f>G40+G41+G42-H43+G44</f>
        <v>75479.929999999993</v>
      </c>
      <c r="H51" s="300">
        <f>SUM(H46:H50 )</f>
        <v>72900</v>
      </c>
      <c r="I51" s="300">
        <f>G51-H51</f>
        <v>2579.929999999993</v>
      </c>
      <c r="J51" s="152"/>
      <c r="K51" s="332"/>
      <c r="L51" s="33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</row>
    <row r="54" spans="1:12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spans="1:12" x14ac:dyDescent="0.25">
      <c r="J57" s="332"/>
    </row>
  </sheetData>
  <pageMargins left="0" right="0" top="0" bottom="0" header="0.3" footer="0.3"/>
  <pageSetup orientation="portrait" horizontalDpi="0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9" workbookViewId="0">
      <selection activeCell="D45" sqref="D45"/>
    </sheetView>
  </sheetViews>
  <sheetFormatPr defaultRowHeight="15" x14ac:dyDescent="0.25"/>
  <cols>
    <col min="1" max="1" width="13.42578125" customWidth="1"/>
    <col min="2" max="2" width="6.42578125" customWidth="1"/>
    <col min="3" max="3" width="8.140625" customWidth="1"/>
    <col min="4" max="4" width="8" customWidth="1"/>
  </cols>
  <sheetData>
    <row r="1" spans="1:13" x14ac:dyDescent="0.25">
      <c r="A1" s="129" t="s">
        <v>153</v>
      </c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A2" s="129"/>
      <c r="B2" s="129"/>
      <c r="C2" s="286" t="s">
        <v>501</v>
      </c>
      <c r="D2" s="286"/>
      <c r="E2" s="286" t="s">
        <v>683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</row>
    <row r="4" spans="1:13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NOVEMBER20!J4:J38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  <c r="M4" s="129"/>
    </row>
    <row r="5" spans="1:13" x14ac:dyDescent="0.25">
      <c r="A5" s="291"/>
      <c r="B5" s="208">
        <v>2</v>
      </c>
      <c r="C5" s="289"/>
      <c r="D5" s="289"/>
      <c r="E5" s="290">
        <f>NOVEMBER20!J5:J39</f>
        <v>0</v>
      </c>
      <c r="F5" s="290"/>
      <c r="G5" s="290"/>
      <c r="H5" s="290"/>
      <c r="I5" s="152"/>
      <c r="J5" s="152"/>
      <c r="K5" s="129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NOVEMBER20!J6:J40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  <c r="K6" s="129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NOVEMBER20!J7:J41</f>
        <v>0</v>
      </c>
      <c r="F7" s="290">
        <v>100</v>
      </c>
      <c r="G7" s="290">
        <v>4000</v>
      </c>
      <c r="H7" s="290">
        <f t="shared" si="0"/>
        <v>4100</v>
      </c>
      <c r="I7" s="152">
        <f>2100+2000</f>
        <v>4100</v>
      </c>
      <c r="J7" s="152">
        <f t="shared" si="1"/>
        <v>0</v>
      </c>
      <c r="K7" s="129"/>
      <c r="L7" s="129"/>
      <c r="M7" s="129"/>
    </row>
    <row r="8" spans="1:13" x14ac:dyDescent="0.25">
      <c r="A8" s="289" t="s">
        <v>661</v>
      </c>
      <c r="B8" s="208">
        <v>5</v>
      </c>
      <c r="C8" s="289"/>
      <c r="D8" s="289"/>
      <c r="E8" s="290">
        <f>NOVEMBER20!J8:J42</f>
        <v>0</v>
      </c>
      <c r="F8" s="290">
        <v>100</v>
      </c>
      <c r="G8" s="290">
        <v>4000</v>
      </c>
      <c r="H8" s="290">
        <f t="shared" si="0"/>
        <v>4100</v>
      </c>
      <c r="I8" s="152">
        <f>4100</f>
        <v>4100</v>
      </c>
      <c r="J8" s="152">
        <f t="shared" si="1"/>
        <v>0</v>
      </c>
      <c r="K8" s="129"/>
      <c r="L8" s="129"/>
      <c r="M8" s="129"/>
    </row>
    <row r="9" spans="1:13" x14ac:dyDescent="0.25">
      <c r="A9" s="142" t="s">
        <v>446</v>
      </c>
      <c r="B9" s="208">
        <v>6</v>
      </c>
      <c r="C9" s="289"/>
      <c r="D9" s="152"/>
      <c r="E9" s="290">
        <f>NOVEMBER20!J9:J43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NOVEMBER20!J10:J44</f>
        <v>0</v>
      </c>
      <c r="F10" s="290">
        <v>100</v>
      </c>
      <c r="G10" s="290">
        <v>5400</v>
      </c>
      <c r="H10" s="290">
        <f t="shared" si="0"/>
        <v>5500</v>
      </c>
      <c r="I10" s="152">
        <f>5500</f>
        <v>5500</v>
      </c>
      <c r="J10" s="152">
        <f t="shared" si="1"/>
        <v>0</v>
      </c>
      <c r="K10" s="129"/>
      <c r="L10" s="129"/>
      <c r="M10" s="129"/>
    </row>
    <row r="11" spans="1:13" x14ac:dyDescent="0.25">
      <c r="A11" s="172" t="s">
        <v>672</v>
      </c>
      <c r="B11" s="292">
        <v>8</v>
      </c>
      <c r="C11" s="289">
        <v>900</v>
      </c>
      <c r="D11" s="289"/>
      <c r="E11" s="290"/>
      <c r="F11" s="290">
        <v>100</v>
      </c>
      <c r="G11" s="290">
        <v>2700</v>
      </c>
      <c r="H11" s="290">
        <f t="shared" si="0"/>
        <v>3700</v>
      </c>
      <c r="I11" s="152">
        <f>3300</f>
        <v>3300</v>
      </c>
      <c r="J11" s="152">
        <f t="shared" si="1"/>
        <v>400</v>
      </c>
      <c r="K11" s="129"/>
      <c r="L11" s="129"/>
      <c r="M11" s="129"/>
    </row>
    <row r="12" spans="1:13" x14ac:dyDescent="0.25">
      <c r="A12" s="289" t="s">
        <v>594</v>
      </c>
      <c r="B12" s="208">
        <v>9</v>
      </c>
      <c r="C12" s="289"/>
      <c r="D12" s="289"/>
      <c r="E12" s="290">
        <f>NOVEMBER20!J12:J46</f>
        <v>1400</v>
      </c>
      <c r="F12" s="290">
        <v>100</v>
      </c>
      <c r="G12" s="290">
        <v>2700</v>
      </c>
      <c r="H12" s="290">
        <f t="shared" si="0"/>
        <v>4200</v>
      </c>
      <c r="I12" s="152">
        <f>750</f>
        <v>750</v>
      </c>
      <c r="J12" s="152">
        <f t="shared" si="1"/>
        <v>3450</v>
      </c>
      <c r="K12" s="129"/>
      <c r="L12" s="129"/>
      <c r="M12" s="129"/>
    </row>
    <row r="13" spans="1:13" x14ac:dyDescent="0.25">
      <c r="A13" s="152" t="s">
        <v>503</v>
      </c>
      <c r="B13" s="152">
        <v>10</v>
      </c>
      <c r="C13" s="289"/>
      <c r="D13" s="152"/>
      <c r="E13" s="290">
        <f>NOVEMBER20!J13:J47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  <c r="M13" s="129"/>
    </row>
    <row r="14" spans="1:13" x14ac:dyDescent="0.25">
      <c r="A14" s="152" t="s">
        <v>589</v>
      </c>
      <c r="B14" s="208">
        <v>11</v>
      </c>
      <c r="C14" s="289"/>
      <c r="D14" s="289"/>
      <c r="E14" s="290">
        <f>NOVEMBER20!J14:J48</f>
        <v>0</v>
      </c>
      <c r="F14" s="290">
        <v>100</v>
      </c>
      <c r="G14" s="290">
        <v>2700</v>
      </c>
      <c r="H14" s="290">
        <f t="shared" si="0"/>
        <v>2800</v>
      </c>
      <c r="I14" s="152">
        <f>2000</f>
        <v>2000</v>
      </c>
      <c r="J14" s="152">
        <f t="shared" si="1"/>
        <v>800</v>
      </c>
      <c r="K14" s="129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NOVEMBER20!J15:J49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>
        <f>J12+J14+J21+J34</f>
        <v>5970</v>
      </c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NOVEMBER20!J16:J50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NOVEMBER20!J17:J51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NOVEMBER20!J18:J52</f>
        <v>1300</v>
      </c>
      <c r="F18" s="290"/>
      <c r="G18" s="290"/>
      <c r="H18" s="290">
        <f t="shared" si="0"/>
        <v>1300</v>
      </c>
      <c r="I18" s="152">
        <v>1300</v>
      </c>
      <c r="J18" s="152">
        <f t="shared" si="1"/>
        <v>0</v>
      </c>
      <c r="K18" s="129"/>
      <c r="L18" s="129"/>
      <c r="M18" s="129"/>
    </row>
    <row r="19" spans="1:13" x14ac:dyDescent="0.25">
      <c r="A19" s="334" t="s">
        <v>446</v>
      </c>
      <c r="B19" s="208">
        <v>16</v>
      </c>
      <c r="C19" s="289"/>
      <c r="D19" s="289"/>
      <c r="E19" s="290">
        <f>NOVEMBER20!J19:J53</f>
        <v>0</v>
      </c>
      <c r="F19" s="290"/>
      <c r="G19" s="290"/>
      <c r="H19" s="290">
        <f t="shared" si="0"/>
        <v>0</v>
      </c>
      <c r="I19" s="152"/>
      <c r="J19" s="152">
        <f t="shared" si="1"/>
        <v>0</v>
      </c>
      <c r="K19" s="129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NOVEMBER20!J20:J54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NOVEMBER20!J21:J55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  <c r="M21" s="129"/>
    </row>
    <row r="22" spans="1:13" x14ac:dyDescent="0.25">
      <c r="A22" s="320" t="s">
        <v>446</v>
      </c>
      <c r="B22" s="312">
        <v>19</v>
      </c>
      <c r="C22" s="289"/>
      <c r="D22" s="289"/>
      <c r="E22" s="290">
        <f>NOVEMBER20!J22:J56</f>
        <v>0</v>
      </c>
      <c r="F22" s="313"/>
      <c r="G22" s="313"/>
      <c r="H22" s="290">
        <f t="shared" si="0"/>
        <v>0</v>
      </c>
      <c r="I22" s="152"/>
      <c r="J22" s="152">
        <f t="shared" si="1"/>
        <v>0</v>
      </c>
      <c r="K22" s="129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129"/>
      <c r="E23" s="290">
        <f>NOVEMBER20!J23:J57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  <c r="L23" s="129"/>
      <c r="M23" s="129"/>
    </row>
    <row r="24" spans="1:13" x14ac:dyDescent="0.25">
      <c r="A24" s="334" t="s">
        <v>446</v>
      </c>
      <c r="B24" s="208">
        <v>21</v>
      </c>
      <c r="C24" s="289"/>
      <c r="D24" s="129"/>
      <c r="E24" s="290">
        <f>NOVEMBER20!J24:J58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129"/>
      <c r="E25" s="290">
        <f>NOVEMBER20!J25:J59</f>
        <v>0</v>
      </c>
      <c r="F25" s="290">
        <v>100</v>
      </c>
      <c r="G25" s="290">
        <v>3500</v>
      </c>
      <c r="H25" s="290">
        <f>C25-D22+E25+F25+G25</f>
        <v>3600</v>
      </c>
      <c r="I25" s="152">
        <f>1100+2500</f>
        <v>3600</v>
      </c>
      <c r="J25" s="152">
        <f t="shared" si="1"/>
        <v>0</v>
      </c>
      <c r="K25" s="129"/>
      <c r="L25" s="129"/>
      <c r="M25" s="129"/>
    </row>
    <row r="26" spans="1:13" x14ac:dyDescent="0.25">
      <c r="A26" s="289" t="s">
        <v>685</v>
      </c>
      <c r="B26" s="208">
        <v>23</v>
      </c>
      <c r="C26" s="289"/>
      <c r="D26" s="289"/>
      <c r="E26" s="290">
        <f>NOVEMBER20!J26:J60</f>
        <v>0</v>
      </c>
      <c r="F26" s="290"/>
      <c r="G26" s="293"/>
      <c r="H26" s="290">
        <f t="shared" si="0"/>
        <v>0</v>
      </c>
      <c r="I26" s="152"/>
      <c r="J26" s="152">
        <f t="shared" si="1"/>
        <v>0</v>
      </c>
      <c r="K26" s="129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NOVEMBER20!J27:J61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NOVEMBER20!J28:J62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  <c r="M28" s="129"/>
    </row>
    <row r="29" spans="1:13" x14ac:dyDescent="0.25">
      <c r="A29" s="289" t="s">
        <v>658</v>
      </c>
      <c r="B29" s="208">
        <v>26</v>
      </c>
      <c r="C29" s="289"/>
      <c r="D29" s="289"/>
      <c r="E29" s="290">
        <f>NOVEMBER20!J29:J63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  <c r="L29" s="129"/>
      <c r="M29" s="129"/>
    </row>
    <row r="30" spans="1:13" x14ac:dyDescent="0.25">
      <c r="A30" s="289" t="s">
        <v>572</v>
      </c>
      <c r="B30" s="208">
        <v>27</v>
      </c>
      <c r="C30" s="289"/>
      <c r="D30" s="289"/>
      <c r="E30" s="290">
        <f>NOVEMBER20!J30:J64</f>
        <v>0</v>
      </c>
      <c r="F30" s="290">
        <v>100</v>
      </c>
      <c r="G30" s="290">
        <v>3300</v>
      </c>
      <c r="H30" s="290">
        <f t="shared" si="0"/>
        <v>3400</v>
      </c>
      <c r="I30" s="152">
        <f>3400</f>
        <v>3400</v>
      </c>
      <c r="J30" s="152">
        <f t="shared" si="1"/>
        <v>0</v>
      </c>
      <c r="K30" s="129"/>
      <c r="L30" s="129"/>
      <c r="M30" s="129"/>
    </row>
    <row r="31" spans="1:13" x14ac:dyDescent="0.25">
      <c r="A31" s="289" t="s">
        <v>648</v>
      </c>
      <c r="B31" s="208">
        <v>28</v>
      </c>
      <c r="C31" s="289">
        <v>2400</v>
      </c>
      <c r="D31" s="289"/>
      <c r="E31" s="290">
        <v>100</v>
      </c>
      <c r="F31" s="290">
        <v>100</v>
      </c>
      <c r="G31" s="293">
        <v>3300</v>
      </c>
      <c r="H31" s="290">
        <f>C31-D31+E31+F31+G31</f>
        <v>5900</v>
      </c>
      <c r="I31" s="152">
        <f>1500+2000</f>
        <v>3500</v>
      </c>
      <c r="J31" s="152"/>
      <c r="K31" s="129"/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/>
      <c r="E32" s="290">
        <f>NOVEMBER20!J32:J66</f>
        <v>1000</v>
      </c>
      <c r="F32" s="290">
        <v>100</v>
      </c>
      <c r="G32" s="290">
        <v>3300</v>
      </c>
      <c r="H32" s="290">
        <f t="shared" si="0"/>
        <v>4400</v>
      </c>
      <c r="I32" s="152">
        <f>4300+100</f>
        <v>4400</v>
      </c>
      <c r="J32" s="152">
        <f t="shared" si="1"/>
        <v>0</v>
      </c>
      <c r="K32" s="129"/>
      <c r="L32" s="129"/>
      <c r="M32" s="129"/>
    </row>
    <row r="33" spans="1:14" x14ac:dyDescent="0.25">
      <c r="A33" s="172" t="s">
        <v>347</v>
      </c>
      <c r="B33" s="208">
        <v>30</v>
      </c>
      <c r="C33" s="289"/>
      <c r="D33" s="289"/>
      <c r="E33" s="290">
        <f>NOVEMBER20!J33:J67</f>
        <v>0</v>
      </c>
      <c r="F33" s="290">
        <v>100</v>
      </c>
      <c r="G33" s="290">
        <v>3300</v>
      </c>
      <c r="H33" s="290">
        <f t="shared" si="0"/>
        <v>3400</v>
      </c>
      <c r="I33" s="152">
        <f>3400</f>
        <v>3400</v>
      </c>
      <c r="J33" s="152">
        <f t="shared" si="1"/>
        <v>0</v>
      </c>
      <c r="K33" s="129"/>
      <c r="L33" s="129"/>
      <c r="M33" s="129"/>
    </row>
    <row r="34" spans="1:14" x14ac:dyDescent="0.25">
      <c r="A34" s="289" t="s">
        <v>656</v>
      </c>
      <c r="B34" s="208">
        <v>31</v>
      </c>
      <c r="C34" s="289"/>
      <c r="D34" s="289"/>
      <c r="E34" s="290">
        <f>NOVEMBER20!J34:J68</f>
        <v>0</v>
      </c>
      <c r="F34" s="290">
        <v>100</v>
      </c>
      <c r="G34" s="290">
        <v>3200</v>
      </c>
      <c r="H34" s="290">
        <f t="shared" si="0"/>
        <v>3300</v>
      </c>
      <c r="I34" s="152">
        <f>2400</f>
        <v>2400</v>
      </c>
      <c r="J34" s="152">
        <f t="shared" si="1"/>
        <v>900</v>
      </c>
      <c r="K34" s="129"/>
      <c r="L34" s="129"/>
      <c r="M34" s="129"/>
    </row>
    <row r="35" spans="1:14" x14ac:dyDescent="0.25">
      <c r="A35" s="289" t="s">
        <v>446</v>
      </c>
      <c r="B35" s="208">
        <v>32</v>
      </c>
      <c r="C35" s="289"/>
      <c r="D35" s="289"/>
      <c r="E35" s="290">
        <f>NOVEMBER20!J35:J69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  <c r="L35" s="129"/>
      <c r="M35" s="129"/>
    </row>
    <row r="36" spans="1:14" x14ac:dyDescent="0.25">
      <c r="A36" s="334" t="s">
        <v>446</v>
      </c>
      <c r="B36" s="208">
        <v>33</v>
      </c>
      <c r="C36" s="289"/>
      <c r="D36" s="152"/>
      <c r="E36" s="290">
        <f>NOVEMBER20!J36:J70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  <c r="M36" s="129"/>
    </row>
    <row r="37" spans="1:14" x14ac:dyDescent="0.25">
      <c r="A37" s="325" t="s">
        <v>4</v>
      </c>
      <c r="B37" s="326"/>
      <c r="C37" s="326">
        <f t="shared" ref="C37:J37" si="2">SUM(C4:C36)</f>
        <v>3300</v>
      </c>
      <c r="D37" s="326">
        <f t="shared" si="2"/>
        <v>0</v>
      </c>
      <c r="E37" s="290">
        <f t="shared" si="2"/>
        <v>4620</v>
      </c>
      <c r="F37" s="327">
        <f t="shared" si="2"/>
        <v>2400</v>
      </c>
      <c r="G37" s="327">
        <f t="shared" si="2"/>
        <v>79300</v>
      </c>
      <c r="H37" s="327">
        <f t="shared" si="2"/>
        <v>89620</v>
      </c>
      <c r="I37" s="152">
        <f t="shared" si="2"/>
        <v>80850</v>
      </c>
      <c r="J37" s="152">
        <f t="shared" si="2"/>
        <v>6370</v>
      </c>
      <c r="K37" s="129"/>
      <c r="L37" s="129"/>
      <c r="M37" s="129"/>
    </row>
    <row r="38" spans="1:14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J37-J11</f>
        <v>5970</v>
      </c>
      <c r="K38" s="129"/>
      <c r="L38" s="129"/>
      <c r="M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</row>
    <row r="40" spans="1:14" x14ac:dyDescent="0.25">
      <c r="A40" s="152" t="s">
        <v>169</v>
      </c>
      <c r="B40" s="300">
        <f>G37</f>
        <v>79300</v>
      </c>
      <c r="C40" s="152"/>
      <c r="D40" s="152"/>
      <c r="E40" s="152"/>
      <c r="F40" s="152" t="s">
        <v>169</v>
      </c>
      <c r="G40" s="300">
        <f>I37</f>
        <v>80850</v>
      </c>
      <c r="H40" s="152"/>
      <c r="I40" s="152"/>
      <c r="J40" s="335"/>
      <c r="K40" s="336"/>
      <c r="L40" s="129"/>
      <c r="M40" s="129"/>
    </row>
    <row r="41" spans="1:14" x14ac:dyDescent="0.25">
      <c r="A41" s="152" t="s">
        <v>680</v>
      </c>
      <c r="B41" s="300">
        <v>500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  <c r="M41" s="129"/>
    </row>
    <row r="42" spans="1:14" x14ac:dyDescent="0.25">
      <c r="A42" s="152" t="s">
        <v>368</v>
      </c>
      <c r="B42" s="300">
        <f>NOVEMBER20!D51</f>
        <v>7199.929999999993</v>
      </c>
      <c r="C42" s="152"/>
      <c r="D42" s="152"/>
      <c r="E42" s="152"/>
      <c r="F42" s="152" t="s">
        <v>368</v>
      </c>
      <c r="G42" s="300">
        <f>NOVEMBER20!I51</f>
        <v>2579.929999999993</v>
      </c>
      <c r="H42" s="152"/>
      <c r="I42" s="152"/>
      <c r="J42" s="286"/>
      <c r="K42" s="336"/>
      <c r="L42" s="332"/>
      <c r="M42" s="129"/>
    </row>
    <row r="43" spans="1:14" x14ac:dyDescent="0.25">
      <c r="A43" s="152" t="s">
        <v>410</v>
      </c>
      <c r="B43" s="301">
        <v>0.1</v>
      </c>
      <c r="C43" s="300">
        <f>B43*B40</f>
        <v>7930</v>
      </c>
      <c r="D43" s="152"/>
      <c r="E43" s="152"/>
      <c r="F43" s="152" t="s">
        <v>410</v>
      </c>
      <c r="G43" s="301">
        <v>0.1</v>
      </c>
      <c r="H43" s="300">
        <f>G43*B40</f>
        <v>7930</v>
      </c>
      <c r="I43" s="152"/>
      <c r="J43" s="286"/>
      <c r="K43" s="336"/>
      <c r="L43" s="129"/>
      <c r="M43" s="332"/>
    </row>
    <row r="44" spans="1:14" x14ac:dyDescent="0.25">
      <c r="A44" s="305"/>
      <c r="B44" s="129"/>
      <c r="C44" s="300"/>
      <c r="D44" s="152"/>
      <c r="E44" s="152"/>
      <c r="F44" s="305"/>
      <c r="G44" s="129"/>
      <c r="H44" s="300"/>
      <c r="I44" s="152"/>
      <c r="J44" s="286"/>
      <c r="K44" s="336"/>
      <c r="L44" s="332"/>
      <c r="M44" s="332"/>
      <c r="N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  <c r="M45" s="129"/>
      <c r="N45" s="332"/>
    </row>
    <row r="46" spans="1:14" x14ac:dyDescent="0.25">
      <c r="A46" s="305"/>
      <c r="B46" s="301"/>
      <c r="C46" s="300"/>
      <c r="D46" s="152"/>
      <c r="E46" s="152"/>
      <c r="F46" s="305"/>
      <c r="G46" s="301"/>
      <c r="H46" s="300"/>
      <c r="I46" s="152"/>
      <c r="J46" s="8"/>
      <c r="K46" s="332"/>
      <c r="L46" s="332"/>
      <c r="M46" s="129"/>
      <c r="N46" s="332"/>
    </row>
    <row r="47" spans="1:14" x14ac:dyDescent="0.25">
      <c r="A47" s="303" t="s">
        <v>686</v>
      </c>
      <c r="B47" s="152"/>
      <c r="C47" s="152">
        <v>78570</v>
      </c>
      <c r="D47" s="152"/>
      <c r="E47" s="152"/>
      <c r="F47" s="303" t="s">
        <v>686</v>
      </c>
      <c r="G47" s="152"/>
      <c r="H47" s="152">
        <v>78570</v>
      </c>
      <c r="I47" s="152"/>
      <c r="J47" s="8"/>
      <c r="K47" s="332"/>
      <c r="L47" s="129"/>
      <c r="M47" s="129"/>
    </row>
    <row r="48" spans="1:14" x14ac:dyDescent="0.25">
      <c r="A48" s="303"/>
      <c r="B48" s="301"/>
      <c r="C48" s="152"/>
      <c r="D48" s="152"/>
      <c r="E48" s="152"/>
      <c r="F48" s="303" t="s">
        <v>161</v>
      </c>
      <c r="G48" s="301"/>
      <c r="H48" s="152">
        <f>F37</f>
        <v>2400</v>
      </c>
      <c r="I48" s="152"/>
      <c r="J48" s="8"/>
      <c r="K48" s="129"/>
      <c r="L48" s="332"/>
      <c r="M48" s="129"/>
      <c r="N48" s="332"/>
    </row>
    <row r="49" spans="1:14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129"/>
      <c r="M49" s="129"/>
    </row>
    <row r="50" spans="1:14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  <c r="M50" s="129"/>
      <c r="N50" s="332"/>
    </row>
    <row r="51" spans="1:14" x14ac:dyDescent="0.25">
      <c r="A51" s="296" t="s">
        <v>4</v>
      </c>
      <c r="B51" s="309">
        <f>B40+B41+B42+B44-C43</f>
        <v>79069.929999999993</v>
      </c>
      <c r="C51" s="309">
        <f>SUM(C46:C50)</f>
        <v>78570</v>
      </c>
      <c r="D51" s="309">
        <f>B51-C51</f>
        <v>499.92999999999302</v>
      </c>
      <c r="E51" s="297"/>
      <c r="F51" s="296" t="s">
        <v>4</v>
      </c>
      <c r="G51" s="300">
        <f>G40+G41+G42-H43+G44</f>
        <v>75499.929999999993</v>
      </c>
      <c r="H51" s="300">
        <f>SUM(H46:H50 )</f>
        <v>80970</v>
      </c>
      <c r="I51" s="300">
        <f>G51-H51</f>
        <v>-5470.070000000007</v>
      </c>
      <c r="J51" s="152"/>
      <c r="K51" s="129"/>
      <c r="L51" s="129"/>
      <c r="M51" s="129"/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  <c r="M52" s="129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  <c r="M53" s="129"/>
    </row>
    <row r="54" spans="1:14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  <c r="M54" s="129"/>
    </row>
    <row r="55" spans="1:14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</row>
  </sheetData>
  <pageMargins left="0" right="0" top="0" bottom="0" header="0.3" footer="0.3"/>
  <pageSetup orientation="portrait" horizontalDpi="0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opLeftCell="A19" workbookViewId="0">
      <selection activeCell="Q49" sqref="Q49"/>
    </sheetView>
  </sheetViews>
  <sheetFormatPr defaultRowHeight="15" x14ac:dyDescent="0.25"/>
  <cols>
    <col min="1" max="1" width="15.1406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687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'DECEMBER 20'!J4:J36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>
        <f>'DECEMBER 20'!J5:J37</f>
        <v>0</v>
      </c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'DECEMBER 20'!J6:J38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'DECEMBER 20'!J7:J39</f>
        <v>0</v>
      </c>
      <c r="F7" s="290">
        <v>100</v>
      </c>
      <c r="G7" s="290">
        <v>4000</v>
      </c>
      <c r="H7" s="290">
        <f t="shared" si="0"/>
        <v>4100</v>
      </c>
      <c r="I7" s="152">
        <f>2100+2000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'DECEMBER 20'!J8:J40</f>
        <v>0</v>
      </c>
      <c r="F8" s="290">
        <v>100</v>
      </c>
      <c r="G8" s="290">
        <v>4000</v>
      </c>
      <c r="H8" s="290">
        <f t="shared" si="0"/>
        <v>4100</v>
      </c>
      <c r="I8" s="152">
        <v>4100</v>
      </c>
      <c r="J8" s="152">
        <f t="shared" si="1"/>
        <v>0</v>
      </c>
      <c r="K8" s="129"/>
      <c r="L8" s="129"/>
    </row>
    <row r="9" spans="1:12" x14ac:dyDescent="0.25">
      <c r="A9" s="142" t="s">
        <v>696</v>
      </c>
      <c r="B9" s="208">
        <v>6</v>
      </c>
      <c r="C9" s="289">
        <v>2700</v>
      </c>
      <c r="D9" s="152"/>
      <c r="E9" s="290">
        <f>'DECEMBER 20'!J9:J41</f>
        <v>0</v>
      </c>
      <c r="F9" s="152"/>
      <c r="G9" s="152">
        <v>1400</v>
      </c>
      <c r="H9" s="290">
        <f t="shared" si="0"/>
        <v>4100</v>
      </c>
      <c r="I9" s="152">
        <v>4100</v>
      </c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'DECEMBER 20'!J10:J42</f>
        <v>0</v>
      </c>
      <c r="F10" s="290">
        <v>100</v>
      </c>
      <c r="G10" s="290">
        <v>5400</v>
      </c>
      <c r="H10" s="290">
        <f t="shared" si="0"/>
        <v>5500</v>
      </c>
      <c r="I10" s="152">
        <f>5500</f>
        <v>5500</v>
      </c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>
        <v>400</v>
      </c>
      <c r="D11" s="289"/>
      <c r="E11" s="290">
        <v>0</v>
      </c>
      <c r="F11" s="290">
        <v>100</v>
      </c>
      <c r="G11" s="290">
        <v>2700</v>
      </c>
      <c r="H11" s="290">
        <f t="shared" si="0"/>
        <v>3200</v>
      </c>
      <c r="I11" s="152">
        <v>3200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'DECEMBER 20'!J12:J44</f>
        <v>3450</v>
      </c>
      <c r="F12" s="290">
        <v>100</v>
      </c>
      <c r="G12" s="290">
        <v>2700</v>
      </c>
      <c r="H12" s="290">
        <f t="shared" si="0"/>
        <v>6250</v>
      </c>
      <c r="I12" s="152">
        <f>1000</f>
        <v>1000</v>
      </c>
      <c r="J12" s="152">
        <f t="shared" si="1"/>
        <v>5250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'DECEMBER 20'!J13:J45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'DECEMBER 20'!J14:J46</f>
        <v>800</v>
      </c>
      <c r="F14" s="290">
        <v>100</v>
      </c>
      <c r="G14" s="290">
        <v>2700</v>
      </c>
      <c r="H14" s="290">
        <f t="shared" si="0"/>
        <v>3600</v>
      </c>
      <c r="I14" s="152">
        <v>3600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'DECEMBER 20'!J15:J47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'DECEMBER 20'!J16:J48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7" x14ac:dyDescent="0.25">
      <c r="A17" s="289" t="s">
        <v>473</v>
      </c>
      <c r="B17" s="208">
        <v>14</v>
      </c>
      <c r="C17" s="289"/>
      <c r="D17" s="289"/>
      <c r="E17" s="290">
        <f>'DECEMBER 20'!J17:J49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7" x14ac:dyDescent="0.25">
      <c r="A18" s="289" t="s">
        <v>521</v>
      </c>
      <c r="B18" s="208">
        <v>15</v>
      </c>
      <c r="C18" s="289"/>
      <c r="D18" s="289"/>
      <c r="E18" s="290">
        <f>'DECEMBER 20'!J18:J50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7" x14ac:dyDescent="0.25">
      <c r="A19" s="334" t="s">
        <v>446</v>
      </c>
      <c r="B19" s="208">
        <v>16</v>
      </c>
      <c r="C19" s="289"/>
      <c r="D19" s="289"/>
      <c r="E19" s="290">
        <f>'DECEMBER 20'!J19:J51</f>
        <v>0</v>
      </c>
      <c r="F19" s="290"/>
      <c r="G19" s="290"/>
      <c r="H19" s="290">
        <f t="shared" si="0"/>
        <v>0</v>
      </c>
      <c r="I19" s="152"/>
      <c r="J19" s="152">
        <f t="shared" si="1"/>
        <v>0</v>
      </c>
      <c r="K19" s="129"/>
      <c r="L19" s="129"/>
    </row>
    <row r="20" spans="1:17" x14ac:dyDescent="0.25">
      <c r="A20" s="291" t="s">
        <v>492</v>
      </c>
      <c r="B20" s="208">
        <v>17</v>
      </c>
      <c r="C20" s="289"/>
      <c r="D20" s="289"/>
      <c r="E20" s="290">
        <f>'DECEMBER 20'!J20:J52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  <c r="P20">
        <f>20000+12200+8000+3000</f>
        <v>43200</v>
      </c>
    </row>
    <row r="21" spans="1:17" x14ac:dyDescent="0.25">
      <c r="A21" s="289" t="s">
        <v>346</v>
      </c>
      <c r="B21" s="208">
        <v>18</v>
      </c>
      <c r="C21" s="289"/>
      <c r="D21" s="289"/>
      <c r="E21" s="290">
        <f>'DECEMBER 20'!J21:J53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7" x14ac:dyDescent="0.25">
      <c r="A22" s="311" t="s">
        <v>690</v>
      </c>
      <c r="B22" s="312">
        <v>19</v>
      </c>
      <c r="C22" s="289">
        <v>2700</v>
      </c>
      <c r="D22" s="289"/>
      <c r="E22" s="290">
        <f>'DECEMBER 20'!J22:J54</f>
        <v>0</v>
      </c>
      <c r="F22" s="313">
        <v>100</v>
      </c>
      <c r="G22" s="313">
        <v>2700</v>
      </c>
      <c r="H22" s="290">
        <f t="shared" si="0"/>
        <v>5500</v>
      </c>
      <c r="I22" s="152">
        <v>5500</v>
      </c>
      <c r="J22" s="152">
        <f t="shared" si="1"/>
        <v>0</v>
      </c>
      <c r="K22" s="129"/>
      <c r="L22" s="129"/>
    </row>
    <row r="23" spans="1:17" x14ac:dyDescent="0.25">
      <c r="A23" s="289" t="s">
        <v>461</v>
      </c>
      <c r="B23" s="208">
        <v>20</v>
      </c>
      <c r="C23" s="289"/>
      <c r="D23" s="129"/>
      <c r="E23" s="290">
        <f>'DECEMBER 20'!J23:J55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  <c r="L23" s="129"/>
      <c r="O23">
        <f>10000+8000+3000+Q27</f>
        <v>27400</v>
      </c>
    </row>
    <row r="24" spans="1:17" x14ac:dyDescent="0.25">
      <c r="A24" s="334" t="s">
        <v>446</v>
      </c>
      <c r="B24" s="208">
        <v>21</v>
      </c>
      <c r="C24" s="289"/>
      <c r="D24" s="129"/>
      <c r="E24" s="290">
        <f>'DECEMBER 20'!J24:J56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  <c r="L24" s="129"/>
    </row>
    <row r="25" spans="1:17" x14ac:dyDescent="0.25">
      <c r="A25" s="289" t="s">
        <v>435</v>
      </c>
      <c r="B25" s="208">
        <v>22</v>
      </c>
      <c r="C25" s="289"/>
      <c r="D25" s="129"/>
      <c r="E25" s="290">
        <f>'DECEMBER 20'!J25:J57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  <c r="L25" s="129">
        <f>C9+C22+C26+C35+500+2200</f>
        <v>11200</v>
      </c>
    </row>
    <row r="26" spans="1:17" x14ac:dyDescent="0.25">
      <c r="A26" s="289" t="s">
        <v>347</v>
      </c>
      <c r="B26" s="208">
        <v>23</v>
      </c>
      <c r="C26" s="289">
        <v>400</v>
      </c>
      <c r="D26" s="289"/>
      <c r="E26" s="290">
        <f>'DECEMBER 20'!J26:J58</f>
        <v>0</v>
      </c>
      <c r="F26" s="290">
        <v>100</v>
      </c>
      <c r="G26" s="293">
        <v>3700</v>
      </c>
      <c r="H26" s="290">
        <f t="shared" si="0"/>
        <v>4200</v>
      </c>
      <c r="I26" s="152">
        <f>3800+400</f>
        <v>4200</v>
      </c>
      <c r="J26" s="152">
        <f t="shared" si="1"/>
        <v>0</v>
      </c>
      <c r="K26" s="129"/>
      <c r="L26" s="129"/>
      <c r="Q26">
        <f>0.16*5000</f>
        <v>800</v>
      </c>
    </row>
    <row r="27" spans="1:17" x14ac:dyDescent="0.25">
      <c r="A27" s="289" t="s">
        <v>488</v>
      </c>
      <c r="B27" s="208">
        <v>24</v>
      </c>
      <c r="C27" s="289"/>
      <c r="D27" s="289"/>
      <c r="E27" s="290">
        <f>'DECEMBER 20'!J27:J59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  <c r="Q27">
        <f>Q26+5000+600</f>
        <v>6400</v>
      </c>
    </row>
    <row r="28" spans="1:17" x14ac:dyDescent="0.25">
      <c r="A28" s="289" t="s">
        <v>462</v>
      </c>
      <c r="B28" s="208">
        <v>25</v>
      </c>
      <c r="C28" s="289"/>
      <c r="D28" s="289"/>
      <c r="E28" s="290">
        <f>'DECEMBER 20'!J28:J60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</row>
    <row r="29" spans="1:17" x14ac:dyDescent="0.25">
      <c r="A29" s="289" t="s">
        <v>658</v>
      </c>
      <c r="B29" s="208">
        <v>26</v>
      </c>
      <c r="C29" s="289"/>
      <c r="D29" s="289"/>
      <c r="E29" s="290">
        <f>'DECEMBER 20'!J29:J61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  <c r="L29" s="129"/>
    </row>
    <row r="30" spans="1:17" x14ac:dyDescent="0.25">
      <c r="A30" s="289" t="s">
        <v>572</v>
      </c>
      <c r="B30" s="208">
        <v>27</v>
      </c>
      <c r="C30" s="289"/>
      <c r="D30" s="289"/>
      <c r="E30" s="290">
        <f>'DECEMBER 20'!J30:J62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7" x14ac:dyDescent="0.25">
      <c r="A31" s="289" t="s">
        <v>693</v>
      </c>
      <c r="B31" s="208">
        <v>28</v>
      </c>
      <c r="C31" s="289"/>
      <c r="D31" s="289"/>
      <c r="E31" s="290"/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1"/>
        <v>0</v>
      </c>
      <c r="K31" s="129"/>
      <c r="L31" s="129"/>
    </row>
    <row r="32" spans="1:17" x14ac:dyDescent="0.25">
      <c r="A32" s="334" t="s">
        <v>446</v>
      </c>
      <c r="B32" s="208">
        <v>29</v>
      </c>
      <c r="C32" s="289"/>
      <c r="D32" s="289"/>
      <c r="E32" s="290">
        <f>'DECEMBER 20'!J32:J64</f>
        <v>0</v>
      </c>
      <c r="F32" s="290"/>
      <c r="G32" s="290"/>
      <c r="H32" s="290">
        <f t="shared" si="0"/>
        <v>0</v>
      </c>
      <c r="I32" s="152"/>
      <c r="J32" s="152">
        <f t="shared" si="1"/>
        <v>0</v>
      </c>
      <c r="K32" s="129"/>
      <c r="L32" s="129"/>
    </row>
    <row r="33" spans="1:17" x14ac:dyDescent="0.25">
      <c r="A33" s="334" t="s">
        <v>446</v>
      </c>
      <c r="B33" s="208">
        <v>30</v>
      </c>
      <c r="C33" s="289"/>
      <c r="D33" s="289"/>
      <c r="E33" s="290">
        <f>'DECEMBER 20'!J33:J65</f>
        <v>0</v>
      </c>
      <c r="F33" s="290"/>
      <c r="G33" s="290"/>
      <c r="H33" s="290">
        <f t="shared" si="0"/>
        <v>0</v>
      </c>
      <c r="I33" s="152"/>
      <c r="J33" s="152"/>
      <c r="K33" s="129"/>
      <c r="L33" s="129"/>
    </row>
    <row r="34" spans="1:17" x14ac:dyDescent="0.25">
      <c r="A34" s="289" t="s">
        <v>656</v>
      </c>
      <c r="B34" s="208">
        <v>31</v>
      </c>
      <c r="C34" s="289"/>
      <c r="D34" s="289"/>
      <c r="E34" s="290">
        <f>'DECEMBER 20'!J34:J66</f>
        <v>900</v>
      </c>
      <c r="F34" s="290">
        <v>100</v>
      </c>
      <c r="G34" s="290">
        <v>3200</v>
      </c>
      <c r="H34" s="290">
        <f t="shared" si="0"/>
        <v>4200</v>
      </c>
      <c r="I34" s="152">
        <f>1500+900+400+1400</f>
        <v>4200</v>
      </c>
      <c r="J34" s="152">
        <f t="shared" si="1"/>
        <v>0</v>
      </c>
      <c r="K34" s="129"/>
      <c r="L34" s="129"/>
    </row>
    <row r="35" spans="1:17" x14ac:dyDescent="0.25">
      <c r="A35" s="289" t="s">
        <v>688</v>
      </c>
      <c r="B35" s="208">
        <v>32</v>
      </c>
      <c r="C35" s="289">
        <v>2700</v>
      </c>
      <c r="D35" s="289"/>
      <c r="E35" s="290">
        <f>'DECEMBER 20'!J35:J67</f>
        <v>0</v>
      </c>
      <c r="F35" s="290">
        <v>100</v>
      </c>
      <c r="G35" s="290">
        <v>2700</v>
      </c>
      <c r="H35" s="290">
        <f t="shared" si="0"/>
        <v>5500</v>
      </c>
      <c r="I35" s="152">
        <f>5500</f>
        <v>5500</v>
      </c>
      <c r="J35" s="152">
        <f t="shared" si="1"/>
        <v>0</v>
      </c>
      <c r="K35" s="129"/>
      <c r="L35" s="129"/>
    </row>
    <row r="36" spans="1:17" x14ac:dyDescent="0.25">
      <c r="A36" s="289" t="s">
        <v>695</v>
      </c>
      <c r="B36" s="208">
        <v>33</v>
      </c>
      <c r="C36" s="289">
        <v>2700</v>
      </c>
      <c r="D36" s="152"/>
      <c r="E36" s="290">
        <f>'DECEMBER 20'!J36:J68</f>
        <v>0</v>
      </c>
      <c r="F36" s="152">
        <v>100</v>
      </c>
      <c r="G36" s="152">
        <v>2700</v>
      </c>
      <c r="H36" s="290">
        <f t="shared" si="0"/>
        <v>5500</v>
      </c>
      <c r="I36" s="152">
        <f>5000</f>
        <v>5000</v>
      </c>
      <c r="J36" s="152">
        <f t="shared" si="1"/>
        <v>500</v>
      </c>
      <c r="K36" s="129"/>
      <c r="L36" s="129"/>
    </row>
    <row r="37" spans="1:17" x14ac:dyDescent="0.25">
      <c r="A37" s="325" t="s">
        <v>4</v>
      </c>
      <c r="B37" s="326"/>
      <c r="C37" s="326">
        <f t="shared" ref="C37:I37" si="2">SUM(C4:C36)</f>
        <v>11600</v>
      </c>
      <c r="D37" s="326">
        <f t="shared" si="2"/>
        <v>0</v>
      </c>
      <c r="E37" s="290">
        <f t="shared" si="2"/>
        <v>5970</v>
      </c>
      <c r="F37" s="327">
        <f t="shared" si="2"/>
        <v>2600</v>
      </c>
      <c r="G37" s="327">
        <f t="shared" si="2"/>
        <v>85900</v>
      </c>
      <c r="H37" s="327">
        <f t="shared" si="2"/>
        <v>106070</v>
      </c>
      <c r="I37" s="152">
        <f t="shared" si="2"/>
        <v>99500</v>
      </c>
      <c r="J37" s="152">
        <f>H37-I37</f>
        <v>6570</v>
      </c>
      <c r="K37" s="129"/>
      <c r="L37" s="129"/>
    </row>
    <row r="38" spans="1:17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6570</v>
      </c>
      <c r="K38" s="129"/>
      <c r="L38" s="129"/>
    </row>
    <row r="39" spans="1:17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6070</v>
      </c>
      <c r="K39" s="129"/>
      <c r="L39" s="129"/>
    </row>
    <row r="40" spans="1:17" x14ac:dyDescent="0.25">
      <c r="A40" s="152" t="s">
        <v>170</v>
      </c>
      <c r="B40" s="300">
        <f>G37</f>
        <v>85900</v>
      </c>
      <c r="C40" s="152"/>
      <c r="D40" s="152"/>
      <c r="E40" s="152"/>
      <c r="F40" s="152" t="s">
        <v>170</v>
      </c>
      <c r="G40" s="300">
        <f>I37</f>
        <v>99500</v>
      </c>
      <c r="H40" s="152"/>
      <c r="I40" s="152"/>
      <c r="J40" s="335"/>
      <c r="K40" s="336"/>
      <c r="L40" s="129">
        <f>I36-G36-F36</f>
        <v>2200</v>
      </c>
    </row>
    <row r="41" spans="1:17" x14ac:dyDescent="0.25">
      <c r="A41" s="152" t="s">
        <v>691</v>
      </c>
      <c r="B41" s="300">
        <f>C35+C22+2200+500+400+2700</f>
        <v>11200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7" x14ac:dyDescent="0.25">
      <c r="A42" s="152" t="s">
        <v>368</v>
      </c>
      <c r="B42" s="300">
        <f>'DECEMBER 20'!D51</f>
        <v>499.92999999999302</v>
      </c>
      <c r="C42" s="152"/>
      <c r="D42" s="152"/>
      <c r="E42" s="152"/>
      <c r="F42" s="152" t="s">
        <v>368</v>
      </c>
      <c r="G42" s="300">
        <f>'DECEMBER 20'!I51</f>
        <v>-5470.070000000007</v>
      </c>
      <c r="H42" s="152"/>
      <c r="I42" s="152"/>
      <c r="J42" s="286"/>
      <c r="K42" s="336"/>
      <c r="L42" s="129"/>
      <c r="M42" s="332"/>
    </row>
    <row r="43" spans="1:17" x14ac:dyDescent="0.25">
      <c r="A43" s="152" t="s">
        <v>410</v>
      </c>
      <c r="B43" s="301">
        <v>0.1</v>
      </c>
      <c r="C43" s="300">
        <f>B43*B40</f>
        <v>8590</v>
      </c>
      <c r="D43" s="152"/>
      <c r="E43" s="152"/>
      <c r="F43" s="152" t="s">
        <v>410</v>
      </c>
      <c r="G43" s="301">
        <v>0.1</v>
      </c>
      <c r="H43" s="300">
        <f>G43*B40</f>
        <v>8590</v>
      </c>
      <c r="I43" s="152"/>
      <c r="J43" s="286"/>
      <c r="K43" s="286"/>
      <c r="L43" s="129"/>
      <c r="M43" s="332"/>
    </row>
    <row r="44" spans="1:17" x14ac:dyDescent="0.25">
      <c r="A44" s="305" t="s">
        <v>470</v>
      </c>
      <c r="B44" s="129">
        <v>0.3</v>
      </c>
      <c r="C44" s="300"/>
      <c r="D44" s="152"/>
      <c r="E44" s="152"/>
      <c r="F44" s="305"/>
      <c r="G44" s="129"/>
      <c r="H44" s="300"/>
      <c r="I44" s="152"/>
      <c r="J44" s="286"/>
      <c r="K44" s="336"/>
      <c r="L44" s="332"/>
    </row>
    <row r="45" spans="1:17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  <c r="M45" s="332"/>
      <c r="P45">
        <f>1600+2600+2800</f>
        <v>7000</v>
      </c>
    </row>
    <row r="46" spans="1:17" x14ac:dyDescent="0.25">
      <c r="A46" s="305" t="s">
        <v>689</v>
      </c>
      <c r="B46" s="301"/>
      <c r="C46" s="300">
        <v>500</v>
      </c>
      <c r="D46" s="152"/>
      <c r="E46" s="152"/>
      <c r="F46" s="305" t="s">
        <v>689</v>
      </c>
      <c r="G46" s="301"/>
      <c r="H46" s="300">
        <v>500</v>
      </c>
      <c r="I46" s="152"/>
      <c r="J46" s="8"/>
      <c r="K46" s="332"/>
      <c r="L46" s="332"/>
    </row>
    <row r="47" spans="1:17" x14ac:dyDescent="0.25">
      <c r="A47" s="303" t="s">
        <v>692</v>
      </c>
      <c r="B47" s="152"/>
      <c r="C47" s="152">
        <f>1200</f>
        <v>1200</v>
      </c>
      <c r="D47" s="152"/>
      <c r="E47" s="152"/>
      <c r="F47" s="303" t="s">
        <v>692</v>
      </c>
      <c r="G47" s="152"/>
      <c r="H47" s="152">
        <f>1200</f>
        <v>1200</v>
      </c>
      <c r="I47" s="152"/>
      <c r="J47" s="8"/>
      <c r="K47" s="332"/>
      <c r="L47" s="129"/>
      <c r="M47" s="332"/>
    </row>
    <row r="48" spans="1:17" x14ac:dyDescent="0.25">
      <c r="A48" s="303" t="s">
        <v>222</v>
      </c>
      <c r="B48" s="301"/>
      <c r="C48" s="152">
        <v>5000</v>
      </c>
      <c r="D48" s="152"/>
      <c r="E48" s="152"/>
      <c r="F48" s="303" t="s">
        <v>222</v>
      </c>
      <c r="G48" s="301"/>
      <c r="H48" s="152">
        <v>5000</v>
      </c>
      <c r="I48" s="152"/>
      <c r="J48" s="8"/>
      <c r="K48" s="129"/>
      <c r="L48" s="332"/>
      <c r="Q48">
        <f>2500+2400+2600</f>
        <v>7500</v>
      </c>
    </row>
    <row r="49" spans="1:15" x14ac:dyDescent="0.25">
      <c r="A49" s="303" t="s">
        <v>694</v>
      </c>
      <c r="B49" s="301"/>
      <c r="C49" s="152">
        <v>78350</v>
      </c>
      <c r="D49" s="152"/>
      <c r="E49" s="152"/>
      <c r="F49" s="303" t="s">
        <v>694</v>
      </c>
      <c r="G49" s="301"/>
      <c r="H49" s="152">
        <v>78350</v>
      </c>
      <c r="I49" s="152"/>
      <c r="J49" s="8"/>
      <c r="K49" s="129"/>
      <c r="L49" s="129">
        <f>C45/2</f>
        <v>0</v>
      </c>
      <c r="M49" s="332"/>
      <c r="N49">
        <f>5000+FEBRUARY21!C46+'MARCH 21'!C46</f>
        <v>15000</v>
      </c>
    </row>
    <row r="50" spans="1:15" s="129" customFormat="1" x14ac:dyDescent="0.25">
      <c r="A50" s="303" t="s">
        <v>601</v>
      </c>
      <c r="B50" s="301"/>
      <c r="C50" s="152">
        <v>2032</v>
      </c>
      <c r="D50" s="152"/>
      <c r="E50" s="152"/>
      <c r="F50" s="303" t="s">
        <v>601</v>
      </c>
      <c r="G50" s="301"/>
      <c r="H50" s="152">
        <v>2032</v>
      </c>
      <c r="I50" s="152"/>
      <c r="J50" s="8"/>
      <c r="M50" s="332"/>
      <c r="N50" s="129">
        <f>N49+10000</f>
        <v>25000</v>
      </c>
      <c r="O50" s="129">
        <f>40000-N50</f>
        <v>15000</v>
      </c>
    </row>
    <row r="51" spans="1:15" s="129" customFormat="1" x14ac:dyDescent="0.25">
      <c r="A51" s="303"/>
      <c r="B51" s="301"/>
      <c r="C51" s="152"/>
      <c r="D51" s="152"/>
      <c r="E51" s="152"/>
      <c r="F51" s="303" t="s">
        <v>161</v>
      </c>
      <c r="G51" s="301"/>
      <c r="H51" s="152">
        <f>F37</f>
        <v>2600</v>
      </c>
      <c r="I51" s="152"/>
      <c r="J51" s="8"/>
      <c r="M51" s="332"/>
    </row>
    <row r="52" spans="1:15" x14ac:dyDescent="0.25">
      <c r="A52" s="303" t="s">
        <v>697</v>
      </c>
      <c r="B52" s="301"/>
      <c r="C52" s="152">
        <v>6928</v>
      </c>
      <c r="D52" s="152"/>
      <c r="E52" s="152"/>
      <c r="F52" s="303" t="s">
        <v>605</v>
      </c>
      <c r="G52" s="301"/>
      <c r="H52" s="152">
        <v>6928</v>
      </c>
      <c r="I52" s="152"/>
      <c r="J52" s="8"/>
      <c r="K52" s="129"/>
      <c r="L52" s="129"/>
    </row>
    <row r="53" spans="1:15" x14ac:dyDescent="0.25">
      <c r="A53" s="296" t="s">
        <v>4</v>
      </c>
      <c r="B53" s="309">
        <f>B40+B41+B42+B44-C43</f>
        <v>89010.23</v>
      </c>
      <c r="C53" s="309">
        <f>SUM(C45:C52)</f>
        <v>94010</v>
      </c>
      <c r="D53" s="309">
        <f>B53-C53</f>
        <v>-4999.7700000000041</v>
      </c>
      <c r="E53" s="297"/>
      <c r="F53" s="296" t="s">
        <v>4</v>
      </c>
      <c r="G53" s="300">
        <f>G40+G41+G42-H43+G44</f>
        <v>85439.93</v>
      </c>
      <c r="H53" s="300">
        <f>SUM(H45:H52 )</f>
        <v>96610</v>
      </c>
      <c r="I53" s="300">
        <f>G53-H53</f>
        <v>-11170.070000000007</v>
      </c>
      <c r="J53" s="152"/>
      <c r="K53" s="129"/>
    </row>
    <row r="54" spans="1:15" x14ac:dyDescent="0.25">
      <c r="A54" s="92" t="s">
        <v>112</v>
      </c>
      <c r="B54" s="92"/>
      <c r="C54" s="12"/>
      <c r="D54" s="12" t="s">
        <v>113</v>
      </c>
      <c r="E54" s="12"/>
      <c r="F54" s="12"/>
      <c r="G54" s="303" t="s">
        <v>571</v>
      </c>
      <c r="H54" s="152"/>
      <c r="I54" s="152"/>
      <c r="J54" s="152"/>
      <c r="K54" s="332"/>
      <c r="L54" s="332"/>
    </row>
    <row r="55" spans="1:15" x14ac:dyDescent="0.25">
      <c r="A55" s="12" t="s">
        <v>570</v>
      </c>
      <c r="B55" s="12"/>
      <c r="C55" s="12"/>
      <c r="D55" s="12" t="s">
        <v>441</v>
      </c>
      <c r="E55" s="12"/>
      <c r="F55" s="12"/>
      <c r="G55" s="303" t="s">
        <v>523</v>
      </c>
      <c r="H55" s="301"/>
      <c r="I55" s="152"/>
      <c r="J55" s="152"/>
      <c r="K55" s="129"/>
      <c r="L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332"/>
      <c r="K56" s="129"/>
      <c r="L56" s="129"/>
      <c r="N56">
        <f>4100-140</f>
        <v>3960</v>
      </c>
      <c r="O56">
        <f>N56-C50</f>
        <v>1928</v>
      </c>
    </row>
    <row r="57" spans="1:15" x14ac:dyDescent="0.25">
      <c r="N57">
        <f>N56-C52</f>
        <v>-2968</v>
      </c>
      <c r="O57">
        <v>5000</v>
      </c>
    </row>
    <row r="58" spans="1:15" x14ac:dyDescent="0.25">
      <c r="N58">
        <f>N57+500</f>
        <v>-2468</v>
      </c>
      <c r="O58">
        <f>SUM(O56:O57)</f>
        <v>6928</v>
      </c>
    </row>
    <row r="60" spans="1:15" x14ac:dyDescent="0.25">
      <c r="I60" s="332">
        <f>D53-I53</f>
        <v>6170.3000000000029</v>
      </c>
    </row>
  </sheetData>
  <pageMargins left="0" right="0" top="0" bottom="0" header="0.3" footer="0.3"/>
  <pageSetup orientation="portrait" horizontalDpi="0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7" workbookViewId="0">
      <selection activeCell="L38" sqref="L38"/>
    </sheetView>
  </sheetViews>
  <sheetFormatPr defaultRowHeight="15" x14ac:dyDescent="0.25"/>
  <cols>
    <col min="1" max="1" width="15" bestFit="1" customWidth="1"/>
    <col min="2" max="2" width="6.85546875" customWidth="1"/>
    <col min="4" max="4" width="7.42578125" customWidth="1"/>
    <col min="5" max="5" width="7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698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'JANUARY 21'!J4:J37</f>
        <v>0</v>
      </c>
      <c r="F4" s="290">
        <v>100</v>
      </c>
      <c r="G4" s="290">
        <v>4500</v>
      </c>
      <c r="H4" s="290">
        <f>C4-D4+E4+F4+G4</f>
        <v>4600</v>
      </c>
      <c r="I4" s="152">
        <f>4100+500</f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>
        <f>'JANUARY 21'!J5:J38</f>
        <v>0</v>
      </c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'JANUARY 21'!J6:J39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E7" s="290">
        <f>'JANUARY 21'!J7:J40</f>
        <v>0</v>
      </c>
      <c r="F7" s="290">
        <v>100</v>
      </c>
      <c r="G7" s="290">
        <v>4000</v>
      </c>
      <c r="H7" s="290">
        <f>C7-D8+E7+F7+G7</f>
        <v>4100</v>
      </c>
      <c r="I7" s="152">
        <f>2400+1700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'JANUARY 21'!J8:J41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  <c r="L8" s="129"/>
    </row>
    <row r="9" spans="1:12" x14ac:dyDescent="0.25">
      <c r="A9" s="8" t="s">
        <v>696</v>
      </c>
      <c r="B9" s="208">
        <v>6</v>
      </c>
      <c r="C9" s="289"/>
      <c r="D9" s="152"/>
      <c r="E9" s="290">
        <f>'JANUARY 21'!J9:J42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'JANUARY 21'!J10:J43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'JANUARY 21'!J11:J44</f>
        <v>0</v>
      </c>
      <c r="F11" s="290">
        <v>100</v>
      </c>
      <c r="G11" s="290">
        <v>2700</v>
      </c>
      <c r="H11" s="290">
        <f t="shared" si="0"/>
        <v>2800</v>
      </c>
      <c r="I11" s="152">
        <f>2800</f>
        <v>2800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'JANUARY 21'!J12:J45</f>
        <v>5250</v>
      </c>
      <c r="F12" s="290">
        <v>100</v>
      </c>
      <c r="G12" s="290">
        <v>2700</v>
      </c>
      <c r="H12" s="290">
        <f t="shared" si="0"/>
        <v>8050</v>
      </c>
      <c r="I12" s="152">
        <f>7000</f>
        <v>7000</v>
      </c>
      <c r="J12" s="152">
        <f t="shared" si="1"/>
        <v>1050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'JANUARY 21'!J13:J46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'JANUARY 21'!J14:J47</f>
        <v>0</v>
      </c>
      <c r="F14" s="290">
        <v>100</v>
      </c>
      <c r="G14" s="290">
        <v>2700</v>
      </c>
      <c r="H14" s="290">
        <f t="shared" si="0"/>
        <v>2800</v>
      </c>
      <c r="I14" s="152">
        <f>2500</f>
        <v>2500</v>
      </c>
      <c r="J14" s="152">
        <f t="shared" si="1"/>
        <v>300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'JANUARY 21'!J15:J48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'JANUARY 21'!J16:J49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'JANUARY 21'!J17:J50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'JANUARY 21'!J18:J51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2" x14ac:dyDescent="0.25">
      <c r="A19" s="289" t="s">
        <v>521</v>
      </c>
      <c r="B19" s="208">
        <v>16</v>
      </c>
      <c r="C19" s="289"/>
      <c r="D19" s="289"/>
      <c r="E19" s="290">
        <f>'JANUARY 21'!J19:J52</f>
        <v>0</v>
      </c>
      <c r="F19" s="290">
        <v>100</v>
      </c>
      <c r="G19" s="290">
        <v>3000</v>
      </c>
      <c r="H19" s="290">
        <f t="shared" si="0"/>
        <v>3100</v>
      </c>
      <c r="I19" s="152">
        <f>3000</f>
        <v>3000</v>
      </c>
      <c r="J19" s="152">
        <f t="shared" si="1"/>
        <v>100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'JANUARY 21'!J20:J53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'JANUARY 21'!J21:J54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2" x14ac:dyDescent="0.25">
      <c r="A22" s="311" t="s">
        <v>690</v>
      </c>
      <c r="B22" s="312">
        <v>19</v>
      </c>
      <c r="C22" s="289"/>
      <c r="D22" s="289"/>
      <c r="E22" s="290">
        <f>'JANUARY 21'!J22:J55</f>
        <v>0</v>
      </c>
      <c r="F22" s="313">
        <v>100</v>
      </c>
      <c r="G22" s="313">
        <v>2700</v>
      </c>
      <c r="H22" s="290">
        <f t="shared" si="0"/>
        <v>2800</v>
      </c>
      <c r="I22" s="152">
        <f>2800</f>
        <v>2800</v>
      </c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129"/>
      <c r="E23" s="290">
        <f>'JANUARY 21'!J23:J56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  <c r="L23" s="129"/>
    </row>
    <row r="24" spans="1:12" x14ac:dyDescent="0.25">
      <c r="A24" s="172" t="s">
        <v>522</v>
      </c>
      <c r="B24" s="208">
        <v>21</v>
      </c>
      <c r="C24" s="289"/>
      <c r="D24" s="129"/>
      <c r="E24" s="290">
        <f>'JANUARY 21'!J24:J57</f>
        <v>0</v>
      </c>
      <c r="F24" s="290">
        <v>100</v>
      </c>
      <c r="G24" s="290">
        <v>3500</v>
      </c>
      <c r="H24" s="290">
        <f>C24-D21+E24+F24+G24</f>
        <v>3600</v>
      </c>
      <c r="I24" s="152">
        <f>3000</f>
        <v>3000</v>
      </c>
      <c r="J24" s="152">
        <f t="shared" si="1"/>
        <v>600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129"/>
      <c r="E25" s="290">
        <f>'JANUARY 21'!J25:J58</f>
        <v>0</v>
      </c>
      <c r="F25" s="290">
        <v>100</v>
      </c>
      <c r="G25" s="290">
        <v>3500</v>
      </c>
      <c r="H25" s="290">
        <f>C25-D22+E25+F25+G25</f>
        <v>3600</v>
      </c>
      <c r="I25" s="152"/>
      <c r="J25" s="152">
        <f t="shared" si="1"/>
        <v>3600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'JANUARY 21'!J26:J59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'JANUARY 21'!J27:J60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'JANUARY 21'!J28:J61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/>
      <c r="D29" s="289"/>
      <c r="E29" s="290">
        <f>'JANUARY 21'!J29:J62</f>
        <v>0</v>
      </c>
      <c r="F29" s="290">
        <v>100</v>
      </c>
      <c r="G29" s="290">
        <v>3300</v>
      </c>
      <c r="H29" s="290">
        <f t="shared" si="0"/>
        <v>3400</v>
      </c>
      <c r="I29" s="152">
        <f>2000</f>
        <v>2000</v>
      </c>
      <c r="J29" s="152">
        <f>H29-I29</f>
        <v>1400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'JANUARY 21'!J30:J63</f>
        <v>0</v>
      </c>
      <c r="F30" s="290"/>
      <c r="G30" s="290">
        <v>3300</v>
      </c>
      <c r="H30" s="290">
        <f t="shared" si="0"/>
        <v>3300</v>
      </c>
      <c r="I30" s="152"/>
      <c r="J30" s="152"/>
      <c r="K30" s="129" t="s">
        <v>562</v>
      </c>
      <c r="L30" s="129"/>
    </row>
    <row r="31" spans="1:12" x14ac:dyDescent="0.25">
      <c r="A31" s="289" t="s">
        <v>693</v>
      </c>
      <c r="B31" s="208">
        <v>28</v>
      </c>
      <c r="C31" s="289"/>
      <c r="D31" s="289"/>
      <c r="E31" s="290">
        <f>'JANUARY 21'!J31:J64</f>
        <v>0</v>
      </c>
      <c r="F31" s="290">
        <v>100</v>
      </c>
      <c r="G31" s="293">
        <v>3300</v>
      </c>
      <c r="H31" s="290">
        <f>C31-D31+E31+F31+G31</f>
        <v>3400</v>
      </c>
      <c r="I31" s="152">
        <f>3400</f>
        <v>3400</v>
      </c>
      <c r="J31" s="152">
        <f t="shared" si="1"/>
        <v>0</v>
      </c>
      <c r="K31" s="129"/>
      <c r="L31" s="129"/>
    </row>
    <row r="32" spans="1:12" x14ac:dyDescent="0.25">
      <c r="A32" s="289" t="s">
        <v>700</v>
      </c>
      <c r="B32" s="208">
        <v>29</v>
      </c>
      <c r="C32" s="289">
        <v>3200</v>
      </c>
      <c r="D32" s="289"/>
      <c r="E32" s="290">
        <f>'JANUARY 21'!J32:J65</f>
        <v>0</v>
      </c>
      <c r="F32" s="290">
        <v>100</v>
      </c>
      <c r="G32" s="290">
        <v>3300</v>
      </c>
      <c r="H32" s="290">
        <f t="shared" si="0"/>
        <v>6600</v>
      </c>
      <c r="I32" s="152">
        <f>4600</f>
        <v>4600</v>
      </c>
      <c r="J32" s="152">
        <f t="shared" si="1"/>
        <v>2000</v>
      </c>
      <c r="K32" s="129"/>
      <c r="L32" s="129"/>
    </row>
    <row r="33" spans="1:12" x14ac:dyDescent="0.25">
      <c r="A33" s="172" t="s">
        <v>699</v>
      </c>
      <c r="B33" s="208">
        <v>30</v>
      </c>
      <c r="C33" s="289">
        <v>3200</v>
      </c>
      <c r="D33" s="289"/>
      <c r="E33" s="290">
        <f>'JANUARY 21'!J33:J66</f>
        <v>0</v>
      </c>
      <c r="F33" s="290">
        <v>100</v>
      </c>
      <c r="G33" s="290">
        <v>3200</v>
      </c>
      <c r="H33" s="290">
        <f t="shared" si="0"/>
        <v>6500</v>
      </c>
      <c r="I33" s="152">
        <v>3300</v>
      </c>
      <c r="J33" s="152">
        <f t="shared" si="1"/>
        <v>3200</v>
      </c>
      <c r="K33" s="129"/>
      <c r="L33" s="129"/>
    </row>
    <row r="34" spans="1:12" x14ac:dyDescent="0.25">
      <c r="A34" s="289" t="s">
        <v>656</v>
      </c>
      <c r="B34" s="208">
        <v>31</v>
      </c>
      <c r="C34" s="289"/>
      <c r="D34" s="289"/>
      <c r="E34" s="290">
        <f>'JANUARY 21'!J34:J67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  <c r="L34" s="129"/>
    </row>
    <row r="35" spans="1:12" x14ac:dyDescent="0.25">
      <c r="A35" s="334" t="s">
        <v>446</v>
      </c>
      <c r="B35" s="208">
        <v>32</v>
      </c>
      <c r="C35" s="289"/>
      <c r="D35" s="289"/>
      <c r="E35" s="290">
        <f>'JANUARY 21'!J35:J68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  <c r="L35" s="129"/>
    </row>
    <row r="36" spans="1:12" x14ac:dyDescent="0.25">
      <c r="A36" s="289" t="s">
        <v>695</v>
      </c>
      <c r="B36" s="208">
        <v>33</v>
      </c>
      <c r="C36" s="289">
        <v>500</v>
      </c>
      <c r="D36" s="152"/>
      <c r="E36" s="290"/>
      <c r="F36" s="152">
        <v>100</v>
      </c>
      <c r="G36" s="152">
        <v>2700</v>
      </c>
      <c r="H36" s="290">
        <f t="shared" si="0"/>
        <v>3300</v>
      </c>
      <c r="I36" s="152">
        <f>3000</f>
        <v>3000</v>
      </c>
      <c r="J36" s="152">
        <f t="shared" si="1"/>
        <v>300</v>
      </c>
      <c r="K36" s="129"/>
      <c r="L36" s="129"/>
    </row>
    <row r="37" spans="1:12" x14ac:dyDescent="0.25">
      <c r="A37" s="325" t="s">
        <v>4</v>
      </c>
      <c r="B37" s="326"/>
      <c r="C37" s="326">
        <f t="shared" ref="C37:I37" si="2">SUM(C4:C36)</f>
        <v>6900</v>
      </c>
      <c r="D37" s="326">
        <f t="shared" si="2"/>
        <v>0</v>
      </c>
      <c r="E37" s="290">
        <f t="shared" si="2"/>
        <v>6070</v>
      </c>
      <c r="F37" s="327">
        <f t="shared" si="2"/>
        <v>2800</v>
      </c>
      <c r="G37" s="327">
        <f t="shared" si="2"/>
        <v>92100</v>
      </c>
      <c r="H37" s="327">
        <f t="shared" si="2"/>
        <v>107870</v>
      </c>
      <c r="I37" s="152">
        <f t="shared" si="2"/>
        <v>91200</v>
      </c>
      <c r="J37" s="152">
        <f>H37-I37</f>
        <v>16670</v>
      </c>
      <c r="K37" s="129"/>
      <c r="L37" s="129"/>
    </row>
    <row r="38" spans="1:12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16670</v>
      </c>
      <c r="K38" s="129"/>
      <c r="L38" s="129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16370</v>
      </c>
      <c r="K39" s="129"/>
      <c r="L39" s="129"/>
    </row>
    <row r="40" spans="1:12" x14ac:dyDescent="0.25">
      <c r="A40" s="152" t="s">
        <v>604</v>
      </c>
      <c r="B40" s="300">
        <f>G37+700+269</f>
        <v>93069</v>
      </c>
      <c r="C40" s="152"/>
      <c r="D40" s="152"/>
      <c r="E40" s="152"/>
      <c r="F40" s="152" t="s">
        <v>604</v>
      </c>
      <c r="G40" s="300">
        <f>I37+700+269</f>
        <v>92169</v>
      </c>
      <c r="H40" s="152"/>
      <c r="I40" s="152"/>
      <c r="J40" s="335"/>
      <c r="K40" s="336"/>
      <c r="L40" s="129"/>
    </row>
    <row r="41" spans="1:12" x14ac:dyDescent="0.25">
      <c r="A41" s="152" t="s">
        <v>703</v>
      </c>
      <c r="B41" s="300">
        <f>1200+1400+3400</f>
        <v>6000</v>
      </c>
      <c r="C41" s="152"/>
      <c r="D41" s="152"/>
      <c r="E41" s="152"/>
      <c r="F41" s="152" t="s">
        <v>703</v>
      </c>
      <c r="G41" s="300">
        <f>1400+3400</f>
        <v>4800</v>
      </c>
      <c r="H41" s="152"/>
      <c r="I41" s="152"/>
      <c r="J41" s="286"/>
      <c r="K41" s="336"/>
      <c r="L41" s="129"/>
    </row>
    <row r="42" spans="1:12" x14ac:dyDescent="0.25">
      <c r="A42" s="152" t="s">
        <v>368</v>
      </c>
      <c r="B42" s="300">
        <f>'JANUARY 21'!D53</f>
        <v>-4999.7700000000041</v>
      </c>
      <c r="C42" s="152"/>
      <c r="D42" s="152"/>
      <c r="E42" s="152"/>
      <c r="F42" s="152" t="s">
        <v>368</v>
      </c>
      <c r="G42" s="300">
        <f>'JANUARY 21'!I53</f>
        <v>-11170.070000000007</v>
      </c>
      <c r="H42" s="152"/>
      <c r="I42" s="152"/>
      <c r="J42" s="286"/>
      <c r="K42" s="336"/>
      <c r="L42" s="129"/>
    </row>
    <row r="43" spans="1:12" x14ac:dyDescent="0.25">
      <c r="A43" s="152" t="s">
        <v>410</v>
      </c>
      <c r="B43" s="301">
        <v>0.1</v>
      </c>
      <c r="C43" s="300">
        <f>B43*B40</f>
        <v>9306.9</v>
      </c>
      <c r="D43" s="152"/>
      <c r="E43" s="152"/>
      <c r="F43" s="152" t="s">
        <v>410</v>
      </c>
      <c r="G43" s="301">
        <v>0.1</v>
      </c>
      <c r="H43" s="300">
        <f>G43*B40</f>
        <v>9306.9</v>
      </c>
      <c r="I43" s="152"/>
      <c r="J43" s="286"/>
      <c r="K43" s="286"/>
      <c r="L43" s="129"/>
    </row>
    <row r="44" spans="1:12" x14ac:dyDescent="0.25">
      <c r="A44" s="305" t="s">
        <v>470</v>
      </c>
      <c r="B44" s="129">
        <v>0.3</v>
      </c>
      <c r="C44" s="300"/>
      <c r="D44" s="152"/>
      <c r="E44" s="152"/>
      <c r="F44" s="305"/>
      <c r="G44" s="129"/>
      <c r="H44" s="300"/>
      <c r="I44" s="152"/>
      <c r="J44" s="286"/>
      <c r="K44" s="336"/>
      <c r="L44" s="332"/>
    </row>
    <row r="45" spans="1:12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</row>
    <row r="46" spans="1:12" x14ac:dyDescent="0.25">
      <c r="A46" s="303" t="s">
        <v>222</v>
      </c>
      <c r="B46" s="301"/>
      <c r="C46" s="152">
        <v>5000</v>
      </c>
      <c r="D46" s="152"/>
      <c r="E46" s="152"/>
      <c r="F46" s="303" t="s">
        <v>222</v>
      </c>
      <c r="G46" s="301"/>
      <c r="H46" s="152">
        <v>5000</v>
      </c>
      <c r="I46" s="152"/>
      <c r="J46" s="8"/>
      <c r="K46" s="129"/>
      <c r="L46" s="332"/>
    </row>
    <row r="47" spans="1:12" x14ac:dyDescent="0.25">
      <c r="A47" s="303" t="s">
        <v>701</v>
      </c>
      <c r="B47" s="301"/>
      <c r="C47" s="152">
        <v>71660</v>
      </c>
      <c r="D47" s="152"/>
      <c r="E47" s="152"/>
      <c r="F47" s="303" t="s">
        <v>701</v>
      </c>
      <c r="G47" s="301"/>
      <c r="H47" s="152">
        <v>71660</v>
      </c>
      <c r="I47" s="152"/>
      <c r="J47" s="8"/>
      <c r="K47" s="129"/>
      <c r="L47" s="129"/>
    </row>
    <row r="48" spans="1:12" x14ac:dyDescent="0.25">
      <c r="A48" s="303" t="s">
        <v>702</v>
      </c>
      <c r="B48" s="301"/>
      <c r="C48" s="152">
        <v>3300</v>
      </c>
      <c r="D48" s="152"/>
      <c r="E48" s="152"/>
      <c r="F48" s="303" t="s">
        <v>161</v>
      </c>
      <c r="G48" s="301"/>
      <c r="H48" s="152">
        <f>F37</f>
        <v>2800</v>
      </c>
      <c r="I48" s="152"/>
      <c r="J48" s="8"/>
      <c r="K48" s="129"/>
      <c r="L48" s="129"/>
    </row>
    <row r="49" spans="1:13" x14ac:dyDescent="0.25">
      <c r="A49" s="303" t="s">
        <v>704</v>
      </c>
      <c r="B49" s="303" t="s">
        <v>704</v>
      </c>
      <c r="C49" s="152">
        <f>250+200</f>
        <v>450</v>
      </c>
      <c r="D49" s="152"/>
      <c r="E49" s="152"/>
      <c r="F49" s="303" t="s">
        <v>704</v>
      </c>
      <c r="G49" s="303" t="s">
        <v>704</v>
      </c>
      <c r="H49" s="152">
        <f>250+200</f>
        <v>450</v>
      </c>
      <c r="I49" s="152"/>
      <c r="J49" s="8"/>
      <c r="K49" s="129"/>
      <c r="L49" s="129"/>
    </row>
    <row r="50" spans="1:13" s="129" customFormat="1" x14ac:dyDescent="0.25">
      <c r="A50" s="303" t="s">
        <v>612</v>
      </c>
      <c r="B50" s="303"/>
      <c r="C50" s="152">
        <v>4350</v>
      </c>
      <c r="D50" s="152"/>
      <c r="E50" s="152"/>
      <c r="F50" s="303" t="s">
        <v>612</v>
      </c>
      <c r="G50" s="303"/>
      <c r="H50" s="152">
        <v>4350</v>
      </c>
      <c r="I50" s="152"/>
      <c r="J50" s="8"/>
    </row>
    <row r="51" spans="1:13" x14ac:dyDescent="0.25">
      <c r="A51" s="303" t="s">
        <v>705</v>
      </c>
      <c r="B51" s="301"/>
      <c r="C51" s="152">
        <v>2030</v>
      </c>
      <c r="D51" s="152"/>
      <c r="E51" s="152"/>
      <c r="F51" s="303" t="s">
        <v>705</v>
      </c>
      <c r="G51" s="301"/>
      <c r="H51" s="152">
        <v>2030</v>
      </c>
      <c r="I51" s="152"/>
      <c r="J51" s="8"/>
      <c r="K51" s="129"/>
      <c r="L51" s="129"/>
    </row>
    <row r="52" spans="1:13" x14ac:dyDescent="0.25">
      <c r="A52" s="296" t="s">
        <v>4</v>
      </c>
      <c r="B52" s="309">
        <f>B40+B41+B42+B44-C43</f>
        <v>84762.63</v>
      </c>
      <c r="C52" s="309">
        <f>SUM(C45:C51)</f>
        <v>86790</v>
      </c>
      <c r="D52" s="309">
        <f>B52-C52</f>
        <v>-2027.3699999999953</v>
      </c>
      <c r="E52" s="297"/>
      <c r="F52" s="296" t="s">
        <v>4</v>
      </c>
      <c r="G52" s="300">
        <f>G40+G41+G42-H43+G44</f>
        <v>76492.03</v>
      </c>
      <c r="H52" s="300">
        <f>SUM(H45:H51 )</f>
        <v>86290</v>
      </c>
      <c r="I52" s="300">
        <f>G52-H52</f>
        <v>-9797.9700000000012</v>
      </c>
      <c r="J52" s="152"/>
      <c r="K52" s="129"/>
      <c r="L52" s="129"/>
    </row>
    <row r="53" spans="1:13" x14ac:dyDescent="0.25">
      <c r="A53" s="92" t="s">
        <v>112</v>
      </c>
      <c r="B53" s="92"/>
      <c r="C53" s="12"/>
      <c r="D53" s="12" t="s">
        <v>113</v>
      </c>
      <c r="E53" s="12"/>
      <c r="F53" s="12"/>
      <c r="G53" s="303" t="s">
        <v>571</v>
      </c>
      <c r="H53" s="152"/>
      <c r="I53" s="152"/>
      <c r="J53" s="152"/>
      <c r="K53" s="332"/>
      <c r="L53" s="129"/>
    </row>
    <row r="54" spans="1:13" x14ac:dyDescent="0.25">
      <c r="A54" s="12" t="s">
        <v>570</v>
      </c>
      <c r="B54" s="12"/>
      <c r="C54" s="12"/>
      <c r="D54" s="12" t="s">
        <v>441</v>
      </c>
      <c r="E54" s="12"/>
      <c r="F54" s="12"/>
      <c r="G54" s="303" t="s">
        <v>523</v>
      </c>
      <c r="H54" s="301"/>
      <c r="I54" s="152"/>
      <c r="J54" s="152"/>
      <c r="K54" s="129"/>
      <c r="L54" s="129"/>
    </row>
    <row r="55" spans="1:13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332"/>
      <c r="K55" s="129"/>
      <c r="L55" s="129"/>
      <c r="M55">
        <f>2800/2</f>
        <v>1400</v>
      </c>
    </row>
    <row r="56" spans="1:13" x14ac:dyDescent="0.25">
      <c r="M56">
        <v>3400</v>
      </c>
    </row>
    <row r="57" spans="1:13" x14ac:dyDescent="0.25">
      <c r="M57">
        <f>M55+M56</f>
        <v>4800</v>
      </c>
    </row>
    <row r="58" spans="1:13" x14ac:dyDescent="0.25">
      <c r="M58">
        <f>M57-200-150-100</f>
        <v>4350</v>
      </c>
    </row>
  </sheetData>
  <pageMargins left="0" right="0" top="0" bottom="0" header="0.3" footer="0.3"/>
  <pageSetup orientation="portrait" horizontalDpi="0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E16" sqref="E16"/>
    </sheetView>
  </sheetViews>
  <sheetFormatPr defaultRowHeight="15" x14ac:dyDescent="0.25"/>
  <cols>
    <col min="1" max="1" width="15" bestFit="1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706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FEBRUARY21!J4:J41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>
        <f>FEBRUARY21!J5:J42</f>
        <v>0</v>
      </c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FEBRUARY21!J6:J43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129"/>
      <c r="E7" s="290">
        <f>FEBRUARY21!J7:J44</f>
        <v>0</v>
      </c>
      <c r="F7" s="290">
        <v>100</v>
      </c>
      <c r="G7" s="290">
        <v>4000</v>
      </c>
      <c r="H7" s="290">
        <f>C7-D8+E7+F7+G7</f>
        <v>4100</v>
      </c>
      <c r="I7" s="152">
        <f>2400+1700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FEBRUARY21!J8:J45</f>
        <v>0</v>
      </c>
      <c r="F8" s="290">
        <v>100</v>
      </c>
      <c r="G8" s="290">
        <v>4000</v>
      </c>
      <c r="H8" s="290">
        <v>4000</v>
      </c>
      <c r="I8" s="152">
        <v>4000</v>
      </c>
      <c r="J8" s="152">
        <f t="shared" si="1"/>
        <v>0</v>
      </c>
      <c r="K8" s="129"/>
      <c r="L8" s="129"/>
    </row>
    <row r="9" spans="1:12" x14ac:dyDescent="0.25">
      <c r="A9" s="8" t="s">
        <v>696</v>
      </c>
      <c r="B9" s="208">
        <v>6</v>
      </c>
      <c r="C9" s="289"/>
      <c r="D9" s="152"/>
      <c r="E9" s="290">
        <f>FEBRUARY21!J9:J46</f>
        <v>0</v>
      </c>
      <c r="F9" s="152">
        <v>100</v>
      </c>
      <c r="G9" s="152">
        <v>2700</v>
      </c>
      <c r="H9" s="290">
        <f t="shared" si="0"/>
        <v>2800</v>
      </c>
      <c r="I9" s="152">
        <f>2800</f>
        <v>2800</v>
      </c>
      <c r="J9" s="152">
        <f t="shared" si="1"/>
        <v>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FEBRUARY21!J10:J47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FEBRUARY21!J11:J48</f>
        <v>0</v>
      </c>
      <c r="F11" s="290">
        <v>100</v>
      </c>
      <c r="G11" s="290">
        <v>2700</v>
      </c>
      <c r="H11" s="290">
        <f t="shared" si="0"/>
        <v>2800</v>
      </c>
      <c r="I11" s="152">
        <f>2000</f>
        <v>2000</v>
      </c>
      <c r="J11" s="152">
        <f t="shared" si="1"/>
        <v>800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FEBRUARY21!J12:J49</f>
        <v>1050</v>
      </c>
      <c r="F12" s="290">
        <v>100</v>
      </c>
      <c r="G12" s="290">
        <v>2700</v>
      </c>
      <c r="H12" s="290">
        <f t="shared" si="0"/>
        <v>3850</v>
      </c>
      <c r="I12" s="152">
        <f>2800</f>
        <v>2800</v>
      </c>
      <c r="J12" s="152">
        <f t="shared" si="1"/>
        <v>1050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FEBRUARY21!J13:J50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FEBRUARY21!J14:J51</f>
        <v>300</v>
      </c>
      <c r="F14" s="290">
        <v>100</v>
      </c>
      <c r="G14" s="290">
        <v>2700</v>
      </c>
      <c r="H14" s="290">
        <f t="shared" si="0"/>
        <v>3100</v>
      </c>
      <c r="I14" s="152">
        <f>3000</f>
        <v>3000</v>
      </c>
      <c r="J14" s="152">
        <f t="shared" si="1"/>
        <v>100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FEBRUARY21!J15:J52</f>
        <v>0</v>
      </c>
      <c r="F15" s="290">
        <v>100</v>
      </c>
      <c r="G15" s="290">
        <v>2700</v>
      </c>
      <c r="H15" s="290">
        <f t="shared" si="0"/>
        <v>2800</v>
      </c>
      <c r="I15" s="152">
        <f>2800</f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FEBRUARY21!J16:J53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  <c r="L16" s="129"/>
    </row>
    <row r="17" spans="1:14" x14ac:dyDescent="0.25">
      <c r="A17" s="289" t="s">
        <v>473</v>
      </c>
      <c r="B17" s="208">
        <v>14</v>
      </c>
      <c r="C17" s="289"/>
      <c r="D17" s="289"/>
      <c r="E17" s="290">
        <f>FEBRUARY21!J17:J54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4" x14ac:dyDescent="0.25">
      <c r="A18" s="289" t="s">
        <v>521</v>
      </c>
      <c r="B18" s="208">
        <v>15</v>
      </c>
      <c r="C18" s="289"/>
      <c r="D18" s="289"/>
      <c r="E18" s="290">
        <f>FEBRUARY21!J18:J55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4" x14ac:dyDescent="0.25">
      <c r="A19" s="289" t="s">
        <v>521</v>
      </c>
      <c r="B19" s="208">
        <v>16</v>
      </c>
      <c r="C19" s="289"/>
      <c r="D19" s="289"/>
      <c r="E19" s="290">
        <f>FEBRUARY21!J19:J56</f>
        <v>100</v>
      </c>
      <c r="F19" s="290">
        <v>100</v>
      </c>
      <c r="G19" s="290">
        <v>3000</v>
      </c>
      <c r="H19" s="290">
        <f t="shared" si="0"/>
        <v>3200</v>
      </c>
      <c r="I19" s="152">
        <f>3000</f>
        <v>3000</v>
      </c>
      <c r="J19" s="152">
        <f t="shared" si="1"/>
        <v>200</v>
      </c>
      <c r="K19" s="129"/>
      <c r="L19" s="129"/>
    </row>
    <row r="20" spans="1:14" x14ac:dyDescent="0.25">
      <c r="A20" s="291" t="s">
        <v>492</v>
      </c>
      <c r="B20" s="208">
        <v>17</v>
      </c>
      <c r="C20" s="289"/>
      <c r="D20" s="289"/>
      <c r="E20" s="290">
        <f>FEBRUARY21!J20:J57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</row>
    <row r="21" spans="1:14" x14ac:dyDescent="0.25">
      <c r="A21" s="289" t="s">
        <v>346</v>
      </c>
      <c r="B21" s="208">
        <v>18</v>
      </c>
      <c r="C21" s="289"/>
      <c r="D21" s="289"/>
      <c r="E21" s="290">
        <f>FEBRUARY21!J21:J58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4" x14ac:dyDescent="0.25">
      <c r="A22" s="311" t="s">
        <v>690</v>
      </c>
      <c r="B22" s="312">
        <v>19</v>
      </c>
      <c r="C22" s="289"/>
      <c r="D22" s="289"/>
      <c r="E22" s="290">
        <f>FEBRUARY21!J22:J59</f>
        <v>0</v>
      </c>
      <c r="F22" s="313">
        <v>100</v>
      </c>
      <c r="G22" s="313">
        <v>2700</v>
      </c>
      <c r="H22" s="290">
        <f t="shared" si="0"/>
        <v>2800</v>
      </c>
      <c r="I22" s="152">
        <v>2800</v>
      </c>
      <c r="J22" s="152">
        <f t="shared" si="1"/>
        <v>0</v>
      </c>
      <c r="K22" s="129"/>
      <c r="L22" s="129"/>
    </row>
    <row r="23" spans="1:14" x14ac:dyDescent="0.25">
      <c r="A23" s="289" t="s">
        <v>461</v>
      </c>
      <c r="B23" s="208">
        <v>20</v>
      </c>
      <c r="C23" s="289"/>
      <c r="D23" s="129"/>
      <c r="E23" s="290">
        <f>FEBRUARY21!J23:J60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  <c r="L23" s="129"/>
    </row>
    <row r="24" spans="1:14" x14ac:dyDescent="0.25">
      <c r="A24" s="172" t="s">
        <v>522</v>
      </c>
      <c r="B24" s="208">
        <v>21</v>
      </c>
      <c r="C24" s="289"/>
      <c r="D24" s="129"/>
      <c r="E24" s="290">
        <f>FEBRUARY21!J24:J61</f>
        <v>600</v>
      </c>
      <c r="F24" s="290">
        <v>100</v>
      </c>
      <c r="G24" s="290">
        <v>3500</v>
      </c>
      <c r="H24" s="290">
        <f>C24-D21+E24+F24+G24</f>
        <v>4200</v>
      </c>
      <c r="I24" s="152">
        <f>3500</f>
        <v>3500</v>
      </c>
      <c r="J24" s="152">
        <f t="shared" si="1"/>
        <v>700</v>
      </c>
      <c r="K24" s="129"/>
      <c r="L24" s="129"/>
    </row>
    <row r="25" spans="1:14" x14ac:dyDescent="0.25">
      <c r="A25" s="289" t="s">
        <v>435</v>
      </c>
      <c r="B25" s="208">
        <v>22</v>
      </c>
      <c r="C25" s="289"/>
      <c r="D25" s="129"/>
      <c r="E25" s="290">
        <f>FEBRUARY21!J25:J62</f>
        <v>3600</v>
      </c>
      <c r="F25" s="290">
        <v>100</v>
      </c>
      <c r="G25" s="290">
        <v>3500</v>
      </c>
      <c r="H25" s="290">
        <f>C25-D22+E25+F25+G25</f>
        <v>7200</v>
      </c>
      <c r="I25" s="152">
        <f>5500+1700</f>
        <v>7200</v>
      </c>
      <c r="J25" s="152">
        <f t="shared" si="1"/>
        <v>0</v>
      </c>
      <c r="K25" s="129"/>
      <c r="L25" s="129"/>
    </row>
    <row r="26" spans="1:14" x14ac:dyDescent="0.25">
      <c r="A26" s="289" t="s">
        <v>347</v>
      </c>
      <c r="B26" s="208">
        <v>23</v>
      </c>
      <c r="C26" s="289"/>
      <c r="D26" s="289"/>
      <c r="E26" s="290">
        <f>FEBRUARY21!J26:J63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4" x14ac:dyDescent="0.25">
      <c r="A27" s="289" t="s">
        <v>488</v>
      </c>
      <c r="B27" s="208">
        <v>24</v>
      </c>
      <c r="C27" s="289"/>
      <c r="D27" s="289"/>
      <c r="E27" s="290">
        <f>FEBRUARY21!J27:J64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</row>
    <row r="28" spans="1:14" x14ac:dyDescent="0.25">
      <c r="A28" s="289" t="s">
        <v>462</v>
      </c>
      <c r="B28" s="208">
        <v>25</v>
      </c>
      <c r="C28" s="289"/>
      <c r="D28" s="289"/>
      <c r="E28" s="290">
        <f>FEBRUARY21!J28:J65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4" x14ac:dyDescent="0.25">
      <c r="A29" s="289" t="s">
        <v>658</v>
      </c>
      <c r="B29" s="208">
        <v>26</v>
      </c>
      <c r="C29" s="289"/>
      <c r="D29" s="289"/>
      <c r="E29" s="290">
        <f>FEBRUARY21!J29:J66</f>
        <v>1400</v>
      </c>
      <c r="F29" s="290">
        <v>100</v>
      </c>
      <c r="G29" s="290">
        <v>3300</v>
      </c>
      <c r="H29" s="290">
        <f t="shared" si="0"/>
        <v>4800</v>
      </c>
      <c r="I29" s="152">
        <f>3400</f>
        <v>3400</v>
      </c>
      <c r="J29" s="152">
        <f>H29-I29</f>
        <v>1400</v>
      </c>
      <c r="K29" s="129"/>
      <c r="L29" s="129"/>
    </row>
    <row r="30" spans="1:14" x14ac:dyDescent="0.25">
      <c r="A30" s="289" t="s">
        <v>708</v>
      </c>
      <c r="B30" s="208">
        <v>27</v>
      </c>
      <c r="C30" s="289">
        <v>3400</v>
      </c>
      <c r="D30" s="289"/>
      <c r="E30" s="290">
        <f>FEBRUARY21!J30:J67</f>
        <v>0</v>
      </c>
      <c r="F30" s="290">
        <v>100</v>
      </c>
      <c r="G30" s="290">
        <v>3300</v>
      </c>
      <c r="H30" s="290">
        <f t="shared" si="0"/>
        <v>6800</v>
      </c>
      <c r="I30" s="152">
        <v>3400</v>
      </c>
      <c r="J30" s="152">
        <f t="shared" si="1"/>
        <v>3400</v>
      </c>
      <c r="K30" s="129"/>
      <c r="L30" s="129"/>
    </row>
    <row r="31" spans="1:14" x14ac:dyDescent="0.25">
      <c r="A31" s="289" t="s">
        <v>693</v>
      </c>
      <c r="B31" s="208">
        <v>28</v>
      </c>
      <c r="C31" s="289"/>
      <c r="D31" s="289"/>
      <c r="E31" s="290">
        <f>FEBRUARY21!J31:J68</f>
        <v>0</v>
      </c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1"/>
        <v>0</v>
      </c>
      <c r="K31" s="129"/>
      <c r="L31" s="129"/>
      <c r="N31">
        <f>1600+2800</f>
        <v>4400</v>
      </c>
    </row>
    <row r="32" spans="1:14" x14ac:dyDescent="0.25">
      <c r="A32" s="289" t="s">
        <v>700</v>
      </c>
      <c r="B32" s="208">
        <v>29</v>
      </c>
      <c r="C32" s="289">
        <v>2000</v>
      </c>
      <c r="D32" s="289"/>
      <c r="E32" s="290"/>
      <c r="F32" s="290">
        <v>100</v>
      </c>
      <c r="G32" s="290">
        <v>3300</v>
      </c>
      <c r="H32" s="290">
        <f t="shared" si="0"/>
        <v>5400</v>
      </c>
      <c r="I32" s="152">
        <v>5400</v>
      </c>
      <c r="J32" s="152">
        <f t="shared" si="1"/>
        <v>0</v>
      </c>
      <c r="K32" s="129"/>
      <c r="L32" s="129"/>
    </row>
    <row r="33" spans="1:15" x14ac:dyDescent="0.25">
      <c r="A33" s="172" t="s">
        <v>699</v>
      </c>
      <c r="B33" s="208">
        <v>30</v>
      </c>
      <c r="C33" s="289">
        <v>3200</v>
      </c>
      <c r="D33" s="289"/>
      <c r="E33" s="290"/>
      <c r="F33" s="290">
        <v>100</v>
      </c>
      <c r="G33" s="290">
        <v>3200</v>
      </c>
      <c r="H33" s="290">
        <f t="shared" si="0"/>
        <v>6500</v>
      </c>
      <c r="I33" s="152">
        <f>4500</f>
        <v>4500</v>
      </c>
      <c r="J33" s="152">
        <f t="shared" si="1"/>
        <v>2000</v>
      </c>
      <c r="K33" s="129"/>
      <c r="L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FEBRUARY21!J34:J71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  <c r="L34" s="129"/>
    </row>
    <row r="35" spans="1:15" x14ac:dyDescent="0.25">
      <c r="A35" s="334" t="s">
        <v>707</v>
      </c>
      <c r="B35" s="208">
        <v>32</v>
      </c>
      <c r="C35" s="289">
        <v>1400</v>
      </c>
      <c r="D35" s="289"/>
      <c r="E35" s="290">
        <f>FEBRUARY21!J35:J72</f>
        <v>0</v>
      </c>
      <c r="F35" s="290">
        <v>100</v>
      </c>
      <c r="G35" s="290">
        <v>2700</v>
      </c>
      <c r="H35" s="290">
        <f t="shared" si="0"/>
        <v>4200</v>
      </c>
      <c r="I35" s="152">
        <f>1400</f>
        <v>1400</v>
      </c>
      <c r="J35" s="152">
        <f t="shared" si="1"/>
        <v>2800</v>
      </c>
      <c r="K35" s="129"/>
      <c r="L35" s="129"/>
    </row>
    <row r="36" spans="1:15" x14ac:dyDescent="0.25">
      <c r="A36" s="289" t="s">
        <v>695</v>
      </c>
      <c r="B36" s="208">
        <v>33</v>
      </c>
      <c r="C36" s="289">
        <v>300</v>
      </c>
      <c r="D36" s="152"/>
      <c r="E36" s="290"/>
      <c r="F36" s="152">
        <v>100</v>
      </c>
      <c r="G36" s="152">
        <v>2700</v>
      </c>
      <c r="H36" s="290">
        <f t="shared" si="0"/>
        <v>3100</v>
      </c>
      <c r="I36" s="152">
        <v>3000</v>
      </c>
      <c r="J36" s="152">
        <f t="shared" si="1"/>
        <v>100</v>
      </c>
      <c r="K36" s="129"/>
      <c r="L36" s="129"/>
    </row>
    <row r="37" spans="1:15" x14ac:dyDescent="0.25">
      <c r="A37" s="325" t="s">
        <v>4</v>
      </c>
      <c r="B37" s="326"/>
      <c r="C37" s="326">
        <f t="shared" ref="C37:I37" si="2">SUM(C4:C36)</f>
        <v>10300</v>
      </c>
      <c r="D37" s="326">
        <f t="shared" si="2"/>
        <v>0</v>
      </c>
      <c r="E37" s="290">
        <f>SUM(E4:E36)</f>
        <v>7870</v>
      </c>
      <c r="F37" s="327">
        <f t="shared" si="2"/>
        <v>3000</v>
      </c>
      <c r="G37" s="327">
        <f t="shared" si="2"/>
        <v>94800</v>
      </c>
      <c r="H37" s="327">
        <f t="shared" si="2"/>
        <v>115870</v>
      </c>
      <c r="I37" s="152">
        <f t="shared" si="2"/>
        <v>102500</v>
      </c>
      <c r="J37" s="152">
        <f>H37-I37</f>
        <v>13370</v>
      </c>
      <c r="K37" s="129"/>
      <c r="L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12570</v>
      </c>
      <c r="K38" s="129"/>
      <c r="L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12470</v>
      </c>
      <c r="K39" s="129"/>
      <c r="L39" s="129"/>
    </row>
    <row r="40" spans="1:15" x14ac:dyDescent="0.25">
      <c r="A40" s="152" t="s">
        <v>179</v>
      </c>
      <c r="B40" s="300">
        <f>G37</f>
        <v>94800</v>
      </c>
      <c r="C40" s="152"/>
      <c r="D40" s="152"/>
      <c r="E40" s="152"/>
      <c r="F40" s="152" t="s">
        <v>179</v>
      </c>
      <c r="G40" s="300">
        <f>I37</f>
        <v>102500</v>
      </c>
      <c r="H40" s="152"/>
      <c r="I40" s="152"/>
      <c r="J40" s="335"/>
      <c r="K40" s="336"/>
      <c r="L40" s="129"/>
    </row>
    <row r="41" spans="1:15" x14ac:dyDescent="0.25">
      <c r="A41" s="152" t="s">
        <v>710</v>
      </c>
      <c r="B41" s="300">
        <f>200+2000+1200</f>
        <v>3400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  <c r="O41" s="332">
        <f>B40</f>
        <v>94800</v>
      </c>
    </row>
    <row r="42" spans="1:15" x14ac:dyDescent="0.25">
      <c r="A42" s="152" t="s">
        <v>368</v>
      </c>
      <c r="B42" s="300">
        <f>FEBRUARY21!D52</f>
        <v>-2027.3699999999953</v>
      </c>
      <c r="C42" s="152"/>
      <c r="D42" s="152"/>
      <c r="E42" s="152"/>
      <c r="F42" s="152" t="s">
        <v>368</v>
      </c>
      <c r="G42" s="300">
        <f>FEBRUARY21!I52</f>
        <v>-9797.9700000000012</v>
      </c>
      <c r="H42" s="152"/>
      <c r="I42" s="152"/>
      <c r="J42" s="286"/>
      <c r="K42" s="336"/>
      <c r="L42" s="129"/>
      <c r="O42" s="332">
        <f>C43</f>
        <v>9480</v>
      </c>
    </row>
    <row r="43" spans="1:15" x14ac:dyDescent="0.25">
      <c r="A43" s="152" t="s">
        <v>410</v>
      </c>
      <c r="B43" s="301">
        <v>0.1</v>
      </c>
      <c r="C43" s="300">
        <f>B43*B40</f>
        <v>9480</v>
      </c>
      <c r="D43" s="152"/>
      <c r="E43" s="152"/>
      <c r="F43" s="152" t="s">
        <v>410</v>
      </c>
      <c r="G43" s="301">
        <v>0.1</v>
      </c>
      <c r="H43" s="300">
        <f>G43*B40</f>
        <v>9480</v>
      </c>
      <c r="I43" s="152"/>
      <c r="J43" s="286"/>
      <c r="K43" s="286"/>
      <c r="L43" s="129"/>
      <c r="O43" s="332">
        <f>O41-O42</f>
        <v>85320</v>
      </c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/>
      <c r="G44" s="129"/>
      <c r="H44" s="300"/>
      <c r="I44" s="152"/>
      <c r="J44" s="286"/>
      <c r="K44" s="336"/>
      <c r="L44" s="332"/>
      <c r="O44">
        <f>2027+500</f>
        <v>2527</v>
      </c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  <c r="O45" s="332">
        <f>O43-O44</f>
        <v>82793</v>
      </c>
    </row>
    <row r="46" spans="1:15" x14ac:dyDescent="0.25">
      <c r="A46" s="303" t="s">
        <v>222</v>
      </c>
      <c r="B46" s="301"/>
      <c r="C46" s="152">
        <v>5000</v>
      </c>
      <c r="D46" s="152"/>
      <c r="E46" s="152"/>
      <c r="F46" s="303" t="s">
        <v>222</v>
      </c>
      <c r="G46" s="301"/>
      <c r="H46" s="152">
        <v>5000</v>
      </c>
      <c r="I46" s="152"/>
      <c r="J46" s="8"/>
      <c r="K46" s="129"/>
      <c r="L46" s="332"/>
      <c r="O46">
        <v>5000</v>
      </c>
    </row>
    <row r="47" spans="1:15" x14ac:dyDescent="0.25">
      <c r="A47" s="303" t="s">
        <v>709</v>
      </c>
      <c r="B47" s="301"/>
      <c r="C47" s="152">
        <v>500</v>
      </c>
      <c r="D47" s="152"/>
      <c r="E47" s="152"/>
      <c r="F47" s="303" t="s">
        <v>709</v>
      </c>
      <c r="G47" s="301"/>
      <c r="H47" s="152">
        <v>500</v>
      </c>
      <c r="I47" s="152"/>
      <c r="J47" s="8"/>
      <c r="K47" s="129"/>
      <c r="L47" s="129"/>
      <c r="O47" s="332">
        <f>O45-O46</f>
        <v>77793</v>
      </c>
    </row>
    <row r="48" spans="1:15" x14ac:dyDescent="0.25">
      <c r="A48" s="303" t="s">
        <v>616</v>
      </c>
      <c r="B48" s="301"/>
      <c r="C48" s="152">
        <v>81182</v>
      </c>
      <c r="D48" s="152"/>
      <c r="E48" s="152"/>
      <c r="F48" s="303" t="s">
        <v>616</v>
      </c>
      <c r="G48" s="301"/>
      <c r="H48" s="152">
        <v>81182</v>
      </c>
      <c r="I48" s="152"/>
      <c r="J48" s="8"/>
      <c r="K48" s="129"/>
      <c r="L48" s="129"/>
      <c r="O48">
        <v>3400</v>
      </c>
    </row>
    <row r="49" spans="1:15" x14ac:dyDescent="0.25">
      <c r="A49" s="303" t="s">
        <v>711</v>
      </c>
      <c r="B49" s="301"/>
      <c r="C49" s="152">
        <v>3561</v>
      </c>
      <c r="D49" s="152"/>
      <c r="E49" s="152"/>
      <c r="F49" s="303" t="s">
        <v>711</v>
      </c>
      <c r="G49" s="301"/>
      <c r="H49" s="152">
        <v>3561</v>
      </c>
      <c r="I49" s="152"/>
      <c r="J49" s="8"/>
      <c r="K49" s="129"/>
      <c r="L49" s="129"/>
      <c r="O49" s="332">
        <f>O47+O48</f>
        <v>81193</v>
      </c>
    </row>
    <row r="50" spans="1:15" x14ac:dyDescent="0.25">
      <c r="A50" s="303" t="s">
        <v>713</v>
      </c>
      <c r="B50" s="301"/>
      <c r="C50" s="152">
        <v>2000</v>
      </c>
      <c r="D50" s="152"/>
      <c r="E50" s="152"/>
      <c r="F50" s="303" t="s">
        <v>713</v>
      </c>
      <c r="G50" s="301"/>
      <c r="H50" s="152">
        <v>2000</v>
      </c>
      <c r="I50" s="152"/>
      <c r="J50" s="8"/>
      <c r="K50" s="129"/>
      <c r="L50" s="129"/>
    </row>
    <row r="51" spans="1:15" x14ac:dyDescent="0.25">
      <c r="A51" s="296" t="s">
        <v>4</v>
      </c>
      <c r="B51" s="309">
        <f>B40+B41+B42+B44-C43</f>
        <v>86692.930000000008</v>
      </c>
      <c r="C51" s="309">
        <f>SUM(C45:C50)</f>
        <v>92243</v>
      </c>
      <c r="D51" s="309">
        <f>B51-C51</f>
        <v>-5550.0699999999924</v>
      </c>
      <c r="E51" s="297"/>
      <c r="F51" s="296" t="s">
        <v>4</v>
      </c>
      <c r="G51" s="300">
        <f>G40+G41+G42-H43+G44</f>
        <v>83222.03</v>
      </c>
      <c r="H51" s="300">
        <f>SUM(H45:H50 )</f>
        <v>92243</v>
      </c>
      <c r="I51" s="300">
        <f>G51-H51</f>
        <v>-9020.9700000000012</v>
      </c>
      <c r="J51" s="152"/>
      <c r="K51" s="129"/>
      <c r="L51" s="129"/>
    </row>
    <row r="52" spans="1:15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</row>
    <row r="53" spans="1:15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</row>
    <row r="54" spans="1:15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</row>
    <row r="55" spans="1:15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</sheetData>
  <pageMargins left="0" right="0" top="0" bottom="0" header="0" footer="0"/>
  <pageSetup orientation="portrait" horizontalDpi="0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4" workbookViewId="0">
      <selection activeCell="A35" sqref="A35"/>
    </sheetView>
  </sheetViews>
  <sheetFormatPr defaultRowHeight="15" x14ac:dyDescent="0.25"/>
  <cols>
    <col min="1" max="1" width="22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712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'MARCH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  <c r="L4" s="129"/>
    </row>
    <row r="5" spans="1:12" x14ac:dyDescent="0.25">
      <c r="A5" s="291" t="s">
        <v>726</v>
      </c>
      <c r="B5" s="208">
        <v>2</v>
      </c>
      <c r="C5" s="289">
        <v>3300</v>
      </c>
      <c r="D5" s="289"/>
      <c r="E5" s="290">
        <f>'MARCH 21'!J5:J37</f>
        <v>0</v>
      </c>
      <c r="F5" s="290">
        <v>100</v>
      </c>
      <c r="G5" s="290">
        <v>3300</v>
      </c>
      <c r="H5" s="290">
        <f>C5-D5+E5+F5+G5</f>
        <v>6700</v>
      </c>
      <c r="I5" s="152">
        <f>3400</f>
        <v>3400</v>
      </c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'MARCH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129"/>
      <c r="E7" s="290">
        <f>'MARCH 21'!J7:J39</f>
        <v>0</v>
      </c>
      <c r="F7" s="290">
        <v>100</v>
      </c>
      <c r="G7" s="290">
        <v>4000</v>
      </c>
      <c r="H7" s="290">
        <f>C7-D8+E7+F7+G7</f>
        <v>4100</v>
      </c>
      <c r="I7" s="152">
        <f>1500+2600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'MARCH 21'!J8:J40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  <c r="L8" s="129"/>
    </row>
    <row r="9" spans="1:12" x14ac:dyDescent="0.25">
      <c r="A9" s="152" t="s">
        <v>715</v>
      </c>
      <c r="B9" s="208">
        <v>6</v>
      </c>
      <c r="C9" s="289"/>
      <c r="D9" s="152"/>
      <c r="E9" s="290">
        <f>'MARCH 21'!J9:J41</f>
        <v>0</v>
      </c>
      <c r="F9" s="152">
        <v>100</v>
      </c>
      <c r="G9" s="152">
        <v>2700</v>
      </c>
      <c r="H9" s="290">
        <f t="shared" si="0"/>
        <v>2800</v>
      </c>
      <c r="I9" s="152">
        <f>2800</f>
        <v>2800</v>
      </c>
      <c r="J9" s="152">
        <f t="shared" si="1"/>
        <v>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'MARCH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'MARCH 21'!J11:J43</f>
        <v>800</v>
      </c>
      <c r="F11" s="290">
        <v>100</v>
      </c>
      <c r="G11" s="290">
        <v>2700</v>
      </c>
      <c r="H11" s="290">
        <f t="shared" si="0"/>
        <v>3600</v>
      </c>
      <c r="I11" s="152">
        <f>3600</f>
        <v>3600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'MARCH 21'!J12:J44</f>
        <v>1050</v>
      </c>
      <c r="F12" s="290">
        <v>100</v>
      </c>
      <c r="G12" s="290">
        <v>2700</v>
      </c>
      <c r="H12" s="290">
        <f t="shared" si="0"/>
        <v>3850</v>
      </c>
      <c r="I12" s="152">
        <f>2800</f>
        <v>2800</v>
      </c>
      <c r="J12" s="152">
        <f t="shared" si="1"/>
        <v>1050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'MARCH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'MARCH 21'!J14:J46</f>
        <v>100</v>
      </c>
      <c r="F14" s="290">
        <v>100</v>
      </c>
      <c r="G14" s="290">
        <v>2700</v>
      </c>
      <c r="H14" s="290">
        <f t="shared" si="0"/>
        <v>2900</v>
      </c>
      <c r="I14" s="152">
        <f>2000+800</f>
        <v>2800</v>
      </c>
      <c r="J14" s="152">
        <f t="shared" si="1"/>
        <v>100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'MARCH 21'!J15:J47</f>
        <v>0</v>
      </c>
      <c r="F15" s="290"/>
      <c r="G15" s="290">
        <v>2700</v>
      </c>
      <c r="H15" s="290">
        <f t="shared" si="0"/>
        <v>2700</v>
      </c>
      <c r="I15" s="152"/>
      <c r="J15" s="152">
        <f t="shared" si="1"/>
        <v>2700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'MARCH 21'!J16:J48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'MARCH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2" x14ac:dyDescent="0.25">
      <c r="A18" s="334" t="s">
        <v>521</v>
      </c>
      <c r="B18" s="208">
        <v>15</v>
      </c>
      <c r="C18" s="289"/>
      <c r="D18" s="289"/>
      <c r="E18" s="290">
        <f>'MARCH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2" x14ac:dyDescent="0.25">
      <c r="A19" s="289" t="s">
        <v>521</v>
      </c>
      <c r="B19" s="208">
        <v>16</v>
      </c>
      <c r="C19" s="289"/>
      <c r="D19" s="289"/>
      <c r="E19" s="290">
        <f>'MARCH 21'!J19:J51</f>
        <v>200</v>
      </c>
      <c r="F19" s="290">
        <v>100</v>
      </c>
      <c r="G19" s="290">
        <v>3000</v>
      </c>
      <c r="H19" s="290">
        <f t="shared" si="0"/>
        <v>3300</v>
      </c>
      <c r="I19" s="152">
        <f>3000</f>
        <v>3000</v>
      </c>
      <c r="J19" s="152">
        <f t="shared" si="1"/>
        <v>300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'MARCH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'MARCH 21'!J21:J53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2" x14ac:dyDescent="0.25">
      <c r="A22" s="311" t="s">
        <v>690</v>
      </c>
      <c r="B22" s="312">
        <v>19</v>
      </c>
      <c r="C22" s="289"/>
      <c r="D22" s="289"/>
      <c r="E22" s="290">
        <f>'MARCH 21'!J22:J54</f>
        <v>0</v>
      </c>
      <c r="F22" s="313">
        <v>100</v>
      </c>
      <c r="G22" s="313">
        <v>2700</v>
      </c>
      <c r="H22" s="290">
        <f t="shared" si="0"/>
        <v>2800</v>
      </c>
      <c r="I22" s="152">
        <v>2800</v>
      </c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129"/>
      <c r="E23" s="290">
        <f>'MARCH 21'!J23:J55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  <c r="L23" s="129"/>
    </row>
    <row r="24" spans="1:12" x14ac:dyDescent="0.25">
      <c r="A24" s="172" t="s">
        <v>522</v>
      </c>
      <c r="B24" s="208">
        <v>21</v>
      </c>
      <c r="C24" s="289"/>
      <c r="D24" s="129"/>
      <c r="E24" s="290">
        <f>'MARCH 21'!J24:J56</f>
        <v>700</v>
      </c>
      <c r="F24" s="290">
        <v>100</v>
      </c>
      <c r="G24" s="290">
        <v>3500</v>
      </c>
      <c r="H24" s="290">
        <f>C24-D21+E24+F24+G24</f>
        <v>4300</v>
      </c>
      <c r="I24" s="152">
        <f>3600</f>
        <v>3600</v>
      </c>
      <c r="J24" s="152">
        <f t="shared" si="1"/>
        <v>700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129"/>
      <c r="E25" s="290">
        <f>'MARCH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'MARCH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'MARCH 21'!J27:J59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'MARCH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/>
      <c r="D29" s="289"/>
      <c r="E29" s="290">
        <f>'MARCH 21'!J29:J61</f>
        <v>1400</v>
      </c>
      <c r="F29" s="290">
        <v>100</v>
      </c>
      <c r="G29" s="290">
        <v>3300</v>
      </c>
      <c r="H29" s="290">
        <f t="shared" si="0"/>
        <v>4800</v>
      </c>
      <c r="I29" s="152">
        <f>2000</f>
        <v>2000</v>
      </c>
      <c r="J29" s="152">
        <f>H29-I29</f>
        <v>2800</v>
      </c>
      <c r="K29" s="129"/>
      <c r="L29" s="129"/>
    </row>
    <row r="30" spans="1:12" x14ac:dyDescent="0.25">
      <c r="A30" s="289" t="s">
        <v>708</v>
      </c>
      <c r="B30" s="208">
        <v>27</v>
      </c>
      <c r="C30" s="289">
        <v>3400</v>
      </c>
      <c r="D30" s="289"/>
      <c r="E30" s="290"/>
      <c r="F30" s="290">
        <v>100</v>
      </c>
      <c r="G30" s="290">
        <v>3300</v>
      </c>
      <c r="H30" s="290">
        <f t="shared" si="0"/>
        <v>6800</v>
      </c>
      <c r="I30" s="152">
        <f>200+3100</f>
        <v>3300</v>
      </c>
      <c r="J30" s="152">
        <f t="shared" si="1"/>
        <v>3500</v>
      </c>
      <c r="K30" s="129"/>
      <c r="L30" s="129"/>
    </row>
    <row r="31" spans="1:12" x14ac:dyDescent="0.25">
      <c r="A31" s="289" t="s">
        <v>693</v>
      </c>
      <c r="B31" s="208">
        <v>28</v>
      </c>
      <c r="C31" s="289"/>
      <c r="D31" s="289"/>
      <c r="E31" s="290">
        <f>'MARCH 21'!J31:J63</f>
        <v>0</v>
      </c>
      <c r="F31" s="290">
        <v>100</v>
      </c>
      <c r="G31" s="293">
        <v>3300</v>
      </c>
      <c r="H31" s="290">
        <f>C31-D31+E31+F31+G31</f>
        <v>3400</v>
      </c>
      <c r="I31" s="152">
        <f>3400</f>
        <v>3400</v>
      </c>
      <c r="J31" s="152">
        <f t="shared" si="1"/>
        <v>0</v>
      </c>
      <c r="K31" s="129"/>
      <c r="L31" s="129"/>
    </row>
    <row r="32" spans="1:12" x14ac:dyDescent="0.25">
      <c r="A32" s="289" t="s">
        <v>700</v>
      </c>
      <c r="B32" s="208">
        <v>29</v>
      </c>
      <c r="C32" s="289"/>
      <c r="D32" s="289"/>
      <c r="E32" s="290">
        <f>'MARCH 21'!J32:J64</f>
        <v>0</v>
      </c>
      <c r="F32" s="290">
        <v>100</v>
      </c>
      <c r="G32" s="290">
        <v>3300</v>
      </c>
      <c r="H32" s="290">
        <f t="shared" si="0"/>
        <v>3400</v>
      </c>
      <c r="I32" s="152">
        <f>3300</f>
        <v>3300</v>
      </c>
      <c r="J32" s="152">
        <f t="shared" si="1"/>
        <v>100</v>
      </c>
      <c r="K32" s="129"/>
      <c r="L32" s="129"/>
    </row>
    <row r="33" spans="1:13" x14ac:dyDescent="0.25">
      <c r="A33" s="172" t="s">
        <v>699</v>
      </c>
      <c r="B33" s="208">
        <v>30</v>
      </c>
      <c r="C33" s="289">
        <v>2000</v>
      </c>
      <c r="D33" s="289"/>
      <c r="E33" s="290"/>
      <c r="F33" s="290">
        <v>100</v>
      </c>
      <c r="G33" s="290">
        <v>3200</v>
      </c>
      <c r="H33" s="290">
        <f t="shared" si="0"/>
        <v>5300</v>
      </c>
      <c r="I33" s="152">
        <v>4300</v>
      </c>
      <c r="J33" s="152">
        <f t="shared" si="1"/>
        <v>1000</v>
      </c>
      <c r="K33" s="129"/>
      <c r="L33" s="129"/>
    </row>
    <row r="34" spans="1:13" x14ac:dyDescent="0.25">
      <c r="A34" s="289" t="s">
        <v>656</v>
      </c>
      <c r="B34" s="208">
        <v>31</v>
      </c>
      <c r="C34" s="289"/>
      <c r="D34" s="289"/>
      <c r="E34" s="290">
        <f>'MARCH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2300+1000</f>
        <v>3300</v>
      </c>
      <c r="J34" s="152">
        <f t="shared" si="1"/>
        <v>0</v>
      </c>
      <c r="K34" s="129"/>
      <c r="L34" s="129"/>
    </row>
    <row r="35" spans="1:13" x14ac:dyDescent="0.25">
      <c r="A35" s="289" t="s">
        <v>707</v>
      </c>
      <c r="B35" s="208">
        <v>32</v>
      </c>
      <c r="C35" s="289">
        <v>1400</v>
      </c>
      <c r="D35" s="289"/>
      <c r="E35" s="290">
        <v>1400</v>
      </c>
      <c r="F35" s="290"/>
      <c r="G35" s="290">
        <v>2700</v>
      </c>
      <c r="H35" s="290">
        <f>C35-D35+E35+F35+G35</f>
        <v>5500</v>
      </c>
      <c r="I35" s="152"/>
      <c r="J35" s="152">
        <f t="shared" si="1"/>
        <v>5500</v>
      </c>
      <c r="K35" s="129"/>
      <c r="L35" s="129"/>
    </row>
    <row r="36" spans="1:13" x14ac:dyDescent="0.25">
      <c r="A36" s="289" t="s">
        <v>695</v>
      </c>
      <c r="B36" s="208">
        <v>33</v>
      </c>
      <c r="C36" s="289">
        <v>300</v>
      </c>
      <c r="D36" s="152"/>
      <c r="E36" s="290">
        <f>'MARCH 21'!J36:J68</f>
        <v>100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  <c r="L36" s="129"/>
    </row>
    <row r="37" spans="1:13" x14ac:dyDescent="0.25">
      <c r="A37" s="325" t="s">
        <v>4</v>
      </c>
      <c r="B37" s="326"/>
      <c r="C37" s="326">
        <f t="shared" ref="C37:I37" si="2">SUM(C4:C36)</f>
        <v>10400</v>
      </c>
      <c r="D37" s="326">
        <f t="shared" si="2"/>
        <v>0</v>
      </c>
      <c r="E37" s="290">
        <f>SUM(E4:E36)</f>
        <v>6570</v>
      </c>
      <c r="F37" s="327">
        <f t="shared" si="2"/>
        <v>2900</v>
      </c>
      <c r="G37" s="327">
        <f t="shared" si="2"/>
        <v>98100</v>
      </c>
      <c r="H37" s="327">
        <f t="shared" si="2"/>
        <v>117970</v>
      </c>
      <c r="I37" s="152">
        <f t="shared" si="2"/>
        <v>95700</v>
      </c>
      <c r="J37" s="152">
        <f>H37-I37</f>
        <v>22270</v>
      </c>
      <c r="K37" s="129"/>
      <c r="L37" s="129"/>
    </row>
    <row r="38" spans="1:13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22270</v>
      </c>
      <c r="K38" s="129"/>
      <c r="L38" s="129"/>
    </row>
    <row r="39" spans="1:13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21870</v>
      </c>
      <c r="K39" s="129"/>
      <c r="L39" s="129"/>
    </row>
    <row r="40" spans="1:13" x14ac:dyDescent="0.25">
      <c r="A40" s="152" t="s">
        <v>218</v>
      </c>
      <c r="B40" s="300">
        <f>G37</f>
        <v>98100</v>
      </c>
      <c r="C40" s="152"/>
      <c r="D40" s="152"/>
      <c r="E40" s="152"/>
      <c r="F40" s="152" t="s">
        <v>218</v>
      </c>
      <c r="G40" s="300">
        <f>I37</f>
        <v>95700</v>
      </c>
      <c r="H40" s="152"/>
      <c r="I40" s="152"/>
      <c r="J40" s="335"/>
      <c r="K40" s="336"/>
      <c r="L40" s="129"/>
    </row>
    <row r="41" spans="1:13" x14ac:dyDescent="0.25">
      <c r="A41" s="152" t="s">
        <v>714</v>
      </c>
      <c r="B41" s="300">
        <v>1000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3" x14ac:dyDescent="0.25">
      <c r="A42" s="152" t="s">
        <v>368</v>
      </c>
      <c r="B42" s="300">
        <f>'MARCH 21'!D51</f>
        <v>-5550.0699999999924</v>
      </c>
      <c r="C42" s="152"/>
      <c r="D42" s="152"/>
      <c r="E42" s="152"/>
      <c r="F42" s="152" t="s">
        <v>368</v>
      </c>
      <c r="G42" s="300">
        <f>'MARCH 21'!I51</f>
        <v>-9020.9700000000012</v>
      </c>
      <c r="H42" s="152"/>
      <c r="I42" s="152"/>
      <c r="J42" s="286"/>
      <c r="K42" s="336"/>
      <c r="L42" s="129"/>
    </row>
    <row r="43" spans="1:13" x14ac:dyDescent="0.25">
      <c r="A43" s="152" t="s">
        <v>410</v>
      </c>
      <c r="B43" s="301">
        <v>0.1</v>
      </c>
      <c r="C43" s="300">
        <f>B43*B40</f>
        <v>9810</v>
      </c>
      <c r="D43" s="152"/>
      <c r="E43" s="152"/>
      <c r="F43" s="152" t="s">
        <v>410</v>
      </c>
      <c r="G43" s="301">
        <v>0.1</v>
      </c>
      <c r="H43" s="300">
        <f>G43*B40</f>
        <v>9810</v>
      </c>
      <c r="I43" s="152"/>
      <c r="J43" s="286"/>
      <c r="K43" s="286"/>
      <c r="L43" s="129"/>
      <c r="M43">
        <f>G35+E35</f>
        <v>4100</v>
      </c>
    </row>
    <row r="44" spans="1:13" x14ac:dyDescent="0.25">
      <c r="A44" s="305" t="s">
        <v>470</v>
      </c>
      <c r="B44" s="129">
        <v>0.3</v>
      </c>
      <c r="C44" s="300">
        <f>B44*C5</f>
        <v>990</v>
      </c>
      <c r="D44" s="152"/>
      <c r="E44" s="152"/>
      <c r="F44" s="305" t="s">
        <v>470</v>
      </c>
      <c r="G44" s="129">
        <v>0.3</v>
      </c>
      <c r="H44" s="300">
        <f>G44*C5</f>
        <v>990</v>
      </c>
      <c r="I44" s="152"/>
      <c r="J44" s="286"/>
      <c r="K44" s="336"/>
      <c r="L44" s="332"/>
    </row>
    <row r="45" spans="1:13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</row>
    <row r="46" spans="1:13" x14ac:dyDescent="0.25">
      <c r="A46" s="303" t="s">
        <v>716</v>
      </c>
      <c r="B46" s="301"/>
      <c r="C46" s="152">
        <v>82840</v>
      </c>
      <c r="D46" s="152"/>
      <c r="E46" s="152"/>
      <c r="F46" s="303" t="s">
        <v>716</v>
      </c>
      <c r="G46" s="301"/>
      <c r="H46" s="152">
        <v>82840</v>
      </c>
      <c r="I46" s="152"/>
      <c r="J46" s="8"/>
      <c r="K46" s="129"/>
      <c r="L46" s="332"/>
    </row>
    <row r="47" spans="1:13" x14ac:dyDescent="0.25">
      <c r="A47" s="303" t="s">
        <v>718</v>
      </c>
      <c r="B47" s="301"/>
      <c r="C47" s="152">
        <v>2700</v>
      </c>
      <c r="D47" s="152"/>
      <c r="E47" s="152"/>
      <c r="F47" s="303" t="s">
        <v>161</v>
      </c>
      <c r="G47" s="301"/>
      <c r="H47" s="152">
        <f>3000+2900</f>
        <v>5900</v>
      </c>
      <c r="I47" s="152"/>
      <c r="J47" s="8"/>
      <c r="K47" s="129"/>
      <c r="L47" s="129"/>
    </row>
    <row r="48" spans="1:13" x14ac:dyDescent="0.25">
      <c r="A48" s="303" t="s">
        <v>721</v>
      </c>
      <c r="B48" s="301"/>
      <c r="C48" s="152">
        <v>1000</v>
      </c>
      <c r="D48" s="152"/>
      <c r="E48" s="152"/>
      <c r="F48" s="303" t="s">
        <v>721</v>
      </c>
      <c r="G48" s="301"/>
      <c r="H48" s="152">
        <v>1000</v>
      </c>
      <c r="I48" s="152"/>
      <c r="J48" s="8"/>
      <c r="K48" s="129"/>
      <c r="L48" s="129"/>
    </row>
    <row r="49" spans="1:12" x14ac:dyDescent="0.25">
      <c r="A49" s="303" t="s">
        <v>722</v>
      </c>
      <c r="B49" s="301"/>
      <c r="C49" s="152">
        <v>1000</v>
      </c>
      <c r="D49" s="152"/>
      <c r="E49" s="152"/>
      <c r="F49" s="303" t="s">
        <v>722</v>
      </c>
      <c r="G49" s="301"/>
      <c r="H49" s="152">
        <v>1000</v>
      </c>
      <c r="I49" s="152"/>
      <c r="J49" s="8"/>
      <c r="K49" s="129"/>
      <c r="L49" s="129"/>
    </row>
    <row r="50" spans="1:12" x14ac:dyDescent="0.25">
      <c r="A50" s="303" t="s">
        <v>723</v>
      </c>
      <c r="B50" s="301"/>
      <c r="C50" s="152">
        <f>4100</f>
        <v>4100</v>
      </c>
      <c r="D50" s="152"/>
      <c r="E50" s="152"/>
      <c r="F50" s="303"/>
      <c r="G50" s="301"/>
      <c r="H50" s="152"/>
      <c r="I50" s="152"/>
      <c r="J50" s="8"/>
      <c r="K50" s="129"/>
      <c r="L50" s="129">
        <f>4200-2900</f>
        <v>1300</v>
      </c>
    </row>
    <row r="51" spans="1:12" x14ac:dyDescent="0.25">
      <c r="A51" s="296" t="s">
        <v>4</v>
      </c>
      <c r="B51" s="309">
        <f>B40+B41+B42-C43</f>
        <v>83739.930000000008</v>
      </c>
      <c r="C51" s="309">
        <f>SUM(C44:C50)</f>
        <v>92630</v>
      </c>
      <c r="D51" s="309">
        <f>B51-C51</f>
        <v>-8890.0699999999924</v>
      </c>
      <c r="E51" s="297"/>
      <c r="F51" s="296" t="s">
        <v>4</v>
      </c>
      <c r="G51" s="300">
        <f>G40+G41+G42-H43</f>
        <v>76869.03</v>
      </c>
      <c r="H51" s="300">
        <f>SUM(H44:H50 )</f>
        <v>91730</v>
      </c>
      <c r="I51" s="300">
        <f>G51-H51</f>
        <v>-14860.970000000001</v>
      </c>
      <c r="J51" s="152"/>
      <c r="K51" s="129"/>
      <c r="L51" s="129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</row>
    <row r="54" spans="1:12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spans="1:12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N53" sqref="N53"/>
    </sheetView>
  </sheetViews>
  <sheetFormatPr defaultRowHeight="15" x14ac:dyDescent="0.25"/>
  <cols>
    <col min="1" max="1" width="15" customWidth="1"/>
    <col min="12" max="12" width="12.1406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717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'APRIL 21'!J4:J38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1" x14ac:dyDescent="0.25">
      <c r="A5" s="291" t="s">
        <v>726</v>
      </c>
      <c r="B5" s="208">
        <v>2</v>
      </c>
      <c r="C5" s="289">
        <v>3300</v>
      </c>
      <c r="D5" s="289"/>
      <c r="E5" s="290">
        <f>'APRIL 21'!J5:J39</f>
        <v>0</v>
      </c>
      <c r="F5" s="290">
        <v>100</v>
      </c>
      <c r="G5" s="290">
        <v>3400</v>
      </c>
      <c r="H5" s="290">
        <f>C5-D5+E5+F5+G5</f>
        <v>6800</v>
      </c>
      <c r="I5" s="152">
        <f>2900+500</f>
        <v>3400</v>
      </c>
      <c r="J5" s="152">
        <f>H5-I5</f>
        <v>3400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'APRIL 21'!J6:J40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129"/>
      <c r="E7" s="290">
        <f>'APRIL 21'!J7:J41</f>
        <v>0</v>
      </c>
      <c r="F7" s="290">
        <v>100</v>
      </c>
      <c r="G7" s="290">
        <v>4000</v>
      </c>
      <c r="H7" s="290">
        <f>C7-D8+E7+F7+G7</f>
        <v>4100</v>
      </c>
      <c r="I7" s="152">
        <f>4100</f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/>
      <c r="D8" s="289"/>
      <c r="E8" s="290">
        <f>'APRIL 21'!J8:J42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</row>
    <row r="9" spans="1:11" x14ac:dyDescent="0.25">
      <c r="A9" s="142" t="s">
        <v>446</v>
      </c>
      <c r="B9" s="208">
        <v>6</v>
      </c>
      <c r="C9" s="289"/>
      <c r="D9" s="152"/>
      <c r="E9" s="290">
        <f>'APRIL 21'!J9:J43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</row>
    <row r="10" spans="1:11" x14ac:dyDescent="0.25">
      <c r="A10" s="334" t="s">
        <v>446</v>
      </c>
      <c r="B10" s="292">
        <v>7</v>
      </c>
      <c r="C10" s="289"/>
      <c r="D10" s="289"/>
      <c r="E10" s="290">
        <f>'APRIL 21'!J10:J44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1" x14ac:dyDescent="0.25">
      <c r="A11" s="172" t="s">
        <v>672</v>
      </c>
      <c r="B11" s="292">
        <v>8</v>
      </c>
      <c r="C11" s="289"/>
      <c r="D11" s="289"/>
      <c r="E11" s="290">
        <f>'APRIL 21'!J11:J45</f>
        <v>0</v>
      </c>
      <c r="F11" s="290">
        <v>100</v>
      </c>
      <c r="G11" s="290">
        <v>2700</v>
      </c>
      <c r="H11" s="290">
        <f t="shared" si="0"/>
        <v>2800</v>
      </c>
      <c r="I11" s="152">
        <f>2800</f>
        <v>2800</v>
      </c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'APRIL 21'!J12:J46</f>
        <v>1050</v>
      </c>
      <c r="F12" s="290">
        <v>100</v>
      </c>
      <c r="G12" s="290">
        <v>2700</v>
      </c>
      <c r="H12" s="290">
        <f t="shared" si="0"/>
        <v>3850</v>
      </c>
      <c r="I12" s="152">
        <f>3000</f>
        <v>3000</v>
      </c>
      <c r="J12" s="152">
        <f t="shared" si="1"/>
        <v>850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'APRIL 21'!J13:J47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'APRIL 21'!J14:J48</f>
        <v>100</v>
      </c>
      <c r="F14" s="290">
        <v>100</v>
      </c>
      <c r="G14" s="290">
        <v>2700</v>
      </c>
      <c r="H14" s="290">
        <f t="shared" si="0"/>
        <v>2900</v>
      </c>
      <c r="I14" s="152">
        <f>2000</f>
        <v>2000</v>
      </c>
      <c r="J14" s="152">
        <f t="shared" si="1"/>
        <v>900</v>
      </c>
      <c r="K14" s="129"/>
    </row>
    <row r="15" spans="1:11" x14ac:dyDescent="0.25">
      <c r="A15" s="289" t="s">
        <v>719</v>
      </c>
      <c r="B15" s="208">
        <v>12</v>
      </c>
      <c r="C15" s="289">
        <v>2700</v>
      </c>
      <c r="D15" s="289"/>
      <c r="E15" s="290"/>
      <c r="F15" s="290">
        <v>100</v>
      </c>
      <c r="G15" s="290">
        <v>2700</v>
      </c>
      <c r="H15" s="290">
        <f t="shared" si="0"/>
        <v>5500</v>
      </c>
      <c r="I15" s="152">
        <f>2800+1000</f>
        <v>3800</v>
      </c>
      <c r="J15" s="152">
        <f t="shared" si="1"/>
        <v>1700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'APRIL 21'!J16:J50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'APRIL 21'!J17:J51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1" x14ac:dyDescent="0.25">
      <c r="A18" s="334" t="s">
        <v>521</v>
      </c>
      <c r="B18" s="208">
        <v>15</v>
      </c>
      <c r="C18" s="289"/>
      <c r="D18" s="289"/>
      <c r="E18" s="290">
        <f>'APRIL 21'!J18:J52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1" x14ac:dyDescent="0.25">
      <c r="A19" s="289" t="s">
        <v>521</v>
      </c>
      <c r="B19" s="208">
        <v>16</v>
      </c>
      <c r="C19" s="289"/>
      <c r="D19" s="289"/>
      <c r="E19" s="290">
        <f>'APRIL 21'!J19:J53</f>
        <v>300</v>
      </c>
      <c r="F19" s="290">
        <v>100</v>
      </c>
      <c r="G19" s="290">
        <v>3000</v>
      </c>
      <c r="H19" s="290">
        <f t="shared" si="0"/>
        <v>3400</v>
      </c>
      <c r="I19" s="152">
        <f>3000</f>
        <v>3000</v>
      </c>
      <c r="J19" s="152">
        <f t="shared" si="1"/>
        <v>400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'APRIL 21'!J20:J54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</row>
    <row r="21" spans="1:11" x14ac:dyDescent="0.25">
      <c r="A21" s="289" t="s">
        <v>346</v>
      </c>
      <c r="B21" s="208">
        <v>18</v>
      </c>
      <c r="C21" s="289"/>
      <c r="D21" s="289"/>
      <c r="E21" s="290">
        <f>'APRIL 21'!J21:J55</f>
        <v>820</v>
      </c>
      <c r="F21" s="290"/>
      <c r="G21" s="290">
        <v>2700</v>
      </c>
      <c r="H21" s="290">
        <f t="shared" si="0"/>
        <v>3520</v>
      </c>
      <c r="I21" s="152"/>
      <c r="J21" s="152">
        <f t="shared" si="1"/>
        <v>3520</v>
      </c>
      <c r="K21" s="129"/>
    </row>
    <row r="22" spans="1:11" x14ac:dyDescent="0.25">
      <c r="A22" s="311" t="s">
        <v>690</v>
      </c>
      <c r="B22" s="312">
        <v>19</v>
      </c>
      <c r="C22" s="289"/>
      <c r="D22" s="289"/>
      <c r="E22" s="290">
        <f>'APRIL 21'!J22:J56</f>
        <v>0</v>
      </c>
      <c r="F22" s="313">
        <v>100</v>
      </c>
      <c r="G22" s="313">
        <v>2700</v>
      </c>
      <c r="H22" s="290">
        <f t="shared" si="0"/>
        <v>2800</v>
      </c>
      <c r="I22" s="152">
        <f>2400</f>
        <v>2400</v>
      </c>
      <c r="J22" s="152">
        <f t="shared" si="1"/>
        <v>400</v>
      </c>
      <c r="K22" s="129"/>
    </row>
    <row r="23" spans="1:11" x14ac:dyDescent="0.25">
      <c r="A23" s="289" t="s">
        <v>461</v>
      </c>
      <c r="B23" s="208">
        <v>20</v>
      </c>
      <c r="C23" s="289"/>
      <c r="D23" s="129"/>
      <c r="E23" s="290">
        <f>'APRIL 21'!J23:J57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</row>
    <row r="24" spans="1:11" x14ac:dyDescent="0.25">
      <c r="A24" s="172" t="s">
        <v>522</v>
      </c>
      <c r="B24" s="208">
        <v>21</v>
      </c>
      <c r="C24" s="289"/>
      <c r="D24" s="129"/>
      <c r="E24" s="290">
        <f>'APRIL 21'!J24:J58</f>
        <v>700</v>
      </c>
      <c r="F24" s="290">
        <v>100</v>
      </c>
      <c r="G24" s="290">
        <v>3500</v>
      </c>
      <c r="H24" s="290">
        <f>C24-D21+E24+F24+G24</f>
        <v>4300</v>
      </c>
      <c r="I24" s="152">
        <f>3600</f>
        <v>3600</v>
      </c>
      <c r="J24" s="152">
        <f t="shared" si="1"/>
        <v>700</v>
      </c>
      <c r="K24" s="129"/>
    </row>
    <row r="25" spans="1:11" x14ac:dyDescent="0.25">
      <c r="A25" s="289" t="s">
        <v>435</v>
      </c>
      <c r="B25" s="208">
        <v>22</v>
      </c>
      <c r="C25" s="289"/>
      <c r="D25" s="129"/>
      <c r="E25" s="290">
        <f>'APRIL 21'!J25:J59</f>
        <v>0</v>
      </c>
      <c r="F25" s="290">
        <v>100</v>
      </c>
      <c r="G25" s="290">
        <v>3500</v>
      </c>
      <c r="H25" s="290">
        <f>C25-D22+E25+F25+G25</f>
        <v>3600</v>
      </c>
      <c r="I25" s="152">
        <f>2000</f>
        <v>2000</v>
      </c>
      <c r="J25" s="152">
        <f t="shared" si="1"/>
        <v>1600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'APRIL 21'!J26:J60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'APRIL 21'!J27:J61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'APRIL 21'!J28:J62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'APRIL 21'!J29:J63</f>
        <v>2800</v>
      </c>
      <c r="F29" s="290">
        <v>100</v>
      </c>
      <c r="G29" s="290">
        <v>3300</v>
      </c>
      <c r="H29" s="290">
        <f t="shared" si="0"/>
        <v>6200</v>
      </c>
      <c r="I29" s="152">
        <f>2000+2800+1400</f>
        <v>6200</v>
      </c>
      <c r="J29" s="152">
        <f>H29-I29</f>
        <v>0</v>
      </c>
      <c r="K29" s="129"/>
    </row>
    <row r="30" spans="1:11" x14ac:dyDescent="0.25">
      <c r="A30" s="289" t="s">
        <v>708</v>
      </c>
      <c r="B30" s="208">
        <v>27</v>
      </c>
      <c r="C30" s="289"/>
      <c r="D30" s="289"/>
      <c r="E30" s="290">
        <f>'APRIL 21'!J30:J64</f>
        <v>3500</v>
      </c>
      <c r="F30" s="290">
        <v>100</v>
      </c>
      <c r="G30" s="290">
        <v>3300</v>
      </c>
      <c r="H30" s="290">
        <f t="shared" si="0"/>
        <v>6900</v>
      </c>
      <c r="I30" s="152">
        <f>3300+1400</f>
        <v>4700</v>
      </c>
      <c r="J30" s="152">
        <f t="shared" si="1"/>
        <v>2200</v>
      </c>
      <c r="K30" s="129"/>
    </row>
    <row r="31" spans="1:11" x14ac:dyDescent="0.25">
      <c r="A31" s="289" t="s">
        <v>693</v>
      </c>
      <c r="B31" s="208">
        <v>28</v>
      </c>
      <c r="C31" s="289"/>
      <c r="D31" s="289"/>
      <c r="E31" s="290">
        <f>'APRIL 21'!J31:J65</f>
        <v>0</v>
      </c>
      <c r="F31" s="290">
        <v>100</v>
      </c>
      <c r="G31" s="293">
        <v>3300</v>
      </c>
      <c r="H31" s="290">
        <f>C31-D31+E31+F31+G31</f>
        <v>3400</v>
      </c>
      <c r="I31" s="152">
        <f>2500</f>
        <v>2500</v>
      </c>
      <c r="J31" s="152">
        <f t="shared" si="1"/>
        <v>900</v>
      </c>
      <c r="K31" s="129"/>
    </row>
    <row r="32" spans="1:11" x14ac:dyDescent="0.25">
      <c r="A32" s="289" t="s">
        <v>700</v>
      </c>
      <c r="B32" s="208">
        <v>29</v>
      </c>
      <c r="C32" s="289"/>
      <c r="D32" s="289"/>
      <c r="E32" s="290">
        <f>'APRIL 21'!J32:J66</f>
        <v>100</v>
      </c>
      <c r="F32" s="290">
        <v>100</v>
      </c>
      <c r="G32" s="290">
        <v>3300</v>
      </c>
      <c r="H32" s="290">
        <f t="shared" si="0"/>
        <v>3500</v>
      </c>
      <c r="I32" s="152">
        <f>3500</f>
        <v>3500</v>
      </c>
      <c r="J32" s="152">
        <f t="shared" si="1"/>
        <v>0</v>
      </c>
      <c r="K32" s="129"/>
    </row>
    <row r="33" spans="1:15" x14ac:dyDescent="0.25">
      <c r="A33" s="172" t="s">
        <v>699</v>
      </c>
      <c r="B33" s="208">
        <v>30</v>
      </c>
      <c r="C33" s="289">
        <v>1000</v>
      </c>
      <c r="D33" s="289"/>
      <c r="E33" s="290"/>
      <c r="F33" s="290">
        <v>100</v>
      </c>
      <c r="G33" s="290">
        <v>3200</v>
      </c>
      <c r="H33" s="290">
        <f t="shared" si="0"/>
        <v>4300</v>
      </c>
      <c r="I33" s="152">
        <f>3700</f>
        <v>3700</v>
      </c>
      <c r="J33" s="152">
        <f t="shared" si="1"/>
        <v>600</v>
      </c>
      <c r="K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'APRIL 21'!J34:J68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</row>
    <row r="35" spans="1:15" x14ac:dyDescent="0.25">
      <c r="A35" s="289" t="s">
        <v>707</v>
      </c>
      <c r="B35" s="208">
        <v>32</v>
      </c>
      <c r="C35" s="289">
        <v>1400</v>
      </c>
      <c r="D35" s="289"/>
      <c r="E35" s="290">
        <v>4100</v>
      </c>
      <c r="F35" s="290"/>
      <c r="G35" s="290"/>
      <c r="H35" s="290">
        <f t="shared" si="0"/>
        <v>5500</v>
      </c>
      <c r="I35" s="152"/>
      <c r="J35" s="152">
        <f t="shared" si="1"/>
        <v>5500</v>
      </c>
      <c r="K35" s="129"/>
    </row>
    <row r="36" spans="1:15" x14ac:dyDescent="0.25">
      <c r="A36" s="289" t="s">
        <v>695</v>
      </c>
      <c r="B36" s="208">
        <v>33</v>
      </c>
      <c r="C36" s="289">
        <v>300</v>
      </c>
      <c r="D36" s="152"/>
      <c r="E36" s="290">
        <v>100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5" x14ac:dyDescent="0.25">
      <c r="A37" s="325" t="s">
        <v>4</v>
      </c>
      <c r="B37" s="326"/>
      <c r="C37" s="326">
        <f t="shared" ref="C37:I37" si="2">SUM(C4:C36)</f>
        <v>8700</v>
      </c>
      <c r="D37" s="326">
        <f t="shared" si="2"/>
        <v>0</v>
      </c>
      <c r="E37" s="290">
        <f>'APRIL 21'!J37:J71</f>
        <v>22270</v>
      </c>
      <c r="F37" s="327">
        <f t="shared" si="2"/>
        <v>2800</v>
      </c>
      <c r="G37" s="327">
        <f t="shared" si="2"/>
        <v>92800</v>
      </c>
      <c r="H37" s="327">
        <f t="shared" si="2"/>
        <v>117870</v>
      </c>
      <c r="I37" s="152">
        <f t="shared" si="2"/>
        <v>94800</v>
      </c>
      <c r="J37" s="152">
        <f>H37-I37</f>
        <v>23070</v>
      </c>
      <c r="K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23070</v>
      </c>
      <c r="K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22670</v>
      </c>
      <c r="K39" s="129"/>
    </row>
    <row r="40" spans="1:15" x14ac:dyDescent="0.25">
      <c r="A40" s="152" t="s">
        <v>130</v>
      </c>
      <c r="B40" s="300">
        <f>G37</f>
        <v>92800</v>
      </c>
      <c r="C40" s="152"/>
      <c r="D40" s="152"/>
      <c r="E40" s="152"/>
      <c r="F40" s="152" t="s">
        <v>130</v>
      </c>
      <c r="G40" s="300">
        <f>I37</f>
        <v>94800</v>
      </c>
      <c r="H40" s="152"/>
      <c r="I40" s="152"/>
      <c r="J40" s="335"/>
      <c r="K40" s="336"/>
    </row>
    <row r="41" spans="1:15" x14ac:dyDescent="0.25">
      <c r="A41" s="152" t="s">
        <v>720</v>
      </c>
      <c r="B41" s="300">
        <f>400+1000</f>
        <v>1400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5" x14ac:dyDescent="0.25">
      <c r="A42" s="152" t="s">
        <v>368</v>
      </c>
      <c r="B42" s="300">
        <f>'APRIL 21'!D51</f>
        <v>-8890.0699999999924</v>
      </c>
      <c r="C42" s="152"/>
      <c r="D42" s="152"/>
      <c r="E42" s="152"/>
      <c r="F42" s="152" t="s">
        <v>368</v>
      </c>
      <c r="G42" s="300">
        <f>'APRIL 21'!I51</f>
        <v>-14860.970000000001</v>
      </c>
      <c r="H42" s="152"/>
      <c r="I42" s="152"/>
      <c r="J42" s="286"/>
      <c r="K42" s="336"/>
      <c r="L42" s="107" t="s">
        <v>742</v>
      </c>
      <c r="M42" s="343">
        <f>H21</f>
        <v>3520</v>
      </c>
      <c r="N42" s="107"/>
      <c r="O42" s="107"/>
    </row>
    <row r="43" spans="1:15" x14ac:dyDescent="0.25">
      <c r="A43" s="152" t="s">
        <v>410</v>
      </c>
      <c r="B43" s="301">
        <v>0.1</v>
      </c>
      <c r="C43" s="300">
        <f>B43*B40</f>
        <v>9280</v>
      </c>
      <c r="D43" s="152"/>
      <c r="E43" s="152"/>
      <c r="F43" s="152" t="s">
        <v>410</v>
      </c>
      <c r="G43" s="301">
        <v>0.1</v>
      </c>
      <c r="H43" s="300">
        <f>G43*B40</f>
        <v>9280</v>
      </c>
      <c r="I43" s="152"/>
      <c r="J43" s="286"/>
      <c r="K43" s="286"/>
      <c r="L43" s="107"/>
      <c r="M43" s="343"/>
      <c r="N43" s="107"/>
      <c r="O43" s="107"/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  <c r="L44" s="107" t="s">
        <v>734</v>
      </c>
      <c r="M44" s="343">
        <f>2000</f>
        <v>2000</v>
      </c>
      <c r="N44" s="107" t="s">
        <v>736</v>
      </c>
      <c r="O44" s="107"/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107"/>
      <c r="M45" s="343"/>
      <c r="N45" s="107"/>
      <c r="O45" s="107"/>
    </row>
    <row r="46" spans="1:15" x14ac:dyDescent="0.25">
      <c r="A46" s="303" t="s">
        <v>222</v>
      </c>
      <c r="B46" s="301"/>
      <c r="C46" s="152"/>
      <c r="D46" s="152"/>
      <c r="E46" s="152"/>
      <c r="F46" s="303" t="s">
        <v>222</v>
      </c>
      <c r="G46" s="301"/>
      <c r="H46" s="152"/>
      <c r="I46" s="152"/>
      <c r="J46" s="8"/>
      <c r="K46" s="129"/>
      <c r="L46" s="107" t="s">
        <v>737</v>
      </c>
      <c r="M46" s="343">
        <f>M42-M44</f>
        <v>1520</v>
      </c>
      <c r="N46" s="107"/>
      <c r="O46" s="107"/>
    </row>
    <row r="47" spans="1:15" x14ac:dyDescent="0.25">
      <c r="A47" s="303" t="s">
        <v>724</v>
      </c>
      <c r="B47" s="301"/>
      <c r="C47" s="152">
        <f>79920+5000</f>
        <v>84920</v>
      </c>
      <c r="D47" s="152"/>
      <c r="E47" s="152"/>
      <c r="F47" s="303" t="s">
        <v>724</v>
      </c>
      <c r="G47" s="301"/>
      <c r="H47" s="152">
        <f>79920+5000</f>
        <v>84920</v>
      </c>
      <c r="I47" s="152"/>
      <c r="J47" s="8"/>
      <c r="K47" s="129"/>
      <c r="L47" s="107"/>
      <c r="M47" s="107"/>
      <c r="N47" s="107"/>
      <c r="O47" s="107"/>
    </row>
    <row r="48" spans="1:15" x14ac:dyDescent="0.25">
      <c r="A48" s="303" t="s">
        <v>727</v>
      </c>
      <c r="B48" s="301"/>
      <c r="C48" s="152">
        <v>1520</v>
      </c>
      <c r="D48" s="152"/>
      <c r="E48" s="152"/>
      <c r="F48" s="303"/>
      <c r="G48" s="301"/>
      <c r="H48" s="152"/>
      <c r="I48" s="152"/>
      <c r="J48" s="8"/>
      <c r="K48" s="129"/>
      <c r="L48" s="107"/>
      <c r="M48" s="343"/>
      <c r="N48" s="107"/>
      <c r="O48" s="107"/>
    </row>
    <row r="49" spans="1:11" x14ac:dyDescent="0.25">
      <c r="A49" s="303" t="s">
        <v>728</v>
      </c>
      <c r="B49" s="301"/>
      <c r="C49" s="152">
        <v>2062</v>
      </c>
      <c r="D49" s="152"/>
      <c r="E49" s="152"/>
      <c r="F49" s="303" t="s">
        <v>728</v>
      </c>
      <c r="G49" s="301"/>
      <c r="H49" s="152">
        <v>2062</v>
      </c>
      <c r="I49" s="152"/>
      <c r="J49" s="8"/>
      <c r="K49" s="129"/>
    </row>
    <row r="50" spans="1:11" x14ac:dyDescent="0.25">
      <c r="A50" s="303" t="s">
        <v>729</v>
      </c>
      <c r="B50" s="301"/>
      <c r="C50" s="152">
        <v>4355</v>
      </c>
      <c r="D50" s="152"/>
      <c r="E50" s="152"/>
      <c r="F50" s="303" t="s">
        <v>729</v>
      </c>
      <c r="G50" s="301"/>
      <c r="H50" s="152">
        <v>4355</v>
      </c>
      <c r="I50" s="152"/>
      <c r="J50" s="8"/>
      <c r="K50" s="129"/>
    </row>
    <row r="51" spans="1:11" x14ac:dyDescent="0.25">
      <c r="A51" s="296" t="s">
        <v>4</v>
      </c>
      <c r="B51" s="309">
        <f>B40+B41+B42-C43</f>
        <v>76029.930000000008</v>
      </c>
      <c r="C51" s="309">
        <f>SUM(C44:C50)</f>
        <v>92857</v>
      </c>
      <c r="D51" s="309">
        <f>B51-C51</f>
        <v>-16827.069999999992</v>
      </c>
      <c r="E51" s="297"/>
      <c r="F51" s="296" t="s">
        <v>4</v>
      </c>
      <c r="G51" s="300">
        <f>G40+G41+G42-H43</f>
        <v>70659.03</v>
      </c>
      <c r="H51" s="300">
        <f>SUM(H44:H50 )</f>
        <v>91337</v>
      </c>
      <c r="I51" s="300">
        <f>G51-H51</f>
        <v>-20677.97</v>
      </c>
      <c r="J51" s="152"/>
      <c r="K51" s="129"/>
    </row>
    <row r="52" spans="1:11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</row>
    <row r="53" spans="1:11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</row>
    <row r="54" spans="1:11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10" workbookViewId="0">
      <selection activeCell="B42" sqref="B42"/>
    </sheetView>
  </sheetViews>
  <sheetFormatPr defaultRowHeight="15" x14ac:dyDescent="0.25"/>
  <cols>
    <col min="1" max="1" width="19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2" x14ac:dyDescent="0.25">
      <c r="A2" s="129"/>
      <c r="B2" s="129"/>
      <c r="C2" s="286" t="s">
        <v>501</v>
      </c>
      <c r="D2" s="286"/>
      <c r="E2" s="286" t="s">
        <v>725</v>
      </c>
      <c r="F2" s="129"/>
      <c r="G2" s="23"/>
      <c r="H2" s="23"/>
      <c r="I2" s="31"/>
      <c r="J2" s="31"/>
      <c r="K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'MAY  21'!J4:J37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2" x14ac:dyDescent="0.25">
      <c r="A5" s="291" t="s">
        <v>726</v>
      </c>
      <c r="B5" s="208">
        <v>2</v>
      </c>
      <c r="C5" s="289">
        <v>3300</v>
      </c>
      <c r="D5" s="289"/>
      <c r="E5" s="290"/>
      <c r="F5" s="290">
        <v>100</v>
      </c>
      <c r="G5" s="290">
        <v>3400</v>
      </c>
      <c r="H5" s="290">
        <f>C5-D5+E5+F5+G5</f>
        <v>6800</v>
      </c>
      <c r="I5" s="152">
        <v>3700</v>
      </c>
      <c r="J5" s="152">
        <f>H5-I5</f>
        <v>3100</v>
      </c>
      <c r="K5" s="129"/>
    </row>
    <row r="6" spans="1:12" x14ac:dyDescent="0.25">
      <c r="A6" s="289" t="s">
        <v>560</v>
      </c>
      <c r="B6" s="208">
        <v>3</v>
      </c>
      <c r="C6" s="289"/>
      <c r="D6" s="289"/>
      <c r="E6" s="290">
        <f>'MAY  21'!J6:J39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2" x14ac:dyDescent="0.25">
      <c r="A7" s="289" t="s">
        <v>458</v>
      </c>
      <c r="B7" s="208">
        <v>4</v>
      </c>
      <c r="C7" s="289"/>
      <c r="D7" s="129"/>
      <c r="E7" s="290">
        <f>'MAY  21'!J7:J40</f>
        <v>0</v>
      </c>
      <c r="F7" s="290">
        <v>100</v>
      </c>
      <c r="G7" s="290">
        <v>4000</v>
      </c>
      <c r="H7" s="290">
        <f>C7-D8+E7+F7+G7</f>
        <v>4100</v>
      </c>
      <c r="I7" s="152">
        <f>1000+3100</f>
        <v>4100</v>
      </c>
      <c r="J7" s="152">
        <f t="shared" si="1"/>
        <v>0</v>
      </c>
      <c r="K7" s="129"/>
    </row>
    <row r="8" spans="1:12" x14ac:dyDescent="0.25">
      <c r="A8" s="289" t="s">
        <v>661</v>
      </c>
      <c r="B8" s="208">
        <v>5</v>
      </c>
      <c r="C8" s="289"/>
      <c r="D8" s="289"/>
      <c r="E8" s="290">
        <f>'MAY  21'!J8:J41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</row>
    <row r="9" spans="1:12" x14ac:dyDescent="0.25">
      <c r="A9" s="152" t="s">
        <v>730</v>
      </c>
      <c r="B9" s="208">
        <v>6</v>
      </c>
      <c r="C9" s="289">
        <v>2700</v>
      </c>
      <c r="D9" s="152"/>
      <c r="E9" s="290">
        <f>'MAY  21'!J9:J42</f>
        <v>0</v>
      </c>
      <c r="F9" s="152">
        <v>100</v>
      </c>
      <c r="G9" s="152">
        <v>2700</v>
      </c>
      <c r="H9" s="290">
        <f t="shared" si="0"/>
        <v>5500</v>
      </c>
      <c r="I9" s="152">
        <v>4000</v>
      </c>
      <c r="J9" s="152">
        <f t="shared" si="1"/>
        <v>1500</v>
      </c>
      <c r="K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'MAY  21'!J10:J43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'MAY  21'!J11:J44</f>
        <v>0</v>
      </c>
      <c r="F11" s="290">
        <v>100</v>
      </c>
      <c r="G11" s="290">
        <v>2700</v>
      </c>
      <c r="H11" s="290">
        <f t="shared" si="0"/>
        <v>2800</v>
      </c>
      <c r="I11" s="152">
        <f>2800</f>
        <v>2800</v>
      </c>
      <c r="J11" s="152">
        <f t="shared" si="1"/>
        <v>0</v>
      </c>
      <c r="K11" s="129"/>
      <c r="L11">
        <f>I9-2800</f>
        <v>1200</v>
      </c>
    </row>
    <row r="12" spans="1:12" x14ac:dyDescent="0.25">
      <c r="A12" s="289" t="s">
        <v>594</v>
      </c>
      <c r="B12" s="208">
        <v>9</v>
      </c>
      <c r="C12" s="289"/>
      <c r="D12" s="289"/>
      <c r="E12" s="290">
        <f>'MAY  21'!J12:J45</f>
        <v>850</v>
      </c>
      <c r="F12" s="290">
        <v>100</v>
      </c>
      <c r="G12" s="290">
        <v>2700</v>
      </c>
      <c r="H12" s="290">
        <f t="shared" si="0"/>
        <v>3650</v>
      </c>
      <c r="I12" s="152">
        <f>2900</f>
        <v>2900</v>
      </c>
      <c r="J12" s="152">
        <f t="shared" si="1"/>
        <v>750</v>
      </c>
      <c r="K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'MAY  21'!J13:J46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'MAY  21'!J14:J47</f>
        <v>900</v>
      </c>
      <c r="F14" s="290">
        <v>100</v>
      </c>
      <c r="G14" s="290">
        <v>2700</v>
      </c>
      <c r="H14" s="290">
        <f t="shared" si="0"/>
        <v>3700</v>
      </c>
      <c r="I14" s="152">
        <f>2800</f>
        <v>2800</v>
      </c>
      <c r="J14" s="152">
        <f t="shared" si="1"/>
        <v>900</v>
      </c>
      <c r="K14" s="129"/>
    </row>
    <row r="15" spans="1:12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100+2700</f>
        <v>2800</v>
      </c>
      <c r="J15" s="152">
        <f t="shared" si="1"/>
        <v>1700</v>
      </c>
      <c r="K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'MAY  21'!J16:J49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'MAY  21'!J17:J50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1" x14ac:dyDescent="0.25">
      <c r="A18" s="334" t="s">
        <v>521</v>
      </c>
      <c r="B18" s="208">
        <v>15</v>
      </c>
      <c r="C18" s="289"/>
      <c r="D18" s="289"/>
      <c r="E18" s="290">
        <f>'MAY  21'!J18:J51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1" x14ac:dyDescent="0.25">
      <c r="A19" s="289" t="s">
        <v>521</v>
      </c>
      <c r="B19" s="208">
        <v>16</v>
      </c>
      <c r="C19" s="289"/>
      <c r="D19" s="289"/>
      <c r="E19" s="290">
        <f>'MAY  21'!J19:J52</f>
        <v>400</v>
      </c>
      <c r="F19" s="290">
        <v>100</v>
      </c>
      <c r="G19" s="290">
        <v>3000</v>
      </c>
      <c r="H19" s="290">
        <f t="shared" si="0"/>
        <v>3500</v>
      </c>
      <c r="I19" s="152">
        <f>3000</f>
        <v>3000</v>
      </c>
      <c r="J19" s="152">
        <f t="shared" si="1"/>
        <v>500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'MAY  21'!J20:J53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</row>
    <row r="21" spans="1:11" x14ac:dyDescent="0.25">
      <c r="A21" s="289" t="s">
        <v>731</v>
      </c>
      <c r="B21" s="208">
        <v>18</v>
      </c>
      <c r="C21" s="289">
        <v>2700</v>
      </c>
      <c r="D21" s="289"/>
      <c r="E21" s="290"/>
      <c r="F21" s="290">
        <v>100</v>
      </c>
      <c r="G21" s="290">
        <v>2700</v>
      </c>
      <c r="H21" s="290">
        <f t="shared" si="0"/>
        <v>5500</v>
      </c>
      <c r="I21" s="152">
        <f>2800</f>
        <v>2800</v>
      </c>
      <c r="J21" s="152">
        <f t="shared" si="1"/>
        <v>2700</v>
      </c>
      <c r="K21" s="129"/>
    </row>
    <row r="22" spans="1:11" x14ac:dyDescent="0.25">
      <c r="A22" s="311" t="s">
        <v>690</v>
      </c>
      <c r="B22" s="312">
        <v>19</v>
      </c>
      <c r="C22" s="289"/>
      <c r="D22" s="289"/>
      <c r="E22" s="290">
        <f>'MAY  21'!J22:J55</f>
        <v>400</v>
      </c>
      <c r="F22" s="313">
        <v>100</v>
      </c>
      <c r="G22" s="313">
        <v>2700</v>
      </c>
      <c r="H22" s="290">
        <f t="shared" si="0"/>
        <v>3200</v>
      </c>
      <c r="I22" s="152">
        <f>2100</f>
        <v>2100</v>
      </c>
      <c r="J22" s="152">
        <f t="shared" si="1"/>
        <v>1100</v>
      </c>
      <c r="K22" s="129"/>
    </row>
    <row r="23" spans="1:11" x14ac:dyDescent="0.25">
      <c r="A23" s="334" t="s">
        <v>446</v>
      </c>
      <c r="B23" s="208">
        <v>20</v>
      </c>
      <c r="C23" s="289"/>
      <c r="D23" s="129"/>
      <c r="E23" s="290">
        <f>'MAY  21'!J23:J56</f>
        <v>0</v>
      </c>
      <c r="F23" s="290"/>
      <c r="G23" s="290"/>
      <c r="H23" s="290">
        <f>C23-D20+E23+F23+G23</f>
        <v>0</v>
      </c>
      <c r="I23" s="152"/>
      <c r="J23" s="152">
        <f t="shared" si="1"/>
        <v>0</v>
      </c>
      <c r="K23" s="129"/>
    </row>
    <row r="24" spans="1:11" x14ac:dyDescent="0.25">
      <c r="A24" s="172" t="s">
        <v>522</v>
      </c>
      <c r="B24" s="208">
        <v>21</v>
      </c>
      <c r="C24" s="289"/>
      <c r="D24" s="129"/>
      <c r="E24" s="290">
        <f>'MAY  21'!J24:J57</f>
        <v>700</v>
      </c>
      <c r="F24" s="290">
        <v>100</v>
      </c>
      <c r="G24" s="290">
        <v>3500</v>
      </c>
      <c r="H24" s="290">
        <f>C24-D21+E24+F24+G24</f>
        <v>4300</v>
      </c>
      <c r="I24" s="152"/>
      <c r="J24" s="152">
        <f t="shared" si="1"/>
        <v>4300</v>
      </c>
      <c r="K24" s="129"/>
    </row>
    <row r="25" spans="1:11" x14ac:dyDescent="0.25">
      <c r="A25" s="289" t="s">
        <v>435</v>
      </c>
      <c r="B25" s="208">
        <v>22</v>
      </c>
      <c r="C25" s="289"/>
      <c r="D25" s="129"/>
      <c r="E25" s="290">
        <f>'MAY  21'!J25:J58</f>
        <v>1600</v>
      </c>
      <c r="F25" s="290">
        <v>100</v>
      </c>
      <c r="G25" s="290">
        <v>3500</v>
      </c>
      <c r="H25" s="290">
        <f>C25-D22+E25+F25+G25</f>
        <v>5200</v>
      </c>
      <c r="I25" s="152">
        <f>4000</f>
        <v>4000</v>
      </c>
      <c r="J25" s="152">
        <f t="shared" si="1"/>
        <v>1200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'MAY  21'!J26:J59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'MAY  21'!J27:J60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'MAY  21'!J28:J61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'MAY  21'!J29:J62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</row>
    <row r="30" spans="1:11" x14ac:dyDescent="0.25">
      <c r="A30" s="289" t="s">
        <v>708</v>
      </c>
      <c r="B30" s="208">
        <v>27</v>
      </c>
      <c r="C30" s="289"/>
      <c r="D30" s="289"/>
      <c r="E30" s="290">
        <f>'MAY  21'!J30:J63</f>
        <v>2200</v>
      </c>
      <c r="F30" s="290">
        <v>100</v>
      </c>
      <c r="G30" s="290">
        <v>3300</v>
      </c>
      <c r="H30" s="290">
        <f t="shared" si="0"/>
        <v>5600</v>
      </c>
      <c r="I30" s="152">
        <f>1000+3400</f>
        <v>4400</v>
      </c>
      <c r="J30" s="152">
        <f t="shared" si="1"/>
        <v>1200</v>
      </c>
      <c r="K30" s="129"/>
    </row>
    <row r="31" spans="1:11" x14ac:dyDescent="0.25">
      <c r="A31" s="289" t="s">
        <v>693</v>
      </c>
      <c r="B31" s="208">
        <v>28</v>
      </c>
      <c r="C31" s="289"/>
      <c r="D31" s="289"/>
      <c r="E31" s="290">
        <f>'MAY  21'!J31:J64</f>
        <v>900</v>
      </c>
      <c r="F31" s="290">
        <v>100</v>
      </c>
      <c r="G31" s="293">
        <v>3300</v>
      </c>
      <c r="H31" s="290">
        <f>C31-D31+E31+F31+G31</f>
        <v>4300</v>
      </c>
      <c r="I31" s="152">
        <f>3400</f>
        <v>3400</v>
      </c>
      <c r="J31" s="152">
        <f t="shared" si="1"/>
        <v>900</v>
      </c>
      <c r="K31" s="129"/>
    </row>
    <row r="32" spans="1:11" x14ac:dyDescent="0.25">
      <c r="A32" s="289" t="s">
        <v>700</v>
      </c>
      <c r="B32" s="208">
        <v>29</v>
      </c>
      <c r="C32" s="289"/>
      <c r="D32" s="289"/>
      <c r="E32" s="290">
        <f>'MAY  21'!J32:J65</f>
        <v>0</v>
      </c>
      <c r="F32" s="290">
        <v>100</v>
      </c>
      <c r="G32" s="290">
        <v>3300</v>
      </c>
      <c r="H32" s="290">
        <f t="shared" si="0"/>
        <v>3400</v>
      </c>
      <c r="I32" s="152">
        <f>3400</f>
        <v>3400</v>
      </c>
      <c r="J32" s="152">
        <f t="shared" si="1"/>
        <v>0</v>
      </c>
      <c r="K32" s="129"/>
    </row>
    <row r="33" spans="1:15" x14ac:dyDescent="0.25">
      <c r="A33" s="172" t="s">
        <v>699</v>
      </c>
      <c r="B33" s="208">
        <v>30</v>
      </c>
      <c r="C33" s="289">
        <v>600</v>
      </c>
      <c r="D33" s="289"/>
      <c r="E33" s="290"/>
      <c r="F33" s="290">
        <v>100</v>
      </c>
      <c r="G33" s="290">
        <v>3200</v>
      </c>
      <c r="H33" s="290">
        <f t="shared" si="0"/>
        <v>3900</v>
      </c>
      <c r="I33" s="152">
        <f>1000+600+400</f>
        <v>2000</v>
      </c>
      <c r="J33" s="152">
        <f t="shared" si="1"/>
        <v>1900</v>
      </c>
      <c r="K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'MAY  21'!J34:J67</f>
        <v>0</v>
      </c>
      <c r="F34" s="290">
        <v>100</v>
      </c>
      <c r="G34" s="290">
        <v>3200</v>
      </c>
      <c r="H34" s="290">
        <f t="shared" si="0"/>
        <v>3300</v>
      </c>
      <c r="I34" s="152">
        <f>2700+600</f>
        <v>3300</v>
      </c>
      <c r="J34" s="152">
        <f t="shared" si="1"/>
        <v>0</v>
      </c>
      <c r="K34" s="129"/>
    </row>
    <row r="35" spans="1:15" x14ac:dyDescent="0.25">
      <c r="A35" s="289" t="s">
        <v>732</v>
      </c>
      <c r="B35" s="208">
        <v>32</v>
      </c>
      <c r="C35" s="289">
        <v>2700</v>
      </c>
      <c r="D35" s="289"/>
      <c r="E35" s="290"/>
      <c r="F35" s="290">
        <v>100</v>
      </c>
      <c r="G35" s="290">
        <v>2700</v>
      </c>
      <c r="H35" s="290">
        <f t="shared" si="0"/>
        <v>5500</v>
      </c>
      <c r="I35" s="152">
        <v>4000</v>
      </c>
      <c r="J35" s="152">
        <f t="shared" si="1"/>
        <v>1500</v>
      </c>
      <c r="K35" s="129"/>
    </row>
    <row r="36" spans="1:15" x14ac:dyDescent="0.25">
      <c r="A36" s="289" t="s">
        <v>695</v>
      </c>
      <c r="B36" s="208">
        <v>33</v>
      </c>
      <c r="C36" s="289"/>
      <c r="D36" s="152"/>
      <c r="E36" s="290">
        <f>'MAY  21'!J36:J69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5" x14ac:dyDescent="0.25">
      <c r="A37" s="325" t="s">
        <v>4</v>
      </c>
      <c r="B37" s="326"/>
      <c r="C37" s="326">
        <f t="shared" ref="C37:I37" si="2">SUM(C4:C36)</f>
        <v>13700</v>
      </c>
      <c r="D37" s="326">
        <f t="shared" si="2"/>
        <v>0</v>
      </c>
      <c r="E37" s="290">
        <f>'MAY  21'!J37:J70</f>
        <v>23070</v>
      </c>
      <c r="F37" s="327">
        <f t="shared" si="2"/>
        <v>3000</v>
      </c>
      <c r="G37" s="327">
        <f t="shared" si="2"/>
        <v>94500</v>
      </c>
      <c r="H37" s="327">
        <f t="shared" si="2"/>
        <v>119550</v>
      </c>
      <c r="I37" s="152">
        <f t="shared" si="2"/>
        <v>95900</v>
      </c>
      <c r="J37" s="152">
        <f>H37-I37</f>
        <v>23650</v>
      </c>
      <c r="K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22750</v>
      </c>
      <c r="K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22350</v>
      </c>
      <c r="K39" s="129"/>
    </row>
    <row r="40" spans="1:15" x14ac:dyDescent="0.25">
      <c r="A40" s="152" t="s">
        <v>468</v>
      </c>
      <c r="B40" s="300">
        <f>G37</f>
        <v>94500</v>
      </c>
      <c r="C40" s="152"/>
      <c r="D40" s="152"/>
      <c r="E40" s="152"/>
      <c r="F40" s="152" t="s">
        <v>468</v>
      </c>
      <c r="G40" s="300">
        <f>I37</f>
        <v>95900</v>
      </c>
      <c r="H40" s="152"/>
      <c r="I40" s="152"/>
      <c r="J40" s="335"/>
      <c r="K40" s="336"/>
    </row>
    <row r="41" spans="1:15" x14ac:dyDescent="0.25">
      <c r="A41" s="152" t="s">
        <v>733</v>
      </c>
      <c r="B41" s="300">
        <f>1200+1200</f>
        <v>2400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5" x14ac:dyDescent="0.25">
      <c r="A42" s="152" t="s">
        <v>368</v>
      </c>
      <c r="B42" s="300">
        <f>'MAY  21'!D51</f>
        <v>-16827.069999999992</v>
      </c>
      <c r="C42" s="152"/>
      <c r="D42" s="152"/>
      <c r="E42" s="152"/>
      <c r="F42" s="152" t="s">
        <v>368</v>
      </c>
      <c r="G42" s="300">
        <f>'MAY  21'!I51</f>
        <v>-20677.97</v>
      </c>
      <c r="H42" s="152"/>
      <c r="I42" s="152"/>
      <c r="J42" s="286"/>
      <c r="K42" s="336"/>
    </row>
    <row r="43" spans="1:15" x14ac:dyDescent="0.25">
      <c r="A43" s="152" t="s">
        <v>410</v>
      </c>
      <c r="B43" s="301">
        <v>0.1</v>
      </c>
      <c r="C43" s="300">
        <f>B43*B40</f>
        <v>9450</v>
      </c>
      <c r="D43" s="152"/>
      <c r="E43" s="152"/>
      <c r="F43" s="152" t="s">
        <v>410</v>
      </c>
      <c r="G43" s="301">
        <v>0.1</v>
      </c>
      <c r="H43" s="300">
        <f>G43*B40</f>
        <v>9450</v>
      </c>
      <c r="I43" s="152"/>
      <c r="J43" s="286"/>
      <c r="K43" s="286"/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N45">
        <f>G37</f>
        <v>94500</v>
      </c>
    </row>
    <row r="46" spans="1:15" x14ac:dyDescent="0.25">
      <c r="A46" s="303" t="s">
        <v>222</v>
      </c>
      <c r="B46" s="301"/>
      <c r="C46" s="152">
        <v>5000</v>
      </c>
      <c r="D46" s="152"/>
      <c r="E46" s="152"/>
      <c r="F46" s="303" t="s">
        <v>222</v>
      </c>
      <c r="G46" s="301"/>
      <c r="H46" s="152">
        <v>5000</v>
      </c>
      <c r="I46" s="152"/>
      <c r="J46" s="8"/>
      <c r="K46" s="129"/>
      <c r="M46" t="s">
        <v>410</v>
      </c>
      <c r="N46" s="332">
        <f>C43</f>
        <v>9450</v>
      </c>
    </row>
    <row r="47" spans="1:15" x14ac:dyDescent="0.25">
      <c r="A47" s="303" t="s">
        <v>739</v>
      </c>
      <c r="B47" s="301"/>
      <c r="C47" s="152">
        <v>2350</v>
      </c>
      <c r="D47" s="152"/>
      <c r="E47" s="152"/>
      <c r="F47" s="303" t="s">
        <v>739</v>
      </c>
      <c r="G47" s="301"/>
      <c r="H47" s="152">
        <v>2350</v>
      </c>
      <c r="I47" s="152"/>
      <c r="J47" s="8"/>
      <c r="K47" s="129"/>
      <c r="N47" s="332">
        <f>N45-N46</f>
        <v>85050</v>
      </c>
    </row>
    <row r="48" spans="1:15" x14ac:dyDescent="0.25">
      <c r="A48" s="303" t="s">
        <v>740</v>
      </c>
      <c r="B48" s="301"/>
      <c r="C48" s="152">
        <v>75100</v>
      </c>
      <c r="D48" s="152"/>
      <c r="E48" s="152"/>
      <c r="F48" s="303" t="s">
        <v>740</v>
      </c>
      <c r="G48" s="301"/>
      <c r="H48" s="152">
        <v>75100</v>
      </c>
      <c r="I48" s="152"/>
      <c r="J48" s="8"/>
      <c r="K48" s="129"/>
      <c r="M48" t="s">
        <v>222</v>
      </c>
      <c r="N48">
        <v>5000</v>
      </c>
      <c r="O48">
        <v>6417</v>
      </c>
    </row>
    <row r="49" spans="1:16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M49" t="s">
        <v>735</v>
      </c>
      <c r="N49">
        <v>5000</v>
      </c>
      <c r="O49">
        <v>1520</v>
      </c>
    </row>
    <row r="50" spans="1:16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N50" s="332">
        <f>N47-N48-N49</f>
        <v>75050</v>
      </c>
      <c r="O50">
        <v>8890</v>
      </c>
    </row>
    <row r="51" spans="1:16" x14ac:dyDescent="0.25">
      <c r="A51" s="296" t="s">
        <v>4</v>
      </c>
      <c r="B51" s="309">
        <f>B40+B41+B42-C43</f>
        <v>70622.930000000008</v>
      </c>
      <c r="C51" s="309">
        <f>SUM(C44:C50)</f>
        <v>82450</v>
      </c>
      <c r="D51" s="309">
        <f>B51-C51</f>
        <v>-11827.069999999992</v>
      </c>
      <c r="E51" s="297"/>
      <c r="F51" s="296" t="s">
        <v>4</v>
      </c>
      <c r="G51" s="300">
        <f>G40+G41+G42-H43</f>
        <v>65772.03</v>
      </c>
      <c r="H51" s="300">
        <f>SUM(H44:H50 )</f>
        <v>82450</v>
      </c>
      <c r="I51" s="300">
        <f>G51-H51</f>
        <v>-16677.97</v>
      </c>
      <c r="J51" s="152"/>
      <c r="K51" s="129"/>
      <c r="M51" t="s">
        <v>738</v>
      </c>
      <c r="N51">
        <f>2400</f>
        <v>2400</v>
      </c>
      <c r="O51">
        <f>SUM(O48:O50)</f>
        <v>16827</v>
      </c>
      <c r="P51" t="s">
        <v>744</v>
      </c>
    </row>
    <row r="52" spans="1:16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N52" s="332">
        <f>N50+N51</f>
        <v>77450</v>
      </c>
      <c r="O52">
        <v>5000</v>
      </c>
    </row>
    <row r="53" spans="1:16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O53">
        <f>O51-O52</f>
        <v>11827</v>
      </c>
    </row>
    <row r="54" spans="1:1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</row>
    <row r="55" spans="1:1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</row>
  </sheetData>
  <pageMargins left="0.7" right="0.7" top="0.75" bottom="0.75" header="0.3" footer="0.3"/>
  <pageSetup orientation="portrait" horizontalDpi="0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>
      <selection activeCell="O32" sqref="O32"/>
    </sheetView>
  </sheetViews>
  <sheetFormatPr defaultRowHeight="15" x14ac:dyDescent="0.25"/>
  <cols>
    <col min="1" max="1" width="21.285156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741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'JUNE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1" x14ac:dyDescent="0.25">
      <c r="A5" s="291" t="s">
        <v>726</v>
      </c>
      <c r="B5" s="208">
        <v>2</v>
      </c>
      <c r="C5" s="289">
        <v>3100</v>
      </c>
      <c r="D5" s="289"/>
      <c r="E5" s="290"/>
      <c r="F5" s="290">
        <v>100</v>
      </c>
      <c r="G5" s="290">
        <v>3300</v>
      </c>
      <c r="H5" s="290">
        <f>C5-D5+E5+F5+G5</f>
        <v>6500</v>
      </c>
      <c r="I5" s="152">
        <f>3400</f>
        <v>3400</v>
      </c>
      <c r="J5" s="152">
        <f>H5-I5</f>
        <v>3100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'JUNE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129"/>
      <c r="E7" s="290">
        <f>'JUNE 21'!J7:J39</f>
        <v>0</v>
      </c>
      <c r="F7" s="290">
        <v>100</v>
      </c>
      <c r="G7" s="290">
        <v>4000</v>
      </c>
      <c r="H7" s="290">
        <f>C7-D8+E7+F7+G7</f>
        <v>4100</v>
      </c>
      <c r="I7" s="152">
        <f>1000+3100</f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/>
      <c r="D8" s="289"/>
      <c r="E8" s="290">
        <f>'JUNE 21'!J8:J40</f>
        <v>0</v>
      </c>
      <c r="F8" s="290">
        <v>100</v>
      </c>
      <c r="G8" s="290">
        <v>4000</v>
      </c>
      <c r="H8" s="290">
        <f>C8-D9+E8+F8+G8</f>
        <v>4100</v>
      </c>
      <c r="I8" s="152">
        <v>4100</v>
      </c>
      <c r="J8" s="152">
        <f t="shared" si="1"/>
        <v>0</v>
      </c>
      <c r="K8" s="129"/>
    </row>
    <row r="9" spans="1:11" x14ac:dyDescent="0.25">
      <c r="A9" s="152" t="s">
        <v>730</v>
      </c>
      <c r="B9" s="208">
        <v>6</v>
      </c>
      <c r="C9" s="289">
        <v>1500</v>
      </c>
      <c r="D9" s="152"/>
      <c r="E9" s="290"/>
      <c r="F9" s="152">
        <v>100</v>
      </c>
      <c r="G9" s="152">
        <v>2700</v>
      </c>
      <c r="H9" s="290">
        <f t="shared" si="0"/>
        <v>4300</v>
      </c>
      <c r="I9" s="152">
        <f>2800</f>
        <v>2800</v>
      </c>
      <c r="J9" s="152">
        <f t="shared" si="1"/>
        <v>1500</v>
      </c>
      <c r="K9" s="129"/>
    </row>
    <row r="10" spans="1:11" x14ac:dyDescent="0.25">
      <c r="A10" s="334" t="s">
        <v>446</v>
      </c>
      <c r="B10" s="292">
        <v>7</v>
      </c>
      <c r="C10" s="289"/>
      <c r="D10" s="289"/>
      <c r="E10" s="290">
        <f>'JUNE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1" x14ac:dyDescent="0.25">
      <c r="A11" s="172" t="s">
        <v>672</v>
      </c>
      <c r="B11" s="292">
        <v>8</v>
      </c>
      <c r="C11" s="289"/>
      <c r="D11" s="289"/>
      <c r="E11" s="290">
        <f>'JUNE 21'!J11:J43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'JUNE 21'!J12:J44</f>
        <v>750</v>
      </c>
      <c r="F12" s="290">
        <v>100</v>
      </c>
      <c r="G12" s="290">
        <v>2700</v>
      </c>
      <c r="H12" s="290">
        <f t="shared" si="0"/>
        <v>3550</v>
      </c>
      <c r="I12" s="152">
        <f>3000</f>
        <v>3000</v>
      </c>
      <c r="J12" s="152">
        <f t="shared" si="1"/>
        <v>550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'JUNE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'JUNE 21'!J14:J46</f>
        <v>900</v>
      </c>
      <c r="F14" s="290">
        <v>100</v>
      </c>
      <c r="G14" s="290">
        <v>2700</v>
      </c>
      <c r="H14" s="290">
        <f t="shared" si="0"/>
        <v>3700</v>
      </c>
      <c r="I14" s="152">
        <f>2800</f>
        <v>2800</v>
      </c>
      <c r="J14" s="152">
        <f t="shared" si="1"/>
        <v>900</v>
      </c>
      <c r="K14" s="129"/>
    </row>
    <row r="15" spans="1:11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2800</f>
        <v>2800</v>
      </c>
      <c r="J15" s="152">
        <f t="shared" si="1"/>
        <v>1700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'JUNE 21'!J16:J48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</row>
    <row r="17" spans="1:15" x14ac:dyDescent="0.25">
      <c r="A17" s="289" t="s">
        <v>473</v>
      </c>
      <c r="B17" s="208">
        <v>14</v>
      </c>
      <c r="C17" s="289"/>
      <c r="D17" s="289"/>
      <c r="E17" s="290">
        <f>'JUNE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5" x14ac:dyDescent="0.25">
      <c r="A18" s="334" t="s">
        <v>521</v>
      </c>
      <c r="B18" s="208">
        <v>15</v>
      </c>
      <c r="C18" s="289"/>
      <c r="D18" s="289"/>
      <c r="E18" s="290">
        <f>'JUNE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5" x14ac:dyDescent="0.25">
      <c r="A19" s="289" t="s">
        <v>521</v>
      </c>
      <c r="B19" s="208">
        <v>16</v>
      </c>
      <c r="C19" s="289"/>
      <c r="D19" s="289"/>
      <c r="E19" s="290">
        <f>'JUNE 21'!J19:J51</f>
        <v>500</v>
      </c>
      <c r="F19" s="290">
        <v>100</v>
      </c>
      <c r="G19" s="290">
        <v>3000</v>
      </c>
      <c r="H19" s="290">
        <f t="shared" si="0"/>
        <v>3600</v>
      </c>
      <c r="I19" s="152">
        <f>3100</f>
        <v>3100</v>
      </c>
      <c r="J19" s="152">
        <f t="shared" si="1"/>
        <v>500</v>
      </c>
      <c r="K19" s="129"/>
    </row>
    <row r="20" spans="1:15" x14ac:dyDescent="0.25">
      <c r="A20" s="291" t="s">
        <v>492</v>
      </c>
      <c r="B20" s="208">
        <v>17</v>
      </c>
      <c r="C20" s="289"/>
      <c r="D20" s="289"/>
      <c r="E20" s="290">
        <f>'JUNE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</row>
    <row r="21" spans="1:15" x14ac:dyDescent="0.25">
      <c r="A21" s="289" t="s">
        <v>731</v>
      </c>
      <c r="B21" s="208">
        <v>18</v>
      </c>
      <c r="C21" s="289">
        <v>2700</v>
      </c>
      <c r="D21" s="289"/>
      <c r="E21" s="290"/>
      <c r="F21" s="290">
        <v>100</v>
      </c>
      <c r="G21" s="290">
        <v>2700</v>
      </c>
      <c r="H21" s="290">
        <f t="shared" si="0"/>
        <v>5500</v>
      </c>
      <c r="I21" s="152">
        <f>1000+2800+1700</f>
        <v>5500</v>
      </c>
      <c r="J21" s="152">
        <f t="shared" si="1"/>
        <v>0</v>
      </c>
      <c r="K21" s="129"/>
    </row>
    <row r="22" spans="1:15" x14ac:dyDescent="0.25">
      <c r="A22" s="311" t="s">
        <v>690</v>
      </c>
      <c r="B22" s="312">
        <v>19</v>
      </c>
      <c r="C22" s="289"/>
      <c r="D22" s="289"/>
      <c r="E22" s="290">
        <f>'JUNE 21'!J22:J54</f>
        <v>1100</v>
      </c>
      <c r="F22" s="313">
        <v>100</v>
      </c>
      <c r="G22" s="313">
        <v>2700</v>
      </c>
      <c r="H22" s="290">
        <f t="shared" si="0"/>
        <v>3900</v>
      </c>
      <c r="I22" s="152">
        <f>1400+1000+1500</f>
        <v>3900</v>
      </c>
      <c r="J22" s="152">
        <f t="shared" si="1"/>
        <v>0</v>
      </c>
      <c r="K22" s="129"/>
    </row>
    <row r="23" spans="1:15" x14ac:dyDescent="0.25">
      <c r="A23" s="334" t="s">
        <v>446</v>
      </c>
      <c r="B23" s="208">
        <v>20</v>
      </c>
      <c r="C23" s="289"/>
      <c r="D23" s="129"/>
      <c r="E23" s="290">
        <f>'JUNE 21'!J23:J55</f>
        <v>0</v>
      </c>
      <c r="F23" s="290"/>
      <c r="G23" s="290"/>
      <c r="H23" s="290">
        <f>C23-D20+E23+F23+G23</f>
        <v>0</v>
      </c>
      <c r="I23" s="152"/>
      <c r="J23" s="152">
        <f t="shared" si="1"/>
        <v>0</v>
      </c>
      <c r="K23" s="129"/>
    </row>
    <row r="24" spans="1:15" x14ac:dyDescent="0.25">
      <c r="A24" s="172" t="s">
        <v>522</v>
      </c>
      <c r="B24" s="208">
        <v>21</v>
      </c>
      <c r="C24" s="289"/>
      <c r="D24" s="129"/>
      <c r="E24" s="290">
        <f>'JUNE 21'!J24:J56</f>
        <v>4300</v>
      </c>
      <c r="F24" s="290">
        <v>100</v>
      </c>
      <c r="G24" s="290">
        <v>3500</v>
      </c>
      <c r="H24" s="290">
        <f>C24-D21+E24+F24+G24</f>
        <v>7900</v>
      </c>
      <c r="I24" s="152">
        <f>3600+4300</f>
        <v>7900</v>
      </c>
      <c r="J24" s="152">
        <f t="shared" si="1"/>
        <v>0</v>
      </c>
      <c r="K24" s="129"/>
    </row>
    <row r="25" spans="1:15" x14ac:dyDescent="0.25">
      <c r="A25" s="289" t="s">
        <v>435</v>
      </c>
      <c r="B25" s="208">
        <v>22</v>
      </c>
      <c r="C25" s="289"/>
      <c r="D25" s="129"/>
      <c r="E25" s="290">
        <f>'JUNE 21'!J25:J57</f>
        <v>1200</v>
      </c>
      <c r="F25" s="290">
        <v>100</v>
      </c>
      <c r="G25" s="290">
        <v>3500</v>
      </c>
      <c r="H25" s="290">
        <f>C25-D22+E25+F25+G25</f>
        <v>4800</v>
      </c>
      <c r="I25" s="152">
        <v>4800</v>
      </c>
      <c r="J25" s="152">
        <f t="shared" si="1"/>
        <v>0</v>
      </c>
      <c r="K25" s="129"/>
    </row>
    <row r="26" spans="1:15" x14ac:dyDescent="0.25">
      <c r="A26" s="289" t="s">
        <v>456</v>
      </c>
      <c r="B26" s="208">
        <v>23</v>
      </c>
      <c r="C26" s="289"/>
      <c r="D26" s="289"/>
      <c r="E26" s="290">
        <f>'JUNE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5" x14ac:dyDescent="0.25">
      <c r="A27" s="289" t="s">
        <v>488</v>
      </c>
      <c r="B27" s="208">
        <v>24</v>
      </c>
      <c r="C27" s="289"/>
      <c r="D27" s="289"/>
      <c r="E27" s="290">
        <f>'JUNE 21'!J27:J59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5" x14ac:dyDescent="0.25">
      <c r="A28" s="289" t="s">
        <v>462</v>
      </c>
      <c r="B28" s="208">
        <v>25</v>
      </c>
      <c r="C28" s="289"/>
      <c r="D28" s="289"/>
      <c r="E28" s="290">
        <f>'JUNE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5" x14ac:dyDescent="0.25">
      <c r="A29" s="289" t="s">
        <v>658</v>
      </c>
      <c r="B29" s="208">
        <v>26</v>
      </c>
      <c r="C29" s="289"/>
      <c r="D29" s="289"/>
      <c r="E29" s="290">
        <f>'JUNE 21'!J29:J61</f>
        <v>0</v>
      </c>
      <c r="F29" s="290">
        <v>100</v>
      </c>
      <c r="G29" s="290">
        <v>3300</v>
      </c>
      <c r="H29" s="290">
        <f t="shared" si="0"/>
        <v>3400</v>
      </c>
      <c r="I29" s="152">
        <f>2000+1400</f>
        <v>3400</v>
      </c>
      <c r="J29" s="152">
        <f>H29-I29</f>
        <v>0</v>
      </c>
      <c r="K29" s="129"/>
    </row>
    <row r="30" spans="1:15" x14ac:dyDescent="0.25">
      <c r="A30" s="289" t="s">
        <v>708</v>
      </c>
      <c r="B30" s="208">
        <v>27</v>
      </c>
      <c r="C30" s="289"/>
      <c r="D30" s="289"/>
      <c r="E30" s="290">
        <f>'JUNE 21'!J30:J62</f>
        <v>1200</v>
      </c>
      <c r="F30" s="290">
        <v>100</v>
      </c>
      <c r="G30" s="290">
        <v>3300</v>
      </c>
      <c r="H30" s="290">
        <f t="shared" si="0"/>
        <v>4600</v>
      </c>
      <c r="I30" s="152">
        <f>3500</f>
        <v>3500</v>
      </c>
      <c r="J30" s="152">
        <f t="shared" si="1"/>
        <v>1100</v>
      </c>
      <c r="K30" s="129"/>
    </row>
    <row r="31" spans="1:15" x14ac:dyDescent="0.25">
      <c r="A31" s="289" t="s">
        <v>693</v>
      </c>
      <c r="B31" s="208">
        <v>28</v>
      </c>
      <c r="C31" s="289"/>
      <c r="D31" s="289"/>
      <c r="E31" s="290">
        <f>'JUNE 21'!J31:J63</f>
        <v>900</v>
      </c>
      <c r="F31" s="290"/>
      <c r="G31" s="293">
        <v>3300</v>
      </c>
      <c r="H31" s="290">
        <f>C31-D31+E31+F31+G31</f>
        <v>4200</v>
      </c>
      <c r="I31" s="152">
        <f>900</f>
        <v>900</v>
      </c>
      <c r="J31" s="152">
        <f t="shared" si="1"/>
        <v>3300</v>
      </c>
      <c r="K31" s="129"/>
      <c r="O31">
        <f>2700-1500</f>
        <v>1200</v>
      </c>
    </row>
    <row r="32" spans="1:15" x14ac:dyDescent="0.25">
      <c r="A32" s="289" t="s">
        <v>700</v>
      </c>
      <c r="B32" s="208">
        <v>29</v>
      </c>
      <c r="C32" s="289"/>
      <c r="D32" s="289"/>
      <c r="E32" s="290">
        <f>'JUNE 21'!J32:J64</f>
        <v>0</v>
      </c>
      <c r="F32" s="290">
        <v>100</v>
      </c>
      <c r="G32" s="290">
        <v>3300</v>
      </c>
      <c r="H32" s="290">
        <f t="shared" si="0"/>
        <v>3400</v>
      </c>
      <c r="I32" s="152">
        <f>3400</f>
        <v>3400</v>
      </c>
      <c r="J32" s="152">
        <f t="shared" si="1"/>
        <v>0</v>
      </c>
      <c r="K32" s="129"/>
    </row>
    <row r="33" spans="1:19" x14ac:dyDescent="0.25">
      <c r="A33" s="172" t="s">
        <v>699</v>
      </c>
      <c r="B33" s="208">
        <v>30</v>
      </c>
      <c r="C33" s="289"/>
      <c r="D33" s="289"/>
      <c r="E33" s="290">
        <f>'JUNE 21'!J33:J65</f>
        <v>1900</v>
      </c>
      <c r="F33" s="290">
        <v>100</v>
      </c>
      <c r="G33" s="290">
        <v>3200</v>
      </c>
      <c r="H33" s="290">
        <f t="shared" si="0"/>
        <v>5200</v>
      </c>
      <c r="I33" s="152">
        <f>1700</f>
        <v>1700</v>
      </c>
      <c r="J33" s="152">
        <f t="shared" si="1"/>
        <v>3500</v>
      </c>
      <c r="K33" s="129"/>
    </row>
    <row r="34" spans="1:19" x14ac:dyDescent="0.25">
      <c r="A34" s="289" t="s">
        <v>656</v>
      </c>
      <c r="B34" s="208">
        <v>31</v>
      </c>
      <c r="C34" s="289"/>
      <c r="D34" s="289"/>
      <c r="E34" s="290">
        <f>'JUNE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</row>
    <row r="35" spans="1:19" x14ac:dyDescent="0.25">
      <c r="A35" s="289" t="s">
        <v>732</v>
      </c>
      <c r="B35" s="208">
        <v>32</v>
      </c>
      <c r="C35" s="289">
        <v>1500</v>
      </c>
      <c r="D35" s="289"/>
      <c r="E35" s="290"/>
      <c r="F35" s="290">
        <v>100</v>
      </c>
      <c r="G35" s="290">
        <v>2700</v>
      </c>
      <c r="H35" s="290">
        <f t="shared" si="0"/>
        <v>4300</v>
      </c>
      <c r="I35" s="152">
        <f>3800</f>
        <v>3800</v>
      </c>
      <c r="J35" s="152">
        <f t="shared" si="1"/>
        <v>500</v>
      </c>
      <c r="K35" s="129"/>
    </row>
    <row r="36" spans="1:19" x14ac:dyDescent="0.25">
      <c r="A36" s="289" t="s">
        <v>695</v>
      </c>
      <c r="B36" s="208">
        <v>33</v>
      </c>
      <c r="C36" s="289"/>
      <c r="D36" s="152"/>
      <c r="E36" s="290">
        <f>'JUNE 21'!J36:J68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9" x14ac:dyDescent="0.25">
      <c r="A37" s="325" t="s">
        <v>4</v>
      </c>
      <c r="B37" s="326"/>
      <c r="C37" s="326">
        <f t="shared" ref="C37:I37" si="2">SUM(C4:C36)</f>
        <v>10500</v>
      </c>
      <c r="D37" s="326">
        <f t="shared" si="2"/>
        <v>0</v>
      </c>
      <c r="E37" s="290">
        <f>SUM(E4:E36)</f>
        <v>13150</v>
      </c>
      <c r="F37" s="327">
        <f t="shared" si="2"/>
        <v>2900</v>
      </c>
      <c r="G37" s="327">
        <f t="shared" si="2"/>
        <v>94400</v>
      </c>
      <c r="H37" s="327">
        <f t="shared" si="2"/>
        <v>120950</v>
      </c>
      <c r="I37" s="152">
        <f t="shared" si="2"/>
        <v>103900</v>
      </c>
      <c r="J37" s="152">
        <f>H37-I37</f>
        <v>17050</v>
      </c>
      <c r="K37" s="129"/>
    </row>
    <row r="38" spans="1:19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16150</v>
      </c>
      <c r="K38" s="129"/>
    </row>
    <row r="39" spans="1:19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15750</v>
      </c>
      <c r="K39" s="129"/>
    </row>
    <row r="40" spans="1:19" x14ac:dyDescent="0.25">
      <c r="A40" s="152" t="s">
        <v>140</v>
      </c>
      <c r="B40" s="300">
        <f>G37</f>
        <v>94400</v>
      </c>
      <c r="C40" s="152"/>
      <c r="D40" s="152"/>
      <c r="E40" s="152"/>
      <c r="F40" s="152" t="s">
        <v>140</v>
      </c>
      <c r="G40" s="300">
        <f>I37</f>
        <v>103900</v>
      </c>
      <c r="H40" s="152"/>
      <c r="I40" s="152"/>
      <c r="J40" s="335"/>
      <c r="K40" s="336"/>
    </row>
    <row r="41" spans="1:19" x14ac:dyDescent="0.25">
      <c r="A41" s="152" t="s">
        <v>743</v>
      </c>
      <c r="B41" s="300">
        <f>300+1000+1000</f>
        <v>2300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9" x14ac:dyDescent="0.25">
      <c r="A42" s="152" t="s">
        <v>368</v>
      </c>
      <c r="B42" s="300">
        <f>'JUNE 21'!D51</f>
        <v>-11827.069999999992</v>
      </c>
      <c r="C42" s="152"/>
      <c r="D42" s="152"/>
      <c r="E42" s="152"/>
      <c r="F42" s="152" t="s">
        <v>368</v>
      </c>
      <c r="G42" s="300">
        <f>'JUNE 21'!I51</f>
        <v>-16677.97</v>
      </c>
      <c r="H42" s="152"/>
      <c r="I42" s="152"/>
      <c r="J42" s="286"/>
      <c r="K42" s="336"/>
    </row>
    <row r="43" spans="1:19" x14ac:dyDescent="0.25">
      <c r="A43" s="152" t="s">
        <v>410</v>
      </c>
      <c r="B43" s="301">
        <v>0.1</v>
      </c>
      <c r="C43" s="300">
        <f>B43*B40</f>
        <v>9440</v>
      </c>
      <c r="D43" s="152"/>
      <c r="E43" s="152"/>
      <c r="F43" s="152" t="s">
        <v>410</v>
      </c>
      <c r="G43" s="301">
        <v>0.1</v>
      </c>
      <c r="H43" s="300">
        <f>G43*B40</f>
        <v>9440</v>
      </c>
      <c r="I43" s="152"/>
      <c r="J43" s="286"/>
      <c r="K43" s="286"/>
    </row>
    <row r="44" spans="1:19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</row>
    <row r="45" spans="1:19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P45" s="129"/>
      <c r="Q45" s="129"/>
      <c r="R45" s="129"/>
      <c r="S45" s="129"/>
    </row>
    <row r="46" spans="1:19" x14ac:dyDescent="0.25">
      <c r="A46" s="303"/>
      <c r="B46" s="301"/>
      <c r="C46" s="152"/>
      <c r="D46" s="152"/>
      <c r="E46" s="152"/>
      <c r="F46" s="303"/>
      <c r="G46" s="301"/>
      <c r="H46" s="152"/>
      <c r="I46" s="152"/>
      <c r="J46" s="8"/>
      <c r="K46" s="129"/>
      <c r="P46" s="129">
        <v>6417</v>
      </c>
      <c r="Q46" s="129"/>
      <c r="R46" s="129"/>
      <c r="S46" s="129"/>
    </row>
    <row r="47" spans="1:19" x14ac:dyDescent="0.25">
      <c r="A47" s="303" t="s">
        <v>745</v>
      </c>
      <c r="B47" s="301"/>
      <c r="C47" s="152">
        <v>85260</v>
      </c>
      <c r="D47" s="152"/>
      <c r="E47" s="152"/>
      <c r="F47" s="303" t="s">
        <v>745</v>
      </c>
      <c r="G47" s="301"/>
      <c r="H47" s="152">
        <v>85260</v>
      </c>
      <c r="I47" s="152"/>
      <c r="J47" s="8"/>
      <c r="K47" s="129"/>
      <c r="L47" s="332">
        <f>B40</f>
        <v>94400</v>
      </c>
      <c r="P47" s="129">
        <v>1520</v>
      </c>
      <c r="Q47" s="129"/>
      <c r="R47" s="129"/>
      <c r="S47" s="129"/>
    </row>
    <row r="48" spans="1:19" x14ac:dyDescent="0.25">
      <c r="A48" s="303" t="s">
        <v>654</v>
      </c>
      <c r="B48" s="301"/>
      <c r="C48" s="152">
        <v>10087</v>
      </c>
      <c r="D48" s="152"/>
      <c r="E48" s="152"/>
      <c r="F48" s="303" t="s">
        <v>654</v>
      </c>
      <c r="G48" s="301"/>
      <c r="H48" s="152">
        <v>10087</v>
      </c>
      <c r="I48" s="152"/>
      <c r="J48" s="8"/>
      <c r="K48" s="129"/>
      <c r="L48" s="332">
        <f>C43</f>
        <v>9440</v>
      </c>
      <c r="P48" s="129">
        <v>8890</v>
      </c>
      <c r="Q48" s="129"/>
      <c r="R48" s="129"/>
      <c r="S48" s="129"/>
    </row>
    <row r="49" spans="1:19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>
        <f>L47-L48</f>
        <v>84960</v>
      </c>
      <c r="P49" s="129">
        <f>SUM(P46:P48)</f>
        <v>16827</v>
      </c>
      <c r="Q49" s="129" t="s">
        <v>744</v>
      </c>
      <c r="R49" s="129"/>
      <c r="S49" s="129"/>
    </row>
    <row r="50" spans="1:19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>
        <v>2000</v>
      </c>
      <c r="P50" s="129">
        <v>5000</v>
      </c>
      <c r="Q50" s="129"/>
      <c r="R50" s="129"/>
      <c r="S50" s="129"/>
    </row>
    <row r="51" spans="1:19" x14ac:dyDescent="0.25">
      <c r="A51" s="296" t="s">
        <v>4</v>
      </c>
      <c r="B51" s="309">
        <f>B40+B41+B42-C43</f>
        <v>75432.930000000008</v>
      </c>
      <c r="C51" s="309">
        <f>SUM(C44:C50)</f>
        <v>95347</v>
      </c>
      <c r="D51" s="309">
        <f>B51-C51</f>
        <v>-19914.069999999992</v>
      </c>
      <c r="E51" s="297"/>
      <c r="F51" s="296" t="s">
        <v>4</v>
      </c>
      <c r="G51" s="300">
        <f>G40+G41+G42-H43</f>
        <v>77782.03</v>
      </c>
      <c r="H51" s="300">
        <f>SUM(H44:H50 )</f>
        <v>95347</v>
      </c>
      <c r="I51" s="300">
        <f>G51-H51</f>
        <v>-17564.97</v>
      </c>
      <c r="J51" s="152"/>
      <c r="K51" s="129"/>
      <c r="L51" s="332">
        <f>L49-L50</f>
        <v>82960</v>
      </c>
      <c r="P51" s="129">
        <f>P49-P50</f>
        <v>11827</v>
      </c>
      <c r="Q51" s="129"/>
      <c r="R51" s="129"/>
      <c r="S51" s="129"/>
    </row>
    <row r="52" spans="1:19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>
        <v>2300</v>
      </c>
      <c r="P52" s="129">
        <v>2000</v>
      </c>
      <c r="Q52" s="129"/>
      <c r="R52" s="129"/>
      <c r="S52" s="129"/>
    </row>
    <row r="53" spans="1:19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>
        <f>L51+L52</f>
        <v>85260</v>
      </c>
      <c r="P53" s="129">
        <f>P51-P52</f>
        <v>9827</v>
      </c>
      <c r="Q53" s="129"/>
      <c r="R53" s="129"/>
      <c r="S53" s="129"/>
    </row>
    <row r="54" spans="1:19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P54" s="129"/>
      <c r="Q54" s="129"/>
      <c r="R54" s="129"/>
      <c r="S54" s="129"/>
    </row>
    <row r="55" spans="1:19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P55" s="129">
        <f>P53+10087</f>
        <v>19914</v>
      </c>
      <c r="Q55" s="129"/>
      <c r="R55" s="129"/>
      <c r="S55" s="129"/>
    </row>
    <row r="56" spans="1:19" x14ac:dyDescent="0.25">
      <c r="P56" s="129"/>
      <c r="Q56" s="129"/>
      <c r="R56" s="129"/>
      <c r="S56" s="129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22" workbookViewId="0">
      <selection activeCell="L36" sqref="L36"/>
    </sheetView>
  </sheetViews>
  <sheetFormatPr defaultRowHeight="15" x14ac:dyDescent="0.25"/>
  <cols>
    <col min="1" max="1" width="16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746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'JULY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  <c r="L4" s="129"/>
    </row>
    <row r="5" spans="1:12" x14ac:dyDescent="0.25">
      <c r="A5" s="291" t="s">
        <v>726</v>
      </c>
      <c r="B5" s="208">
        <v>2</v>
      </c>
      <c r="C5" s="289">
        <v>3100</v>
      </c>
      <c r="D5" s="289"/>
      <c r="E5" s="290"/>
      <c r="F5" s="290">
        <v>100</v>
      </c>
      <c r="G5" s="290">
        <v>3300</v>
      </c>
      <c r="H5" s="290">
        <f>C5-D5+E5+F5+G5</f>
        <v>6500</v>
      </c>
      <c r="I5" s="152">
        <f>3400</f>
        <v>3400</v>
      </c>
      <c r="J5" s="152">
        <f>H5-I5</f>
        <v>3100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'JULY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129"/>
      <c r="E7" s="290">
        <f>'JULY 21'!J7:J39</f>
        <v>0</v>
      </c>
      <c r="F7" s="290">
        <v>100</v>
      </c>
      <c r="G7" s="290">
        <v>4000</v>
      </c>
      <c r="H7" s="290">
        <f>C7-D8+E7+F7+G7</f>
        <v>4100</v>
      </c>
      <c r="I7" s="152">
        <f>1100+1000+1000+1000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'JULY 21'!J8:J40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  <c r="L8" s="129"/>
    </row>
    <row r="9" spans="1:12" x14ac:dyDescent="0.25">
      <c r="A9" s="152" t="s">
        <v>748</v>
      </c>
      <c r="B9" s="208">
        <v>6</v>
      </c>
      <c r="C9" s="289">
        <v>2700</v>
      </c>
      <c r="D9" s="152"/>
      <c r="E9" s="290"/>
      <c r="F9" s="152"/>
      <c r="G9" s="152">
        <v>810</v>
      </c>
      <c r="H9" s="290">
        <f t="shared" si="0"/>
        <v>3510</v>
      </c>
      <c r="I9" s="152">
        <f>2800</f>
        <v>2800</v>
      </c>
      <c r="J9" s="152">
        <f t="shared" si="1"/>
        <v>710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'JULY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'JULY 21'!J11:J43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'JULY 21'!J12:J44</f>
        <v>550</v>
      </c>
      <c r="F12" s="290">
        <v>100</v>
      </c>
      <c r="G12" s="290">
        <v>2700</v>
      </c>
      <c r="H12" s="290">
        <f t="shared" si="0"/>
        <v>3350</v>
      </c>
      <c r="I12" s="152">
        <f>2800</f>
        <v>2800</v>
      </c>
      <c r="J12" s="152">
        <f t="shared" si="1"/>
        <v>550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'JULY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'JULY 21'!J14:J46</f>
        <v>900</v>
      </c>
      <c r="F14" s="290">
        <v>100</v>
      </c>
      <c r="G14" s="290">
        <v>2700</v>
      </c>
      <c r="H14" s="290">
        <f t="shared" si="0"/>
        <v>3700</v>
      </c>
      <c r="I14" s="152">
        <f>2800</f>
        <v>2800</v>
      </c>
      <c r="J14" s="152">
        <f t="shared" si="1"/>
        <v>900</v>
      </c>
      <c r="K14" s="129"/>
      <c r="L14" s="129"/>
    </row>
    <row r="15" spans="1:12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2800</f>
        <v>2800</v>
      </c>
      <c r="J15" s="152">
        <f t="shared" si="1"/>
        <v>1700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'JULY 21'!J16:J48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6" x14ac:dyDescent="0.25">
      <c r="A17" s="289" t="s">
        <v>473</v>
      </c>
      <c r="B17" s="208">
        <v>14</v>
      </c>
      <c r="C17" s="289"/>
      <c r="D17" s="289"/>
      <c r="E17" s="290">
        <f>'JULY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  <c r="N17">
        <f>2700/30</f>
        <v>90</v>
      </c>
    </row>
    <row r="18" spans="1:16" x14ac:dyDescent="0.25">
      <c r="A18" s="334" t="s">
        <v>521</v>
      </c>
      <c r="B18" s="208">
        <v>15</v>
      </c>
      <c r="C18" s="289"/>
      <c r="D18" s="289"/>
      <c r="E18" s="290">
        <f>'JULY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  <c r="N18">
        <f>N17*9</f>
        <v>810</v>
      </c>
      <c r="O18">
        <f>N18*0.1</f>
        <v>81</v>
      </c>
    </row>
    <row r="19" spans="1:16" x14ac:dyDescent="0.25">
      <c r="A19" s="289" t="s">
        <v>521</v>
      </c>
      <c r="B19" s="208">
        <v>16</v>
      </c>
      <c r="C19" s="289"/>
      <c r="D19" s="289"/>
      <c r="E19" s="290">
        <f>'JULY 21'!J19:J51</f>
        <v>500</v>
      </c>
      <c r="F19" s="290">
        <v>100</v>
      </c>
      <c r="G19" s="290">
        <v>3000</v>
      </c>
      <c r="H19" s="290">
        <f t="shared" si="0"/>
        <v>3600</v>
      </c>
      <c r="I19" s="152">
        <f>3100</f>
        <v>3100</v>
      </c>
      <c r="J19" s="152">
        <f t="shared" si="1"/>
        <v>500</v>
      </c>
      <c r="K19" s="129"/>
      <c r="L19" s="129"/>
      <c r="N19">
        <f>2800-N18</f>
        <v>1990</v>
      </c>
      <c r="O19">
        <f>N18-O18</f>
        <v>729</v>
      </c>
      <c r="P19">
        <f>2800-O18</f>
        <v>2719</v>
      </c>
    </row>
    <row r="20" spans="1:16" x14ac:dyDescent="0.25">
      <c r="A20" s="291" t="s">
        <v>492</v>
      </c>
      <c r="B20" s="208">
        <v>17</v>
      </c>
      <c r="C20" s="289"/>
      <c r="D20" s="289"/>
      <c r="E20" s="290">
        <f>'JULY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  <c r="O20">
        <f>N19+O19</f>
        <v>2719</v>
      </c>
    </row>
    <row r="21" spans="1:16" x14ac:dyDescent="0.25">
      <c r="A21" s="289" t="s">
        <v>731</v>
      </c>
      <c r="B21" s="208">
        <v>18</v>
      </c>
      <c r="C21" s="289"/>
      <c r="D21" s="289"/>
      <c r="E21" s="290">
        <f>'JULY 21'!J21:J53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  <c r="K21" s="129"/>
      <c r="L21" s="129"/>
      <c r="P21">
        <f>2700-N19</f>
        <v>710</v>
      </c>
    </row>
    <row r="22" spans="1:16" x14ac:dyDescent="0.25">
      <c r="A22" s="311" t="s">
        <v>690</v>
      </c>
      <c r="B22" s="312">
        <v>19</v>
      </c>
      <c r="C22" s="289"/>
      <c r="D22" s="289"/>
      <c r="E22" s="290">
        <f>'JULY 21'!J22:J54</f>
        <v>0</v>
      </c>
      <c r="F22" s="313">
        <v>100</v>
      </c>
      <c r="G22" s="313">
        <v>2700</v>
      </c>
      <c r="H22" s="290">
        <f t="shared" si="0"/>
        <v>2800</v>
      </c>
      <c r="I22" s="152">
        <f>2500</f>
        <v>2500</v>
      </c>
      <c r="J22" s="152">
        <f t="shared" si="1"/>
        <v>300</v>
      </c>
      <c r="K22" s="129"/>
      <c r="L22" s="129"/>
    </row>
    <row r="23" spans="1:16" x14ac:dyDescent="0.25">
      <c r="A23" s="334" t="s">
        <v>446</v>
      </c>
      <c r="B23" s="208">
        <v>20</v>
      </c>
      <c r="C23" s="289"/>
      <c r="D23" s="129"/>
      <c r="E23" s="290">
        <f>'JULY 21'!J23:J55</f>
        <v>0</v>
      </c>
      <c r="F23" s="290"/>
      <c r="G23" s="290"/>
      <c r="H23" s="290">
        <f>C23-D20+E23+F23+G23</f>
        <v>0</v>
      </c>
      <c r="I23" s="152"/>
      <c r="J23" s="152">
        <f t="shared" si="1"/>
        <v>0</v>
      </c>
      <c r="K23" s="129"/>
      <c r="L23" s="129"/>
    </row>
    <row r="24" spans="1:16" x14ac:dyDescent="0.25">
      <c r="A24" s="172" t="s">
        <v>522</v>
      </c>
      <c r="B24" s="208">
        <v>21</v>
      </c>
      <c r="C24" s="289"/>
      <c r="D24" s="129"/>
      <c r="E24" s="290">
        <f>'JULY 21'!J24:J56</f>
        <v>0</v>
      </c>
      <c r="F24" s="290">
        <v>100</v>
      </c>
      <c r="G24" s="290">
        <v>3500</v>
      </c>
      <c r="H24" s="290">
        <f>C24-D21+E24+F24+G24</f>
        <v>3600</v>
      </c>
      <c r="I24" s="152">
        <f>3000</f>
        <v>3000</v>
      </c>
      <c r="J24" s="152">
        <f t="shared" si="1"/>
        <v>600</v>
      </c>
      <c r="K24" s="129"/>
      <c r="L24" s="129"/>
    </row>
    <row r="25" spans="1:16" x14ac:dyDescent="0.25">
      <c r="A25" s="289" t="s">
        <v>435</v>
      </c>
      <c r="B25" s="208">
        <v>22</v>
      </c>
      <c r="C25" s="289"/>
      <c r="D25" s="129"/>
      <c r="E25" s="290">
        <f>'JULY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f>3600</f>
        <v>3600</v>
      </c>
      <c r="J25" s="152">
        <f t="shared" si="1"/>
        <v>0</v>
      </c>
      <c r="K25" s="129"/>
      <c r="L25" s="129"/>
    </row>
    <row r="26" spans="1:16" x14ac:dyDescent="0.25">
      <c r="A26" s="289" t="s">
        <v>456</v>
      </c>
      <c r="B26" s="208">
        <v>23</v>
      </c>
      <c r="C26" s="289"/>
      <c r="D26" s="289"/>
      <c r="E26" s="290">
        <f>'JULY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6" x14ac:dyDescent="0.25">
      <c r="A27" s="289" t="s">
        <v>488</v>
      </c>
      <c r="B27" s="208">
        <v>24</v>
      </c>
      <c r="C27" s="289"/>
      <c r="D27" s="289"/>
      <c r="E27" s="290">
        <f>'JULY 21'!J27:J59</f>
        <v>0</v>
      </c>
      <c r="F27" s="290"/>
      <c r="G27" s="289"/>
      <c r="H27" s="290">
        <f t="shared" si="0"/>
        <v>0</v>
      </c>
      <c r="I27" s="152"/>
      <c r="J27" s="152">
        <f t="shared" si="1"/>
        <v>0</v>
      </c>
      <c r="K27" s="129"/>
      <c r="L27" s="129"/>
    </row>
    <row r="28" spans="1:16" x14ac:dyDescent="0.25">
      <c r="A28" s="289" t="s">
        <v>462</v>
      </c>
      <c r="B28" s="208">
        <v>25</v>
      </c>
      <c r="C28" s="289"/>
      <c r="D28" s="289"/>
      <c r="E28" s="290">
        <f>'JULY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6" x14ac:dyDescent="0.25">
      <c r="A29" s="289" t="s">
        <v>658</v>
      </c>
      <c r="B29" s="208">
        <v>26</v>
      </c>
      <c r="C29" s="289"/>
      <c r="D29" s="289"/>
      <c r="E29" s="290">
        <f>'JULY 21'!J29:J61</f>
        <v>0</v>
      </c>
      <c r="F29" s="290">
        <v>100</v>
      </c>
      <c r="G29" s="290">
        <v>3300</v>
      </c>
      <c r="H29" s="290">
        <f t="shared" si="0"/>
        <v>3400</v>
      </c>
      <c r="I29" s="152">
        <f>2000</f>
        <v>2000</v>
      </c>
      <c r="J29" s="152">
        <f>H29-I29</f>
        <v>1400</v>
      </c>
      <c r="K29" s="129"/>
      <c r="L29" s="129"/>
    </row>
    <row r="30" spans="1:16" x14ac:dyDescent="0.25">
      <c r="A30" s="289" t="s">
        <v>708</v>
      </c>
      <c r="B30" s="208">
        <v>27</v>
      </c>
      <c r="C30" s="289"/>
      <c r="D30" s="289"/>
      <c r="E30" s="290">
        <f>'JULY 21'!J30:J62</f>
        <v>1100</v>
      </c>
      <c r="F30" s="290">
        <v>100</v>
      </c>
      <c r="G30" s="290">
        <v>3300</v>
      </c>
      <c r="H30" s="290">
        <f t="shared" si="0"/>
        <v>4500</v>
      </c>
      <c r="I30" s="152">
        <f>4500</f>
        <v>4500</v>
      </c>
      <c r="J30" s="152">
        <f t="shared" si="1"/>
        <v>0</v>
      </c>
      <c r="K30" s="129"/>
      <c r="L30" s="129"/>
    </row>
    <row r="31" spans="1:16" x14ac:dyDescent="0.25">
      <c r="A31" s="334" t="s">
        <v>446</v>
      </c>
      <c r="B31" s="208">
        <v>28</v>
      </c>
      <c r="C31" s="289"/>
      <c r="D31" s="289"/>
      <c r="E31" s="290"/>
      <c r="F31" s="290"/>
      <c r="G31" s="293"/>
      <c r="H31" s="290">
        <f>C31-D31+E31+F31+G31</f>
        <v>0</v>
      </c>
      <c r="I31" s="152"/>
      <c r="J31" s="152">
        <f t="shared" si="1"/>
        <v>0</v>
      </c>
      <c r="K31" s="129"/>
      <c r="L31" s="129"/>
    </row>
    <row r="32" spans="1:16" x14ac:dyDescent="0.25">
      <c r="A32" s="289" t="s">
        <v>700</v>
      </c>
      <c r="B32" s="208">
        <v>29</v>
      </c>
      <c r="C32" s="289"/>
      <c r="D32" s="289"/>
      <c r="E32" s="290">
        <f>'JULY 21'!J32:J64</f>
        <v>0</v>
      </c>
      <c r="F32" s="290"/>
      <c r="G32" s="290"/>
      <c r="H32" s="290">
        <f t="shared" si="0"/>
        <v>0</v>
      </c>
      <c r="I32" s="152"/>
      <c r="J32" s="152">
        <f t="shared" si="1"/>
        <v>0</v>
      </c>
      <c r="K32" s="129"/>
      <c r="L32" s="129"/>
    </row>
    <row r="33" spans="1:18" x14ac:dyDescent="0.25">
      <c r="A33" s="172" t="s">
        <v>699</v>
      </c>
      <c r="B33" s="208">
        <v>30</v>
      </c>
      <c r="C33" s="289"/>
      <c r="D33" s="289"/>
      <c r="E33" s="290">
        <f>'JULY 21'!J33:J65</f>
        <v>3500</v>
      </c>
      <c r="F33" s="290">
        <v>100</v>
      </c>
      <c r="G33" s="290">
        <v>3200</v>
      </c>
      <c r="H33" s="290">
        <f t="shared" si="0"/>
        <v>6800</v>
      </c>
      <c r="I33" s="152">
        <v>5000</v>
      </c>
      <c r="J33" s="152">
        <f t="shared" si="1"/>
        <v>1800</v>
      </c>
      <c r="K33" s="129"/>
      <c r="L33" s="129"/>
    </row>
    <row r="34" spans="1:18" x14ac:dyDescent="0.25">
      <c r="A34" s="289" t="s">
        <v>656</v>
      </c>
      <c r="B34" s="208">
        <v>31</v>
      </c>
      <c r="C34" s="289"/>
      <c r="D34" s="289"/>
      <c r="E34" s="290">
        <f>'JULY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  <c r="L34" s="129"/>
    </row>
    <row r="35" spans="1:18" x14ac:dyDescent="0.25">
      <c r="A35" s="289" t="s">
        <v>732</v>
      </c>
      <c r="B35" s="208">
        <v>32</v>
      </c>
      <c r="C35" s="289">
        <v>500</v>
      </c>
      <c r="D35" s="289"/>
      <c r="E35" s="290"/>
      <c r="F35" s="290">
        <v>100</v>
      </c>
      <c r="G35" s="290">
        <v>2700</v>
      </c>
      <c r="H35" s="290">
        <f t="shared" si="0"/>
        <v>3300</v>
      </c>
      <c r="I35" s="152">
        <f>2800</f>
        <v>2800</v>
      </c>
      <c r="J35" s="152">
        <f t="shared" si="1"/>
        <v>500</v>
      </c>
      <c r="K35" s="129"/>
      <c r="L35" s="129"/>
    </row>
    <row r="36" spans="1:18" x14ac:dyDescent="0.25">
      <c r="A36" s="289" t="s">
        <v>695</v>
      </c>
      <c r="B36" s="208">
        <v>33</v>
      </c>
      <c r="C36" s="289"/>
      <c r="D36" s="152"/>
      <c r="E36" s="290">
        <f>'JULY 21'!J36:J68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  <c r="L36" s="129"/>
    </row>
    <row r="37" spans="1:18" x14ac:dyDescent="0.25">
      <c r="A37" s="325" t="s">
        <v>4</v>
      </c>
      <c r="B37" s="326"/>
      <c r="C37" s="326">
        <f t="shared" ref="C37:I37" si="2">SUM(C4:C36)</f>
        <v>8000</v>
      </c>
      <c r="D37" s="326">
        <f t="shared" si="2"/>
        <v>0</v>
      </c>
      <c r="E37" s="290">
        <f>SUM(E4:E36)</f>
        <v>6950</v>
      </c>
      <c r="F37" s="327">
        <f t="shared" si="2"/>
        <v>2600</v>
      </c>
      <c r="G37" s="327">
        <f t="shared" si="2"/>
        <v>82210</v>
      </c>
      <c r="H37" s="327">
        <f t="shared" si="2"/>
        <v>99760</v>
      </c>
      <c r="I37" s="152">
        <f t="shared" si="2"/>
        <v>87300</v>
      </c>
      <c r="J37" s="152">
        <f>H37-I37</f>
        <v>12460</v>
      </c>
      <c r="K37" s="129"/>
      <c r="L37" s="129"/>
    </row>
    <row r="38" spans="1:18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12460</v>
      </c>
      <c r="K38" s="129"/>
      <c r="L38" s="129"/>
    </row>
    <row r="39" spans="1:18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12060</v>
      </c>
      <c r="K39" s="129"/>
      <c r="L39" s="129"/>
    </row>
    <row r="40" spans="1:18" x14ac:dyDescent="0.25">
      <c r="A40" s="152" t="s">
        <v>147</v>
      </c>
      <c r="B40" s="300">
        <f>G37</f>
        <v>82210</v>
      </c>
      <c r="C40" s="152"/>
      <c r="D40" s="152"/>
      <c r="E40" s="152"/>
      <c r="F40" s="152" t="s">
        <v>147</v>
      </c>
      <c r="G40" s="300">
        <f>I37</f>
        <v>87300</v>
      </c>
      <c r="H40" s="152"/>
      <c r="I40" s="152"/>
      <c r="J40" s="335"/>
      <c r="K40" s="336"/>
      <c r="L40" s="129"/>
    </row>
    <row r="41" spans="1:18" x14ac:dyDescent="0.25">
      <c r="A41" s="152" t="s">
        <v>750</v>
      </c>
      <c r="B41" s="300">
        <f>1700+1990</f>
        <v>3690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8" x14ac:dyDescent="0.25">
      <c r="A42" s="152" t="s">
        <v>368</v>
      </c>
      <c r="B42" s="300">
        <f>'JULY 21'!D51</f>
        <v>-19914.069999999992</v>
      </c>
      <c r="C42" s="152"/>
      <c r="D42" s="152"/>
      <c r="E42" s="152"/>
      <c r="F42" s="152" t="s">
        <v>368</v>
      </c>
      <c r="G42" s="300">
        <f>'JULY 21'!I51</f>
        <v>-17564.97</v>
      </c>
      <c r="H42" s="152"/>
      <c r="I42" s="152"/>
      <c r="J42" s="286"/>
      <c r="K42" s="336"/>
      <c r="L42" s="129"/>
    </row>
    <row r="43" spans="1:18" x14ac:dyDescent="0.25">
      <c r="A43" s="152" t="s">
        <v>410</v>
      </c>
      <c r="B43" s="301">
        <v>0.1</v>
      </c>
      <c r="C43" s="300">
        <f>B43*B40</f>
        <v>8221</v>
      </c>
      <c r="D43" s="152"/>
      <c r="E43" s="152"/>
      <c r="F43" s="152" t="s">
        <v>410</v>
      </c>
      <c r="G43" s="301">
        <v>0.1</v>
      </c>
      <c r="H43" s="300">
        <f>G43*B40</f>
        <v>8221</v>
      </c>
      <c r="I43" s="152"/>
      <c r="J43" s="286"/>
      <c r="K43" s="286"/>
      <c r="L43" s="129"/>
    </row>
    <row r="44" spans="1:18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  <c r="L44" s="129">
        <f>G37</f>
        <v>82210</v>
      </c>
    </row>
    <row r="45" spans="1:18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>
        <f>C43</f>
        <v>8221</v>
      </c>
    </row>
    <row r="46" spans="1:18" x14ac:dyDescent="0.25">
      <c r="A46" s="303" t="s">
        <v>659</v>
      </c>
      <c r="B46" s="301"/>
      <c r="C46" s="152">
        <v>67960</v>
      </c>
      <c r="D46" s="152"/>
      <c r="E46" s="152"/>
      <c r="F46" s="303" t="s">
        <v>659</v>
      </c>
      <c r="G46" s="301"/>
      <c r="H46" s="152">
        <v>67960</v>
      </c>
      <c r="I46" s="152"/>
      <c r="J46" s="8"/>
      <c r="K46" s="129"/>
      <c r="L46" s="332">
        <f>L44-L45</f>
        <v>73989</v>
      </c>
      <c r="P46" s="129"/>
      <c r="Q46" s="129"/>
      <c r="R46" s="129"/>
    </row>
    <row r="47" spans="1:18" x14ac:dyDescent="0.25">
      <c r="A47" s="303" t="s">
        <v>749</v>
      </c>
      <c r="B47" s="301"/>
      <c r="C47" s="152">
        <v>2700</v>
      </c>
      <c r="D47" s="152"/>
      <c r="E47" s="152"/>
      <c r="F47" s="303" t="s">
        <v>749</v>
      </c>
      <c r="G47" s="301"/>
      <c r="H47" s="152">
        <v>2700</v>
      </c>
      <c r="I47" s="152"/>
      <c r="J47" s="8"/>
      <c r="K47" s="129"/>
      <c r="L47" s="332">
        <f>2000</f>
        <v>2000</v>
      </c>
      <c r="P47" s="129">
        <v>6417</v>
      </c>
      <c r="Q47" s="129"/>
      <c r="R47" s="129"/>
    </row>
    <row r="48" spans="1:18" x14ac:dyDescent="0.25">
      <c r="A48" s="303" t="s">
        <v>747</v>
      </c>
      <c r="B48" s="301"/>
      <c r="C48" s="152">
        <v>5000</v>
      </c>
      <c r="D48" s="152"/>
      <c r="E48" s="152"/>
      <c r="F48" s="303" t="s">
        <v>747</v>
      </c>
      <c r="G48" s="301"/>
      <c r="H48" s="152">
        <v>5000</v>
      </c>
      <c r="I48" s="152"/>
      <c r="J48" s="8"/>
      <c r="K48" s="129"/>
      <c r="L48" s="332">
        <v>5000</v>
      </c>
      <c r="P48" s="129">
        <v>1520</v>
      </c>
      <c r="Q48" s="129"/>
      <c r="R48" s="129"/>
    </row>
    <row r="49" spans="1:18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>
        <f>L46-L47-L48</f>
        <v>66989</v>
      </c>
      <c r="P49" s="129">
        <v>8890</v>
      </c>
      <c r="Q49" s="129"/>
      <c r="R49" s="129"/>
    </row>
    <row r="50" spans="1:18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>
        <v>1700</v>
      </c>
      <c r="P50" s="129">
        <f>SUM(P47:P49)</f>
        <v>16827</v>
      </c>
      <c r="Q50" s="129" t="s">
        <v>744</v>
      </c>
      <c r="R50" s="129"/>
    </row>
    <row r="51" spans="1:18" x14ac:dyDescent="0.25">
      <c r="A51" s="296" t="s">
        <v>4</v>
      </c>
      <c r="B51" s="309">
        <f>B40+B41+B42-C43</f>
        <v>57764.930000000008</v>
      </c>
      <c r="C51" s="309">
        <f>SUM(C44:C50)</f>
        <v>75660</v>
      </c>
      <c r="D51" s="309">
        <f>B51-C51</f>
        <v>-17895.069999999992</v>
      </c>
      <c r="E51" s="297"/>
      <c r="F51" s="296" t="s">
        <v>4</v>
      </c>
      <c r="G51" s="300">
        <f>G40+G41+G42-H43</f>
        <v>61514.03</v>
      </c>
      <c r="H51" s="300">
        <f>SUM(H44:H50 )</f>
        <v>75660</v>
      </c>
      <c r="I51" s="300">
        <f>G51-H51</f>
        <v>-14145.970000000001</v>
      </c>
      <c r="J51" s="152"/>
      <c r="K51" s="129"/>
      <c r="L51" s="332">
        <f>L49+L50</f>
        <v>68689</v>
      </c>
      <c r="P51" s="344">
        <v>5000</v>
      </c>
      <c r="Q51" s="129" t="s">
        <v>468</v>
      </c>
      <c r="R51" s="129"/>
    </row>
    <row r="52" spans="1:18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  <c r="P52" s="129">
        <f>P50-P51</f>
        <v>11827</v>
      </c>
      <c r="Q52" s="129"/>
      <c r="R52" s="129"/>
    </row>
    <row r="53" spans="1:18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  <c r="P53" s="107">
        <v>2000</v>
      </c>
      <c r="Q53" s="129" t="s">
        <v>140</v>
      </c>
      <c r="R53" s="129"/>
    </row>
    <row r="54" spans="1:18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  <c r="P54" s="129">
        <f>P52-P53</f>
        <v>9827</v>
      </c>
      <c r="Q54" s="129"/>
      <c r="R54" s="129"/>
    </row>
    <row r="55" spans="1:18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P55" s="107">
        <v>2000</v>
      </c>
      <c r="Q55" s="129" t="s">
        <v>482</v>
      </c>
      <c r="R55" s="129"/>
    </row>
    <row r="56" spans="1:18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>
        <f>71290-3330</f>
        <v>67960</v>
      </c>
      <c r="K56" s="129"/>
      <c r="L56" s="129"/>
      <c r="P56" s="129">
        <f>P54-P55</f>
        <v>7827</v>
      </c>
      <c r="Q56" s="129"/>
      <c r="R56" s="129"/>
    </row>
    <row r="57" spans="1:18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  <row r="58" spans="1:18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  <row r="59" spans="1:18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</row>
    <row r="60" spans="1:18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</row>
    <row r="61" spans="1:18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</row>
    <row r="62" spans="1:18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R62" s="129"/>
    </row>
    <row r="63" spans="1:18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</row>
    <row r="64" spans="1:18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</row>
    <row r="65" spans="1:12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</row>
    <row r="66" spans="1:12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</row>
    <row r="67" spans="1:12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</row>
    <row r="68" spans="1:12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</row>
    <row r="69" spans="1:12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</row>
    <row r="70" spans="1:12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</row>
    <row r="71" spans="1:12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</row>
    <row r="72" spans="1:12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</row>
    <row r="73" spans="1:12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</row>
    <row r="74" spans="1:12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</row>
    <row r="75" spans="1:12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</row>
    <row r="76" spans="1:12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</row>
    <row r="77" spans="1:12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</row>
    <row r="78" spans="1:12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</row>
    <row r="79" spans="1:12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</row>
  </sheetData>
  <pageMargins left="0.7" right="0.7" top="0.75" bottom="0.75" header="0.3" footer="0.3"/>
  <pageSetup orientation="portrait" horizontalDpi="0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A32" sqref="A32"/>
    </sheetView>
  </sheetViews>
  <sheetFormatPr defaultRowHeight="15" x14ac:dyDescent="0.25"/>
  <cols>
    <col min="1" max="1" width="19.57031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753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'AUGUST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1" x14ac:dyDescent="0.25">
      <c r="A5" s="291" t="s">
        <v>726</v>
      </c>
      <c r="B5" s="208">
        <v>2</v>
      </c>
      <c r="C5" s="289">
        <v>3100</v>
      </c>
      <c r="D5" s="289"/>
      <c r="E5" s="290"/>
      <c r="F5" s="290">
        <v>100</v>
      </c>
      <c r="G5" s="290">
        <v>3300</v>
      </c>
      <c r="H5" s="290">
        <f>C5-D5+E5+F5+G5</f>
        <v>6500</v>
      </c>
      <c r="I5" s="152">
        <f>3300</f>
        <v>3300</v>
      </c>
      <c r="J5" s="152">
        <f>H5-I5</f>
        <v>3200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'AUGUST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129"/>
      <c r="E7" s="290">
        <f>'AUGUST 21'!J7:J39</f>
        <v>0</v>
      </c>
      <c r="F7" s="290">
        <v>100</v>
      </c>
      <c r="G7" s="290">
        <v>4000</v>
      </c>
      <c r="H7" s="290">
        <f>C7-D8+E7+F7+G7</f>
        <v>4100</v>
      </c>
      <c r="I7" s="152">
        <f>2000+2100</f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/>
      <c r="D8" s="289"/>
      <c r="E8" s="290">
        <f>'AUGUST 21'!J8:J40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</row>
    <row r="9" spans="1:11" x14ac:dyDescent="0.25">
      <c r="A9" s="152" t="s">
        <v>748</v>
      </c>
      <c r="B9" s="208">
        <v>6</v>
      </c>
      <c r="C9" s="289">
        <v>710</v>
      </c>
      <c r="D9" s="152"/>
      <c r="E9" s="290"/>
      <c r="F9" s="152">
        <v>100</v>
      </c>
      <c r="G9" s="152">
        <v>2700</v>
      </c>
      <c r="H9" s="290">
        <f t="shared" si="0"/>
        <v>3510</v>
      </c>
      <c r="I9" s="152">
        <f>2800</f>
        <v>2800</v>
      </c>
      <c r="J9" s="152">
        <f t="shared" si="1"/>
        <v>710</v>
      </c>
      <c r="K9" s="129"/>
    </row>
    <row r="10" spans="1:11" x14ac:dyDescent="0.25">
      <c r="A10" s="334" t="s">
        <v>446</v>
      </c>
      <c r="B10" s="292">
        <v>7</v>
      </c>
      <c r="C10" s="289"/>
      <c r="D10" s="289"/>
      <c r="E10" s="290">
        <f>'AUGUST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1" x14ac:dyDescent="0.25">
      <c r="A11" s="172" t="s">
        <v>672</v>
      </c>
      <c r="B11" s="292">
        <v>8</v>
      </c>
      <c r="C11" s="289"/>
      <c r="D11" s="289"/>
      <c r="E11" s="290">
        <f>'AUGUST 21'!J11:J43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'AUGUST 21'!J12:J44</f>
        <v>550</v>
      </c>
      <c r="F12" s="290">
        <v>100</v>
      </c>
      <c r="G12" s="290">
        <v>2700</v>
      </c>
      <c r="H12" s="290">
        <f t="shared" si="0"/>
        <v>3350</v>
      </c>
      <c r="I12" s="152">
        <f>2800</f>
        <v>2800</v>
      </c>
      <c r="J12" s="152">
        <f t="shared" si="1"/>
        <v>550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'AUGUST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'AUGUST 21'!J14:J46</f>
        <v>900</v>
      </c>
      <c r="F14" s="290">
        <v>100</v>
      </c>
      <c r="G14" s="290">
        <v>2700</v>
      </c>
      <c r="H14" s="290">
        <f t="shared" si="0"/>
        <v>3700</v>
      </c>
      <c r="I14" s="152">
        <v>2000</v>
      </c>
      <c r="J14" s="152">
        <f t="shared" si="1"/>
        <v>1700</v>
      </c>
      <c r="K14" s="129"/>
    </row>
    <row r="15" spans="1:11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2800</f>
        <v>2800</v>
      </c>
      <c r="J15" s="152">
        <f t="shared" si="1"/>
        <v>1700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'AUGUST 21'!J16:J48</f>
        <v>0</v>
      </c>
      <c r="F16" s="290"/>
      <c r="G16" s="293">
        <v>2700</v>
      </c>
      <c r="H16" s="290">
        <f t="shared" si="0"/>
        <v>2700</v>
      </c>
      <c r="I16" s="152"/>
      <c r="J16" s="152">
        <f t="shared" si="1"/>
        <v>2700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'AUGUST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1" x14ac:dyDescent="0.25">
      <c r="A18" s="334" t="s">
        <v>521</v>
      </c>
      <c r="B18" s="208">
        <v>15</v>
      </c>
      <c r="C18" s="289"/>
      <c r="D18" s="289"/>
      <c r="E18" s="290">
        <f>'AUGUST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1" x14ac:dyDescent="0.25">
      <c r="A19" s="289" t="s">
        <v>521</v>
      </c>
      <c r="B19" s="208">
        <v>16</v>
      </c>
      <c r="C19" s="289"/>
      <c r="D19" s="289"/>
      <c r="E19" s="290">
        <f>'AUGUST 21'!J19:J51</f>
        <v>500</v>
      </c>
      <c r="F19" s="290">
        <v>100</v>
      </c>
      <c r="G19" s="290">
        <v>3000</v>
      </c>
      <c r="H19" s="290">
        <f t="shared" si="0"/>
        <v>3600</v>
      </c>
      <c r="I19" s="152">
        <f>3100</f>
        <v>3100</v>
      </c>
      <c r="J19" s="152">
        <f t="shared" si="1"/>
        <v>500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'AUGUST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</row>
    <row r="21" spans="1:11" x14ac:dyDescent="0.25">
      <c r="A21" s="289" t="s">
        <v>731</v>
      </c>
      <c r="B21" s="208">
        <v>18</v>
      </c>
      <c r="C21" s="289"/>
      <c r="D21" s="289"/>
      <c r="E21" s="290">
        <f>'AUGUST 21'!J21:J53</f>
        <v>0</v>
      </c>
      <c r="F21" s="290">
        <v>100</v>
      </c>
      <c r="G21" s="290">
        <v>2700</v>
      </c>
      <c r="H21" s="290">
        <f t="shared" si="0"/>
        <v>2800</v>
      </c>
      <c r="I21" s="152">
        <f>2800</f>
        <v>2800</v>
      </c>
      <c r="J21" s="152">
        <f t="shared" si="1"/>
        <v>0</v>
      </c>
      <c r="K21" s="129"/>
    </row>
    <row r="22" spans="1:11" x14ac:dyDescent="0.25">
      <c r="A22" s="311" t="s">
        <v>690</v>
      </c>
      <c r="B22" s="312">
        <v>19</v>
      </c>
      <c r="C22" s="289"/>
      <c r="D22" s="289"/>
      <c r="E22" s="290">
        <f>'AUGUST 21'!J22:J54</f>
        <v>300</v>
      </c>
      <c r="F22" s="313">
        <v>100</v>
      </c>
      <c r="G22" s="313">
        <v>2700</v>
      </c>
      <c r="H22" s="290">
        <f t="shared" si="0"/>
        <v>3100</v>
      </c>
      <c r="I22" s="152">
        <f>1800+1000</f>
        <v>2800</v>
      </c>
      <c r="J22" s="152">
        <f t="shared" si="1"/>
        <v>300</v>
      </c>
      <c r="K22" s="129"/>
    </row>
    <row r="23" spans="1:11" x14ac:dyDescent="0.25">
      <c r="A23" s="334" t="s">
        <v>754</v>
      </c>
      <c r="B23" s="208">
        <v>20</v>
      </c>
      <c r="C23" s="289"/>
      <c r="D23" s="129"/>
      <c r="E23" s="290">
        <f>'AUGUST 21'!J23:J55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</row>
    <row r="24" spans="1:11" x14ac:dyDescent="0.25">
      <c r="A24" s="172" t="s">
        <v>522</v>
      </c>
      <c r="B24" s="208">
        <v>21</v>
      </c>
      <c r="C24" s="289"/>
      <c r="D24" s="129"/>
      <c r="E24" s="290">
        <f>'AUGUST 21'!J24:J56</f>
        <v>600</v>
      </c>
      <c r="F24" s="290">
        <v>100</v>
      </c>
      <c r="G24" s="290">
        <v>3500</v>
      </c>
      <c r="H24" s="290">
        <f>C24-D21+E24+F24+G24</f>
        <v>4200</v>
      </c>
      <c r="I24" s="152"/>
      <c r="J24" s="152">
        <f t="shared" si="1"/>
        <v>4200</v>
      </c>
      <c r="K24" s="129"/>
    </row>
    <row r="25" spans="1:11" x14ac:dyDescent="0.25">
      <c r="A25" s="289" t="s">
        <v>435</v>
      </c>
      <c r="B25" s="208">
        <v>22</v>
      </c>
      <c r="C25" s="289"/>
      <c r="D25" s="129"/>
      <c r="E25" s="290">
        <f>'AUGUST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</row>
    <row r="26" spans="1:11" x14ac:dyDescent="0.25">
      <c r="A26" s="289" t="s">
        <v>456</v>
      </c>
      <c r="B26" s="208">
        <v>23</v>
      </c>
      <c r="C26" s="289"/>
      <c r="D26" s="289"/>
      <c r="E26" s="290">
        <f>'AUGUST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1" x14ac:dyDescent="0.25">
      <c r="A27" s="334" t="s">
        <v>446</v>
      </c>
      <c r="B27" s="208">
        <v>24</v>
      </c>
      <c r="C27" s="289"/>
      <c r="D27" s="289"/>
      <c r="E27" s="290">
        <f>'AUGUST 21'!J27:J59</f>
        <v>0</v>
      </c>
      <c r="F27" s="290"/>
      <c r="G27" s="289"/>
      <c r="H27" s="290">
        <f t="shared" si="0"/>
        <v>0</v>
      </c>
      <c r="I27" s="152"/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'AUGUST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'AUGUST 21'!J29:J61</f>
        <v>1400</v>
      </c>
      <c r="F29" s="290">
        <v>100</v>
      </c>
      <c r="G29" s="290">
        <v>3300</v>
      </c>
      <c r="H29" s="290">
        <f t="shared" si="0"/>
        <v>4800</v>
      </c>
      <c r="I29" s="152"/>
      <c r="J29" s="152">
        <f>H29-I29</f>
        <v>4800</v>
      </c>
      <c r="K29" s="129"/>
    </row>
    <row r="30" spans="1:11" x14ac:dyDescent="0.25">
      <c r="A30" s="289" t="s">
        <v>708</v>
      </c>
      <c r="B30" s="208">
        <v>27</v>
      </c>
      <c r="C30" s="289"/>
      <c r="D30" s="289"/>
      <c r="E30" s="290">
        <f>'AUGUST 21'!J30:J62</f>
        <v>0</v>
      </c>
      <c r="F30" s="290">
        <v>100</v>
      </c>
      <c r="G30" s="290">
        <v>3300</v>
      </c>
      <c r="H30" s="290">
        <f t="shared" si="0"/>
        <v>3400</v>
      </c>
      <c r="I30" s="152">
        <f>2500</f>
        <v>2500</v>
      </c>
      <c r="J30" s="152">
        <f t="shared" si="1"/>
        <v>900</v>
      </c>
      <c r="K30" s="129"/>
    </row>
    <row r="31" spans="1:11" ht="14.25" customHeight="1" x14ac:dyDescent="0.25">
      <c r="A31" s="289" t="s">
        <v>751</v>
      </c>
      <c r="B31" s="208">
        <v>28</v>
      </c>
      <c r="C31" s="289">
        <v>3300</v>
      </c>
      <c r="D31" s="289"/>
      <c r="E31" s="290">
        <f>'AUGUST 21'!J31:J63</f>
        <v>0</v>
      </c>
      <c r="F31" s="290">
        <v>100</v>
      </c>
      <c r="G31" s="293">
        <v>3300</v>
      </c>
      <c r="H31" s="290">
        <f>C31-D31+E31+F31+G31</f>
        <v>6700</v>
      </c>
      <c r="I31" s="152">
        <f>3400+2700+600</f>
        <v>6700</v>
      </c>
      <c r="J31" s="152">
        <f t="shared" si="1"/>
        <v>0</v>
      </c>
      <c r="K31" s="129"/>
    </row>
    <row r="32" spans="1:11" x14ac:dyDescent="0.25">
      <c r="A32" s="334" t="s">
        <v>446</v>
      </c>
      <c r="B32" s="208">
        <v>29</v>
      </c>
      <c r="C32" s="289"/>
      <c r="D32" s="289"/>
      <c r="E32" s="290">
        <f>'AUGUST 21'!J32:J64</f>
        <v>0</v>
      </c>
      <c r="F32" s="290"/>
      <c r="G32" s="290"/>
      <c r="H32" s="290">
        <f t="shared" si="0"/>
        <v>0</v>
      </c>
      <c r="I32" s="152"/>
      <c r="J32" s="152">
        <f t="shared" si="1"/>
        <v>0</v>
      </c>
      <c r="K32" s="129"/>
    </row>
    <row r="33" spans="1:14" x14ac:dyDescent="0.25">
      <c r="A33" s="172" t="s">
        <v>699</v>
      </c>
      <c r="B33" s="208">
        <v>30</v>
      </c>
      <c r="C33" s="289"/>
      <c r="D33" s="289"/>
      <c r="E33" s="290">
        <f>'AUGUST 21'!J33:J65</f>
        <v>1800</v>
      </c>
      <c r="F33" s="290">
        <v>100</v>
      </c>
      <c r="G33" s="290">
        <v>3200</v>
      </c>
      <c r="H33" s="290">
        <f t="shared" si="0"/>
        <v>5100</v>
      </c>
      <c r="I33" s="152">
        <f>4000</f>
        <v>4000</v>
      </c>
      <c r="J33" s="152">
        <f t="shared" si="1"/>
        <v>1100</v>
      </c>
      <c r="K33" s="129"/>
    </row>
    <row r="34" spans="1:14" x14ac:dyDescent="0.25">
      <c r="A34" s="289" t="s">
        <v>656</v>
      </c>
      <c r="B34" s="208">
        <v>31</v>
      </c>
      <c r="C34" s="289"/>
      <c r="D34" s="289"/>
      <c r="E34" s="290">
        <f>'AUGUST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</row>
    <row r="35" spans="1:14" x14ac:dyDescent="0.25">
      <c r="A35" s="289" t="s">
        <v>732</v>
      </c>
      <c r="B35" s="208">
        <v>32</v>
      </c>
      <c r="C35" s="289">
        <v>500</v>
      </c>
      <c r="D35" s="289"/>
      <c r="E35" s="290"/>
      <c r="F35" s="290">
        <v>100</v>
      </c>
      <c r="G35" s="290">
        <v>2700</v>
      </c>
      <c r="H35" s="290">
        <f t="shared" si="0"/>
        <v>3300</v>
      </c>
      <c r="I35" s="152">
        <v>3300</v>
      </c>
      <c r="J35" s="152">
        <f t="shared" si="1"/>
        <v>0</v>
      </c>
      <c r="K35" s="129"/>
    </row>
    <row r="36" spans="1:14" x14ac:dyDescent="0.25">
      <c r="A36" s="289" t="s">
        <v>695</v>
      </c>
      <c r="B36" s="208">
        <v>33</v>
      </c>
      <c r="C36" s="289"/>
      <c r="D36" s="152"/>
      <c r="E36" s="290">
        <f>'AUGUST 21'!J36:J68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4" x14ac:dyDescent="0.25">
      <c r="A37" s="325" t="s">
        <v>4</v>
      </c>
      <c r="B37" s="326"/>
      <c r="C37" s="326">
        <f t="shared" ref="C37:I37" si="2">SUM(C4:C36)</f>
        <v>9310</v>
      </c>
      <c r="D37" s="326">
        <f t="shared" si="2"/>
        <v>0</v>
      </c>
      <c r="E37" s="290">
        <f>SUM(E4:E36)</f>
        <v>6450</v>
      </c>
      <c r="F37" s="327">
        <f t="shared" si="2"/>
        <v>2800</v>
      </c>
      <c r="G37" s="327">
        <f t="shared" si="2"/>
        <v>91100</v>
      </c>
      <c r="H37" s="327">
        <f t="shared" si="2"/>
        <v>109660</v>
      </c>
      <c r="I37" s="152">
        <f t="shared" si="2"/>
        <v>86900</v>
      </c>
      <c r="J37" s="152">
        <f>H37-I37</f>
        <v>22760</v>
      </c>
      <c r="K37" s="129"/>
    </row>
    <row r="38" spans="1:14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22760</v>
      </c>
      <c r="K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22360</v>
      </c>
      <c r="K39" s="129"/>
    </row>
    <row r="40" spans="1:14" x14ac:dyDescent="0.25">
      <c r="A40" s="152" t="s">
        <v>152</v>
      </c>
      <c r="B40" s="300">
        <f>G37</f>
        <v>91100</v>
      </c>
      <c r="C40" s="152"/>
      <c r="D40" s="152"/>
      <c r="E40" s="152"/>
      <c r="F40" s="152" t="s">
        <v>152</v>
      </c>
      <c r="G40" s="300">
        <f>I37</f>
        <v>86900</v>
      </c>
      <c r="H40" s="152"/>
      <c r="I40" s="152"/>
      <c r="J40" s="335"/>
      <c r="K40" s="336"/>
    </row>
    <row r="41" spans="1:14" x14ac:dyDescent="0.25">
      <c r="A41" s="152" t="s">
        <v>752</v>
      </c>
      <c r="B41" s="300">
        <v>3300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4" x14ac:dyDescent="0.25">
      <c r="A42" s="152" t="s">
        <v>368</v>
      </c>
      <c r="B42" s="300">
        <f>'AUGUST 21'!D51</f>
        <v>-17895.069999999992</v>
      </c>
      <c r="C42" s="152"/>
      <c r="D42" s="152"/>
      <c r="E42" s="152"/>
      <c r="F42" s="152" t="s">
        <v>368</v>
      </c>
      <c r="G42" s="300">
        <f>'AUGUST 21'!I51</f>
        <v>-14145.970000000001</v>
      </c>
      <c r="H42" s="152"/>
      <c r="I42" s="152"/>
      <c r="J42" s="286"/>
      <c r="K42" s="336"/>
    </row>
    <row r="43" spans="1:14" x14ac:dyDescent="0.25">
      <c r="A43" s="152" t="s">
        <v>410</v>
      </c>
      <c r="B43" s="301">
        <v>0.1</v>
      </c>
      <c r="C43" s="300">
        <f>B43*B40</f>
        <v>9110</v>
      </c>
      <c r="D43" s="152"/>
      <c r="E43" s="152"/>
      <c r="F43" s="152" t="s">
        <v>410</v>
      </c>
      <c r="G43" s="301">
        <v>0.1</v>
      </c>
      <c r="H43" s="300">
        <f>G43*B40</f>
        <v>9110</v>
      </c>
      <c r="I43" s="152"/>
      <c r="J43" s="286"/>
      <c r="K43" s="286"/>
    </row>
    <row r="44" spans="1:14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</row>
    <row r="46" spans="1:14" x14ac:dyDescent="0.25">
      <c r="A46" s="303" t="s">
        <v>755</v>
      </c>
      <c r="B46" s="301"/>
      <c r="C46" s="152">
        <v>74960</v>
      </c>
      <c r="D46" s="152"/>
      <c r="E46" s="152"/>
      <c r="F46" s="303" t="s">
        <v>755</v>
      </c>
      <c r="G46" s="301"/>
      <c r="H46" s="152">
        <v>74960</v>
      </c>
      <c r="I46" s="152"/>
      <c r="J46" s="8"/>
      <c r="K46" s="129"/>
      <c r="N46" s="332">
        <f>B40</f>
        <v>91100</v>
      </c>
    </row>
    <row r="47" spans="1:14" x14ac:dyDescent="0.25">
      <c r="A47" s="303" t="s">
        <v>756</v>
      </c>
      <c r="B47" s="301"/>
      <c r="C47" s="152">
        <v>3350</v>
      </c>
      <c r="D47" s="152"/>
      <c r="E47" s="152"/>
      <c r="F47" s="303" t="s">
        <v>756</v>
      </c>
      <c r="G47" s="301"/>
      <c r="H47" s="152">
        <v>3350</v>
      </c>
      <c r="I47" s="152"/>
      <c r="J47" s="8"/>
      <c r="K47" s="129"/>
      <c r="N47" s="332">
        <f>C43</f>
        <v>9110</v>
      </c>
    </row>
    <row r="48" spans="1:14" x14ac:dyDescent="0.25">
      <c r="A48" s="303" t="s">
        <v>762</v>
      </c>
      <c r="B48" s="301"/>
      <c r="C48" s="152">
        <v>2700</v>
      </c>
      <c r="D48" s="152"/>
      <c r="E48" s="152"/>
      <c r="F48" s="303"/>
      <c r="G48" s="301"/>
      <c r="H48" s="152"/>
      <c r="I48" s="152"/>
      <c r="J48" s="8"/>
      <c r="K48" s="129"/>
      <c r="N48" s="332">
        <f>N46-N47</f>
        <v>81990</v>
      </c>
    </row>
    <row r="49" spans="1:15" x14ac:dyDescent="0.25">
      <c r="A49" s="303" t="s">
        <v>763</v>
      </c>
      <c r="B49" s="301"/>
      <c r="C49" s="152">
        <v>2500</v>
      </c>
      <c r="D49" s="152"/>
      <c r="E49" s="152"/>
      <c r="F49" s="303" t="s">
        <v>763</v>
      </c>
      <c r="G49" s="301"/>
      <c r="H49" s="152">
        <v>2500</v>
      </c>
      <c r="I49" s="152"/>
      <c r="J49" s="8"/>
      <c r="K49" s="129"/>
      <c r="N49">
        <f>5000</f>
        <v>5000</v>
      </c>
    </row>
    <row r="50" spans="1:15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N50" s="332">
        <f>N48-N49</f>
        <v>76990</v>
      </c>
    </row>
    <row r="51" spans="1:15" x14ac:dyDescent="0.25">
      <c r="A51" s="296" t="s">
        <v>4</v>
      </c>
      <c r="B51" s="309">
        <f>B40+B41+B42-C43</f>
        <v>67394.930000000008</v>
      </c>
      <c r="C51" s="309">
        <f>SUM(C44:C50)</f>
        <v>83510</v>
      </c>
      <c r="D51" s="309">
        <f>B51-C51</f>
        <v>-16115.069999999992</v>
      </c>
      <c r="E51" s="297"/>
      <c r="F51" s="296" t="s">
        <v>4</v>
      </c>
      <c r="G51" s="300">
        <f>G40+G41+G42-H43</f>
        <v>63644.03</v>
      </c>
      <c r="H51" s="300">
        <f>SUM(H44:H50 )</f>
        <v>80810</v>
      </c>
      <c r="I51" s="300">
        <f>G51-H51</f>
        <v>-17165.97</v>
      </c>
      <c r="J51" s="152"/>
      <c r="K51" s="129"/>
      <c r="N51">
        <v>2000</v>
      </c>
    </row>
    <row r="52" spans="1:15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N52" s="332">
        <f>N50-N51</f>
        <v>74990</v>
      </c>
    </row>
    <row r="53" spans="1:15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N53">
        <f>3300</f>
        <v>3300</v>
      </c>
    </row>
    <row r="54" spans="1:15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  <c r="N54" s="332">
        <f>N52+N53</f>
        <v>78290</v>
      </c>
    </row>
    <row r="55" spans="1:15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>
        <f>71290-3330</f>
        <v>67960</v>
      </c>
      <c r="K56" s="129"/>
      <c r="L56" s="129"/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  <row r="58" spans="1:15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  <row r="59" spans="1:15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O59">
        <f>M59+600</f>
        <v>600</v>
      </c>
    </row>
    <row r="60" spans="1:15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</row>
    <row r="61" spans="1:15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</row>
    <row r="62" spans="1:15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</row>
    <row r="63" spans="1:15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</row>
    <row r="64" spans="1:15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</row>
  </sheetData>
  <pageMargins left="0.7" right="0.7" top="0.75" bottom="0.75" header="0.3" footer="0.3"/>
  <pageSetup orientation="portrait" horizontalDpi="0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C17" sqref="C17"/>
    </sheetView>
  </sheetViews>
  <sheetFormatPr defaultRowHeight="15" x14ac:dyDescent="0.25"/>
  <cols>
    <col min="1" max="1" width="16.42578125" customWidth="1"/>
    <col min="13" max="13" width="9.140625" customWidth="1"/>
  </cols>
  <sheetData>
    <row r="1" spans="1:10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</row>
    <row r="2" spans="1:10" x14ac:dyDescent="0.25">
      <c r="A2" s="129"/>
      <c r="B2" s="129"/>
      <c r="C2" s="286" t="s">
        <v>501</v>
      </c>
      <c r="D2" s="286"/>
      <c r="E2" s="286" t="s">
        <v>757</v>
      </c>
      <c r="F2" s="129"/>
      <c r="G2" s="23"/>
      <c r="H2" s="23"/>
      <c r="I2" s="31"/>
      <c r="J2" s="31"/>
    </row>
    <row r="3" spans="1:10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</row>
    <row r="4" spans="1:10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'SEPT 21'!J4:J37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</row>
    <row r="5" spans="1:10" x14ac:dyDescent="0.25">
      <c r="A5" s="291" t="s">
        <v>726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C5-D5+E5+F5+G5</f>
        <v>3400</v>
      </c>
      <c r="I5" s="152">
        <f>3400</f>
        <v>3400</v>
      </c>
      <c r="J5" s="152">
        <f>H5-I5</f>
        <v>0</v>
      </c>
    </row>
    <row r="6" spans="1:10" x14ac:dyDescent="0.25">
      <c r="A6" s="289" t="s">
        <v>560</v>
      </c>
      <c r="B6" s="208">
        <v>3</v>
      </c>
      <c r="C6" s="289"/>
      <c r="D6" s="289"/>
      <c r="E6" s="290">
        <f>'SEPT 21'!J6:J39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</row>
    <row r="7" spans="1:10" x14ac:dyDescent="0.25">
      <c r="A7" s="289" t="s">
        <v>765</v>
      </c>
      <c r="B7" s="208">
        <v>4</v>
      </c>
      <c r="C7" s="289"/>
      <c r="D7" s="129"/>
      <c r="E7" s="290">
        <f>'SEPT 21'!J7:J40</f>
        <v>0</v>
      </c>
      <c r="F7" s="290">
        <v>100</v>
      </c>
      <c r="G7" s="290">
        <v>4000</v>
      </c>
      <c r="H7" s="290">
        <f>C7-D8+E7+F7+G7</f>
        <v>4100</v>
      </c>
      <c r="I7" s="152">
        <v>4100</v>
      </c>
      <c r="J7" s="152">
        <f t="shared" si="1"/>
        <v>0</v>
      </c>
    </row>
    <row r="8" spans="1:10" x14ac:dyDescent="0.25">
      <c r="A8" s="289" t="s">
        <v>661</v>
      </c>
      <c r="B8" s="208">
        <v>5</v>
      </c>
      <c r="C8" s="289"/>
      <c r="D8" s="289"/>
      <c r="E8" s="290">
        <f>'SEPT 21'!J8:J41</f>
        <v>0</v>
      </c>
      <c r="F8" s="290">
        <v>100</v>
      </c>
      <c r="G8" s="290">
        <v>4000</v>
      </c>
      <c r="H8" s="290">
        <f>C8-D9+E8+F8+G8</f>
        <v>4100</v>
      </c>
      <c r="I8" s="152">
        <v>4100</v>
      </c>
      <c r="J8" s="152">
        <f t="shared" si="1"/>
        <v>0</v>
      </c>
    </row>
    <row r="9" spans="1:10" x14ac:dyDescent="0.25">
      <c r="A9" s="152" t="s">
        <v>748</v>
      </c>
      <c r="B9" s="208">
        <v>6</v>
      </c>
      <c r="C9" s="289">
        <v>710</v>
      </c>
      <c r="D9" s="152"/>
      <c r="E9" s="290"/>
      <c r="F9" s="152">
        <v>100</v>
      </c>
      <c r="G9" s="152">
        <v>2700</v>
      </c>
      <c r="H9" s="290">
        <f t="shared" si="0"/>
        <v>3510</v>
      </c>
      <c r="I9" s="152">
        <v>2800</v>
      </c>
      <c r="J9" s="152">
        <f t="shared" si="1"/>
        <v>710</v>
      </c>
    </row>
    <row r="10" spans="1:10" x14ac:dyDescent="0.25">
      <c r="A10" s="334" t="s">
        <v>446</v>
      </c>
      <c r="B10" s="292">
        <v>7</v>
      </c>
      <c r="C10" s="289"/>
      <c r="D10" s="289"/>
      <c r="E10" s="290">
        <f>'SEPT 21'!J10:J43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</row>
    <row r="11" spans="1:10" x14ac:dyDescent="0.25">
      <c r="A11" s="172" t="s">
        <v>672</v>
      </c>
      <c r="B11" s="292">
        <v>8</v>
      </c>
      <c r="C11" s="289"/>
      <c r="D11" s="289"/>
      <c r="E11" s="290">
        <f>'SEPT 21'!J11:J44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</row>
    <row r="12" spans="1:10" x14ac:dyDescent="0.25">
      <c r="A12" s="289" t="s">
        <v>594</v>
      </c>
      <c r="B12" s="208">
        <v>9</v>
      </c>
      <c r="C12" s="289"/>
      <c r="D12" s="289"/>
      <c r="E12" s="290">
        <f>'SEPT 21'!J12:J45</f>
        <v>550</v>
      </c>
      <c r="F12" s="290">
        <v>100</v>
      </c>
      <c r="G12" s="290">
        <v>2700</v>
      </c>
      <c r="H12" s="290">
        <f t="shared" si="0"/>
        <v>3350</v>
      </c>
      <c r="I12" s="152">
        <v>2800</v>
      </c>
      <c r="J12" s="152">
        <f t="shared" si="1"/>
        <v>550</v>
      </c>
    </row>
    <row r="13" spans="1:10" x14ac:dyDescent="0.25">
      <c r="A13" s="152" t="s">
        <v>503</v>
      </c>
      <c r="B13" s="152">
        <v>10</v>
      </c>
      <c r="C13" s="289"/>
      <c r="D13" s="152"/>
      <c r="E13" s="290">
        <f>'SEPT 21'!J13:J46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</row>
    <row r="14" spans="1:10" x14ac:dyDescent="0.25">
      <c r="A14" s="152" t="s">
        <v>589</v>
      </c>
      <c r="B14" s="208">
        <v>11</v>
      </c>
      <c r="C14" s="289"/>
      <c r="D14" s="289"/>
      <c r="E14" s="290">
        <f>'SEPT 21'!J14:J47</f>
        <v>1700</v>
      </c>
      <c r="F14" s="290">
        <v>100</v>
      </c>
      <c r="G14" s="290">
        <v>2700</v>
      </c>
      <c r="H14" s="290">
        <f t="shared" si="0"/>
        <v>4500</v>
      </c>
      <c r="I14" s="152">
        <f>2800</f>
        <v>2800</v>
      </c>
      <c r="J14" s="152">
        <f t="shared" si="1"/>
        <v>1700</v>
      </c>
    </row>
    <row r="15" spans="1:10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v>2800</v>
      </c>
      <c r="J15" s="152">
        <f t="shared" si="1"/>
        <v>1700</v>
      </c>
    </row>
    <row r="16" spans="1:10" x14ac:dyDescent="0.25">
      <c r="A16" s="291" t="s">
        <v>758</v>
      </c>
      <c r="B16" s="208">
        <v>13</v>
      </c>
      <c r="C16" s="289">
        <v>2700</v>
      </c>
      <c r="D16" s="289"/>
      <c r="E16" s="290"/>
      <c r="F16" s="290">
        <v>100</v>
      </c>
      <c r="G16" s="293">
        <v>2700</v>
      </c>
      <c r="H16" s="290">
        <f t="shared" si="0"/>
        <v>5500</v>
      </c>
      <c r="I16" s="152">
        <v>5500</v>
      </c>
      <c r="J16" s="152">
        <f>H16-I16</f>
        <v>0</v>
      </c>
    </row>
    <row r="17" spans="1:10" x14ac:dyDescent="0.25">
      <c r="A17" s="289" t="s">
        <v>473</v>
      </c>
      <c r="B17" s="208">
        <v>14</v>
      </c>
      <c r="C17" s="289"/>
      <c r="D17" s="289"/>
      <c r="E17" s="290">
        <f>'SEPT 21'!J17:J50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</row>
    <row r="18" spans="1:10" x14ac:dyDescent="0.25">
      <c r="A18" s="334" t="s">
        <v>521</v>
      </c>
      <c r="B18" s="208">
        <v>15</v>
      </c>
      <c r="C18" s="289"/>
      <c r="D18" s="289"/>
      <c r="E18" s="290">
        <f>'SEPT 21'!J18:J51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</row>
    <row r="19" spans="1:10" x14ac:dyDescent="0.25">
      <c r="A19" s="289" t="s">
        <v>521</v>
      </c>
      <c r="B19" s="208">
        <v>16</v>
      </c>
      <c r="C19" s="289"/>
      <c r="D19" s="289"/>
      <c r="E19" s="290">
        <f>'SEPT 21'!J19:J52</f>
        <v>500</v>
      </c>
      <c r="F19" s="290">
        <v>100</v>
      </c>
      <c r="G19" s="290">
        <v>3000</v>
      </c>
      <c r="H19" s="290">
        <f t="shared" si="0"/>
        <v>3600</v>
      </c>
      <c r="I19" s="152">
        <f>3000</f>
        <v>3000</v>
      </c>
      <c r="J19" s="152">
        <f t="shared" si="1"/>
        <v>600</v>
      </c>
    </row>
    <row r="20" spans="1:10" x14ac:dyDescent="0.25">
      <c r="A20" s="291" t="s">
        <v>492</v>
      </c>
      <c r="B20" s="208">
        <v>17</v>
      </c>
      <c r="C20" s="289"/>
      <c r="D20" s="289"/>
      <c r="E20" s="290">
        <f>'SEPT 21'!J20:J53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</row>
    <row r="21" spans="1:10" x14ac:dyDescent="0.25">
      <c r="A21" s="289" t="s">
        <v>731</v>
      </c>
      <c r="B21" s="208">
        <v>18</v>
      </c>
      <c r="C21" s="289"/>
      <c r="D21" s="289"/>
      <c r="E21" s="290">
        <f>'SEPT 21'!J21:J54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</row>
    <row r="22" spans="1:10" x14ac:dyDescent="0.25">
      <c r="A22" s="311" t="s">
        <v>690</v>
      </c>
      <c r="B22" s="312">
        <v>19</v>
      </c>
      <c r="C22" s="289"/>
      <c r="D22" s="289"/>
      <c r="E22" s="290">
        <f>'SEPT 21'!J22:J55</f>
        <v>300</v>
      </c>
      <c r="F22" s="313">
        <v>100</v>
      </c>
      <c r="G22" s="313">
        <v>2700</v>
      </c>
      <c r="H22" s="290">
        <f t="shared" si="0"/>
        <v>3100</v>
      </c>
      <c r="I22" s="152">
        <v>2800</v>
      </c>
      <c r="J22" s="152">
        <f t="shared" si="1"/>
        <v>300</v>
      </c>
    </row>
    <row r="23" spans="1:10" x14ac:dyDescent="0.25">
      <c r="A23" s="289" t="s">
        <v>754</v>
      </c>
      <c r="B23" s="208">
        <v>20</v>
      </c>
      <c r="C23" s="289">
        <v>3700</v>
      </c>
      <c r="D23" s="129"/>
      <c r="E23" s="290">
        <f>'SEPT 21'!J23:J56</f>
        <v>0</v>
      </c>
      <c r="F23" s="290">
        <v>100</v>
      </c>
      <c r="G23" s="290">
        <v>3700</v>
      </c>
      <c r="H23" s="290">
        <f>C23-D20+E23+F23+G23</f>
        <v>7500</v>
      </c>
      <c r="I23" s="152">
        <v>5500</v>
      </c>
      <c r="J23" s="152">
        <f t="shared" si="1"/>
        <v>2000</v>
      </c>
    </row>
    <row r="24" spans="1:10" x14ac:dyDescent="0.25">
      <c r="A24" s="172" t="s">
        <v>522</v>
      </c>
      <c r="B24" s="208">
        <v>21</v>
      </c>
      <c r="C24" s="289"/>
      <c r="D24" s="129"/>
      <c r="E24" s="290">
        <f>'SEPT 21'!J24:J57</f>
        <v>4200</v>
      </c>
      <c r="F24" s="290">
        <v>100</v>
      </c>
      <c r="G24" s="290">
        <v>3500</v>
      </c>
      <c r="H24" s="290">
        <f>C24-D21+E24+F24+G24</f>
        <v>7800</v>
      </c>
      <c r="I24" s="152">
        <v>5000</v>
      </c>
      <c r="J24" s="152">
        <f t="shared" si="1"/>
        <v>2800</v>
      </c>
    </row>
    <row r="25" spans="1:10" x14ac:dyDescent="0.25">
      <c r="A25" s="289" t="s">
        <v>435</v>
      </c>
      <c r="B25" s="208">
        <v>22</v>
      </c>
      <c r="C25" s="289"/>
      <c r="D25" s="129"/>
      <c r="E25" s="290">
        <f>'SEPT 21'!J25:J58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</row>
    <row r="26" spans="1:10" x14ac:dyDescent="0.25">
      <c r="A26" s="289" t="s">
        <v>456</v>
      </c>
      <c r="B26" s="208">
        <v>23</v>
      </c>
      <c r="C26" s="289"/>
      <c r="D26" s="289"/>
      <c r="E26" s="290">
        <f>'SEPT 21'!J26:J59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</row>
    <row r="27" spans="1:10" x14ac:dyDescent="0.25">
      <c r="A27" s="289" t="s">
        <v>760</v>
      </c>
      <c r="B27" s="208">
        <v>24</v>
      </c>
      <c r="C27" s="289">
        <v>3700</v>
      </c>
      <c r="D27" s="289"/>
      <c r="E27" s="290">
        <f>'SEPT 21'!J27:J60</f>
        <v>0</v>
      </c>
      <c r="F27" s="290">
        <v>200</v>
      </c>
      <c r="G27" s="289">
        <v>3700</v>
      </c>
      <c r="H27" s="290">
        <f t="shared" si="0"/>
        <v>7600</v>
      </c>
      <c r="I27" s="152">
        <v>7600</v>
      </c>
      <c r="J27" s="152">
        <f t="shared" si="1"/>
        <v>0</v>
      </c>
    </row>
    <row r="28" spans="1:10" x14ac:dyDescent="0.25">
      <c r="A28" s="289" t="s">
        <v>462</v>
      </c>
      <c r="B28" s="208">
        <v>25</v>
      </c>
      <c r="C28" s="289"/>
      <c r="D28" s="289"/>
      <c r="E28" s="290">
        <f>'SEPT 21'!J28:J61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</row>
    <row r="29" spans="1:10" x14ac:dyDescent="0.25">
      <c r="A29" s="289" t="s">
        <v>658</v>
      </c>
      <c r="B29" s="208">
        <v>26</v>
      </c>
      <c r="C29" s="289"/>
      <c r="D29" s="289"/>
      <c r="E29" s="290">
        <f>'SEPT 21'!J29:J62</f>
        <v>4800</v>
      </c>
      <c r="F29" s="290">
        <v>100</v>
      </c>
      <c r="G29" s="290">
        <v>3300</v>
      </c>
      <c r="H29" s="290">
        <f t="shared" si="0"/>
        <v>8200</v>
      </c>
      <c r="I29" s="152"/>
      <c r="J29" s="152">
        <f>H29-I29</f>
        <v>8200</v>
      </c>
    </row>
    <row r="30" spans="1:10" x14ac:dyDescent="0.25">
      <c r="A30" s="289" t="s">
        <v>708</v>
      </c>
      <c r="B30" s="208">
        <v>27</v>
      </c>
      <c r="C30" s="289"/>
      <c r="D30" s="289"/>
      <c r="E30" s="290">
        <f>'SEPT 21'!J30:J63</f>
        <v>900</v>
      </c>
      <c r="F30" s="290">
        <v>100</v>
      </c>
      <c r="G30" s="290">
        <v>3300</v>
      </c>
      <c r="H30" s="290">
        <f t="shared" si="0"/>
        <v>4300</v>
      </c>
      <c r="I30" s="152">
        <v>4300</v>
      </c>
      <c r="J30" s="152">
        <f t="shared" si="1"/>
        <v>0</v>
      </c>
    </row>
    <row r="31" spans="1:10" x14ac:dyDescent="0.25">
      <c r="A31" s="289" t="s">
        <v>751</v>
      </c>
      <c r="B31" s="208">
        <v>28</v>
      </c>
      <c r="C31" s="289"/>
      <c r="D31" s="289"/>
      <c r="E31" s="290">
        <f>'SEPT 21'!J31:J64</f>
        <v>0</v>
      </c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1"/>
        <v>0</v>
      </c>
    </row>
    <row r="32" spans="1:10" x14ac:dyDescent="0.25">
      <c r="A32" s="289" t="s">
        <v>759</v>
      </c>
      <c r="B32" s="208">
        <v>29</v>
      </c>
      <c r="C32" s="289">
        <v>3400</v>
      </c>
      <c r="D32" s="289"/>
      <c r="E32" s="290">
        <f>'SEPT 21'!J32:J65</f>
        <v>0</v>
      </c>
      <c r="F32" s="290">
        <v>100</v>
      </c>
      <c r="G32" s="290">
        <v>3300</v>
      </c>
      <c r="H32" s="290">
        <f t="shared" si="0"/>
        <v>6800</v>
      </c>
      <c r="I32" s="152">
        <v>3400</v>
      </c>
      <c r="J32" s="152">
        <f t="shared" si="1"/>
        <v>3400</v>
      </c>
    </row>
    <row r="33" spans="1:14" x14ac:dyDescent="0.25">
      <c r="A33" s="172" t="s">
        <v>699</v>
      </c>
      <c r="B33" s="208">
        <v>30</v>
      </c>
      <c r="C33" s="289"/>
      <c r="D33" s="289"/>
      <c r="E33" s="290">
        <f>'SEPT 21'!J33:J66</f>
        <v>1100</v>
      </c>
      <c r="F33" s="290">
        <v>100</v>
      </c>
      <c r="G33" s="290">
        <v>3200</v>
      </c>
      <c r="H33" s="290">
        <f t="shared" si="0"/>
        <v>4400</v>
      </c>
      <c r="I33" s="152">
        <f>4400</f>
        <v>4400</v>
      </c>
      <c r="J33" s="152">
        <f t="shared" si="1"/>
        <v>0</v>
      </c>
    </row>
    <row r="34" spans="1:14" x14ac:dyDescent="0.25">
      <c r="A34" s="289" t="s">
        <v>656</v>
      </c>
      <c r="B34" s="208">
        <v>31</v>
      </c>
      <c r="C34" s="289"/>
      <c r="D34" s="289"/>
      <c r="E34" s="290">
        <f>'SEPT 21'!J34:J67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</row>
    <row r="35" spans="1:14" x14ac:dyDescent="0.25">
      <c r="A35" s="289" t="s">
        <v>732</v>
      </c>
      <c r="B35" s="208">
        <v>32</v>
      </c>
      <c r="C35" s="289">
        <v>500</v>
      </c>
      <c r="D35" s="289"/>
      <c r="E35" s="290"/>
      <c r="F35" s="290">
        <v>100</v>
      </c>
      <c r="G35" s="290">
        <v>2700</v>
      </c>
      <c r="H35" s="290">
        <f t="shared" si="0"/>
        <v>3300</v>
      </c>
      <c r="I35" s="152">
        <v>3300</v>
      </c>
      <c r="J35" s="152">
        <f t="shared" si="1"/>
        <v>0</v>
      </c>
    </row>
    <row r="36" spans="1:14" x14ac:dyDescent="0.25">
      <c r="A36" s="289" t="s">
        <v>695</v>
      </c>
      <c r="B36" s="208">
        <v>33</v>
      </c>
      <c r="C36" s="289"/>
      <c r="D36" s="152"/>
      <c r="E36" s="290">
        <f>'SEPT 21'!J36:J69</f>
        <v>400</v>
      </c>
      <c r="F36" s="152">
        <v>100</v>
      </c>
      <c r="G36" s="152">
        <v>2700</v>
      </c>
      <c r="H36" s="290">
        <f t="shared" si="0"/>
        <v>3200</v>
      </c>
      <c r="I36" s="152">
        <v>3200</v>
      </c>
      <c r="J36" s="152">
        <f t="shared" si="1"/>
        <v>0</v>
      </c>
    </row>
    <row r="37" spans="1:14" x14ac:dyDescent="0.25">
      <c r="A37" s="325" t="s">
        <v>4</v>
      </c>
      <c r="B37" s="326"/>
      <c r="C37" s="326">
        <f t="shared" ref="C37:I37" si="2">SUM(C4:C36)</f>
        <v>16410</v>
      </c>
      <c r="D37" s="326">
        <f t="shared" si="2"/>
        <v>0</v>
      </c>
      <c r="E37" s="290">
        <f>'SEPT 21'!J37:J70</f>
        <v>22760</v>
      </c>
      <c r="F37" s="327">
        <f t="shared" si="2"/>
        <v>3200</v>
      </c>
      <c r="G37" s="327">
        <f t="shared" si="2"/>
        <v>98100</v>
      </c>
      <c r="H37" s="327">
        <f t="shared" si="2"/>
        <v>132160</v>
      </c>
      <c r="I37" s="152">
        <f t="shared" si="2"/>
        <v>110200</v>
      </c>
      <c r="J37" s="152">
        <f>H37-I37</f>
        <v>21960</v>
      </c>
    </row>
    <row r="38" spans="1:14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21960</v>
      </c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21960</v>
      </c>
    </row>
    <row r="40" spans="1:14" x14ac:dyDescent="0.25">
      <c r="A40" s="152" t="s">
        <v>159</v>
      </c>
      <c r="B40" s="300">
        <f>G37</f>
        <v>98100</v>
      </c>
      <c r="C40" s="152"/>
      <c r="D40" s="152"/>
      <c r="E40" s="152"/>
      <c r="F40" s="152" t="s">
        <v>159</v>
      </c>
      <c r="G40" s="300">
        <f>I37</f>
        <v>110200</v>
      </c>
      <c r="H40" s="152"/>
      <c r="I40" s="152"/>
      <c r="J40" s="335"/>
    </row>
    <row r="41" spans="1:14" x14ac:dyDescent="0.25">
      <c r="A41" s="152" t="s">
        <v>761</v>
      </c>
      <c r="B41" s="300">
        <f>C27+C16+1800</f>
        <v>8200</v>
      </c>
      <c r="C41" s="152"/>
      <c r="D41" s="152"/>
      <c r="E41" s="152"/>
      <c r="F41" s="152"/>
      <c r="G41" s="300"/>
      <c r="H41" s="152"/>
      <c r="I41" s="152"/>
      <c r="J41" s="286"/>
    </row>
    <row r="42" spans="1:14" x14ac:dyDescent="0.25">
      <c r="A42" s="152" t="s">
        <v>368</v>
      </c>
      <c r="B42" s="300">
        <f>'SEPT 21'!D51</f>
        <v>-16115.069999999992</v>
      </c>
      <c r="C42" s="152"/>
      <c r="D42" s="152"/>
      <c r="E42" s="152"/>
      <c r="F42" s="152" t="s">
        <v>368</v>
      </c>
      <c r="G42" s="300">
        <f>'SEPT 21'!I51</f>
        <v>-17165.97</v>
      </c>
      <c r="H42" s="152"/>
      <c r="I42" s="152"/>
      <c r="J42" s="286"/>
      <c r="N42" s="332"/>
    </row>
    <row r="43" spans="1:14" x14ac:dyDescent="0.25">
      <c r="A43" s="152" t="s">
        <v>410</v>
      </c>
      <c r="B43" s="301">
        <v>0.1</v>
      </c>
      <c r="C43" s="300">
        <f>B43*B40</f>
        <v>9810</v>
      </c>
      <c r="D43" s="152"/>
      <c r="E43" s="152"/>
      <c r="F43" s="152" t="s">
        <v>410</v>
      </c>
      <c r="G43" s="301">
        <v>0.1</v>
      </c>
      <c r="H43" s="300">
        <f>G43*B40</f>
        <v>9810</v>
      </c>
      <c r="I43" s="152"/>
      <c r="J43" s="286"/>
      <c r="N43" s="332"/>
    </row>
    <row r="44" spans="1:14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</row>
    <row r="46" spans="1:14" x14ac:dyDescent="0.25">
      <c r="A46" s="303" t="s">
        <v>133</v>
      </c>
      <c r="B46" s="301"/>
      <c r="C46" s="152">
        <v>4150</v>
      </c>
      <c r="D46" s="152"/>
      <c r="E46" s="152"/>
      <c r="F46" s="303"/>
      <c r="G46" s="301"/>
      <c r="H46" s="152"/>
      <c r="I46" s="152"/>
      <c r="J46" s="8"/>
      <c r="N46" s="332"/>
    </row>
    <row r="47" spans="1:14" x14ac:dyDescent="0.25">
      <c r="A47" s="303" t="s">
        <v>764</v>
      </c>
      <c r="B47" s="301"/>
      <c r="C47" s="152">
        <v>85140</v>
      </c>
      <c r="D47" s="152"/>
      <c r="E47" s="152"/>
      <c r="F47" s="303" t="s">
        <v>764</v>
      </c>
      <c r="G47" s="301"/>
      <c r="H47" s="152">
        <v>85140</v>
      </c>
      <c r="I47" s="152"/>
      <c r="J47" s="8"/>
    </row>
    <row r="48" spans="1:14" x14ac:dyDescent="0.25">
      <c r="A48" s="303"/>
      <c r="B48" s="301"/>
      <c r="C48" s="152"/>
      <c r="D48" s="152"/>
      <c r="E48" s="152"/>
      <c r="F48" s="303"/>
      <c r="G48" s="301"/>
      <c r="H48" s="152"/>
      <c r="I48" s="152"/>
      <c r="J48" s="8"/>
      <c r="N48" s="332"/>
    </row>
    <row r="49" spans="1:14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</row>
    <row r="50" spans="1:14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N50" s="332"/>
    </row>
    <row r="51" spans="1:14" x14ac:dyDescent="0.25">
      <c r="A51" s="296" t="s">
        <v>4</v>
      </c>
      <c r="B51" s="309">
        <f>B40+B41+B42-C43</f>
        <v>80374.930000000008</v>
      </c>
      <c r="C51" s="309">
        <f>SUM(C44:C50)</f>
        <v>89290</v>
      </c>
      <c r="D51" s="309">
        <f>B51-C51</f>
        <v>-8915.0699999999924</v>
      </c>
      <c r="E51" s="297"/>
      <c r="F51" s="296" t="s">
        <v>4</v>
      </c>
      <c r="G51" s="300">
        <f>G40+G41+G42-H43</f>
        <v>83224.03</v>
      </c>
      <c r="H51" s="300">
        <f>SUM(H44:H50 )</f>
        <v>85140</v>
      </c>
      <c r="I51" s="300">
        <f>G51-H51</f>
        <v>-1915.9700000000012</v>
      </c>
      <c r="J51" s="152"/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N52" s="332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</row>
    <row r="63" spans="1:14" x14ac:dyDescent="0.25">
      <c r="F63" s="332">
        <f>B40+B41</f>
        <v>106300</v>
      </c>
    </row>
    <row r="64" spans="1:14" x14ac:dyDescent="0.25">
      <c r="F64" s="332">
        <f>F63-C43</f>
        <v>96490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5" workbookViewId="0">
      <selection activeCell="E54" sqref="E54"/>
    </sheetView>
  </sheetViews>
  <sheetFormatPr defaultRowHeight="15" x14ac:dyDescent="0.25"/>
  <cols>
    <col min="1" max="1" width="17.28515625" style="129" customWidth="1"/>
    <col min="2" max="12" width="9.140625" style="129"/>
    <col min="13" max="13" width="9.140625" style="129" customWidth="1"/>
    <col min="14" max="16384" width="9.140625" style="129"/>
  </cols>
  <sheetData>
    <row r="1" spans="1:12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2" x14ac:dyDescent="0.25">
      <c r="C2" s="286" t="s">
        <v>766</v>
      </c>
      <c r="D2" s="286"/>
      <c r="E2" s="286"/>
      <c r="G2" s="23"/>
      <c r="H2" s="23"/>
      <c r="I2" s="31"/>
      <c r="J2" s="31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'OCTOBER  21'!J4:J36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</row>
    <row r="5" spans="1:12" x14ac:dyDescent="0.25">
      <c r="A5" s="291" t="s">
        <v>770</v>
      </c>
      <c r="B5" s="208">
        <v>2</v>
      </c>
      <c r="C5" s="289">
        <v>3400</v>
      </c>
      <c r="D5" s="289"/>
      <c r="E5" s="290">
        <f>'OCTOBER  21'!J5:J37</f>
        <v>0</v>
      </c>
      <c r="F5" s="290"/>
      <c r="G5" s="290">
        <v>1650</v>
      </c>
      <c r="H5" s="290">
        <f>C5-D5+E5+F5+G5</f>
        <v>5050</v>
      </c>
      <c r="I5" s="152">
        <v>4000</v>
      </c>
      <c r="J5" s="152">
        <f>H5-I5</f>
        <v>1050</v>
      </c>
    </row>
    <row r="6" spans="1:12" x14ac:dyDescent="0.25">
      <c r="A6" s="289" t="s">
        <v>560</v>
      </c>
      <c r="B6" s="208">
        <v>3</v>
      </c>
      <c r="C6" s="289"/>
      <c r="D6" s="289"/>
      <c r="E6" s="290">
        <f>'SEPT 21'!J6:J39</f>
        <v>0</v>
      </c>
      <c r="F6" s="290">
        <v>100</v>
      </c>
      <c r="G6" s="290">
        <v>2700</v>
      </c>
      <c r="H6" s="290">
        <f t="shared" ref="H6" si="0">C6-D6+E6+F6+G6</f>
        <v>2800</v>
      </c>
      <c r="I6" s="152"/>
      <c r="J6" s="152">
        <f t="shared" ref="J6" si="1">H6-I6</f>
        <v>2800</v>
      </c>
    </row>
    <row r="7" spans="1:12" x14ac:dyDescent="0.25">
      <c r="A7" s="289" t="s">
        <v>765</v>
      </c>
      <c r="B7" s="208">
        <v>4</v>
      </c>
      <c r="C7" s="289"/>
      <c r="E7" s="290">
        <f>'OCTOBER  21'!J7:J39</f>
        <v>0</v>
      </c>
      <c r="F7" s="290">
        <v>100</v>
      </c>
      <c r="G7" s="290">
        <v>4000</v>
      </c>
      <c r="H7" s="290">
        <f>C7-D8+E7+F7+G7</f>
        <v>4100</v>
      </c>
      <c r="I7" s="152">
        <v>4100</v>
      </c>
      <c r="J7" s="152">
        <f t="shared" ref="J7:J36" si="2">H7-I7</f>
        <v>0</v>
      </c>
    </row>
    <row r="8" spans="1:12" x14ac:dyDescent="0.25">
      <c r="A8" s="289" t="s">
        <v>661</v>
      </c>
      <c r="B8" s="208">
        <v>5</v>
      </c>
      <c r="C8" s="289"/>
      <c r="D8" s="289"/>
      <c r="E8" s="290">
        <f>'OCTOBER  21'!J8:J40</f>
        <v>0</v>
      </c>
      <c r="F8" s="290">
        <v>100</v>
      </c>
      <c r="G8" s="290">
        <v>4000</v>
      </c>
      <c r="H8" s="290">
        <f>C8-D9+E8+F8+G8</f>
        <v>4100</v>
      </c>
      <c r="I8" s="152">
        <f>1300+2800</f>
        <v>4100</v>
      </c>
      <c r="J8" s="152">
        <f t="shared" si="2"/>
        <v>0</v>
      </c>
      <c r="L8" s="129">
        <f>I5-G5</f>
        <v>2350</v>
      </c>
    </row>
    <row r="9" spans="1:12" x14ac:dyDescent="0.25">
      <c r="A9" s="289" t="s">
        <v>759</v>
      </c>
      <c r="B9" s="208">
        <v>6</v>
      </c>
      <c r="C9" s="289">
        <v>2700</v>
      </c>
      <c r="D9" s="289"/>
      <c r="E9" s="290"/>
      <c r="F9" s="290">
        <v>100</v>
      </c>
      <c r="G9" s="290">
        <v>2700</v>
      </c>
      <c r="H9" s="290">
        <f>C9-D9+E9+F9+G9</f>
        <v>5500</v>
      </c>
      <c r="I9" s="152"/>
      <c r="J9" s="152">
        <f>H9-I9</f>
        <v>5500</v>
      </c>
    </row>
    <row r="10" spans="1:12" x14ac:dyDescent="0.25">
      <c r="A10" s="334" t="s">
        <v>446</v>
      </c>
      <c r="B10" s="292">
        <v>7</v>
      </c>
      <c r="C10" s="289"/>
      <c r="D10" s="289"/>
      <c r="E10" s="290">
        <f>'OCTOBER  21'!J10:J42</f>
        <v>0</v>
      </c>
      <c r="F10" s="290"/>
      <c r="G10" s="290"/>
      <c r="H10" s="290">
        <f t="shared" ref="H10:H36" si="3">C10-D10+E10+F10+G10</f>
        <v>0</v>
      </c>
      <c r="I10" s="152"/>
      <c r="J10" s="152">
        <f t="shared" si="2"/>
        <v>0</v>
      </c>
    </row>
    <row r="11" spans="1:12" x14ac:dyDescent="0.25">
      <c r="A11" s="172" t="s">
        <v>672</v>
      </c>
      <c r="B11" s="292">
        <v>8</v>
      </c>
      <c r="C11" s="289"/>
      <c r="D11" s="289"/>
      <c r="E11" s="290">
        <f>'OCTOBER  21'!J11:J43</f>
        <v>0</v>
      </c>
      <c r="F11" s="290">
        <v>100</v>
      </c>
      <c r="G11" s="290">
        <v>2700</v>
      </c>
      <c r="H11" s="290">
        <f t="shared" si="3"/>
        <v>2800</v>
      </c>
      <c r="I11" s="152">
        <v>2800</v>
      </c>
      <c r="J11" s="152">
        <f t="shared" si="2"/>
        <v>0</v>
      </c>
    </row>
    <row r="12" spans="1:12" x14ac:dyDescent="0.25">
      <c r="A12" s="289" t="s">
        <v>594</v>
      </c>
      <c r="B12" s="208">
        <v>9</v>
      </c>
      <c r="C12" s="289"/>
      <c r="D12" s="289"/>
      <c r="E12" s="290">
        <f>'OCTOBER  21'!J12:J44</f>
        <v>550</v>
      </c>
      <c r="F12" s="290">
        <v>100</v>
      </c>
      <c r="G12" s="290">
        <v>2700</v>
      </c>
      <c r="H12" s="290">
        <f t="shared" si="3"/>
        <v>3350</v>
      </c>
      <c r="I12" s="152">
        <v>2800</v>
      </c>
      <c r="J12" s="152">
        <f t="shared" si="2"/>
        <v>550</v>
      </c>
    </row>
    <row r="13" spans="1:12" x14ac:dyDescent="0.25">
      <c r="A13" s="152" t="s">
        <v>503</v>
      </c>
      <c r="B13" s="152">
        <v>10</v>
      </c>
      <c r="C13" s="289"/>
      <c r="D13" s="152"/>
      <c r="E13" s="290">
        <f>'OCTOBER  21'!J13:J45</f>
        <v>0</v>
      </c>
      <c r="F13" s="152">
        <v>100</v>
      </c>
      <c r="G13" s="290">
        <v>2700</v>
      </c>
      <c r="H13" s="290">
        <f t="shared" si="3"/>
        <v>2800</v>
      </c>
      <c r="I13" s="152">
        <v>2800</v>
      </c>
      <c r="J13" s="152">
        <f t="shared" si="2"/>
        <v>0</v>
      </c>
    </row>
    <row r="14" spans="1:12" x14ac:dyDescent="0.25">
      <c r="A14" s="152" t="s">
        <v>589</v>
      </c>
      <c r="B14" s="208">
        <v>11</v>
      </c>
      <c r="C14" s="289"/>
      <c r="D14" s="289"/>
      <c r="E14" s="290">
        <f>'OCTOBER  21'!J14:J46</f>
        <v>1700</v>
      </c>
      <c r="F14" s="290">
        <v>100</v>
      </c>
      <c r="G14" s="290">
        <v>2700</v>
      </c>
      <c r="H14" s="290">
        <f t="shared" si="3"/>
        <v>4500</v>
      </c>
      <c r="I14" s="152">
        <v>3000</v>
      </c>
      <c r="J14" s="152">
        <f t="shared" si="2"/>
        <v>1500</v>
      </c>
    </row>
    <row r="15" spans="1:12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3"/>
        <v>4500</v>
      </c>
      <c r="I15" s="152">
        <v>2800</v>
      </c>
      <c r="J15" s="152">
        <f t="shared" si="2"/>
        <v>1700</v>
      </c>
    </row>
    <row r="16" spans="1:12" x14ac:dyDescent="0.25">
      <c r="A16" s="291" t="s">
        <v>758</v>
      </c>
      <c r="B16" s="208">
        <v>13</v>
      </c>
      <c r="C16" s="289"/>
      <c r="D16" s="289"/>
      <c r="E16" s="290">
        <f>'OCTOBER  21'!J16:J48</f>
        <v>0</v>
      </c>
      <c r="F16" s="290">
        <v>100</v>
      </c>
      <c r="G16" s="293">
        <v>2700</v>
      </c>
      <c r="H16" s="290">
        <f t="shared" si="3"/>
        <v>2800</v>
      </c>
      <c r="I16" s="152">
        <v>2800</v>
      </c>
      <c r="J16" s="152">
        <f>H16-I16</f>
        <v>0</v>
      </c>
    </row>
    <row r="17" spans="1:12" x14ac:dyDescent="0.25">
      <c r="A17" s="289" t="s">
        <v>473</v>
      </c>
      <c r="B17" s="208">
        <v>14</v>
      </c>
      <c r="C17" s="289"/>
      <c r="D17" s="289"/>
      <c r="E17" s="290">
        <f>'OCTOBER  21'!J17:J49</f>
        <v>0</v>
      </c>
      <c r="F17" s="290">
        <v>100</v>
      </c>
      <c r="G17" s="290">
        <v>2700</v>
      </c>
      <c r="H17" s="290">
        <f t="shared" si="3"/>
        <v>2800</v>
      </c>
      <c r="I17" s="152">
        <v>2800</v>
      </c>
      <c r="J17" s="152">
        <f t="shared" si="2"/>
        <v>0</v>
      </c>
    </row>
    <row r="18" spans="1:12" x14ac:dyDescent="0.25">
      <c r="A18" s="334" t="s">
        <v>521</v>
      </c>
      <c r="B18" s="208">
        <v>15</v>
      </c>
      <c r="C18" s="289"/>
      <c r="D18" s="289"/>
      <c r="E18" s="290">
        <f>'OCTOBER  21'!J18:J50</f>
        <v>0</v>
      </c>
      <c r="F18" s="290"/>
      <c r="G18" s="290"/>
      <c r="H18" s="290">
        <f t="shared" si="3"/>
        <v>0</v>
      </c>
      <c r="I18" s="152"/>
      <c r="J18" s="152">
        <f t="shared" si="2"/>
        <v>0</v>
      </c>
      <c r="L18" s="129">
        <f>3300/2</f>
        <v>1650</v>
      </c>
    </row>
    <row r="19" spans="1:12" x14ac:dyDescent="0.25">
      <c r="A19" s="289" t="s">
        <v>521</v>
      </c>
      <c r="B19" s="208">
        <v>16</v>
      </c>
      <c r="C19" s="289"/>
      <c r="D19" s="289"/>
      <c r="E19" s="290">
        <f>'OCTOBER  21'!J19:J51</f>
        <v>600</v>
      </c>
      <c r="F19" s="290">
        <v>100</v>
      </c>
      <c r="G19" s="290">
        <v>3000</v>
      </c>
      <c r="H19" s="290">
        <f t="shared" si="3"/>
        <v>3700</v>
      </c>
      <c r="I19" s="152">
        <v>3100</v>
      </c>
      <c r="J19" s="152">
        <f t="shared" si="2"/>
        <v>600</v>
      </c>
      <c r="L19" s="129">
        <v>165</v>
      </c>
    </row>
    <row r="20" spans="1:12" x14ac:dyDescent="0.25">
      <c r="A20" s="291" t="s">
        <v>492</v>
      </c>
      <c r="B20" s="208">
        <v>17</v>
      </c>
      <c r="C20" s="289"/>
      <c r="D20" s="289"/>
      <c r="E20" s="290">
        <f>'OCTOBER  21'!J20:J52</f>
        <v>0</v>
      </c>
      <c r="F20" s="152">
        <v>100</v>
      </c>
      <c r="G20" s="294">
        <v>3000</v>
      </c>
      <c r="H20" s="290">
        <f t="shared" si="3"/>
        <v>3100</v>
      </c>
      <c r="I20" s="152">
        <f>2000+100+1000</f>
        <v>3100</v>
      </c>
      <c r="J20" s="152">
        <f t="shared" si="2"/>
        <v>0</v>
      </c>
      <c r="L20" s="129">
        <f>L18-L19</f>
        <v>1485</v>
      </c>
    </row>
    <row r="21" spans="1:12" x14ac:dyDescent="0.25">
      <c r="A21" s="289" t="s">
        <v>731</v>
      </c>
      <c r="B21" s="208">
        <v>18</v>
      </c>
      <c r="C21" s="289"/>
      <c r="D21" s="289"/>
      <c r="E21" s="290">
        <f>'OCTOBER  21'!J21:J53</f>
        <v>0</v>
      </c>
      <c r="F21" s="290">
        <v>100</v>
      </c>
      <c r="G21" s="290">
        <v>2700</v>
      </c>
      <c r="H21" s="290">
        <f t="shared" si="3"/>
        <v>2800</v>
      </c>
      <c r="I21" s="152">
        <v>2800</v>
      </c>
      <c r="J21" s="152">
        <f t="shared" si="2"/>
        <v>0</v>
      </c>
      <c r="L21" s="129">
        <v>2300</v>
      </c>
    </row>
    <row r="22" spans="1:12" x14ac:dyDescent="0.25">
      <c r="A22" s="311" t="s">
        <v>690</v>
      </c>
      <c r="B22" s="312">
        <v>19</v>
      </c>
      <c r="C22" s="289"/>
      <c r="D22" s="289"/>
      <c r="E22" s="290">
        <f>'OCTOBER  21'!J22:J54</f>
        <v>300</v>
      </c>
      <c r="F22" s="313">
        <v>100</v>
      </c>
      <c r="G22" s="313">
        <v>2700</v>
      </c>
      <c r="H22" s="290">
        <f t="shared" si="3"/>
        <v>3100</v>
      </c>
      <c r="I22" s="152">
        <v>1000</v>
      </c>
      <c r="J22" s="152">
        <f t="shared" si="2"/>
        <v>2100</v>
      </c>
      <c r="L22" s="129">
        <f>L20+L21</f>
        <v>3785</v>
      </c>
    </row>
    <row r="23" spans="1:12" x14ac:dyDescent="0.25">
      <c r="A23" s="289" t="s">
        <v>754</v>
      </c>
      <c r="B23" s="208">
        <v>20</v>
      </c>
      <c r="C23" s="289">
        <v>2000</v>
      </c>
      <c r="E23" s="290"/>
      <c r="F23" s="290">
        <v>100</v>
      </c>
      <c r="G23" s="290">
        <v>3700</v>
      </c>
      <c r="H23" s="290">
        <f>C23-D20+E23+F23+G23</f>
        <v>5800</v>
      </c>
      <c r="I23" s="152">
        <v>5000</v>
      </c>
      <c r="J23" s="152">
        <f t="shared" si="2"/>
        <v>800</v>
      </c>
    </row>
    <row r="24" spans="1:12" x14ac:dyDescent="0.25">
      <c r="A24" s="172" t="s">
        <v>522</v>
      </c>
      <c r="B24" s="208">
        <v>21</v>
      </c>
      <c r="C24" s="289"/>
      <c r="E24" s="290">
        <f>'OCTOBER  21'!J24:J56</f>
        <v>2800</v>
      </c>
      <c r="F24" s="290">
        <v>100</v>
      </c>
      <c r="G24" s="290">
        <v>3500</v>
      </c>
      <c r="H24" s="290">
        <f>C24-D21+E24+F24+G24</f>
        <v>6400</v>
      </c>
      <c r="I24" s="152">
        <v>3800</v>
      </c>
      <c r="J24" s="152">
        <f t="shared" si="2"/>
        <v>2600</v>
      </c>
    </row>
    <row r="25" spans="1:12" x14ac:dyDescent="0.25">
      <c r="A25" s="289" t="s">
        <v>435</v>
      </c>
      <c r="B25" s="208">
        <v>22</v>
      </c>
      <c r="C25" s="289"/>
      <c r="E25" s="290">
        <f>'OCTOBER 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3000</v>
      </c>
      <c r="J25" s="152">
        <f t="shared" si="2"/>
        <v>600</v>
      </c>
    </row>
    <row r="26" spans="1:12" x14ac:dyDescent="0.25">
      <c r="A26" s="289" t="s">
        <v>456</v>
      </c>
      <c r="B26" s="208">
        <v>23</v>
      </c>
      <c r="C26" s="289"/>
      <c r="D26" s="289"/>
      <c r="E26" s="290">
        <f>'OCTOBER  21'!J26:J58</f>
        <v>0</v>
      </c>
      <c r="F26" s="290">
        <v>100</v>
      </c>
      <c r="G26" s="293">
        <v>3700</v>
      </c>
      <c r="H26" s="290">
        <f t="shared" si="3"/>
        <v>3800</v>
      </c>
      <c r="I26" s="152">
        <v>3800</v>
      </c>
      <c r="J26" s="152">
        <f t="shared" si="2"/>
        <v>0</v>
      </c>
    </row>
    <row r="27" spans="1:12" x14ac:dyDescent="0.25">
      <c r="A27" s="289" t="s">
        <v>760</v>
      </c>
      <c r="B27" s="208">
        <v>24</v>
      </c>
      <c r="C27" s="289"/>
      <c r="D27" s="289"/>
      <c r="E27" s="290">
        <f>'OCTOBER  21'!J27:J59</f>
        <v>0</v>
      </c>
      <c r="F27" s="290">
        <v>200</v>
      </c>
      <c r="G27" s="289">
        <v>3700</v>
      </c>
      <c r="H27" s="290">
        <f t="shared" si="3"/>
        <v>3900</v>
      </c>
      <c r="I27" s="152">
        <v>3800</v>
      </c>
      <c r="J27" s="152">
        <f t="shared" si="2"/>
        <v>100</v>
      </c>
    </row>
    <row r="28" spans="1:12" x14ac:dyDescent="0.25">
      <c r="A28" s="289" t="s">
        <v>462</v>
      </c>
      <c r="B28" s="208">
        <v>25</v>
      </c>
      <c r="C28" s="289"/>
      <c r="D28" s="289"/>
      <c r="E28" s="290">
        <f>'OCTOBER  21'!J28:J60</f>
        <v>0</v>
      </c>
      <c r="F28" s="290">
        <v>100</v>
      </c>
      <c r="G28" s="289">
        <v>3500</v>
      </c>
      <c r="H28" s="290">
        <f t="shared" si="3"/>
        <v>3600</v>
      </c>
      <c r="I28" s="152">
        <v>3600</v>
      </c>
      <c r="J28" s="152">
        <f t="shared" si="2"/>
        <v>0</v>
      </c>
    </row>
    <row r="29" spans="1:12" x14ac:dyDescent="0.25">
      <c r="A29" s="289" t="s">
        <v>658</v>
      </c>
      <c r="B29" s="208">
        <v>26</v>
      </c>
      <c r="C29" s="289"/>
      <c r="D29" s="289"/>
      <c r="E29" s="290">
        <v>8200</v>
      </c>
      <c r="F29" s="290">
        <v>100</v>
      </c>
      <c r="G29" s="290">
        <v>3300</v>
      </c>
      <c r="H29" s="290">
        <f t="shared" si="3"/>
        <v>11600</v>
      </c>
      <c r="I29" s="152">
        <f>5000+2000</f>
        <v>7000</v>
      </c>
      <c r="J29" s="152">
        <f t="shared" si="2"/>
        <v>4600</v>
      </c>
    </row>
    <row r="30" spans="1:12" x14ac:dyDescent="0.25">
      <c r="A30" s="289" t="s">
        <v>708</v>
      </c>
      <c r="B30" s="208">
        <v>27</v>
      </c>
      <c r="C30" s="289"/>
      <c r="D30" s="289"/>
      <c r="E30" s="290">
        <f>'OCTOBER  21'!J30:J62</f>
        <v>0</v>
      </c>
      <c r="F30" s="290">
        <v>100</v>
      </c>
      <c r="G30" s="290">
        <v>3300</v>
      </c>
      <c r="H30" s="290">
        <f t="shared" si="3"/>
        <v>3400</v>
      </c>
      <c r="I30" s="152">
        <v>2500</v>
      </c>
      <c r="J30" s="152">
        <f t="shared" si="2"/>
        <v>900</v>
      </c>
    </row>
    <row r="31" spans="1:12" x14ac:dyDescent="0.25">
      <c r="A31" s="289" t="s">
        <v>751</v>
      </c>
      <c r="B31" s="208">
        <v>28</v>
      </c>
      <c r="C31" s="289"/>
      <c r="D31" s="289"/>
      <c r="E31" s="290">
        <f>'OCTOBER  21'!J31:J63</f>
        <v>0</v>
      </c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2"/>
        <v>0</v>
      </c>
    </row>
    <row r="32" spans="1:12" x14ac:dyDescent="0.25">
      <c r="A32" s="289" t="s">
        <v>767</v>
      </c>
      <c r="B32" s="208">
        <v>29</v>
      </c>
      <c r="C32" s="289"/>
      <c r="D32" s="289"/>
      <c r="E32" s="290">
        <f>'OCTOBER  21'!J29:J61</f>
        <v>3400</v>
      </c>
      <c r="F32" s="290">
        <v>100</v>
      </c>
      <c r="G32" s="290">
        <v>3300</v>
      </c>
      <c r="H32" s="290">
        <f>C32-D32+E32+F32+G32</f>
        <v>6800</v>
      </c>
      <c r="I32" s="152">
        <f>3400</f>
        <v>3400</v>
      </c>
      <c r="J32" s="152">
        <f>H32-I32</f>
        <v>3400</v>
      </c>
    </row>
    <row r="33" spans="1:14" x14ac:dyDescent="0.25">
      <c r="A33" s="172" t="s">
        <v>699</v>
      </c>
      <c r="B33" s="208">
        <v>30</v>
      </c>
      <c r="C33" s="289"/>
      <c r="D33" s="289"/>
      <c r="E33" s="290">
        <f>'OCTOBER  21'!J33:J65</f>
        <v>0</v>
      </c>
      <c r="F33" s="290">
        <v>100</v>
      </c>
      <c r="G33" s="290">
        <v>3200</v>
      </c>
      <c r="H33" s="290">
        <f t="shared" si="3"/>
        <v>3300</v>
      </c>
      <c r="I33" s="152">
        <v>3300</v>
      </c>
      <c r="J33" s="152">
        <f t="shared" si="2"/>
        <v>0</v>
      </c>
    </row>
    <row r="34" spans="1:14" x14ac:dyDescent="0.25">
      <c r="A34" s="289" t="s">
        <v>656</v>
      </c>
      <c r="B34" s="208">
        <v>31</v>
      </c>
      <c r="C34" s="289"/>
      <c r="D34" s="289"/>
      <c r="E34" s="290">
        <f>'OCTOBER  21'!J34:J66</f>
        <v>0</v>
      </c>
      <c r="F34" s="290">
        <v>100</v>
      </c>
      <c r="G34" s="290">
        <v>3200</v>
      </c>
      <c r="H34" s="290">
        <f t="shared" si="3"/>
        <v>3300</v>
      </c>
      <c r="I34" s="152">
        <v>3200</v>
      </c>
      <c r="J34" s="152">
        <f t="shared" si="2"/>
        <v>100</v>
      </c>
    </row>
    <row r="35" spans="1:14" x14ac:dyDescent="0.25">
      <c r="A35" s="289" t="s">
        <v>732</v>
      </c>
      <c r="B35" s="208">
        <v>32</v>
      </c>
      <c r="C35" s="289">
        <v>500</v>
      </c>
      <c r="D35" s="289"/>
      <c r="E35" s="290">
        <f>'OCTOBER  21'!J35:J67</f>
        <v>0</v>
      </c>
      <c r="F35" s="290">
        <v>100</v>
      </c>
      <c r="G35" s="290">
        <v>2700</v>
      </c>
      <c r="H35" s="290">
        <f t="shared" si="3"/>
        <v>3300</v>
      </c>
      <c r="I35" s="152">
        <v>2800</v>
      </c>
      <c r="J35" s="152">
        <f t="shared" si="2"/>
        <v>500</v>
      </c>
    </row>
    <row r="36" spans="1:14" x14ac:dyDescent="0.25">
      <c r="A36" s="289" t="s">
        <v>748</v>
      </c>
      <c r="B36" s="208">
        <v>33</v>
      </c>
      <c r="C36" s="289"/>
      <c r="D36" s="152"/>
      <c r="E36" s="290">
        <f>'OCTOBER  21'!J36:J68</f>
        <v>0</v>
      </c>
      <c r="F36" s="152">
        <v>100</v>
      </c>
      <c r="G36" s="152">
        <v>2700</v>
      </c>
      <c r="H36" s="290">
        <f t="shared" si="3"/>
        <v>2800</v>
      </c>
      <c r="I36" s="152">
        <v>2800</v>
      </c>
      <c r="J36" s="152">
        <f t="shared" si="2"/>
        <v>0</v>
      </c>
    </row>
    <row r="37" spans="1:14" x14ac:dyDescent="0.25">
      <c r="A37" s="325" t="s">
        <v>4</v>
      </c>
      <c r="B37" s="326"/>
      <c r="C37" s="326">
        <f t="shared" ref="C37:I37" si="4">SUM(C4:C36)</f>
        <v>10300</v>
      </c>
      <c r="D37" s="326">
        <f t="shared" si="4"/>
        <v>0</v>
      </c>
      <c r="E37" s="290">
        <f>'SEPT 21'!J37:J70</f>
        <v>22760</v>
      </c>
      <c r="F37" s="327">
        <f t="shared" si="4"/>
        <v>3100</v>
      </c>
      <c r="G37" s="327">
        <f t="shared" si="4"/>
        <v>96450</v>
      </c>
      <c r="H37" s="327">
        <f t="shared" si="4"/>
        <v>127400</v>
      </c>
      <c r="I37" s="152">
        <f t="shared" si="4"/>
        <v>98000</v>
      </c>
      <c r="J37" s="152">
        <f>H37-I37</f>
        <v>29400</v>
      </c>
    </row>
    <row r="38" spans="1:14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29400</v>
      </c>
    </row>
    <row r="39" spans="1:14" ht="28.5" customHeight="1" x14ac:dyDescent="0.25">
      <c r="A39" s="346" t="s">
        <v>287</v>
      </c>
      <c r="B39" s="346" t="s">
        <v>288</v>
      </c>
      <c r="C39" s="346" t="s">
        <v>289</v>
      </c>
      <c r="D39" s="346" t="s">
        <v>367</v>
      </c>
      <c r="E39" s="345"/>
      <c r="F39" s="346" t="s">
        <v>287</v>
      </c>
      <c r="G39" s="346" t="s">
        <v>288</v>
      </c>
      <c r="H39" s="346" t="s">
        <v>289</v>
      </c>
      <c r="I39" s="346" t="s">
        <v>367</v>
      </c>
      <c r="J39" s="8">
        <f>J38-J36</f>
        <v>29400</v>
      </c>
    </row>
    <row r="40" spans="1:14" x14ac:dyDescent="0.25">
      <c r="A40" s="152" t="s">
        <v>500</v>
      </c>
      <c r="B40" s="300">
        <f>G37</f>
        <v>96450</v>
      </c>
      <c r="C40" s="152"/>
      <c r="D40" s="152"/>
      <c r="E40" s="152"/>
      <c r="F40" s="152" t="s">
        <v>500</v>
      </c>
      <c r="G40" s="300">
        <f>I37</f>
        <v>98000</v>
      </c>
      <c r="H40" s="152"/>
      <c r="I40" s="152"/>
      <c r="J40" s="335"/>
    </row>
    <row r="41" spans="1:14" x14ac:dyDescent="0.25">
      <c r="A41" s="152" t="s">
        <v>775</v>
      </c>
      <c r="B41" s="300">
        <f>1200+2300</f>
        <v>3500</v>
      </c>
      <c r="C41" s="152"/>
      <c r="D41" s="152"/>
      <c r="E41" s="152"/>
      <c r="F41" s="152"/>
      <c r="G41" s="300"/>
      <c r="H41" s="152"/>
      <c r="I41" s="152"/>
      <c r="J41" s="286"/>
    </row>
    <row r="42" spans="1:14" x14ac:dyDescent="0.25">
      <c r="A42" s="152" t="s">
        <v>368</v>
      </c>
      <c r="B42" s="300">
        <f>'OCTOBER  21'!D51</f>
        <v>-8915.0699999999924</v>
      </c>
      <c r="C42" s="152"/>
      <c r="D42" s="152"/>
      <c r="E42" s="152"/>
      <c r="F42" s="152" t="s">
        <v>368</v>
      </c>
      <c r="G42" s="300">
        <f>'OCTOBER  21'!I51</f>
        <v>-1915.9700000000012</v>
      </c>
      <c r="H42" s="152"/>
      <c r="I42" s="152"/>
      <c r="J42" s="286"/>
      <c r="N42" s="332"/>
    </row>
    <row r="43" spans="1:14" x14ac:dyDescent="0.25">
      <c r="A43" s="152" t="s">
        <v>410</v>
      </c>
      <c r="B43" s="301">
        <v>0.1</v>
      </c>
      <c r="C43" s="300">
        <f>B43*B40</f>
        <v>9645</v>
      </c>
      <c r="D43" s="152"/>
      <c r="E43" s="152"/>
      <c r="F43" s="152" t="s">
        <v>410</v>
      </c>
      <c r="G43" s="301">
        <v>0.1</v>
      </c>
      <c r="H43" s="300">
        <f>G43*B40</f>
        <v>9645</v>
      </c>
      <c r="I43" s="152"/>
      <c r="J43" s="286"/>
      <c r="N43" s="332">
        <f>G37</f>
        <v>96450</v>
      </c>
    </row>
    <row r="44" spans="1:14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N44" s="332">
        <f>C43</f>
        <v>9645</v>
      </c>
    </row>
    <row r="45" spans="1:14" x14ac:dyDescent="0.25">
      <c r="A45" s="298" t="s">
        <v>293</v>
      </c>
      <c r="E45" s="152"/>
      <c r="F45" s="298" t="s">
        <v>293</v>
      </c>
      <c r="G45" s="152"/>
      <c r="H45" s="152"/>
      <c r="I45" s="152"/>
      <c r="J45" s="286"/>
      <c r="N45" s="332">
        <f>N43-N44</f>
        <v>86805</v>
      </c>
    </row>
    <row r="46" spans="1:14" x14ac:dyDescent="0.25">
      <c r="A46" s="303"/>
      <c r="B46" s="301"/>
      <c r="C46" s="152"/>
      <c r="D46" s="152"/>
      <c r="E46" s="152"/>
      <c r="F46" s="303"/>
      <c r="G46" s="301"/>
      <c r="H46" s="152"/>
      <c r="I46" s="152"/>
      <c r="J46" s="8"/>
      <c r="N46" s="332">
        <v>5000</v>
      </c>
    </row>
    <row r="47" spans="1:14" x14ac:dyDescent="0.25">
      <c r="A47" s="303" t="s">
        <v>768</v>
      </c>
      <c r="B47" s="301"/>
      <c r="C47" s="152">
        <v>5000</v>
      </c>
      <c r="D47" s="152"/>
      <c r="E47" s="152"/>
      <c r="F47" s="303" t="s">
        <v>768</v>
      </c>
      <c r="G47" s="301"/>
      <c r="H47" s="152">
        <v>5000</v>
      </c>
      <c r="I47" s="152"/>
      <c r="J47" s="8"/>
      <c r="N47" s="332">
        <f>N45-N46</f>
        <v>81805</v>
      </c>
    </row>
    <row r="48" spans="1:14" x14ac:dyDescent="0.25">
      <c r="A48" s="303" t="s">
        <v>769</v>
      </c>
      <c r="B48" s="301"/>
      <c r="C48" s="152">
        <v>79520</v>
      </c>
      <c r="D48" s="152"/>
      <c r="E48" s="152"/>
      <c r="F48" s="303" t="s">
        <v>769</v>
      </c>
      <c r="G48" s="301"/>
      <c r="H48" s="152">
        <v>79520</v>
      </c>
      <c r="I48" s="152"/>
      <c r="J48" s="8"/>
      <c r="N48" s="332">
        <v>2000</v>
      </c>
    </row>
    <row r="49" spans="1:14" x14ac:dyDescent="0.25">
      <c r="A49" s="303" t="s">
        <v>774</v>
      </c>
      <c r="B49" s="301"/>
      <c r="C49" s="152">
        <v>3785</v>
      </c>
      <c r="D49" s="152"/>
      <c r="E49" s="152"/>
      <c r="F49" s="303" t="s">
        <v>774</v>
      </c>
      <c r="G49" s="301"/>
      <c r="H49" s="152">
        <v>3785</v>
      </c>
      <c r="I49" s="152"/>
      <c r="J49" s="8"/>
      <c r="N49" s="332">
        <f>N47-N48</f>
        <v>79805</v>
      </c>
    </row>
    <row r="50" spans="1:14" x14ac:dyDescent="0.25">
      <c r="A50" s="303" t="s">
        <v>771</v>
      </c>
      <c r="B50" s="301"/>
      <c r="C50" s="152">
        <v>5000</v>
      </c>
      <c r="D50" s="152"/>
      <c r="E50" s="152"/>
      <c r="F50" s="303" t="s">
        <v>771</v>
      </c>
      <c r="G50" s="301"/>
      <c r="H50" s="152">
        <v>5000</v>
      </c>
      <c r="I50" s="152"/>
      <c r="J50" s="8"/>
      <c r="N50" s="332">
        <v>1200</v>
      </c>
    </row>
    <row r="51" spans="1:14" x14ac:dyDescent="0.25">
      <c r="A51" s="296" t="s">
        <v>4</v>
      </c>
      <c r="B51" s="309">
        <f>B40+B41+B42-C43</f>
        <v>81389.930000000008</v>
      </c>
      <c r="C51" s="309">
        <f>SUM(C44:C50)</f>
        <v>93305</v>
      </c>
      <c r="D51" s="309">
        <f>B51-C51</f>
        <v>-11915.069999999992</v>
      </c>
      <c r="E51" s="297"/>
      <c r="F51" s="296" t="s">
        <v>4</v>
      </c>
      <c r="G51" s="300">
        <f>G40+G41+G42-H43</f>
        <v>86439.03</v>
      </c>
      <c r="H51" s="300">
        <f>SUM(H44:H50 )</f>
        <v>93305</v>
      </c>
      <c r="I51" s="300">
        <f>G51-H51</f>
        <v>-6865.9700000000012</v>
      </c>
      <c r="J51" s="152"/>
      <c r="N51" s="332">
        <f>N49+N50</f>
        <v>81005</v>
      </c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N52" s="332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</row>
  </sheetData>
  <pageMargins left="0.7" right="0.7" top="0.75" bottom="0.75" header="0.3" footer="0.3"/>
  <pageSetup paperSize="0" orientation="portrait" horizontalDpi="203" verticalDpi="203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13" workbookViewId="0">
      <selection activeCell="I35" sqref="I35"/>
    </sheetView>
  </sheetViews>
  <sheetFormatPr defaultRowHeight="15" x14ac:dyDescent="0.25"/>
  <cols>
    <col min="1" max="1" width="21.85546875" customWidth="1"/>
    <col min="2" max="2" width="13.5703125" customWidth="1"/>
  </cols>
  <sheetData>
    <row r="1" spans="1:15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  <c r="N1" s="129"/>
      <c r="O1" s="129"/>
    </row>
    <row r="2" spans="1:15" x14ac:dyDescent="0.25">
      <c r="A2" s="129"/>
      <c r="B2" s="129"/>
      <c r="C2" s="286" t="s">
        <v>772</v>
      </c>
      <c r="D2" s="286"/>
      <c r="E2" s="286"/>
      <c r="F2" s="129"/>
      <c r="G2" s="23"/>
      <c r="H2" s="23"/>
      <c r="I2" s="31"/>
      <c r="J2" s="31"/>
      <c r="K2" s="129"/>
      <c r="L2" s="129"/>
      <c r="M2" s="129"/>
      <c r="N2" s="129"/>
      <c r="O2" s="129"/>
    </row>
    <row r="3" spans="1:15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  <c r="N3" s="129"/>
      <c r="O3" s="129"/>
    </row>
    <row r="4" spans="1:15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'NOVEMBER 21'!J4:J36</f>
        <v>0</v>
      </c>
      <c r="F4" s="290">
        <v>100</v>
      </c>
      <c r="G4" s="290">
        <v>4500</v>
      </c>
      <c r="H4" s="290">
        <f>C4-D4+E4+F4+G4</f>
        <v>4600</v>
      </c>
      <c r="I4" s="152">
        <f>2600+2000</f>
        <v>4600</v>
      </c>
      <c r="J4" s="152">
        <f>H4-I4</f>
        <v>0</v>
      </c>
      <c r="K4" s="129"/>
      <c r="L4" s="129"/>
      <c r="M4" s="129"/>
      <c r="N4" s="129"/>
      <c r="O4" s="129"/>
    </row>
    <row r="5" spans="1:15" x14ac:dyDescent="0.25">
      <c r="A5" s="291" t="s">
        <v>770</v>
      </c>
      <c r="B5" s="208">
        <v>2</v>
      </c>
      <c r="C5" s="289">
        <v>1050</v>
      </c>
      <c r="D5" s="289"/>
      <c r="E5" s="290"/>
      <c r="F5" s="290">
        <v>100</v>
      </c>
      <c r="G5" s="290">
        <v>3300</v>
      </c>
      <c r="H5" s="290">
        <f>C5-D5+E5+F5+G5</f>
        <v>4450</v>
      </c>
      <c r="I5" s="152">
        <v>4000</v>
      </c>
      <c r="J5" s="152">
        <f>H5-I5</f>
        <v>450</v>
      </c>
      <c r="K5" s="129"/>
      <c r="L5" s="129"/>
      <c r="M5" s="129"/>
      <c r="N5" s="129"/>
      <c r="O5" s="129"/>
    </row>
    <row r="6" spans="1:15" x14ac:dyDescent="0.25">
      <c r="A6" s="289" t="s">
        <v>560</v>
      </c>
      <c r="B6" s="208">
        <v>3</v>
      </c>
      <c r="C6" s="289"/>
      <c r="D6" s="289"/>
      <c r="E6" s="290">
        <f>'NOVEMBER 21'!J6:J38</f>
        <v>2800</v>
      </c>
      <c r="F6" s="290">
        <v>100</v>
      </c>
      <c r="G6" s="290">
        <v>2700</v>
      </c>
      <c r="H6" s="290">
        <f t="shared" ref="H6" si="0">C6-D6+E6+F6+G6</f>
        <v>5600</v>
      </c>
      <c r="I6" s="152"/>
      <c r="J6" s="152">
        <f t="shared" ref="J6:J36" si="1">H6-I6</f>
        <v>5600</v>
      </c>
      <c r="K6" s="129"/>
      <c r="L6" s="129"/>
      <c r="M6" s="129"/>
      <c r="N6" s="129"/>
      <c r="O6" s="129"/>
    </row>
    <row r="7" spans="1:15" x14ac:dyDescent="0.25">
      <c r="A7" s="289" t="s">
        <v>765</v>
      </c>
      <c r="B7" s="208">
        <v>4</v>
      </c>
      <c r="C7" s="289"/>
      <c r="D7" s="129"/>
      <c r="E7" s="290">
        <f>'NOVEMBER 21'!J7:J39</f>
        <v>0</v>
      </c>
      <c r="F7" s="290">
        <v>100</v>
      </c>
      <c r="G7" s="290">
        <v>4000</v>
      </c>
      <c r="H7" s="290">
        <f>C7-D8+E7+F7+G7</f>
        <v>4100</v>
      </c>
      <c r="I7" s="152">
        <v>4100</v>
      </c>
      <c r="J7" s="152">
        <f t="shared" si="1"/>
        <v>0</v>
      </c>
      <c r="K7" s="129"/>
      <c r="L7" s="129"/>
      <c r="M7" s="129"/>
      <c r="N7" s="129"/>
      <c r="O7" s="129"/>
    </row>
    <row r="8" spans="1:15" x14ac:dyDescent="0.25">
      <c r="A8" s="289" t="s">
        <v>661</v>
      </c>
      <c r="B8" s="208">
        <v>5</v>
      </c>
      <c r="C8" s="289"/>
      <c r="D8" s="289"/>
      <c r="E8" s="290">
        <f>'NOVEMBER 21'!J8:J40</f>
        <v>0</v>
      </c>
      <c r="F8" s="290">
        <v>100</v>
      </c>
      <c r="G8" s="290">
        <v>4000</v>
      </c>
      <c r="H8" s="290">
        <f>C8-D9+E8+F8+G8</f>
        <v>4100</v>
      </c>
      <c r="I8" s="152"/>
      <c r="J8" s="152">
        <f t="shared" si="1"/>
        <v>4100</v>
      </c>
      <c r="K8" s="129"/>
      <c r="L8" s="129"/>
      <c r="M8" s="129"/>
      <c r="N8" s="129"/>
      <c r="O8" s="129"/>
    </row>
    <row r="9" spans="1:15" x14ac:dyDescent="0.25">
      <c r="A9" s="289" t="s">
        <v>759</v>
      </c>
      <c r="B9" s="208">
        <v>6</v>
      </c>
      <c r="C9" s="289">
        <v>2700</v>
      </c>
      <c r="D9" s="289"/>
      <c r="E9" s="290">
        <v>2800</v>
      </c>
      <c r="F9" s="290">
        <v>100</v>
      </c>
      <c r="G9" s="290">
        <v>2700</v>
      </c>
      <c r="H9" s="290">
        <f>C9-D9+E9+F9+G9</f>
        <v>8300</v>
      </c>
      <c r="I9" s="152">
        <v>2500</v>
      </c>
      <c r="J9" s="152">
        <f>H9-I9</f>
        <v>5800</v>
      </c>
      <c r="K9" s="129"/>
      <c r="L9" s="129"/>
      <c r="M9" s="129"/>
      <c r="N9" s="129"/>
      <c r="O9" s="129"/>
    </row>
    <row r="10" spans="1:15" x14ac:dyDescent="0.25">
      <c r="A10" s="334" t="s">
        <v>773</v>
      </c>
      <c r="B10" s="292">
        <v>7</v>
      </c>
      <c r="C10" s="289">
        <v>2700</v>
      </c>
      <c r="D10" s="289"/>
      <c r="E10" s="290">
        <f>'NOVEMBER 21'!J10:J42</f>
        <v>0</v>
      </c>
      <c r="F10" s="290">
        <v>100</v>
      </c>
      <c r="G10" s="290">
        <v>2700</v>
      </c>
      <c r="H10" s="290">
        <f t="shared" ref="H10:H36" si="2">C10-D10+E10+F10+G10</f>
        <v>5500</v>
      </c>
      <c r="I10" s="152">
        <v>4000</v>
      </c>
      <c r="J10" s="152">
        <f t="shared" si="1"/>
        <v>1500</v>
      </c>
      <c r="K10" s="129"/>
      <c r="L10" s="129"/>
      <c r="M10" s="129"/>
      <c r="N10" s="129"/>
      <c r="O10" s="129"/>
    </row>
    <row r="11" spans="1:15" x14ac:dyDescent="0.25">
      <c r="A11" s="172" t="s">
        <v>672</v>
      </c>
      <c r="B11" s="292">
        <v>8</v>
      </c>
      <c r="C11" s="289"/>
      <c r="D11" s="289"/>
      <c r="E11" s="290">
        <f>'NOVEMBER 21'!J11:J43</f>
        <v>0</v>
      </c>
      <c r="F11" s="290">
        <v>100</v>
      </c>
      <c r="G11" s="290">
        <v>2700</v>
      </c>
      <c r="H11" s="290">
        <f t="shared" si="2"/>
        <v>2800</v>
      </c>
      <c r="I11" s="152">
        <v>2800</v>
      </c>
      <c r="J11" s="152">
        <f t="shared" si="1"/>
        <v>0</v>
      </c>
      <c r="K11" s="129"/>
      <c r="L11" s="129"/>
      <c r="M11" s="129"/>
      <c r="N11" s="129"/>
      <c r="O11" s="129"/>
    </row>
    <row r="12" spans="1:15" x14ac:dyDescent="0.25">
      <c r="A12" s="289" t="s">
        <v>594</v>
      </c>
      <c r="B12" s="208">
        <v>9</v>
      </c>
      <c r="C12" s="289"/>
      <c r="D12" s="289"/>
      <c r="E12" s="290">
        <f>'NOVEMBER 21'!J12:J44</f>
        <v>550</v>
      </c>
      <c r="F12" s="290">
        <v>100</v>
      </c>
      <c r="G12" s="290">
        <v>2700</v>
      </c>
      <c r="H12" s="290">
        <f t="shared" si="2"/>
        <v>3350</v>
      </c>
      <c r="I12" s="152">
        <v>2800</v>
      </c>
      <c r="J12" s="152">
        <f t="shared" si="1"/>
        <v>550</v>
      </c>
      <c r="K12" s="129"/>
      <c r="L12" s="129"/>
      <c r="M12" s="129"/>
      <c r="N12" s="129"/>
      <c r="O12" s="129"/>
    </row>
    <row r="13" spans="1:15" x14ac:dyDescent="0.25">
      <c r="A13" s="152" t="s">
        <v>503</v>
      </c>
      <c r="B13" s="152">
        <v>10</v>
      </c>
      <c r="C13" s="289"/>
      <c r="D13" s="152"/>
      <c r="E13" s="290">
        <f>'NOVEMBER 21'!J13:J45</f>
        <v>0</v>
      </c>
      <c r="F13" s="152">
        <v>100</v>
      </c>
      <c r="G13" s="290">
        <v>2700</v>
      </c>
      <c r="H13" s="290">
        <f t="shared" si="2"/>
        <v>2800</v>
      </c>
      <c r="I13" s="152">
        <v>2800</v>
      </c>
      <c r="J13" s="152">
        <f t="shared" si="1"/>
        <v>0</v>
      </c>
      <c r="K13" s="129"/>
      <c r="L13" s="129"/>
      <c r="M13" s="129"/>
      <c r="N13" s="129"/>
      <c r="O13" s="129"/>
    </row>
    <row r="14" spans="1:15" x14ac:dyDescent="0.25">
      <c r="A14" s="152" t="s">
        <v>589</v>
      </c>
      <c r="B14" s="208">
        <v>11</v>
      </c>
      <c r="C14" s="289"/>
      <c r="D14" s="289"/>
      <c r="E14" s="290">
        <f>'NOVEMBER 21'!J14:J46</f>
        <v>1500</v>
      </c>
      <c r="F14" s="290">
        <v>100</v>
      </c>
      <c r="G14" s="290">
        <v>2700</v>
      </c>
      <c r="H14" s="290">
        <f t="shared" si="2"/>
        <v>4300</v>
      </c>
      <c r="I14" s="152">
        <v>2800</v>
      </c>
      <c r="J14" s="152">
        <f t="shared" si="1"/>
        <v>1500</v>
      </c>
      <c r="K14" s="129"/>
      <c r="L14" s="129"/>
      <c r="M14" s="129"/>
      <c r="N14" s="129">
        <f>E9-2700</f>
        <v>100</v>
      </c>
      <c r="O14" s="129"/>
    </row>
    <row r="15" spans="1:15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2"/>
        <v>4500</v>
      </c>
      <c r="I15" s="152">
        <v>2800</v>
      </c>
      <c r="J15" s="152">
        <f t="shared" si="1"/>
        <v>1700</v>
      </c>
      <c r="K15" s="129"/>
      <c r="L15" s="129"/>
      <c r="M15" s="129"/>
      <c r="N15" s="129"/>
      <c r="O15" s="129"/>
    </row>
    <row r="16" spans="1:15" x14ac:dyDescent="0.25">
      <c r="A16" s="291" t="s">
        <v>758</v>
      </c>
      <c r="B16" s="208">
        <v>13</v>
      </c>
      <c r="C16" s="289"/>
      <c r="D16" s="289"/>
      <c r="E16" s="290">
        <f>'NOVEMBER 21'!J16:J48</f>
        <v>0</v>
      </c>
      <c r="F16" s="290">
        <v>100</v>
      </c>
      <c r="G16" s="293">
        <v>2700</v>
      </c>
      <c r="H16" s="290">
        <f t="shared" si="2"/>
        <v>2800</v>
      </c>
      <c r="I16" s="152"/>
      <c r="J16" s="152">
        <f>H16-I16</f>
        <v>2800</v>
      </c>
      <c r="K16" s="129"/>
      <c r="L16" s="129"/>
      <c r="M16" s="129"/>
      <c r="N16" s="129"/>
      <c r="O16" s="129"/>
    </row>
    <row r="17" spans="1:15" x14ac:dyDescent="0.25">
      <c r="A17" s="289" t="s">
        <v>473</v>
      </c>
      <c r="B17" s="208">
        <v>14</v>
      </c>
      <c r="C17" s="289"/>
      <c r="D17" s="289"/>
      <c r="E17" s="290">
        <f>'NOVEMBER 21'!J17:J49</f>
        <v>0</v>
      </c>
      <c r="F17" s="290">
        <v>100</v>
      </c>
      <c r="G17" s="290">
        <v>2700</v>
      </c>
      <c r="H17" s="290">
        <f t="shared" si="2"/>
        <v>2800</v>
      </c>
      <c r="I17" s="152">
        <v>2800</v>
      </c>
      <c r="J17" s="152">
        <f t="shared" si="1"/>
        <v>0</v>
      </c>
      <c r="K17" s="129"/>
      <c r="L17" s="129"/>
      <c r="M17" s="129"/>
      <c r="N17" s="129"/>
      <c r="O17" s="129"/>
    </row>
    <row r="18" spans="1:15" x14ac:dyDescent="0.25">
      <c r="A18" s="334" t="s">
        <v>521</v>
      </c>
      <c r="B18" s="208">
        <v>15</v>
      </c>
      <c r="C18" s="289"/>
      <c r="D18" s="289"/>
      <c r="E18" s="290">
        <f>'NOVEMBER 21'!J18:J50</f>
        <v>0</v>
      </c>
      <c r="F18" s="290"/>
      <c r="G18" s="290"/>
      <c r="H18" s="290">
        <f t="shared" si="2"/>
        <v>0</v>
      </c>
      <c r="I18" s="152"/>
      <c r="J18" s="152">
        <f t="shared" si="1"/>
        <v>0</v>
      </c>
      <c r="K18" s="129"/>
      <c r="L18" s="129">
        <f>3300/2</f>
        <v>1650</v>
      </c>
      <c r="M18" s="129"/>
      <c r="N18" s="129"/>
      <c r="O18" s="129"/>
    </row>
    <row r="19" spans="1:15" x14ac:dyDescent="0.25">
      <c r="A19" s="289" t="s">
        <v>521</v>
      </c>
      <c r="B19" s="208">
        <v>16</v>
      </c>
      <c r="C19" s="289"/>
      <c r="D19" s="289"/>
      <c r="E19" s="290">
        <f>'NOVEMBER 21'!J19:J51</f>
        <v>600</v>
      </c>
      <c r="F19" s="290">
        <v>100</v>
      </c>
      <c r="G19" s="290">
        <v>3000</v>
      </c>
      <c r="H19" s="290">
        <f t="shared" si="2"/>
        <v>3700</v>
      </c>
      <c r="I19" s="152"/>
      <c r="J19" s="152">
        <f t="shared" si="1"/>
        <v>3700</v>
      </c>
      <c r="K19" s="129"/>
      <c r="L19" s="129">
        <v>165</v>
      </c>
      <c r="M19" s="129"/>
      <c r="N19" s="129"/>
      <c r="O19" s="129"/>
    </row>
    <row r="20" spans="1:15" x14ac:dyDescent="0.25">
      <c r="A20" s="291" t="s">
        <v>492</v>
      </c>
      <c r="B20" s="208">
        <v>17</v>
      </c>
      <c r="C20" s="289"/>
      <c r="D20" s="289"/>
      <c r="E20" s="290">
        <f>'NOVEMBER 21'!J20:J52</f>
        <v>0</v>
      </c>
      <c r="F20" s="152">
        <v>100</v>
      </c>
      <c r="G20" s="294">
        <v>3000</v>
      </c>
      <c r="H20" s="290">
        <f t="shared" si="2"/>
        <v>3100</v>
      </c>
      <c r="I20" s="152">
        <v>2100</v>
      </c>
      <c r="J20" s="152">
        <f t="shared" si="1"/>
        <v>1000</v>
      </c>
      <c r="K20" s="129"/>
      <c r="L20" s="129">
        <f>L18-L19</f>
        <v>1485</v>
      </c>
      <c r="M20" s="129"/>
      <c r="N20" s="129"/>
      <c r="O20" s="129"/>
    </row>
    <row r="21" spans="1:15" x14ac:dyDescent="0.25">
      <c r="A21" s="289" t="s">
        <v>731</v>
      </c>
      <c r="B21" s="208">
        <v>18</v>
      </c>
      <c r="C21" s="289"/>
      <c r="D21" s="289"/>
      <c r="E21" s="290">
        <f>'NOVEMBER 21'!J21:J53</f>
        <v>0</v>
      </c>
      <c r="F21" s="290">
        <v>100</v>
      </c>
      <c r="G21" s="290">
        <v>2700</v>
      </c>
      <c r="H21" s="290">
        <f t="shared" si="2"/>
        <v>2800</v>
      </c>
      <c r="I21" s="152">
        <v>2800</v>
      </c>
      <c r="J21" s="152">
        <f t="shared" si="1"/>
        <v>0</v>
      </c>
      <c r="K21" s="129"/>
      <c r="L21" s="129">
        <v>2300</v>
      </c>
      <c r="M21" s="129"/>
      <c r="N21" s="129"/>
      <c r="O21" s="129"/>
    </row>
    <row r="22" spans="1:15" x14ac:dyDescent="0.25">
      <c r="A22" s="311" t="s">
        <v>690</v>
      </c>
      <c r="B22" s="312">
        <v>19</v>
      </c>
      <c r="C22" s="289"/>
      <c r="D22" s="289"/>
      <c r="E22" s="290">
        <f>'NOVEMBER 21'!J22:J54</f>
        <v>2100</v>
      </c>
      <c r="F22" s="313">
        <v>100</v>
      </c>
      <c r="G22" s="313">
        <v>2700</v>
      </c>
      <c r="H22" s="290">
        <f t="shared" si="2"/>
        <v>4900</v>
      </c>
      <c r="I22" s="152">
        <v>1000</v>
      </c>
      <c r="J22" s="152">
        <f t="shared" si="1"/>
        <v>3900</v>
      </c>
      <c r="K22" s="129"/>
      <c r="L22" s="129">
        <f>L20+L21</f>
        <v>3785</v>
      </c>
      <c r="M22" s="129"/>
      <c r="N22" s="129"/>
      <c r="O22" s="129"/>
    </row>
    <row r="23" spans="1:15" x14ac:dyDescent="0.25">
      <c r="A23" s="289" t="s">
        <v>754</v>
      </c>
      <c r="B23" s="208">
        <v>20</v>
      </c>
      <c r="C23" s="289">
        <v>800</v>
      </c>
      <c r="D23" s="129"/>
      <c r="E23" s="290"/>
      <c r="F23" s="290">
        <v>100</v>
      </c>
      <c r="G23" s="290">
        <v>3700</v>
      </c>
      <c r="H23" s="290">
        <f>C23-D20+E23+F23+G23</f>
        <v>4600</v>
      </c>
      <c r="I23" s="152">
        <f>200+3900</f>
        <v>4100</v>
      </c>
      <c r="J23" s="152">
        <f t="shared" si="1"/>
        <v>500</v>
      </c>
      <c r="K23" s="129"/>
      <c r="L23" s="129"/>
      <c r="M23" s="129"/>
      <c r="N23" s="129"/>
      <c r="O23" s="129"/>
    </row>
    <row r="24" spans="1:15" x14ac:dyDescent="0.25">
      <c r="A24" s="172" t="s">
        <v>522</v>
      </c>
      <c r="B24" s="208">
        <v>21</v>
      </c>
      <c r="C24" s="289"/>
      <c r="D24" s="129"/>
      <c r="E24" s="290">
        <f>'NOVEMBER 21'!J24:J56</f>
        <v>2600</v>
      </c>
      <c r="F24" s="290">
        <v>100</v>
      </c>
      <c r="G24" s="290">
        <v>3500</v>
      </c>
      <c r="H24" s="290">
        <f>C24-D21+E24+F24+G24</f>
        <v>6200</v>
      </c>
      <c r="I24" s="152"/>
      <c r="J24" s="152">
        <f t="shared" si="1"/>
        <v>6200</v>
      </c>
      <c r="K24" s="129"/>
      <c r="L24" s="129"/>
      <c r="M24" s="129"/>
      <c r="N24" s="129"/>
      <c r="O24" s="129"/>
    </row>
    <row r="25" spans="1:15" x14ac:dyDescent="0.25">
      <c r="A25" s="289" t="s">
        <v>435</v>
      </c>
      <c r="B25" s="208">
        <v>22</v>
      </c>
      <c r="C25" s="289"/>
      <c r="D25" s="129"/>
      <c r="E25" s="290">
        <f>'NOVEMBER 21'!J25:J57</f>
        <v>600</v>
      </c>
      <c r="F25" s="290">
        <v>100</v>
      </c>
      <c r="G25" s="290">
        <v>3500</v>
      </c>
      <c r="H25" s="290">
        <f>C25-D22+E25+F25+G25</f>
        <v>4200</v>
      </c>
      <c r="I25" s="152"/>
      <c r="J25" s="152">
        <f t="shared" si="1"/>
        <v>4200</v>
      </c>
      <c r="K25" s="129"/>
      <c r="L25" s="129"/>
      <c r="M25" s="129"/>
      <c r="N25" s="129"/>
      <c r="O25" s="129"/>
    </row>
    <row r="26" spans="1:15" x14ac:dyDescent="0.25">
      <c r="A26" s="289" t="s">
        <v>456</v>
      </c>
      <c r="B26" s="208">
        <v>23</v>
      </c>
      <c r="C26" s="289"/>
      <c r="D26" s="289"/>
      <c r="E26" s="290">
        <f>'NOVEMBER 21'!J26:J58</f>
        <v>0</v>
      </c>
      <c r="F26" s="290">
        <v>100</v>
      </c>
      <c r="G26" s="293">
        <v>3700</v>
      </c>
      <c r="H26" s="290">
        <f t="shared" si="2"/>
        <v>3800</v>
      </c>
      <c r="I26" s="152"/>
      <c r="J26" s="152">
        <f t="shared" si="1"/>
        <v>3800</v>
      </c>
      <c r="K26" s="129"/>
      <c r="L26" s="129"/>
      <c r="M26" s="129"/>
      <c r="N26" s="129"/>
      <c r="O26" s="129"/>
    </row>
    <row r="27" spans="1:15" x14ac:dyDescent="0.25">
      <c r="A27" s="289" t="s">
        <v>760</v>
      </c>
      <c r="B27" s="208">
        <v>24</v>
      </c>
      <c r="C27" s="289"/>
      <c r="D27" s="289"/>
      <c r="E27" s="290">
        <f>'NOVEMBER 21'!J27:J59</f>
        <v>100</v>
      </c>
      <c r="F27" s="290">
        <v>200</v>
      </c>
      <c r="G27" s="289">
        <v>3700</v>
      </c>
      <c r="H27" s="290">
        <f t="shared" si="2"/>
        <v>4000</v>
      </c>
      <c r="I27" s="152"/>
      <c r="J27" s="152">
        <f t="shared" si="1"/>
        <v>4000</v>
      </c>
      <c r="K27" s="129"/>
      <c r="L27" s="129"/>
      <c r="M27" s="129"/>
      <c r="N27" s="129"/>
      <c r="O27" s="129"/>
    </row>
    <row r="28" spans="1:15" x14ac:dyDescent="0.25">
      <c r="A28" s="289" t="s">
        <v>462</v>
      </c>
      <c r="B28" s="208">
        <v>25</v>
      </c>
      <c r="C28" s="289"/>
      <c r="D28" s="289"/>
      <c r="E28" s="290">
        <f>'NOVEMBER 21'!J28:J60</f>
        <v>0</v>
      </c>
      <c r="F28" s="290">
        <v>100</v>
      </c>
      <c r="G28" s="289">
        <v>3500</v>
      </c>
      <c r="H28" s="290">
        <f t="shared" si="2"/>
        <v>3600</v>
      </c>
      <c r="I28" s="152">
        <v>3600</v>
      </c>
      <c r="J28" s="152">
        <f t="shared" si="1"/>
        <v>0</v>
      </c>
      <c r="K28" s="129"/>
      <c r="L28" s="129"/>
      <c r="M28" s="129"/>
      <c r="N28" s="129"/>
      <c r="O28" s="129"/>
    </row>
    <row r="29" spans="1:15" x14ac:dyDescent="0.25">
      <c r="A29" s="289" t="s">
        <v>658</v>
      </c>
      <c r="B29" s="208">
        <v>26</v>
      </c>
      <c r="C29" s="289"/>
      <c r="D29" s="289"/>
      <c r="E29" s="290">
        <f>'NOVEMBER 21'!J29:J61</f>
        <v>4600</v>
      </c>
      <c r="F29" s="290">
        <v>100</v>
      </c>
      <c r="G29" s="290">
        <v>3300</v>
      </c>
      <c r="H29" s="290">
        <f t="shared" si="2"/>
        <v>8000</v>
      </c>
      <c r="I29" s="152"/>
      <c r="J29" s="152">
        <f t="shared" si="1"/>
        <v>8000</v>
      </c>
      <c r="K29" s="129"/>
      <c r="L29" s="129"/>
      <c r="M29" s="129"/>
      <c r="N29" s="129"/>
      <c r="O29" s="129"/>
    </row>
    <row r="30" spans="1:15" x14ac:dyDescent="0.25">
      <c r="A30" s="289" t="s">
        <v>708</v>
      </c>
      <c r="B30" s="208">
        <v>27</v>
      </c>
      <c r="C30" s="289"/>
      <c r="D30" s="289"/>
      <c r="E30" s="290">
        <f>'NOVEMBER 21'!J30:J62</f>
        <v>900</v>
      </c>
      <c r="F30" s="290">
        <v>100</v>
      </c>
      <c r="G30" s="290">
        <v>3300</v>
      </c>
      <c r="H30" s="290">
        <f t="shared" si="2"/>
        <v>4300</v>
      </c>
      <c r="I30" s="152">
        <v>3400</v>
      </c>
      <c r="J30" s="152">
        <f t="shared" si="1"/>
        <v>900</v>
      </c>
      <c r="K30" s="129"/>
      <c r="L30" s="129"/>
      <c r="M30" s="129"/>
      <c r="N30" s="129"/>
      <c r="O30" s="129"/>
    </row>
    <row r="31" spans="1:15" x14ac:dyDescent="0.25">
      <c r="A31" s="289" t="s">
        <v>751</v>
      </c>
      <c r="B31" s="208">
        <v>28</v>
      </c>
      <c r="C31" s="289"/>
      <c r="D31" s="289"/>
      <c r="E31" s="290">
        <f>'NOVEMBER 21'!J31:J63</f>
        <v>0</v>
      </c>
      <c r="F31" s="290">
        <v>100</v>
      </c>
      <c r="G31" s="293">
        <v>3300</v>
      </c>
      <c r="H31" s="290">
        <f>C31-D31+E31+F31+G31</f>
        <v>3400</v>
      </c>
      <c r="I31" s="152">
        <f>1500+1900</f>
        <v>3400</v>
      </c>
      <c r="J31" s="152">
        <f t="shared" si="1"/>
        <v>0</v>
      </c>
      <c r="K31" s="129"/>
      <c r="L31" s="129"/>
      <c r="M31" s="129"/>
      <c r="N31" s="129"/>
      <c r="O31" s="129"/>
    </row>
    <row r="32" spans="1:15" x14ac:dyDescent="0.25">
      <c r="A32" s="289" t="s">
        <v>767</v>
      </c>
      <c r="B32" s="208">
        <v>29</v>
      </c>
      <c r="C32" s="289"/>
      <c r="D32" s="289"/>
      <c r="E32" s="290">
        <f>'NOVEMBER 21'!J32:J64</f>
        <v>3400</v>
      </c>
      <c r="F32" s="290">
        <v>100</v>
      </c>
      <c r="G32" s="290">
        <v>3300</v>
      </c>
      <c r="H32" s="290">
        <f>C32-D32+E32+F32+G32</f>
        <v>6800</v>
      </c>
      <c r="I32" s="152">
        <v>3400</v>
      </c>
      <c r="J32" s="152">
        <f>H32-I32</f>
        <v>3400</v>
      </c>
      <c r="K32" s="129"/>
      <c r="L32" s="129"/>
      <c r="M32" s="129"/>
      <c r="N32" s="129"/>
      <c r="O32" s="129"/>
    </row>
    <row r="33" spans="1:15" x14ac:dyDescent="0.25">
      <c r="A33" s="172" t="s">
        <v>699</v>
      </c>
      <c r="B33" s="208">
        <v>30</v>
      </c>
      <c r="C33" s="289">
        <v>100</v>
      </c>
      <c r="D33" s="289"/>
      <c r="E33" s="290">
        <f>'NOVEMBER 21'!J33:J65</f>
        <v>0</v>
      </c>
      <c r="F33" s="290">
        <v>200</v>
      </c>
      <c r="G33" s="290">
        <v>3200</v>
      </c>
      <c r="H33" s="290">
        <f t="shared" si="2"/>
        <v>3500</v>
      </c>
      <c r="I33" s="152">
        <v>3200</v>
      </c>
      <c r="J33" s="152">
        <f t="shared" si="1"/>
        <v>300</v>
      </c>
      <c r="K33" s="129"/>
      <c r="L33" s="129"/>
      <c r="M33" s="129"/>
      <c r="N33" s="129"/>
      <c r="O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'NOVEMBER 21'!J34:J66</f>
        <v>100</v>
      </c>
      <c r="F34" s="290">
        <v>100</v>
      </c>
      <c r="G34" s="290">
        <v>3200</v>
      </c>
      <c r="H34" s="290">
        <f t="shared" si="2"/>
        <v>3400</v>
      </c>
      <c r="I34" s="152">
        <v>3000</v>
      </c>
      <c r="J34" s="152">
        <f t="shared" si="1"/>
        <v>400</v>
      </c>
      <c r="K34" s="129"/>
      <c r="L34" s="129"/>
      <c r="M34" s="129"/>
      <c r="N34" s="129"/>
      <c r="O34" s="129"/>
    </row>
    <row r="35" spans="1:15" x14ac:dyDescent="0.25">
      <c r="A35" s="289" t="s">
        <v>732</v>
      </c>
      <c r="B35" s="208">
        <v>32</v>
      </c>
      <c r="C35" s="289">
        <v>500</v>
      </c>
      <c r="D35" s="289"/>
      <c r="E35" s="290">
        <f>'NOVEMBER 21'!J35:J67</f>
        <v>500</v>
      </c>
      <c r="F35" s="290">
        <v>100</v>
      </c>
      <c r="G35" s="290">
        <v>2700</v>
      </c>
      <c r="H35" s="290">
        <f t="shared" si="2"/>
        <v>3800</v>
      </c>
      <c r="I35" s="152"/>
      <c r="J35" s="152">
        <f t="shared" si="1"/>
        <v>3800</v>
      </c>
      <c r="K35" s="129"/>
      <c r="L35" s="129"/>
      <c r="M35" s="129"/>
      <c r="N35" s="129"/>
      <c r="O35" s="129"/>
    </row>
    <row r="36" spans="1:15" x14ac:dyDescent="0.25">
      <c r="A36" s="289" t="s">
        <v>748</v>
      </c>
      <c r="B36" s="208">
        <v>33</v>
      </c>
      <c r="C36" s="289"/>
      <c r="D36" s="152"/>
      <c r="E36" s="290">
        <f>'NOVEMBER 21'!J36:J68</f>
        <v>0</v>
      </c>
      <c r="F36" s="152">
        <v>100</v>
      </c>
      <c r="G36" s="152">
        <v>2700</v>
      </c>
      <c r="H36" s="290">
        <f t="shared" si="2"/>
        <v>2800</v>
      </c>
      <c r="I36" s="152">
        <v>2800</v>
      </c>
      <c r="J36" s="152">
        <f t="shared" si="1"/>
        <v>0</v>
      </c>
      <c r="K36" s="129"/>
      <c r="L36" s="129"/>
      <c r="M36" s="129"/>
      <c r="N36" s="129"/>
      <c r="O36" s="129"/>
    </row>
    <row r="37" spans="1:15" x14ac:dyDescent="0.25">
      <c r="A37" s="325" t="s">
        <v>4</v>
      </c>
      <c r="B37" s="326"/>
      <c r="C37" s="326">
        <f t="shared" ref="C37:I37" si="3">SUM(C4:C36)</f>
        <v>9550</v>
      </c>
      <c r="D37" s="326">
        <f t="shared" si="3"/>
        <v>0</v>
      </c>
      <c r="E37" s="290">
        <f>SUM(E4:E36)</f>
        <v>23150</v>
      </c>
      <c r="F37" s="327">
        <f t="shared" si="3"/>
        <v>3400</v>
      </c>
      <c r="G37" s="327">
        <f t="shared" si="3"/>
        <v>100800</v>
      </c>
      <c r="H37" s="327">
        <f t="shared" si="3"/>
        <v>136900</v>
      </c>
      <c r="I37" s="152">
        <f t="shared" si="3"/>
        <v>68800</v>
      </c>
      <c r="J37" s="152">
        <f>H37-I37</f>
        <v>68100</v>
      </c>
      <c r="K37" s="129"/>
      <c r="L37" s="129"/>
      <c r="M37" s="129"/>
      <c r="N37" s="129"/>
      <c r="O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68100</v>
      </c>
      <c r="K38" s="129"/>
      <c r="L38" s="129"/>
      <c r="M38" s="129"/>
      <c r="N38" s="129"/>
      <c r="O38" s="129"/>
    </row>
    <row r="39" spans="1:15" x14ac:dyDescent="0.25">
      <c r="A39" s="346" t="s">
        <v>287</v>
      </c>
      <c r="B39" s="346" t="s">
        <v>288</v>
      </c>
      <c r="C39" s="346" t="s">
        <v>289</v>
      </c>
      <c r="D39" s="346" t="s">
        <v>367</v>
      </c>
      <c r="E39" s="345"/>
      <c r="F39" s="346" t="s">
        <v>287</v>
      </c>
      <c r="G39" s="346" t="s">
        <v>288</v>
      </c>
      <c r="H39" s="346" t="s">
        <v>289</v>
      </c>
      <c r="I39" s="346" t="s">
        <v>367</v>
      </c>
      <c r="J39" s="8">
        <f>J38-J36</f>
        <v>68100</v>
      </c>
      <c r="K39" s="129"/>
      <c r="L39" s="129"/>
      <c r="M39" s="129"/>
      <c r="N39" s="129"/>
      <c r="O39" s="129"/>
    </row>
    <row r="40" spans="1:15" x14ac:dyDescent="0.25">
      <c r="A40" s="152" t="s">
        <v>169</v>
      </c>
      <c r="B40" s="300">
        <f>G37</f>
        <v>100800</v>
      </c>
      <c r="C40" s="152"/>
      <c r="D40" s="152"/>
      <c r="E40" s="152"/>
      <c r="F40" s="152" t="s">
        <v>169</v>
      </c>
      <c r="G40" s="300">
        <f>I37</f>
        <v>68800</v>
      </c>
      <c r="H40" s="152"/>
      <c r="I40" s="152"/>
      <c r="J40" s="335"/>
      <c r="K40" s="129"/>
      <c r="L40" s="129"/>
      <c r="M40" s="129"/>
      <c r="N40" s="129"/>
      <c r="O40" s="129"/>
    </row>
    <row r="41" spans="1:15" x14ac:dyDescent="0.25">
      <c r="A41" s="152" t="s">
        <v>776</v>
      </c>
      <c r="B41" s="300">
        <f>1200+600</f>
        <v>1800</v>
      </c>
      <c r="C41" s="152"/>
      <c r="D41" s="152"/>
      <c r="E41" s="152"/>
      <c r="F41" s="152"/>
      <c r="G41" s="300"/>
      <c r="H41" s="152"/>
      <c r="I41" s="152"/>
      <c r="J41" s="286"/>
      <c r="K41" s="129"/>
      <c r="L41" s="129"/>
      <c r="M41" s="129"/>
      <c r="N41" s="129"/>
      <c r="O41" s="129"/>
    </row>
    <row r="42" spans="1:15" x14ac:dyDescent="0.25">
      <c r="A42" s="152" t="s">
        <v>368</v>
      </c>
      <c r="B42" s="300">
        <f>'NOVEMBER 21'!D51</f>
        <v>-11915.069999999992</v>
      </c>
      <c r="C42" s="152"/>
      <c r="D42" s="152"/>
      <c r="E42" s="152"/>
      <c r="F42" s="152" t="s">
        <v>368</v>
      </c>
      <c r="G42" s="300">
        <f>'NOVEMBER 21'!I51</f>
        <v>-6865.9700000000012</v>
      </c>
      <c r="H42" s="152"/>
      <c r="I42" s="152"/>
      <c r="J42" s="286"/>
      <c r="K42" s="129"/>
      <c r="L42" s="129"/>
      <c r="M42" s="129"/>
      <c r="N42" s="332"/>
      <c r="O42" s="129"/>
    </row>
    <row r="43" spans="1:15" x14ac:dyDescent="0.25">
      <c r="A43" s="152" t="s">
        <v>410</v>
      </c>
      <c r="B43" s="301">
        <v>0.1</v>
      </c>
      <c r="C43" s="300">
        <f>B43*B40</f>
        <v>10080</v>
      </c>
      <c r="D43" s="152"/>
      <c r="E43" s="152"/>
      <c r="F43" s="152" t="s">
        <v>410</v>
      </c>
      <c r="G43" s="301">
        <v>0.1</v>
      </c>
      <c r="H43" s="300">
        <f>G43*B40</f>
        <v>10080</v>
      </c>
      <c r="I43" s="152"/>
      <c r="J43" s="286"/>
      <c r="K43" s="129"/>
      <c r="L43" s="129"/>
      <c r="M43" s="129"/>
      <c r="N43" s="332">
        <f>G37</f>
        <v>100800</v>
      </c>
      <c r="O43" s="129"/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129"/>
      <c r="L44" s="129"/>
      <c r="M44" s="129"/>
      <c r="N44" s="332">
        <f>C43</f>
        <v>10080</v>
      </c>
      <c r="O44" s="129" t="s">
        <v>410</v>
      </c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129"/>
      <c r="M45" s="129"/>
      <c r="N45" s="332">
        <f>N43-N44</f>
        <v>90720</v>
      </c>
      <c r="O45" s="129"/>
    </row>
    <row r="46" spans="1:15" x14ac:dyDescent="0.25">
      <c r="A46" s="303" t="s">
        <v>686</v>
      </c>
      <c r="B46" s="301"/>
      <c r="C46" s="152">
        <v>85520</v>
      </c>
      <c r="D46" s="152"/>
      <c r="E46" s="152"/>
      <c r="F46" s="303" t="s">
        <v>686</v>
      </c>
      <c r="G46" s="301"/>
      <c r="H46" s="152">
        <v>85520</v>
      </c>
      <c r="I46" s="152"/>
      <c r="J46" s="8"/>
      <c r="K46" s="129"/>
      <c r="L46" s="129"/>
      <c r="M46" s="129"/>
      <c r="N46" s="332">
        <v>5000</v>
      </c>
      <c r="O46" s="129" t="s">
        <v>84</v>
      </c>
    </row>
    <row r="47" spans="1:15" x14ac:dyDescent="0.25">
      <c r="A47" s="303"/>
      <c r="B47" s="301"/>
      <c r="C47" s="152"/>
      <c r="D47" s="152"/>
      <c r="E47" s="152"/>
      <c r="F47" s="303"/>
      <c r="G47" s="301"/>
      <c r="H47" s="152"/>
      <c r="I47" s="152"/>
      <c r="J47" s="8"/>
      <c r="K47" s="129"/>
      <c r="L47" s="129"/>
      <c r="M47" s="129"/>
      <c r="N47" s="332">
        <f>N45-N46</f>
        <v>85720</v>
      </c>
      <c r="O47" s="129"/>
    </row>
    <row r="48" spans="1:15" x14ac:dyDescent="0.25">
      <c r="A48" s="303"/>
      <c r="B48" s="301"/>
      <c r="C48" s="152"/>
      <c r="D48" s="152"/>
      <c r="E48" s="152"/>
      <c r="F48" s="303"/>
      <c r="G48" s="301"/>
      <c r="H48" s="152"/>
      <c r="I48" s="152"/>
      <c r="J48" s="8"/>
      <c r="K48" s="129"/>
      <c r="L48" s="129"/>
      <c r="M48" s="129"/>
      <c r="N48" s="332">
        <v>2000</v>
      </c>
      <c r="O48" s="129" t="s">
        <v>735</v>
      </c>
    </row>
    <row r="49" spans="1:15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129"/>
      <c r="M49" s="129"/>
      <c r="N49" s="332">
        <f>N47-N48</f>
        <v>83720</v>
      </c>
      <c r="O49" s="129"/>
    </row>
    <row r="50" spans="1:15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  <c r="M50" s="129"/>
      <c r="N50" s="332">
        <f>1800</f>
        <v>1800</v>
      </c>
      <c r="O50" s="129" t="s">
        <v>777</v>
      </c>
    </row>
    <row r="51" spans="1:15" x14ac:dyDescent="0.25">
      <c r="A51" s="296" t="s">
        <v>4</v>
      </c>
      <c r="B51" s="309">
        <f>B40+B41+B42-C43</f>
        <v>80604.930000000008</v>
      </c>
      <c r="C51" s="309">
        <f>SUM(C44:C50)</f>
        <v>85520</v>
      </c>
      <c r="D51" s="309">
        <f>B51-C51</f>
        <v>-4915.0699999999924</v>
      </c>
      <c r="E51" s="297"/>
      <c r="F51" s="296" t="s">
        <v>4</v>
      </c>
      <c r="G51" s="300">
        <f>G40+G41+G42-H43</f>
        <v>51854.03</v>
      </c>
      <c r="H51" s="300">
        <f>SUM(H44:H50 )</f>
        <v>85520</v>
      </c>
      <c r="I51" s="300">
        <f>G51-H51</f>
        <v>-33665.97</v>
      </c>
      <c r="J51" s="152"/>
      <c r="K51" s="129"/>
      <c r="L51" s="129"/>
      <c r="M51" s="129"/>
      <c r="N51" s="332">
        <f>N49+N50</f>
        <v>85520</v>
      </c>
      <c r="O51" s="129"/>
    </row>
    <row r="52" spans="1:15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129"/>
      <c r="M52" s="129"/>
      <c r="N52" s="332"/>
      <c r="O52" s="129"/>
    </row>
    <row r="53" spans="1:15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  <c r="M53" s="129"/>
      <c r="N53" s="129"/>
      <c r="O53" s="129"/>
    </row>
    <row r="54" spans="1:15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</row>
    <row r="55" spans="1:15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JANUARY</vt:lpstr>
      <vt:lpstr>FEBRUARY</vt:lpstr>
      <vt:lpstr>MAR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JAN</vt:lpstr>
      <vt:lpstr>FEB</vt:lpstr>
      <vt:lpstr>MARCH</vt:lpstr>
      <vt:lpstr>APRIL 2015</vt:lpstr>
      <vt:lpstr>MAY 2014</vt:lpstr>
      <vt:lpstr>Sheet1</vt:lpstr>
      <vt:lpstr>JULY 2015</vt:lpstr>
      <vt:lpstr>AUGUST 2015</vt:lpstr>
      <vt:lpstr>SEP 2015</vt:lpstr>
      <vt:lpstr>OCT</vt:lpstr>
      <vt:lpstr>NOVE</vt:lpstr>
      <vt:lpstr>Sheet2</vt:lpstr>
      <vt:lpstr>Sheet3</vt:lpstr>
      <vt:lpstr>Sheet4</vt:lpstr>
      <vt:lpstr>JAN 2016</vt:lpstr>
      <vt:lpstr>FEBRUARY 2016</vt:lpstr>
      <vt:lpstr>MARCH 2016</vt:lpstr>
      <vt:lpstr>APRIL 2016</vt:lpstr>
      <vt:lpstr>MAY 2016</vt:lpstr>
      <vt:lpstr>JUNE  2016</vt:lpstr>
      <vt:lpstr>JULY 2016</vt:lpstr>
      <vt:lpstr>AUGUST 2016</vt:lpstr>
      <vt:lpstr>SEPT 2016</vt:lpstr>
      <vt:lpstr>OCT 2016</vt:lpstr>
      <vt:lpstr>NOVEMBER 2016</vt:lpstr>
      <vt:lpstr>Sheet7</vt:lpstr>
      <vt:lpstr>Sheet6</vt:lpstr>
      <vt:lpstr>Sheet5</vt:lpstr>
      <vt:lpstr>JAN 2017</vt:lpstr>
      <vt:lpstr>feb 2017</vt:lpstr>
      <vt:lpstr>MARCH 2017</vt:lpstr>
      <vt:lpstr>APRIL 2017</vt:lpstr>
      <vt:lpstr>MAI</vt:lpstr>
      <vt:lpstr>JUNE 2017</vt:lpstr>
      <vt:lpstr>JULY 2017</vt:lpstr>
      <vt:lpstr>AUGUST 2017</vt:lpstr>
      <vt:lpstr>SEPTEMBER 2017</vt:lpstr>
      <vt:lpstr>OCTO</vt:lpstr>
      <vt:lpstr>NOV</vt:lpstr>
      <vt:lpstr>DEC</vt:lpstr>
      <vt:lpstr>JAN 18</vt:lpstr>
      <vt:lpstr>FEB18</vt:lpstr>
      <vt:lpstr>MAR 18</vt:lpstr>
      <vt:lpstr>APRILL</vt:lpstr>
      <vt:lpstr>MAY18</vt:lpstr>
      <vt:lpstr>JUNE </vt:lpstr>
      <vt:lpstr>JULY7</vt:lpstr>
      <vt:lpstr>AUG </vt:lpstr>
      <vt:lpstr>SEP</vt:lpstr>
      <vt:lpstr>OCTO </vt:lpstr>
      <vt:lpstr>NOVEM</vt:lpstr>
      <vt:lpstr>DECE</vt:lpstr>
      <vt:lpstr>JANUARY </vt:lpstr>
      <vt:lpstr>FEB </vt:lpstr>
      <vt:lpstr>MARCH </vt:lpstr>
      <vt:lpstr>APRIL </vt:lpstr>
      <vt:lpstr>MAY </vt:lpstr>
      <vt:lpstr>JUNEE</vt:lpstr>
      <vt:lpstr>JULY </vt:lpstr>
      <vt:lpstr>AUG 19</vt:lpstr>
      <vt:lpstr>SEPTEMBER 19</vt:lpstr>
      <vt:lpstr>OCTOBER 19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AUGUST20</vt:lpstr>
      <vt:lpstr>SEPTEMBER 20</vt:lpstr>
      <vt:lpstr>OCTOBER 20</vt:lpstr>
      <vt:lpstr>NOVEMBER20</vt:lpstr>
      <vt:lpstr>DECEMBER 20</vt:lpstr>
      <vt:lpstr>JANUARY 21</vt:lpstr>
      <vt:lpstr>FEBRUARY21</vt:lpstr>
      <vt:lpstr>MARCH 21</vt:lpstr>
      <vt:lpstr>APRIL 21</vt:lpstr>
      <vt:lpstr>MAY  21</vt:lpstr>
      <vt:lpstr>JUNE 21</vt:lpstr>
      <vt:lpstr>JULY 21</vt:lpstr>
      <vt:lpstr>AUGUST 21</vt:lpstr>
      <vt:lpstr>SEPT 21</vt:lpstr>
      <vt:lpstr>OCTOBER 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ASSETFLOW PC3</cp:lastModifiedBy>
  <cp:lastPrinted>2021-03-10T11:46:47Z</cp:lastPrinted>
  <dcterms:created xsi:type="dcterms:W3CDTF">2014-01-13T05:53:53Z</dcterms:created>
  <dcterms:modified xsi:type="dcterms:W3CDTF">2021-12-17T08:04:21Z</dcterms:modified>
</cp:coreProperties>
</file>