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20" windowWidth="18195" windowHeight="11760" firstSheet="15" activeTab="16"/>
  </bookViews>
  <sheets>
    <sheet name="AUGUST 20" sheetId="1" r:id="rId1"/>
    <sheet name="SEPTEMBER 20" sheetId="2" r:id="rId2"/>
    <sheet name="OCTOBER 20" sheetId="3" r:id="rId3"/>
    <sheet name="NOVEMBER20" sheetId="4" r:id="rId4"/>
    <sheet name="DECEMBER 20" sheetId="5" r:id="rId5"/>
    <sheet name="JANUARY 21" sheetId="6" r:id="rId6"/>
    <sheet name="FEBRUARY 21" sheetId="7" r:id="rId7"/>
    <sheet name="MARCH 21" sheetId="8" r:id="rId8"/>
    <sheet name="APRIL21" sheetId="9" r:id="rId9"/>
    <sheet name="MAY21" sheetId="10" r:id="rId10"/>
    <sheet name="JUNE 21" sheetId="11" r:id="rId11"/>
    <sheet name="JULY 21" sheetId="12" r:id="rId12"/>
    <sheet name="AUGUST 21" sheetId="13" r:id="rId13"/>
    <sheet name="SEPTEMBER 21" sheetId="14" r:id="rId14"/>
    <sheet name="OCTOBER 21" sheetId="15" r:id="rId15"/>
    <sheet name="NOVEMBER 21" sheetId="16" r:id="rId16"/>
    <sheet name="DECEMBER 21" sheetId="17" r:id="rId17"/>
    <sheet name="Sheet2" sheetId="18" r:id="rId18"/>
  </sheets>
  <externalReferences>
    <externalReference r:id="rId19"/>
  </externalReferences>
  <calcPr calcId="162913"/>
</workbook>
</file>

<file path=xl/calcChain.xml><?xml version="1.0" encoding="utf-8"?>
<calcChain xmlns="http://schemas.openxmlformats.org/spreadsheetml/2006/main">
  <c r="G20" i="17" l="1"/>
  <c r="B30" i="17" l="1"/>
  <c r="I33" i="17"/>
  <c r="G17" i="17" l="1"/>
  <c r="G23" i="17" s="1"/>
  <c r="L43" i="17" l="1"/>
  <c r="U47" i="17" l="1"/>
  <c r="S48" i="17"/>
  <c r="M48" i="17" l="1"/>
  <c r="M55" i="17" s="1"/>
  <c r="H48" i="17"/>
  <c r="H47" i="17"/>
  <c r="G41" i="17"/>
  <c r="C41" i="17"/>
  <c r="N37" i="17"/>
  <c r="S36" i="17"/>
  <c r="O36" i="17"/>
  <c r="L42" i="17" s="1"/>
  <c r="M36" i="17"/>
  <c r="D24" i="17"/>
  <c r="I23" i="17"/>
  <c r="E23" i="17"/>
  <c r="B29" i="17" s="1"/>
  <c r="F29" i="17"/>
  <c r="Q36" i="17"/>
  <c r="P42" i="17" s="1"/>
  <c r="K2" i="17"/>
  <c r="Q48" i="17" l="1"/>
  <c r="Q55" i="17" s="1"/>
  <c r="G33" i="17"/>
  <c r="C33" i="17"/>
  <c r="I31" i="17" s="1"/>
  <c r="I30" i="17"/>
  <c r="Q46" i="17"/>
  <c r="S45" i="17"/>
  <c r="M46" i="17"/>
  <c r="S46" i="17" s="1"/>
  <c r="G20" i="16"/>
  <c r="G23" i="16" s="1"/>
  <c r="I32" i="17" l="1"/>
  <c r="S47" i="17"/>
  <c r="S49" i="17" s="1"/>
  <c r="S51" i="17" s="1"/>
  <c r="S53" i="17" s="1"/>
  <c r="I34" i="17"/>
  <c r="I36" i="17" s="1"/>
  <c r="I39" i="17" s="1"/>
  <c r="I41" i="17" s="1"/>
  <c r="Q8" i="16"/>
  <c r="I33" i="16" l="1"/>
  <c r="H48" i="16" l="1"/>
  <c r="H47" i="16"/>
  <c r="Q16" i="16" l="1"/>
  <c r="S48" i="16" l="1"/>
  <c r="M48" i="16"/>
  <c r="M55" i="16" s="1"/>
  <c r="G41" i="16"/>
  <c r="C41" i="16"/>
  <c r="N37" i="16"/>
  <c r="S36" i="16"/>
  <c r="Q36" i="16"/>
  <c r="P42" i="16" s="1"/>
  <c r="M36" i="16"/>
  <c r="F29" i="16"/>
  <c r="D24" i="16"/>
  <c r="I23" i="16"/>
  <c r="E23" i="16"/>
  <c r="B29" i="16" s="1"/>
  <c r="O36" i="16"/>
  <c r="L42" i="16" s="1"/>
  <c r="K2" i="16"/>
  <c r="G33" i="16" l="1"/>
  <c r="C33" i="16"/>
  <c r="I31" i="16" s="1"/>
  <c r="I30" i="16"/>
  <c r="Q46" i="16"/>
  <c r="S45" i="16"/>
  <c r="M46" i="16"/>
  <c r="S46" i="16" s="1"/>
  <c r="Q48" i="16"/>
  <c r="Q55" i="16" s="1"/>
  <c r="G20" i="15"/>
  <c r="S47" i="16" l="1"/>
  <c r="S49" i="16" s="1"/>
  <c r="S51" i="16" s="1"/>
  <c r="S53" i="16" s="1"/>
  <c r="I32" i="16"/>
  <c r="I34" i="16" s="1"/>
  <c r="I36" i="16" s="1"/>
  <c r="G22" i="15"/>
  <c r="G23" i="15" s="1"/>
  <c r="B32" i="14" l="1"/>
  <c r="I43" i="14"/>
  <c r="I33" i="15"/>
  <c r="S53" i="15" l="1"/>
  <c r="O19" i="15"/>
  <c r="S51" i="15"/>
  <c r="S49" i="15"/>
  <c r="L66" i="15" l="1"/>
  <c r="N37" i="15" l="1"/>
  <c r="M49" i="15"/>
  <c r="M56" i="15" s="1"/>
  <c r="G42" i="15"/>
  <c r="C42" i="15"/>
  <c r="S36" i="15"/>
  <c r="O36" i="15"/>
  <c r="L43" i="15" s="1"/>
  <c r="S46" i="15" s="1"/>
  <c r="M36" i="15"/>
  <c r="L45" i="15" s="1"/>
  <c r="D24" i="15"/>
  <c r="I23" i="15"/>
  <c r="E23" i="15"/>
  <c r="B29" i="15" s="1"/>
  <c r="I30" i="15" s="1"/>
  <c r="F10" i="15"/>
  <c r="H10" i="15" s="1"/>
  <c r="D10" i="16" s="1"/>
  <c r="F10" i="16" s="1"/>
  <c r="H10" i="16" s="1"/>
  <c r="D10" i="17" s="1"/>
  <c r="F10" i="17" s="1"/>
  <c r="H10" i="17" s="1"/>
  <c r="Q36" i="15"/>
  <c r="P43" i="15" s="1"/>
  <c r="F29" i="15"/>
  <c r="K2" i="15"/>
  <c r="Q47" i="15" l="1"/>
  <c r="M47" i="15"/>
  <c r="S47" i="15" s="1"/>
  <c r="S48" i="15" s="1"/>
  <c r="S50" i="15" s="1"/>
  <c r="S52" i="15" s="1"/>
  <c r="S54" i="15" s="1"/>
  <c r="G33" i="15"/>
  <c r="C33" i="15"/>
  <c r="I31" i="15" s="1"/>
  <c r="I32" i="15" s="1"/>
  <c r="I34" i="15" s="1"/>
  <c r="I36" i="15" s="1"/>
  <c r="I38" i="15" s="1"/>
  <c r="Q49" i="15"/>
  <c r="Q56" i="15" s="1"/>
  <c r="Q10" i="14"/>
  <c r="G14" i="14" l="1"/>
  <c r="G12" i="14" l="1"/>
  <c r="G8" i="14" l="1"/>
  <c r="G7" i="14" l="1"/>
  <c r="U52" i="14" l="1"/>
  <c r="T58" i="13"/>
  <c r="U58" i="13" s="1"/>
  <c r="Q27" i="14" l="1"/>
  <c r="G9" i="14" l="1"/>
  <c r="Q8" i="14" l="1"/>
  <c r="Q18" i="14" l="1"/>
  <c r="Q11" i="14" l="1"/>
  <c r="G13" i="14" l="1"/>
  <c r="G11" i="14" l="1"/>
  <c r="G16" i="14" l="1"/>
  <c r="P13" i="14" l="1"/>
  <c r="R13" i="14" s="1"/>
  <c r="N13" i="15" s="1"/>
  <c r="P13" i="15" s="1"/>
  <c r="R13" i="15" s="1"/>
  <c r="N13" i="16" s="1"/>
  <c r="P13" i="16" s="1"/>
  <c r="R13" i="16" s="1"/>
  <c r="N13" i="17" s="1"/>
  <c r="P13" i="17" s="1"/>
  <c r="R13" i="17" s="1"/>
  <c r="T62" i="14"/>
  <c r="M52" i="14"/>
  <c r="M59" i="14" s="1"/>
  <c r="V51" i="14"/>
  <c r="V52" i="14" s="1"/>
  <c r="V53" i="14" s="1"/>
  <c r="G45" i="14"/>
  <c r="C45" i="14"/>
  <c r="N37" i="14"/>
  <c r="S36" i="14"/>
  <c r="O36" i="14"/>
  <c r="L46" i="14" s="1"/>
  <c r="M36" i="14"/>
  <c r="L48" i="14" s="1"/>
  <c r="D24" i="14"/>
  <c r="I23" i="14"/>
  <c r="E23" i="14"/>
  <c r="B29" i="14" s="1"/>
  <c r="G23" i="14"/>
  <c r="F29" i="14" s="1"/>
  <c r="K2" i="14"/>
  <c r="G33" i="14" l="1"/>
  <c r="Q36" i="14"/>
  <c r="P46" i="14" s="1"/>
  <c r="J31" i="14"/>
  <c r="C33" i="14"/>
  <c r="J32" i="14" s="1"/>
  <c r="M50" i="14"/>
  <c r="U50" i="14" s="1"/>
  <c r="Q50" i="14"/>
  <c r="U49" i="14"/>
  <c r="Q52" i="14"/>
  <c r="Q59" i="14" s="1"/>
  <c r="G22" i="13"/>
  <c r="J33" i="14" l="1"/>
  <c r="J35" i="14" s="1"/>
  <c r="J37" i="14" s="1"/>
  <c r="J39" i="14" s="1"/>
  <c r="U51" i="14"/>
  <c r="U53" i="14" s="1"/>
  <c r="U55" i="14" s="1"/>
  <c r="U57" i="14" s="1"/>
  <c r="V58" i="14" s="1"/>
  <c r="Q14" i="13"/>
  <c r="J43" i="14" l="1"/>
  <c r="J45" i="14" s="1"/>
  <c r="B32" i="12" l="1"/>
  <c r="C40" i="12"/>
  <c r="V47" i="13" l="1"/>
  <c r="V48" i="13" s="1"/>
  <c r="V49" i="13" s="1"/>
  <c r="Q11" i="13" l="1"/>
  <c r="G13" i="13" l="1"/>
  <c r="G16" i="13" l="1"/>
  <c r="Q7" i="13" l="1"/>
  <c r="Q8" i="13" l="1"/>
  <c r="G20" i="13"/>
  <c r="G14" i="13"/>
  <c r="G9" i="13" l="1"/>
  <c r="G18" i="12" l="1"/>
  <c r="M48" i="13"/>
  <c r="M55" i="13" s="1"/>
  <c r="G41" i="13"/>
  <c r="C41" i="13"/>
  <c r="N37" i="13"/>
  <c r="S36" i="13"/>
  <c r="O36" i="13"/>
  <c r="L42" i="13" s="1"/>
  <c r="U45" i="13" s="1"/>
  <c r="M36" i="13"/>
  <c r="L44" i="13" s="1"/>
  <c r="D24" i="13"/>
  <c r="I23" i="13"/>
  <c r="E23" i="13"/>
  <c r="B29" i="13" s="1"/>
  <c r="J31" i="13" s="1"/>
  <c r="F17" i="13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7" i="17" s="1"/>
  <c r="F17" i="17" s="1"/>
  <c r="H17" i="17" s="1"/>
  <c r="P14" i="13"/>
  <c r="R14" i="13" s="1"/>
  <c r="N14" i="14" s="1"/>
  <c r="P14" i="14" s="1"/>
  <c r="R14" i="14" s="1"/>
  <c r="N14" i="15" s="1"/>
  <c r="P14" i="15" s="1"/>
  <c r="R14" i="15" s="1"/>
  <c r="N14" i="16" s="1"/>
  <c r="P14" i="16" s="1"/>
  <c r="R14" i="16" s="1"/>
  <c r="N14" i="17" s="1"/>
  <c r="P14" i="17" s="1"/>
  <c r="R14" i="17" s="1"/>
  <c r="F13" i="13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G23" i="13"/>
  <c r="F29" i="13" s="1"/>
  <c r="Q36" i="13"/>
  <c r="P42" i="13" s="1"/>
  <c r="K2" i="13"/>
  <c r="Q46" i="13" l="1"/>
  <c r="M46" i="13"/>
  <c r="U46" i="13" s="1"/>
  <c r="G33" i="13"/>
  <c r="C33" i="13"/>
  <c r="J32" i="13" s="1"/>
  <c r="J33" i="13" s="1"/>
  <c r="J35" i="13" s="1"/>
  <c r="J37" i="13" s="1"/>
  <c r="Q48" i="13"/>
  <c r="Q55" i="13" s="1"/>
  <c r="U47" i="13" l="1"/>
  <c r="U49" i="13" s="1"/>
  <c r="U51" i="13" s="1"/>
  <c r="U53" i="13" s="1"/>
  <c r="U55" i="13" s="1"/>
  <c r="V54" i="13" s="1"/>
  <c r="G40" i="12"/>
  <c r="G20" i="12" l="1"/>
  <c r="G15" i="12" l="1"/>
  <c r="G8" i="12" l="1"/>
  <c r="G7" i="12" l="1"/>
  <c r="Q15" i="12" l="1"/>
  <c r="Q27" i="12" l="1"/>
  <c r="Q6" i="12" l="1"/>
  <c r="G11" i="12" l="1"/>
  <c r="G13" i="12" l="1"/>
  <c r="G16" i="12" l="1"/>
  <c r="G22" i="12" l="1"/>
  <c r="G14" i="12" l="1"/>
  <c r="G12" i="12" l="1"/>
  <c r="Q11" i="12" l="1"/>
  <c r="Q7" i="12" l="1"/>
  <c r="Q8" i="12" l="1"/>
  <c r="G19" i="12" l="1"/>
  <c r="G9" i="12" l="1"/>
  <c r="G21" i="10" l="1"/>
  <c r="G21" i="9"/>
  <c r="M48" i="12" l="1"/>
  <c r="M55" i="12" s="1"/>
  <c r="G41" i="12"/>
  <c r="C41" i="12"/>
  <c r="N37" i="12"/>
  <c r="S36" i="12"/>
  <c r="O36" i="12"/>
  <c r="L42" i="12" s="1"/>
  <c r="M36" i="12"/>
  <c r="L44" i="12" s="1"/>
  <c r="P34" i="12"/>
  <c r="R34" i="12" s="1"/>
  <c r="N34" i="13" s="1"/>
  <c r="P34" i="13" s="1"/>
  <c r="R34" i="13" s="1"/>
  <c r="N34" i="14" s="1"/>
  <c r="P34" i="14" s="1"/>
  <c r="R34" i="14" s="1"/>
  <c r="N34" i="15" s="1"/>
  <c r="P34" i="15" s="1"/>
  <c r="R34" i="15" s="1"/>
  <c r="N34" i="16" s="1"/>
  <c r="P34" i="16" s="1"/>
  <c r="R34" i="16" s="1"/>
  <c r="N34" i="17" s="1"/>
  <c r="P34" i="17" s="1"/>
  <c r="R34" i="17" s="1"/>
  <c r="D24" i="12"/>
  <c r="I23" i="12"/>
  <c r="E23" i="12"/>
  <c r="B29" i="12" s="1"/>
  <c r="G23" i="12"/>
  <c r="F29" i="12" s="1"/>
  <c r="Q36" i="12"/>
  <c r="P42" i="12" s="1"/>
  <c r="K2" i="12"/>
  <c r="U45" i="12" l="1"/>
  <c r="Q48" i="12"/>
  <c r="Q55" i="12" s="1"/>
  <c r="G33" i="12"/>
  <c r="C33" i="12"/>
  <c r="Q46" i="12"/>
  <c r="M46" i="12"/>
  <c r="U46" i="12" s="1"/>
  <c r="P16" i="5"/>
  <c r="U47" i="12" l="1"/>
  <c r="U49" i="12" s="1"/>
  <c r="U51" i="12" s="1"/>
  <c r="I30" i="12"/>
  <c r="I31" i="12" s="1"/>
  <c r="I32" i="12" s="1"/>
  <c r="I34" i="12" s="1"/>
  <c r="Q16" i="11"/>
  <c r="Q8" i="11" l="1"/>
  <c r="G20" i="11" l="1"/>
  <c r="G22" i="11" l="1"/>
  <c r="G13" i="11" l="1"/>
  <c r="G11" i="11" l="1"/>
  <c r="G16" i="11" l="1"/>
  <c r="Q27" i="11" l="1"/>
  <c r="Q14" i="11" l="1"/>
  <c r="Q11" i="11" l="1"/>
  <c r="G19" i="11" l="1"/>
  <c r="Q15" i="11" l="1"/>
  <c r="G12" i="11" l="1"/>
  <c r="Q18" i="11" l="1"/>
  <c r="Q34" i="10" l="1"/>
  <c r="Q13" i="11" l="1"/>
  <c r="G20" i="8" l="1"/>
  <c r="G20" i="10"/>
  <c r="N37" i="11" l="1"/>
  <c r="M48" i="11"/>
  <c r="M55" i="11" s="1"/>
  <c r="G41" i="11"/>
  <c r="C41" i="11"/>
  <c r="S36" i="11"/>
  <c r="O36" i="11"/>
  <c r="L42" i="11" s="1"/>
  <c r="M36" i="11"/>
  <c r="L44" i="11" s="1"/>
  <c r="R24" i="11"/>
  <c r="N24" i="12" s="1"/>
  <c r="P24" i="12" s="1"/>
  <c r="R24" i="12" s="1"/>
  <c r="N24" i="13" s="1"/>
  <c r="P24" i="13" s="1"/>
  <c r="R24" i="13" s="1"/>
  <c r="N24" i="14" s="1"/>
  <c r="P24" i="14" s="1"/>
  <c r="R24" i="14" s="1"/>
  <c r="N24" i="15" s="1"/>
  <c r="P24" i="15" s="1"/>
  <c r="R24" i="15" s="1"/>
  <c r="N24" i="16" s="1"/>
  <c r="P24" i="16" s="1"/>
  <c r="R24" i="16" s="1"/>
  <c r="N24" i="17" s="1"/>
  <c r="P24" i="17" s="1"/>
  <c r="R24" i="17" s="1"/>
  <c r="D24" i="11"/>
  <c r="R23" i="11"/>
  <c r="N23" i="12" s="1"/>
  <c r="P23" i="12" s="1"/>
  <c r="R23" i="12" s="1"/>
  <c r="N23" i="13" s="1"/>
  <c r="P23" i="13" s="1"/>
  <c r="R23" i="13" s="1"/>
  <c r="N23" i="14" s="1"/>
  <c r="P23" i="14" s="1"/>
  <c r="R23" i="14" s="1"/>
  <c r="N23" i="15" s="1"/>
  <c r="P23" i="15" s="1"/>
  <c r="R23" i="15" s="1"/>
  <c r="N23" i="16" s="1"/>
  <c r="P23" i="16" s="1"/>
  <c r="R23" i="16" s="1"/>
  <c r="N23" i="17" s="1"/>
  <c r="P23" i="17" s="1"/>
  <c r="R23" i="17" s="1"/>
  <c r="I23" i="11"/>
  <c r="E23" i="11"/>
  <c r="B29" i="11" s="1"/>
  <c r="R22" i="11"/>
  <c r="N22" i="12" s="1"/>
  <c r="P22" i="12" s="1"/>
  <c r="R22" i="12" s="1"/>
  <c r="N22" i="13" s="1"/>
  <c r="P22" i="13" s="1"/>
  <c r="R22" i="13" s="1"/>
  <c r="N22" i="14" s="1"/>
  <c r="P22" i="14" s="1"/>
  <c r="R22" i="14" s="1"/>
  <c r="N22" i="15" s="1"/>
  <c r="P22" i="15" s="1"/>
  <c r="R22" i="15" s="1"/>
  <c r="N22" i="16" s="1"/>
  <c r="P22" i="16" s="1"/>
  <c r="R22" i="16" s="1"/>
  <c r="N22" i="17" s="1"/>
  <c r="P22" i="17" s="1"/>
  <c r="R22" i="17" s="1"/>
  <c r="R21" i="11"/>
  <c r="N21" i="12" s="1"/>
  <c r="P21" i="12" s="1"/>
  <c r="R21" i="12" s="1"/>
  <c r="N21" i="13" s="1"/>
  <c r="P21" i="13" s="1"/>
  <c r="R21" i="13" s="1"/>
  <c r="N21" i="14" s="1"/>
  <c r="P21" i="14" s="1"/>
  <c r="R21" i="14" s="1"/>
  <c r="N21" i="15" s="1"/>
  <c r="P21" i="15" s="1"/>
  <c r="R21" i="15" s="1"/>
  <c r="N21" i="16" s="1"/>
  <c r="P21" i="16" s="1"/>
  <c r="R21" i="16" s="1"/>
  <c r="N21" i="17" s="1"/>
  <c r="P21" i="17" s="1"/>
  <c r="R21" i="17" s="1"/>
  <c r="G23" i="11"/>
  <c r="F29" i="11" s="1"/>
  <c r="Q36" i="11"/>
  <c r="P42" i="11" s="1"/>
  <c r="K2" i="11"/>
  <c r="T48" i="11" l="1"/>
  <c r="C33" i="11"/>
  <c r="I30" i="11" s="1"/>
  <c r="I31" i="11" s="1"/>
  <c r="I32" i="11" s="1"/>
  <c r="I34" i="11" s="1"/>
  <c r="G33" i="11"/>
  <c r="Q46" i="11"/>
  <c r="M46" i="11"/>
  <c r="T49" i="11" s="1"/>
  <c r="T50" i="11" s="1"/>
  <c r="Q48" i="11"/>
  <c r="Q55" i="11" s="1"/>
  <c r="Q13" i="10" l="1"/>
  <c r="G15" i="10" l="1"/>
  <c r="Q14" i="10" l="1"/>
  <c r="G14" i="10"/>
  <c r="Q6" i="10" l="1"/>
  <c r="G8" i="10"/>
  <c r="N37" i="10" l="1"/>
  <c r="M49" i="10"/>
  <c r="M56" i="10" s="1"/>
  <c r="G42" i="10"/>
  <c r="C42" i="10"/>
  <c r="S36" i="10"/>
  <c r="O36" i="10"/>
  <c r="L43" i="10" s="1"/>
  <c r="M36" i="10"/>
  <c r="L45" i="10" s="1"/>
  <c r="I34" i="10"/>
  <c r="R24" i="10"/>
  <c r="N24" i="11" s="1"/>
  <c r="D24" i="10"/>
  <c r="R23" i="10"/>
  <c r="N23" i="11" s="1"/>
  <c r="I23" i="10"/>
  <c r="E23" i="10"/>
  <c r="B29" i="10" s="1"/>
  <c r="R22" i="10"/>
  <c r="N22" i="11" s="1"/>
  <c r="R21" i="10"/>
  <c r="N21" i="11" s="1"/>
  <c r="G23" i="10"/>
  <c r="F29" i="10" s="1"/>
  <c r="Q36" i="10"/>
  <c r="P43" i="10" s="1"/>
  <c r="K2" i="10"/>
  <c r="C33" i="10" l="1"/>
  <c r="G33" i="10"/>
  <c r="Q47" i="10"/>
  <c r="M47" i="10"/>
  <c r="Q49" i="10"/>
  <c r="Q56" i="10" s="1"/>
  <c r="G20" i="9"/>
  <c r="Q34" i="9"/>
  <c r="I34" i="9" l="1"/>
  <c r="G14" i="8" l="1"/>
  <c r="Q6" i="9" l="1"/>
  <c r="G16" i="9" l="1"/>
  <c r="G14" i="9"/>
  <c r="Q11" i="9" l="1"/>
  <c r="Q10" i="9" l="1"/>
  <c r="G9" i="9" l="1"/>
  <c r="G13" i="9" l="1"/>
  <c r="Q15" i="9" l="1"/>
  <c r="G22" i="9" l="1"/>
  <c r="Q8" i="9" l="1"/>
  <c r="Q16" i="8" l="1"/>
  <c r="K2" i="9"/>
  <c r="G15" i="9"/>
  <c r="D24" i="9"/>
  <c r="M48" i="9" l="1"/>
  <c r="M55" i="9" s="1"/>
  <c r="N37" i="9"/>
  <c r="S36" i="9"/>
  <c r="M36" i="9"/>
  <c r="L44" i="9" s="1"/>
  <c r="G41" i="9"/>
  <c r="C41" i="9"/>
  <c r="R24" i="9"/>
  <c r="N24" i="10" s="1"/>
  <c r="R23" i="9"/>
  <c r="N23" i="10" s="1"/>
  <c r="I23" i="9"/>
  <c r="E23" i="9"/>
  <c r="B29" i="9" s="1"/>
  <c r="C23" i="9"/>
  <c r="R22" i="9"/>
  <c r="N22" i="10" s="1"/>
  <c r="R21" i="9"/>
  <c r="N21" i="10" s="1"/>
  <c r="O36" i="9"/>
  <c r="L42" i="9" s="1"/>
  <c r="Q36" i="9"/>
  <c r="P42" i="9" s="1"/>
  <c r="G23" i="9"/>
  <c r="F29" i="9" s="1"/>
  <c r="Q46" i="9" l="1"/>
  <c r="M46" i="9"/>
  <c r="G33" i="9"/>
  <c r="C33" i="9"/>
  <c r="Q48" i="9"/>
  <c r="Q55" i="9" s="1"/>
  <c r="Q34" i="8"/>
  <c r="O16" i="8" l="1"/>
  <c r="G35" i="8" l="1"/>
  <c r="C35" i="8"/>
  <c r="M48" i="8"/>
  <c r="Q48" i="8" s="1"/>
  <c r="Q8" i="8" l="1"/>
  <c r="Q13" i="8" l="1"/>
  <c r="G12" i="8" l="1"/>
  <c r="G21" i="8" l="1"/>
  <c r="G7" i="8" l="1"/>
  <c r="K2" i="8" l="1"/>
  <c r="Q11" i="8" l="1"/>
  <c r="Q15" i="8" l="1"/>
  <c r="G19" i="8" l="1"/>
  <c r="Q7" i="8" l="1"/>
  <c r="G18" i="8" l="1"/>
  <c r="D71" i="8" l="1"/>
  <c r="D70" i="8"/>
  <c r="C69" i="8"/>
  <c r="C70" i="8" s="1"/>
  <c r="J69" i="8" l="1"/>
  <c r="F68" i="8"/>
  <c r="G20" i="7" l="1"/>
  <c r="D21" i="8" l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Q56" i="8"/>
  <c r="M56" i="8"/>
  <c r="G41" i="8"/>
  <c r="C41" i="8"/>
  <c r="N37" i="8"/>
  <c r="S36" i="8"/>
  <c r="O36" i="8"/>
  <c r="L42" i="8" s="1"/>
  <c r="M36" i="8"/>
  <c r="L44" i="8" s="1"/>
  <c r="R24" i="8"/>
  <c r="N24" i="9" s="1"/>
  <c r="D24" i="8"/>
  <c r="R23" i="8"/>
  <c r="N23" i="9" s="1"/>
  <c r="I23" i="8"/>
  <c r="E23" i="8"/>
  <c r="B29" i="8" s="1"/>
  <c r="C23" i="8"/>
  <c r="B32" i="8" s="1"/>
  <c r="R22" i="8"/>
  <c r="N22" i="9" s="1"/>
  <c r="R21" i="8"/>
  <c r="N21" i="9" s="1"/>
  <c r="F16" i="8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D16" i="17" s="1"/>
  <c r="F16" i="17" s="1"/>
  <c r="H16" i="17" s="1"/>
  <c r="P8" i="8"/>
  <c r="R8" i="8" s="1"/>
  <c r="G23" i="8"/>
  <c r="F29" i="8" s="1"/>
  <c r="Q36" i="8"/>
  <c r="P42" i="8" s="1"/>
  <c r="N8" i="9" l="1"/>
  <c r="P8" i="9" s="1"/>
  <c r="R8" i="9" s="1"/>
  <c r="N8" i="10" s="1"/>
  <c r="P8" i="10" s="1"/>
  <c r="R8" i="10" s="1"/>
  <c r="F21" i="12"/>
  <c r="C33" i="8"/>
  <c r="G33" i="8"/>
  <c r="Q46" i="8"/>
  <c r="M46" i="8"/>
  <c r="N8" i="11" l="1"/>
  <c r="P8" i="11" s="1"/>
  <c r="R8" i="11" s="1"/>
  <c r="H21" i="12"/>
  <c r="N8" i="12" l="1"/>
  <c r="P8" i="12" s="1"/>
  <c r="R8" i="12" s="1"/>
  <c r="D21" i="13"/>
  <c r="G14" i="7"/>
  <c r="N8" i="13" l="1"/>
  <c r="P8" i="13" s="1"/>
  <c r="R8" i="13" s="1"/>
  <c r="F21" i="13"/>
  <c r="G22" i="6"/>
  <c r="N8" i="14" l="1"/>
  <c r="P8" i="14" s="1"/>
  <c r="R8" i="14" s="1"/>
  <c r="H21" i="13"/>
  <c r="D21" i="14" l="1"/>
  <c r="F21" i="14" s="1"/>
  <c r="H21" i="14" s="1"/>
  <c r="D21" i="15" s="1"/>
  <c r="F21" i="15" s="1"/>
  <c r="H21" i="15" s="1"/>
  <c r="D21" i="16" s="1"/>
  <c r="F21" i="16" s="1"/>
  <c r="H21" i="16" s="1"/>
  <c r="D21" i="17" s="1"/>
  <c r="F21" i="17" s="1"/>
  <c r="H21" i="17" s="1"/>
  <c r="R43" i="14"/>
  <c r="N8" i="15"/>
  <c r="P8" i="15" s="1"/>
  <c r="R8" i="15" s="1"/>
  <c r="Q13" i="7"/>
  <c r="R39" i="15" l="1"/>
  <c r="N8" i="16"/>
  <c r="P8" i="16" s="1"/>
  <c r="R8" i="16" s="1"/>
  <c r="Q6" i="7"/>
  <c r="N8" i="17" l="1"/>
  <c r="P8" i="17" s="1"/>
  <c r="R8" i="17" s="1"/>
  <c r="G22" i="7"/>
  <c r="G12" i="7" l="1"/>
  <c r="G10" i="7" l="1"/>
  <c r="G7" i="7" l="1"/>
  <c r="Q27" i="7" l="1"/>
  <c r="Q11" i="7" l="1"/>
  <c r="Q15" i="7" l="1"/>
  <c r="Q34" i="7" l="1"/>
  <c r="G16" i="7" l="1"/>
  <c r="Q33" i="7" l="1"/>
  <c r="G18" i="7" l="1"/>
  <c r="Q55" i="7" l="1"/>
  <c r="M55" i="7"/>
  <c r="G41" i="7"/>
  <c r="C41" i="7"/>
  <c r="N37" i="7"/>
  <c r="S36" i="7"/>
  <c r="L44" i="7" s="1"/>
  <c r="O36" i="7"/>
  <c r="L42" i="7" s="1"/>
  <c r="M36" i="7"/>
  <c r="R24" i="7"/>
  <c r="N24" i="8" s="1"/>
  <c r="D24" i="7"/>
  <c r="R23" i="7"/>
  <c r="N23" i="8" s="1"/>
  <c r="I23" i="7"/>
  <c r="E23" i="7"/>
  <c r="B29" i="7" s="1"/>
  <c r="C23" i="7"/>
  <c r="B32" i="7" s="1"/>
  <c r="R22" i="7"/>
  <c r="N22" i="8" s="1"/>
  <c r="R21" i="7"/>
  <c r="N21" i="8" s="1"/>
  <c r="G23" i="7"/>
  <c r="Q36" i="7"/>
  <c r="P42" i="7" s="1"/>
  <c r="F29" i="7" l="1"/>
  <c r="C33" i="7"/>
  <c r="G33" i="7"/>
  <c r="Q46" i="7"/>
  <c r="M46" i="7"/>
  <c r="G14" i="6"/>
  <c r="Q6" i="6" l="1"/>
  <c r="G20" i="6" l="1"/>
  <c r="M36" i="6" l="1"/>
  <c r="O36" i="6"/>
  <c r="L42" i="6" s="1"/>
  <c r="S36" i="6"/>
  <c r="L44" i="6" s="1"/>
  <c r="N37" i="6"/>
  <c r="G10" i="6"/>
  <c r="M46" i="6" l="1"/>
  <c r="Q46" i="6"/>
  <c r="G16" i="6"/>
  <c r="Q14" i="6" l="1"/>
  <c r="Q36" i="6" s="1"/>
  <c r="N20" i="5" l="1"/>
  <c r="Q55" i="6" l="1"/>
  <c r="M55" i="6"/>
  <c r="G41" i="6"/>
  <c r="C41" i="6"/>
  <c r="R24" i="6"/>
  <c r="N24" i="7" s="1"/>
  <c r="D24" i="6"/>
  <c r="R23" i="6"/>
  <c r="N23" i="7" s="1"/>
  <c r="I23" i="6"/>
  <c r="E23" i="6"/>
  <c r="B29" i="6" s="1"/>
  <c r="C23" i="6"/>
  <c r="R22" i="6"/>
  <c r="N22" i="7" s="1"/>
  <c r="R21" i="6"/>
  <c r="N21" i="7" s="1"/>
  <c r="G23" i="6"/>
  <c r="F29" i="6" s="1"/>
  <c r="P42" i="6"/>
  <c r="G33" i="6" l="1"/>
  <c r="C33" i="6"/>
  <c r="Q13" i="5"/>
  <c r="G14" i="5" l="1"/>
  <c r="G20" i="5"/>
  <c r="Q17" i="5"/>
  <c r="Q8" i="5"/>
  <c r="Q6" i="5" l="1"/>
  <c r="R21" i="5" l="1"/>
  <c r="N21" i="6" s="1"/>
  <c r="R22" i="5"/>
  <c r="N22" i="6" s="1"/>
  <c r="R23" i="5"/>
  <c r="N23" i="6" s="1"/>
  <c r="R24" i="5"/>
  <c r="N24" i="6" s="1"/>
  <c r="G21" i="5" l="1"/>
  <c r="P20" i="5" l="1"/>
  <c r="R20" i="5" s="1"/>
  <c r="P17" i="5"/>
  <c r="R17" i="5" s="1"/>
  <c r="N17" i="6" s="1"/>
  <c r="P17" i="6" s="1"/>
  <c r="R17" i="6" s="1"/>
  <c r="N17" i="7" s="1"/>
  <c r="P17" i="7" s="1"/>
  <c r="R17" i="7" s="1"/>
  <c r="N17" i="8" s="1"/>
  <c r="P17" i="8" s="1"/>
  <c r="R17" i="8" s="1"/>
  <c r="N17" i="9" s="1"/>
  <c r="P17" i="9" s="1"/>
  <c r="R17" i="9" s="1"/>
  <c r="N17" i="10" s="1"/>
  <c r="P17" i="10" s="1"/>
  <c r="R17" i="10" s="1"/>
  <c r="N17" i="11" s="1"/>
  <c r="P17" i="11" s="1"/>
  <c r="R17" i="11" s="1"/>
  <c r="N17" i="12" s="1"/>
  <c r="P17" i="12" s="1"/>
  <c r="R17" i="12" s="1"/>
  <c r="N17" i="13" s="1"/>
  <c r="P17" i="13" s="1"/>
  <c r="R17" i="13" s="1"/>
  <c r="N17" i="14" s="1"/>
  <c r="P17" i="14" s="1"/>
  <c r="R17" i="14" s="1"/>
  <c r="N17" i="15" s="1"/>
  <c r="P17" i="15" s="1"/>
  <c r="R17" i="15" s="1"/>
  <c r="N17" i="16" s="1"/>
  <c r="P17" i="16" s="1"/>
  <c r="R17" i="16" s="1"/>
  <c r="N17" i="17" s="1"/>
  <c r="P17" i="17" s="1"/>
  <c r="R17" i="17" s="1"/>
  <c r="P18" i="5"/>
  <c r="R18" i="5" s="1"/>
  <c r="N18" i="6" s="1"/>
  <c r="P18" i="6" s="1"/>
  <c r="R18" i="6" s="1"/>
  <c r="N18" i="7" s="1"/>
  <c r="P18" i="7" s="1"/>
  <c r="R18" i="7" s="1"/>
  <c r="N18" i="8" s="1"/>
  <c r="P18" i="8" s="1"/>
  <c r="R18" i="8" s="1"/>
  <c r="N18" i="9" s="1"/>
  <c r="P18" i="9" s="1"/>
  <c r="R18" i="9" s="1"/>
  <c r="N18" i="10" s="1"/>
  <c r="P18" i="10" s="1"/>
  <c r="R18" i="10" s="1"/>
  <c r="N18" i="11" s="1"/>
  <c r="P18" i="11" s="1"/>
  <c r="R18" i="11" s="1"/>
  <c r="N18" i="12" s="1"/>
  <c r="P18" i="12" s="1"/>
  <c r="R18" i="12" s="1"/>
  <c r="N18" i="13" s="1"/>
  <c r="P18" i="13" s="1"/>
  <c r="R18" i="13" s="1"/>
  <c r="N18" i="14" s="1"/>
  <c r="P18" i="14" s="1"/>
  <c r="R18" i="14" s="1"/>
  <c r="N18" i="15" s="1"/>
  <c r="P18" i="15" s="1"/>
  <c r="R18" i="15" s="1"/>
  <c r="N18" i="16" s="1"/>
  <c r="P18" i="16" s="1"/>
  <c r="R18" i="16" s="1"/>
  <c r="N18" i="17" s="1"/>
  <c r="P18" i="17" s="1"/>
  <c r="R18" i="17" s="1"/>
  <c r="P19" i="5"/>
  <c r="R19" i="5" s="1"/>
  <c r="N19" i="6" s="1"/>
  <c r="P19" i="6" s="1"/>
  <c r="R19" i="6" s="1"/>
  <c r="N19" i="7" s="1"/>
  <c r="P19" i="7" s="1"/>
  <c r="R19" i="7" s="1"/>
  <c r="N19" i="8" s="1"/>
  <c r="P19" i="8" s="1"/>
  <c r="R19" i="8" s="1"/>
  <c r="N19" i="9" s="1"/>
  <c r="P19" i="9" s="1"/>
  <c r="R19" i="9" s="1"/>
  <c r="N19" i="10" s="1"/>
  <c r="P19" i="10" s="1"/>
  <c r="R19" i="10" s="1"/>
  <c r="N19" i="11" s="1"/>
  <c r="P19" i="11" s="1"/>
  <c r="R19" i="11" s="1"/>
  <c r="N19" i="12" s="1"/>
  <c r="P19" i="12" s="1"/>
  <c r="R19" i="12" s="1"/>
  <c r="N19" i="13" s="1"/>
  <c r="P19" i="13" s="1"/>
  <c r="R19" i="13" s="1"/>
  <c r="N19" i="14" s="1"/>
  <c r="P19" i="14" s="1"/>
  <c r="R19" i="14" s="1"/>
  <c r="N19" i="15" s="1"/>
  <c r="P19" i="15" s="1"/>
  <c r="R19" i="15" s="1"/>
  <c r="P19" i="16" s="1"/>
  <c r="R19" i="16" s="1"/>
  <c r="N19" i="17" s="1"/>
  <c r="P19" i="17" s="1"/>
  <c r="R19" i="17" s="1"/>
  <c r="P20" i="6" l="1"/>
  <c r="G10" i="5"/>
  <c r="R20" i="6" l="1"/>
  <c r="N20" i="7" s="1"/>
  <c r="P20" i="7" s="1"/>
  <c r="R20" i="7" s="1"/>
  <c r="N20" i="8" s="1"/>
  <c r="P20" i="8" s="1"/>
  <c r="R20" i="8" s="1"/>
  <c r="N20" i="9" s="1"/>
  <c r="P20" i="9" s="1"/>
  <c r="R20" i="9" s="1"/>
  <c r="N20" i="10" s="1"/>
  <c r="P20" i="10" s="1"/>
  <c r="R20" i="10" s="1"/>
  <c r="N20" i="11" s="1"/>
  <c r="P20" i="11" s="1"/>
  <c r="R20" i="11" s="1"/>
  <c r="N20" i="12" s="1"/>
  <c r="P20" i="12" s="1"/>
  <c r="R20" i="12" s="1"/>
  <c r="N20" i="13" s="1"/>
  <c r="P20" i="13" s="1"/>
  <c r="R20" i="13" s="1"/>
  <c r="N20" i="14" s="1"/>
  <c r="P20" i="14" s="1"/>
  <c r="R20" i="14" s="1"/>
  <c r="N20" i="15" s="1"/>
  <c r="P20" i="15" s="1"/>
  <c r="R20" i="15" s="1"/>
  <c r="N20" i="16" s="1"/>
  <c r="P20" i="16" s="1"/>
  <c r="R20" i="16" s="1"/>
  <c r="N20" i="17" s="1"/>
  <c r="P20" i="17" s="1"/>
  <c r="R20" i="17" s="1"/>
  <c r="G12" i="5"/>
  <c r="G19" i="5" l="1"/>
  <c r="Q11" i="5" l="1"/>
  <c r="P32" i="5" l="1"/>
  <c r="Q55" i="5" l="1"/>
  <c r="M55" i="5"/>
  <c r="N37" i="5"/>
  <c r="S36" i="5"/>
  <c r="L42" i="5" s="1"/>
  <c r="Q36" i="5"/>
  <c r="P40" i="5" s="1"/>
  <c r="O36" i="5"/>
  <c r="N36" i="5"/>
  <c r="M36" i="5"/>
  <c r="P35" i="5"/>
  <c r="R35" i="5" s="1"/>
  <c r="P34" i="5"/>
  <c r="R34" i="5" s="1"/>
  <c r="N34" i="6" s="1"/>
  <c r="P34" i="6" s="1"/>
  <c r="R34" i="6" s="1"/>
  <c r="N34" i="7" s="1"/>
  <c r="P34" i="7" s="1"/>
  <c r="R34" i="7" s="1"/>
  <c r="N34" i="8" s="1"/>
  <c r="P34" i="8" s="1"/>
  <c r="R34" i="8" s="1"/>
  <c r="N34" i="9" s="1"/>
  <c r="P34" i="9" s="1"/>
  <c r="R34" i="9" s="1"/>
  <c r="N34" i="10" s="1"/>
  <c r="P34" i="10" s="1"/>
  <c r="R34" i="10" s="1"/>
  <c r="N34" i="11" s="1"/>
  <c r="P34" i="11" s="1"/>
  <c r="P33" i="5"/>
  <c r="R33" i="5" s="1"/>
  <c r="N33" i="6" s="1"/>
  <c r="P33" i="6" s="1"/>
  <c r="R33" i="6" s="1"/>
  <c r="N33" i="7" s="1"/>
  <c r="P33" i="7" s="1"/>
  <c r="R33" i="7" s="1"/>
  <c r="N33" i="8" s="1"/>
  <c r="P33" i="8" s="1"/>
  <c r="R33" i="8" s="1"/>
  <c r="N33" i="9" s="1"/>
  <c r="P33" i="9" s="1"/>
  <c r="R33" i="9" s="1"/>
  <c r="N33" i="10" s="1"/>
  <c r="P33" i="10" s="1"/>
  <c r="R33" i="10" s="1"/>
  <c r="N33" i="11" s="1"/>
  <c r="P33" i="11" s="1"/>
  <c r="R33" i="11" s="1"/>
  <c r="N33" i="12" s="1"/>
  <c r="P33" i="12" s="1"/>
  <c r="R33" i="12" s="1"/>
  <c r="N33" i="13" s="1"/>
  <c r="P33" i="13" s="1"/>
  <c r="R33" i="13" s="1"/>
  <c r="N33" i="14" s="1"/>
  <c r="P33" i="14" s="1"/>
  <c r="R33" i="14" s="1"/>
  <c r="N33" i="15" s="1"/>
  <c r="P33" i="15" s="1"/>
  <c r="R33" i="15" s="1"/>
  <c r="N33" i="16" s="1"/>
  <c r="P33" i="16" s="1"/>
  <c r="R33" i="16" s="1"/>
  <c r="N33" i="17" s="1"/>
  <c r="P33" i="17" s="1"/>
  <c r="R33" i="17" s="1"/>
  <c r="R32" i="5"/>
  <c r="N32" i="6" s="1"/>
  <c r="P32" i="6" s="1"/>
  <c r="R32" i="6" s="1"/>
  <c r="N32" i="7" s="1"/>
  <c r="P32" i="7" s="1"/>
  <c r="R32" i="7" s="1"/>
  <c r="N32" i="8" s="1"/>
  <c r="P32" i="8" s="1"/>
  <c r="R32" i="8" s="1"/>
  <c r="N32" i="9" s="1"/>
  <c r="P32" i="9" s="1"/>
  <c r="R32" i="9" s="1"/>
  <c r="N32" i="10" s="1"/>
  <c r="P32" i="10" s="1"/>
  <c r="R32" i="10" s="1"/>
  <c r="N32" i="11" s="1"/>
  <c r="P32" i="11" s="1"/>
  <c r="R32" i="11" s="1"/>
  <c r="N32" i="12" s="1"/>
  <c r="P32" i="12" s="1"/>
  <c r="R32" i="12" s="1"/>
  <c r="N32" i="13" s="1"/>
  <c r="P32" i="13" s="1"/>
  <c r="R32" i="13" s="1"/>
  <c r="N32" i="14" s="1"/>
  <c r="P32" i="14" s="1"/>
  <c r="R32" i="14" s="1"/>
  <c r="N32" i="15" s="1"/>
  <c r="P32" i="15" s="1"/>
  <c r="R32" i="15" s="1"/>
  <c r="N32" i="16" s="1"/>
  <c r="P32" i="16" s="1"/>
  <c r="R32" i="16" s="1"/>
  <c r="N32" i="17" s="1"/>
  <c r="P32" i="17" s="1"/>
  <c r="R32" i="17" s="1"/>
  <c r="P31" i="5"/>
  <c r="R31" i="5" s="1"/>
  <c r="N31" i="6" s="1"/>
  <c r="P31" i="6" s="1"/>
  <c r="R31" i="6" s="1"/>
  <c r="N31" i="7" s="1"/>
  <c r="P31" i="7" s="1"/>
  <c r="R31" i="7" s="1"/>
  <c r="N31" i="8" s="1"/>
  <c r="P31" i="8" s="1"/>
  <c r="R31" i="8" s="1"/>
  <c r="N31" i="9" s="1"/>
  <c r="P31" i="9" s="1"/>
  <c r="R31" i="9" s="1"/>
  <c r="N31" i="10" s="1"/>
  <c r="P31" i="10" s="1"/>
  <c r="R31" i="10" s="1"/>
  <c r="N31" i="11" s="1"/>
  <c r="P31" i="11" s="1"/>
  <c r="R31" i="11" s="1"/>
  <c r="N31" i="12" s="1"/>
  <c r="P31" i="12" s="1"/>
  <c r="R31" i="12" s="1"/>
  <c r="N31" i="13" s="1"/>
  <c r="P31" i="13" s="1"/>
  <c r="R31" i="13" s="1"/>
  <c r="N31" i="14" s="1"/>
  <c r="P31" i="14" s="1"/>
  <c r="R31" i="14" s="1"/>
  <c r="N31" i="15" s="1"/>
  <c r="P31" i="15" s="1"/>
  <c r="R31" i="15" s="1"/>
  <c r="N31" i="16" s="1"/>
  <c r="P31" i="16" s="1"/>
  <c r="R31" i="16" s="1"/>
  <c r="N31" i="17" s="1"/>
  <c r="P31" i="17" s="1"/>
  <c r="R31" i="17" s="1"/>
  <c r="P30" i="5"/>
  <c r="R30" i="5" s="1"/>
  <c r="N30" i="6" s="1"/>
  <c r="P30" i="6" s="1"/>
  <c r="R30" i="6" s="1"/>
  <c r="N30" i="7" s="1"/>
  <c r="P30" i="7" s="1"/>
  <c r="R30" i="7" s="1"/>
  <c r="N30" i="8" s="1"/>
  <c r="P30" i="8" s="1"/>
  <c r="R30" i="8" s="1"/>
  <c r="N30" i="9" s="1"/>
  <c r="P30" i="9" s="1"/>
  <c r="R30" i="9" s="1"/>
  <c r="N30" i="10" s="1"/>
  <c r="P30" i="10" s="1"/>
  <c r="R30" i="10" s="1"/>
  <c r="N30" i="11" s="1"/>
  <c r="P30" i="11" s="1"/>
  <c r="R30" i="11" s="1"/>
  <c r="N30" i="12" s="1"/>
  <c r="P30" i="12" s="1"/>
  <c r="R30" i="12" s="1"/>
  <c r="N30" i="13" s="1"/>
  <c r="P30" i="13" s="1"/>
  <c r="R30" i="13" s="1"/>
  <c r="N30" i="14" s="1"/>
  <c r="P30" i="14" s="1"/>
  <c r="R30" i="14" s="1"/>
  <c r="N30" i="15" s="1"/>
  <c r="P30" i="15" s="1"/>
  <c r="R30" i="15" s="1"/>
  <c r="N30" i="16" s="1"/>
  <c r="P30" i="16" s="1"/>
  <c r="R30" i="16" s="1"/>
  <c r="N30" i="17" s="1"/>
  <c r="P30" i="17" s="1"/>
  <c r="R30" i="17" s="1"/>
  <c r="P29" i="5"/>
  <c r="R29" i="5" s="1"/>
  <c r="N29" i="6" s="1"/>
  <c r="P29" i="6" s="1"/>
  <c r="R29" i="6" s="1"/>
  <c r="N29" i="7" s="1"/>
  <c r="P29" i="7" s="1"/>
  <c r="R29" i="7" s="1"/>
  <c r="N29" i="8" s="1"/>
  <c r="P29" i="8" s="1"/>
  <c r="R29" i="8" s="1"/>
  <c r="N29" i="9" s="1"/>
  <c r="P29" i="9" s="1"/>
  <c r="R29" i="9" s="1"/>
  <c r="N29" i="10" s="1"/>
  <c r="P29" i="10" s="1"/>
  <c r="R29" i="10" s="1"/>
  <c r="N29" i="11" s="1"/>
  <c r="P29" i="11" s="1"/>
  <c r="R29" i="11" s="1"/>
  <c r="N29" i="12" s="1"/>
  <c r="P29" i="12" s="1"/>
  <c r="R29" i="12" s="1"/>
  <c r="N29" i="13" s="1"/>
  <c r="P29" i="13" s="1"/>
  <c r="R29" i="13" s="1"/>
  <c r="N29" i="14" s="1"/>
  <c r="P29" i="14" s="1"/>
  <c r="R29" i="14" s="1"/>
  <c r="N29" i="15" s="1"/>
  <c r="P29" i="15" s="1"/>
  <c r="R29" i="15" s="1"/>
  <c r="N29" i="16" s="1"/>
  <c r="P29" i="16" s="1"/>
  <c r="R29" i="16" s="1"/>
  <c r="N29" i="17" s="1"/>
  <c r="P29" i="17" s="1"/>
  <c r="R29" i="17" s="1"/>
  <c r="P28" i="5"/>
  <c r="R28" i="5" s="1"/>
  <c r="N28" i="6" s="1"/>
  <c r="P28" i="6" s="1"/>
  <c r="R28" i="6" s="1"/>
  <c r="N28" i="7" s="1"/>
  <c r="P28" i="7" s="1"/>
  <c r="R28" i="7" s="1"/>
  <c r="N28" i="8" s="1"/>
  <c r="P28" i="8" s="1"/>
  <c r="R28" i="8" s="1"/>
  <c r="N28" i="9" s="1"/>
  <c r="P28" i="9" s="1"/>
  <c r="R28" i="9" s="1"/>
  <c r="N28" i="10" s="1"/>
  <c r="P28" i="10" s="1"/>
  <c r="R28" i="10" s="1"/>
  <c r="N28" i="11" s="1"/>
  <c r="P28" i="11" s="1"/>
  <c r="R28" i="11" s="1"/>
  <c r="N28" i="12" s="1"/>
  <c r="P28" i="12" s="1"/>
  <c r="R28" i="12" s="1"/>
  <c r="N28" i="13" s="1"/>
  <c r="P28" i="13" s="1"/>
  <c r="R28" i="13" s="1"/>
  <c r="N28" i="14" s="1"/>
  <c r="P28" i="14" s="1"/>
  <c r="R28" i="14" s="1"/>
  <c r="N28" i="15" s="1"/>
  <c r="P28" i="15" s="1"/>
  <c r="R28" i="15" s="1"/>
  <c r="N28" i="16" s="1"/>
  <c r="P28" i="16" s="1"/>
  <c r="R28" i="16" s="1"/>
  <c r="N28" i="17" s="1"/>
  <c r="P28" i="17" s="1"/>
  <c r="R28" i="17" s="1"/>
  <c r="P27" i="5"/>
  <c r="R27" i="5" s="1"/>
  <c r="N27" i="6" s="1"/>
  <c r="P27" i="6" s="1"/>
  <c r="R27" i="6" s="1"/>
  <c r="N27" i="7" s="1"/>
  <c r="P27" i="7" s="1"/>
  <c r="R27" i="7" s="1"/>
  <c r="N27" i="8" s="1"/>
  <c r="P27" i="8" s="1"/>
  <c r="R27" i="8" s="1"/>
  <c r="N27" i="9" s="1"/>
  <c r="P27" i="9" s="1"/>
  <c r="R27" i="9" s="1"/>
  <c r="N27" i="10" s="1"/>
  <c r="P27" i="10" s="1"/>
  <c r="R27" i="10" s="1"/>
  <c r="N27" i="11" s="1"/>
  <c r="P27" i="11" s="1"/>
  <c r="R27" i="11" s="1"/>
  <c r="N27" i="12" s="1"/>
  <c r="P27" i="12" s="1"/>
  <c r="R27" i="12" s="1"/>
  <c r="N27" i="13" s="1"/>
  <c r="P27" i="13" s="1"/>
  <c r="R27" i="13" s="1"/>
  <c r="N27" i="14" s="1"/>
  <c r="P27" i="14" s="1"/>
  <c r="R27" i="14" s="1"/>
  <c r="N27" i="15" s="1"/>
  <c r="P27" i="15" s="1"/>
  <c r="R27" i="15" s="1"/>
  <c r="N27" i="16" s="1"/>
  <c r="P27" i="16" s="1"/>
  <c r="R27" i="16" s="1"/>
  <c r="N27" i="17" s="1"/>
  <c r="P27" i="17" s="1"/>
  <c r="R27" i="17" s="1"/>
  <c r="P26" i="5"/>
  <c r="R26" i="5" s="1"/>
  <c r="N26" i="6" s="1"/>
  <c r="P26" i="6" s="1"/>
  <c r="R26" i="6" s="1"/>
  <c r="N26" i="7" s="1"/>
  <c r="P26" i="7" s="1"/>
  <c r="R26" i="7" s="1"/>
  <c r="N26" i="8" s="1"/>
  <c r="P26" i="8" s="1"/>
  <c r="R26" i="8" s="1"/>
  <c r="N26" i="9" s="1"/>
  <c r="P26" i="9" s="1"/>
  <c r="R26" i="9" s="1"/>
  <c r="N26" i="10" s="1"/>
  <c r="P26" i="10" s="1"/>
  <c r="R26" i="10" s="1"/>
  <c r="N26" i="11" s="1"/>
  <c r="P26" i="11" s="1"/>
  <c r="R26" i="11" s="1"/>
  <c r="N26" i="12" s="1"/>
  <c r="P26" i="12" s="1"/>
  <c r="R26" i="12" s="1"/>
  <c r="N26" i="13" s="1"/>
  <c r="P26" i="13" s="1"/>
  <c r="R26" i="13" s="1"/>
  <c r="N26" i="14" s="1"/>
  <c r="P26" i="14" s="1"/>
  <c r="R26" i="14" s="1"/>
  <c r="N26" i="15" s="1"/>
  <c r="P26" i="15" s="1"/>
  <c r="R26" i="15" s="1"/>
  <c r="N26" i="16" s="1"/>
  <c r="P26" i="16" s="1"/>
  <c r="R26" i="16" s="1"/>
  <c r="N26" i="17" s="1"/>
  <c r="P26" i="17" s="1"/>
  <c r="R26" i="17" s="1"/>
  <c r="P25" i="5"/>
  <c r="R25" i="5" s="1"/>
  <c r="N25" i="6" s="1"/>
  <c r="P25" i="6" s="1"/>
  <c r="R25" i="6" s="1"/>
  <c r="N25" i="7" s="1"/>
  <c r="P25" i="7" s="1"/>
  <c r="R25" i="7" s="1"/>
  <c r="N25" i="8" s="1"/>
  <c r="P25" i="8" s="1"/>
  <c r="R25" i="8" s="1"/>
  <c r="N25" i="9" s="1"/>
  <c r="P25" i="9" s="1"/>
  <c r="R25" i="9" s="1"/>
  <c r="N25" i="10" s="1"/>
  <c r="P25" i="10" s="1"/>
  <c r="R25" i="10" s="1"/>
  <c r="N25" i="11" s="1"/>
  <c r="P25" i="11" s="1"/>
  <c r="R25" i="11" s="1"/>
  <c r="N25" i="12" s="1"/>
  <c r="P25" i="12" s="1"/>
  <c r="R25" i="12" s="1"/>
  <c r="N25" i="13" s="1"/>
  <c r="P25" i="13" s="1"/>
  <c r="R25" i="13" s="1"/>
  <c r="N25" i="14" s="1"/>
  <c r="P25" i="14" s="1"/>
  <c r="R25" i="14" s="1"/>
  <c r="N25" i="15" s="1"/>
  <c r="P25" i="15" s="1"/>
  <c r="R25" i="15" s="1"/>
  <c r="N25" i="16" s="1"/>
  <c r="P25" i="16" s="1"/>
  <c r="R25" i="16" s="1"/>
  <c r="N25" i="17" s="1"/>
  <c r="P25" i="17" s="1"/>
  <c r="R25" i="17" s="1"/>
  <c r="N16" i="6"/>
  <c r="P16" i="6" s="1"/>
  <c r="R16" i="6" s="1"/>
  <c r="N16" i="7" s="1"/>
  <c r="P16" i="7" s="1"/>
  <c r="R16" i="7" s="1"/>
  <c r="N16" i="8" s="1"/>
  <c r="P15" i="5"/>
  <c r="R15" i="5" s="1"/>
  <c r="N15" i="6" s="1"/>
  <c r="P15" i="6" s="1"/>
  <c r="R15" i="6" s="1"/>
  <c r="N15" i="7" s="1"/>
  <c r="P15" i="7" s="1"/>
  <c r="R15" i="7" s="1"/>
  <c r="N15" i="8" s="1"/>
  <c r="P15" i="8" s="1"/>
  <c r="R15" i="8" s="1"/>
  <c r="N15" i="9" s="1"/>
  <c r="P15" i="9" s="1"/>
  <c r="R15" i="9" s="1"/>
  <c r="N15" i="10" s="1"/>
  <c r="P15" i="10" s="1"/>
  <c r="R15" i="10" s="1"/>
  <c r="N15" i="11" s="1"/>
  <c r="P15" i="11" s="1"/>
  <c r="R15" i="11" s="1"/>
  <c r="N15" i="12" s="1"/>
  <c r="P15" i="12" s="1"/>
  <c r="R15" i="12" s="1"/>
  <c r="N15" i="13" s="1"/>
  <c r="P15" i="13" s="1"/>
  <c r="R15" i="13" s="1"/>
  <c r="N15" i="14" s="1"/>
  <c r="P15" i="14" s="1"/>
  <c r="R15" i="14" s="1"/>
  <c r="N15" i="15" s="1"/>
  <c r="P15" i="15" s="1"/>
  <c r="R15" i="15" s="1"/>
  <c r="N15" i="16" s="1"/>
  <c r="P15" i="16" s="1"/>
  <c r="R15" i="16" s="1"/>
  <c r="N15" i="17" s="1"/>
  <c r="P15" i="17" s="1"/>
  <c r="R15" i="17" s="1"/>
  <c r="P14" i="5"/>
  <c r="R14" i="5" s="1"/>
  <c r="N14" i="6" s="1"/>
  <c r="P14" i="6" s="1"/>
  <c r="R14" i="6" s="1"/>
  <c r="N14" i="7" s="1"/>
  <c r="P14" i="7" s="1"/>
  <c r="R14" i="7" s="1"/>
  <c r="N14" i="8" s="1"/>
  <c r="P14" i="8" s="1"/>
  <c r="R14" i="8" s="1"/>
  <c r="N14" i="9" s="1"/>
  <c r="P14" i="9" s="1"/>
  <c r="R14" i="9" s="1"/>
  <c r="N14" i="10" s="1"/>
  <c r="P14" i="10" s="1"/>
  <c r="R14" i="10" s="1"/>
  <c r="N14" i="11" s="1"/>
  <c r="P14" i="11" s="1"/>
  <c r="R14" i="11" s="1"/>
  <c r="N14" i="12" s="1"/>
  <c r="P14" i="12" s="1"/>
  <c r="R14" i="12" s="1"/>
  <c r="P13" i="5"/>
  <c r="R13" i="5" s="1"/>
  <c r="N13" i="6" s="1"/>
  <c r="P13" i="6" s="1"/>
  <c r="R13" i="6" s="1"/>
  <c r="N13" i="7" s="1"/>
  <c r="P13" i="7" s="1"/>
  <c r="R13" i="7" s="1"/>
  <c r="N13" i="8" s="1"/>
  <c r="P13" i="8" s="1"/>
  <c r="R13" i="8" s="1"/>
  <c r="P12" i="5"/>
  <c r="R12" i="5" s="1"/>
  <c r="N12" i="6" s="1"/>
  <c r="P12" i="6" s="1"/>
  <c r="R12" i="6" s="1"/>
  <c r="N12" i="7" s="1"/>
  <c r="P12" i="7" s="1"/>
  <c r="R12" i="7" s="1"/>
  <c r="N12" i="8" s="1"/>
  <c r="P12" i="8" s="1"/>
  <c r="R12" i="8" s="1"/>
  <c r="N12" i="9" s="1"/>
  <c r="P12" i="9" s="1"/>
  <c r="R12" i="9" s="1"/>
  <c r="N12" i="10" s="1"/>
  <c r="P12" i="10" s="1"/>
  <c r="R12" i="10" s="1"/>
  <c r="N12" i="11" s="1"/>
  <c r="P12" i="11" s="1"/>
  <c r="R12" i="11" s="1"/>
  <c r="N12" i="12" s="1"/>
  <c r="P12" i="12" s="1"/>
  <c r="R12" i="12" s="1"/>
  <c r="N12" i="13" s="1"/>
  <c r="P12" i="13" s="1"/>
  <c r="R12" i="13" s="1"/>
  <c r="N12" i="14" s="1"/>
  <c r="P12" i="14" s="1"/>
  <c r="R12" i="14" s="1"/>
  <c r="N12" i="15" s="1"/>
  <c r="P12" i="15" s="1"/>
  <c r="R12" i="15" s="1"/>
  <c r="N12" i="16" s="1"/>
  <c r="P12" i="16" s="1"/>
  <c r="R12" i="16" s="1"/>
  <c r="N12" i="17" s="1"/>
  <c r="P12" i="17" s="1"/>
  <c r="R12" i="17" s="1"/>
  <c r="P11" i="5"/>
  <c r="R11" i="5" s="1"/>
  <c r="N11" i="6" s="1"/>
  <c r="P11" i="6" s="1"/>
  <c r="R11" i="6" s="1"/>
  <c r="N11" i="7" s="1"/>
  <c r="P11" i="7" s="1"/>
  <c r="R11" i="7" s="1"/>
  <c r="N11" i="8" s="1"/>
  <c r="P11" i="8" s="1"/>
  <c r="R11" i="8" s="1"/>
  <c r="N11" i="9" s="1"/>
  <c r="P11" i="9" s="1"/>
  <c r="R11" i="9" s="1"/>
  <c r="N11" i="10" s="1"/>
  <c r="P11" i="10" s="1"/>
  <c r="R11" i="10" s="1"/>
  <c r="N11" i="11" s="1"/>
  <c r="P11" i="11" s="1"/>
  <c r="R11" i="11" s="1"/>
  <c r="N11" i="12" s="1"/>
  <c r="P11" i="12" s="1"/>
  <c r="R11" i="12" s="1"/>
  <c r="N11" i="13" s="1"/>
  <c r="P11" i="13" s="1"/>
  <c r="R11" i="13" s="1"/>
  <c r="N11" i="14" s="1"/>
  <c r="P11" i="14" s="1"/>
  <c r="R11" i="14" s="1"/>
  <c r="N11" i="15" s="1"/>
  <c r="P11" i="15" s="1"/>
  <c r="R11" i="15" s="1"/>
  <c r="N11" i="16" s="1"/>
  <c r="P11" i="16" s="1"/>
  <c r="R11" i="16" s="1"/>
  <c r="N11" i="17" s="1"/>
  <c r="P11" i="17" s="1"/>
  <c r="R11" i="17" s="1"/>
  <c r="P10" i="5"/>
  <c r="R10" i="5" s="1"/>
  <c r="N10" i="6" s="1"/>
  <c r="P10" i="6" s="1"/>
  <c r="R10" i="6" s="1"/>
  <c r="N10" i="7" s="1"/>
  <c r="P10" i="7" s="1"/>
  <c r="R10" i="7" s="1"/>
  <c r="N10" i="8" s="1"/>
  <c r="P10" i="8" s="1"/>
  <c r="R10" i="8" s="1"/>
  <c r="N10" i="9" s="1"/>
  <c r="P10" i="9" s="1"/>
  <c r="R10" i="9" s="1"/>
  <c r="N10" i="10" s="1"/>
  <c r="P10" i="10" s="1"/>
  <c r="R10" i="10" s="1"/>
  <c r="N10" i="11" s="1"/>
  <c r="P10" i="11" s="1"/>
  <c r="R10" i="11" s="1"/>
  <c r="N10" i="12" s="1"/>
  <c r="P10" i="12" s="1"/>
  <c r="R10" i="12" s="1"/>
  <c r="N10" i="13" s="1"/>
  <c r="P10" i="13" s="1"/>
  <c r="R10" i="13" s="1"/>
  <c r="N10" i="14" s="1"/>
  <c r="P10" i="14" s="1"/>
  <c r="R10" i="14" s="1"/>
  <c r="N10" i="15" s="1"/>
  <c r="P10" i="15" s="1"/>
  <c r="R10" i="15" s="1"/>
  <c r="N10" i="16" s="1"/>
  <c r="P10" i="16" s="1"/>
  <c r="R10" i="16" s="1"/>
  <c r="N10" i="17" s="1"/>
  <c r="P10" i="17" s="1"/>
  <c r="R10" i="17" s="1"/>
  <c r="P9" i="5"/>
  <c r="R9" i="5" s="1"/>
  <c r="N9" i="6" s="1"/>
  <c r="P9" i="6" s="1"/>
  <c r="R9" i="6" s="1"/>
  <c r="N9" i="7" s="1"/>
  <c r="P9" i="7" s="1"/>
  <c r="R9" i="7" s="1"/>
  <c r="N9" i="8" s="1"/>
  <c r="P9" i="8" s="1"/>
  <c r="R9" i="8" s="1"/>
  <c r="N9" i="9" s="1"/>
  <c r="P9" i="9" s="1"/>
  <c r="R9" i="9" s="1"/>
  <c r="N9" i="10" s="1"/>
  <c r="P9" i="10" s="1"/>
  <c r="R9" i="10" s="1"/>
  <c r="N9" i="11" s="1"/>
  <c r="P9" i="11" s="1"/>
  <c r="R9" i="11" s="1"/>
  <c r="N9" i="12" s="1"/>
  <c r="P9" i="12" s="1"/>
  <c r="R9" i="12" s="1"/>
  <c r="N9" i="13" s="1"/>
  <c r="P9" i="13" s="1"/>
  <c r="R9" i="13" s="1"/>
  <c r="N9" i="14" s="1"/>
  <c r="P9" i="14" s="1"/>
  <c r="R9" i="14" s="1"/>
  <c r="N9" i="15" s="1"/>
  <c r="P9" i="15" s="1"/>
  <c r="R9" i="15" s="1"/>
  <c r="N9" i="16" s="1"/>
  <c r="P9" i="16" s="1"/>
  <c r="R9" i="16" s="1"/>
  <c r="N9" i="17" s="1"/>
  <c r="P9" i="17" s="1"/>
  <c r="R9" i="17" s="1"/>
  <c r="P8" i="5"/>
  <c r="R8" i="5" s="1"/>
  <c r="N8" i="6" s="1"/>
  <c r="P8" i="6" s="1"/>
  <c r="R8" i="6" s="1"/>
  <c r="N8" i="7" s="1"/>
  <c r="P7" i="5"/>
  <c r="R7" i="5" s="1"/>
  <c r="N7" i="6" s="1"/>
  <c r="P7" i="6" s="1"/>
  <c r="R7" i="6" s="1"/>
  <c r="N7" i="7" s="1"/>
  <c r="P7" i="7" s="1"/>
  <c r="R7" i="7" s="1"/>
  <c r="N7" i="8" s="1"/>
  <c r="P7" i="8" s="1"/>
  <c r="R7" i="8" s="1"/>
  <c r="N7" i="9" s="1"/>
  <c r="P7" i="9" s="1"/>
  <c r="R7" i="9" s="1"/>
  <c r="N7" i="10" s="1"/>
  <c r="P7" i="10" s="1"/>
  <c r="R7" i="10" s="1"/>
  <c r="N7" i="11" s="1"/>
  <c r="P7" i="11" s="1"/>
  <c r="R7" i="11" s="1"/>
  <c r="N7" i="12" s="1"/>
  <c r="P7" i="12" s="1"/>
  <c r="R7" i="12" s="1"/>
  <c r="N7" i="13" s="1"/>
  <c r="P7" i="13" s="1"/>
  <c r="R7" i="13" s="1"/>
  <c r="N7" i="14" s="1"/>
  <c r="P7" i="14" s="1"/>
  <c r="R7" i="14" s="1"/>
  <c r="N7" i="15" s="1"/>
  <c r="P7" i="15" s="1"/>
  <c r="R7" i="15" s="1"/>
  <c r="N7" i="16" s="1"/>
  <c r="P7" i="16" s="1"/>
  <c r="R7" i="16" s="1"/>
  <c r="N7" i="17" s="1"/>
  <c r="P7" i="17" s="1"/>
  <c r="R7" i="17" s="1"/>
  <c r="P6" i="5"/>
  <c r="N13" i="9" l="1"/>
  <c r="P13" i="9" s="1"/>
  <c r="R39" i="8"/>
  <c r="P16" i="8"/>
  <c r="P8" i="7"/>
  <c r="R39" i="6"/>
  <c r="N35" i="6"/>
  <c r="P35" i="6" s="1"/>
  <c r="R35" i="6" s="1"/>
  <c r="N35" i="7" s="1"/>
  <c r="P35" i="7" s="1"/>
  <c r="R35" i="7" s="1"/>
  <c r="N35" i="8" s="1"/>
  <c r="P35" i="8" s="1"/>
  <c r="R35" i="8" s="1"/>
  <c r="N35" i="9" s="1"/>
  <c r="P35" i="9" s="1"/>
  <c r="R35" i="9" s="1"/>
  <c r="N35" i="10" s="1"/>
  <c r="P35" i="10" s="1"/>
  <c r="P35" i="11" s="1"/>
  <c r="R35" i="11" s="1"/>
  <c r="N35" i="12" s="1"/>
  <c r="P35" i="12" s="1"/>
  <c r="R35" i="12" s="1"/>
  <c r="N35" i="13" s="1"/>
  <c r="P35" i="13" s="1"/>
  <c r="R35" i="13" s="1"/>
  <c r="N35" i="14" s="1"/>
  <c r="P35" i="14" s="1"/>
  <c r="R35" i="14" s="1"/>
  <c r="N35" i="15" s="1"/>
  <c r="P35" i="15" s="1"/>
  <c r="R35" i="15" s="1"/>
  <c r="N35" i="16" s="1"/>
  <c r="P35" i="16" s="1"/>
  <c r="R35" i="16" s="1"/>
  <c r="N35" i="17" s="1"/>
  <c r="P35" i="17" s="1"/>
  <c r="R35" i="17" s="1"/>
  <c r="R6" i="5"/>
  <c r="P36" i="5"/>
  <c r="L40" i="5"/>
  <c r="M44" i="5" s="1"/>
  <c r="U46" i="5" s="1"/>
  <c r="U47" i="5" s="1"/>
  <c r="R13" i="9" l="1"/>
  <c r="N13" i="10" s="1"/>
  <c r="P13" i="10" s="1"/>
  <c r="R13" i="10" s="1"/>
  <c r="R16" i="8"/>
  <c r="R8" i="7"/>
  <c r="L55" i="5"/>
  <c r="Q44" i="5"/>
  <c r="P55" i="5" s="1"/>
  <c r="R55" i="5" s="1"/>
  <c r="P43" i="6" s="1"/>
  <c r="P55" i="6" s="1"/>
  <c r="R55" i="6" s="1"/>
  <c r="P43" i="7" s="1"/>
  <c r="P55" i="7" s="1"/>
  <c r="R55" i="7" s="1"/>
  <c r="P43" i="8" s="1"/>
  <c r="P56" i="8" s="1"/>
  <c r="R56" i="8" s="1"/>
  <c r="P43" i="9" s="1"/>
  <c r="P55" i="9" s="1"/>
  <c r="R55" i="9" s="1"/>
  <c r="P44" i="10" s="1"/>
  <c r="P56" i="10" s="1"/>
  <c r="R56" i="10" s="1"/>
  <c r="P43" i="11" s="1"/>
  <c r="P55" i="11" s="1"/>
  <c r="R55" i="11" s="1"/>
  <c r="P43" i="12" s="1"/>
  <c r="P55" i="12" s="1"/>
  <c r="R55" i="12" s="1"/>
  <c r="P43" i="13" s="1"/>
  <c r="P55" i="13" s="1"/>
  <c r="R55" i="13" s="1"/>
  <c r="P47" i="14" s="1"/>
  <c r="P59" i="14" s="1"/>
  <c r="R59" i="14" s="1"/>
  <c r="P44" i="15" s="1"/>
  <c r="P56" i="15" s="1"/>
  <c r="R56" i="15" s="1"/>
  <c r="P43" i="16" s="1"/>
  <c r="P55" i="16" s="1"/>
  <c r="R55" i="16" s="1"/>
  <c r="P43" i="17" s="1"/>
  <c r="P55" i="17" s="1"/>
  <c r="R55" i="17" s="1"/>
  <c r="R36" i="5"/>
  <c r="N6" i="6"/>
  <c r="N36" i="6" s="1"/>
  <c r="N55" i="5"/>
  <c r="L43" i="6" s="1"/>
  <c r="N13" i="11" l="1"/>
  <c r="P13" i="11" s="1"/>
  <c r="R13" i="11" s="1"/>
  <c r="R39" i="10"/>
  <c r="R39" i="9"/>
  <c r="N16" i="9"/>
  <c r="P16" i="9" s="1"/>
  <c r="R39" i="7"/>
  <c r="L55" i="6"/>
  <c r="N55" i="6" s="1"/>
  <c r="L43" i="7" s="1"/>
  <c r="L55" i="7" s="1"/>
  <c r="N55" i="7" s="1"/>
  <c r="L43" i="8" s="1"/>
  <c r="L56" i="8" s="1"/>
  <c r="N56" i="8" s="1"/>
  <c r="L43" i="9" s="1"/>
  <c r="L55" i="9" s="1"/>
  <c r="N55" i="9" s="1"/>
  <c r="L44" i="10" s="1"/>
  <c r="L56" i="10" s="1"/>
  <c r="N56" i="10" s="1"/>
  <c r="L43" i="11" s="1"/>
  <c r="L55" i="11" s="1"/>
  <c r="N55" i="11" s="1"/>
  <c r="L43" i="12" s="1"/>
  <c r="L55" i="12" s="1"/>
  <c r="N55" i="12" s="1"/>
  <c r="L43" i="13" s="1"/>
  <c r="L55" i="13" s="1"/>
  <c r="N55" i="13" s="1"/>
  <c r="L47" i="14" s="1"/>
  <c r="L59" i="14" s="1"/>
  <c r="N59" i="14" s="1"/>
  <c r="L44" i="15" s="1"/>
  <c r="L56" i="15" s="1"/>
  <c r="N56" i="15" s="1"/>
  <c r="P6" i="6"/>
  <c r="P36" i="6" s="1"/>
  <c r="D18" i="5"/>
  <c r="F18" i="5" s="1"/>
  <c r="H18" i="5" s="1"/>
  <c r="G38" i="5"/>
  <c r="C38" i="5"/>
  <c r="D24" i="5"/>
  <c r="I23" i="5"/>
  <c r="E23" i="5"/>
  <c r="B28" i="5" s="1"/>
  <c r="C23" i="5"/>
  <c r="G23" i="5"/>
  <c r="F28" i="5" s="1"/>
  <c r="F13" i="5"/>
  <c r="H13" i="5" s="1"/>
  <c r="F11" i="5"/>
  <c r="H11" i="5" s="1"/>
  <c r="L43" i="16" l="1"/>
  <c r="L55" i="16" s="1"/>
  <c r="N55" i="16" s="1"/>
  <c r="N13" i="12"/>
  <c r="P13" i="12" s="1"/>
  <c r="R13" i="12" s="1"/>
  <c r="R39" i="11"/>
  <c r="R16" i="9"/>
  <c r="D11" i="6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R6" i="6"/>
  <c r="G32" i="5"/>
  <c r="C32" i="5"/>
  <c r="G13" i="4"/>
  <c r="G20" i="4"/>
  <c r="L55" i="17" l="1"/>
  <c r="N55" i="17" s="1"/>
  <c r="N13" i="13"/>
  <c r="P13" i="13" s="1"/>
  <c r="R13" i="13" s="1"/>
  <c r="R39" i="13" s="1"/>
  <c r="R39" i="12"/>
  <c r="R36" i="6"/>
  <c r="N6" i="7"/>
  <c r="N16" i="10"/>
  <c r="P16" i="10" s="1"/>
  <c r="G36" i="4"/>
  <c r="C36" i="4"/>
  <c r="P6" i="7" l="1"/>
  <c r="N36" i="7"/>
  <c r="R16" i="10"/>
  <c r="G22" i="4"/>
  <c r="R6" i="7" l="1"/>
  <c r="P36" i="7"/>
  <c r="N16" i="11"/>
  <c r="P16" i="11" s="1"/>
  <c r="G16" i="4"/>
  <c r="N6" i="8" l="1"/>
  <c r="R36" i="7"/>
  <c r="R16" i="11"/>
  <c r="D9" i="4"/>
  <c r="G41" i="4"/>
  <c r="C41" i="4"/>
  <c r="D24" i="4"/>
  <c r="I23" i="4"/>
  <c r="G23" i="4"/>
  <c r="F29" i="4" s="1"/>
  <c r="E23" i="4"/>
  <c r="B29" i="4" s="1"/>
  <c r="G33" i="4" s="1"/>
  <c r="C23" i="4"/>
  <c r="F9" i="4"/>
  <c r="H9" i="4" s="1"/>
  <c r="D9" i="5" s="1"/>
  <c r="F9" i="5" s="1"/>
  <c r="H9" i="5" s="1"/>
  <c r="N16" i="12" l="1"/>
  <c r="P16" i="12" s="1"/>
  <c r="R16" i="12" s="1"/>
  <c r="N16" i="13" s="1"/>
  <c r="P16" i="13" s="1"/>
  <c r="R16" i="13" s="1"/>
  <c r="N16" i="14" s="1"/>
  <c r="P16" i="14" s="1"/>
  <c r="R16" i="14" s="1"/>
  <c r="N16" i="15" s="1"/>
  <c r="P16" i="15" s="1"/>
  <c r="R16" i="15" s="1"/>
  <c r="N16" i="16" s="1"/>
  <c r="P16" i="16" s="1"/>
  <c r="R16" i="16" s="1"/>
  <c r="N16" i="17" s="1"/>
  <c r="P16" i="17" s="1"/>
  <c r="R16" i="17" s="1"/>
  <c r="P6" i="8"/>
  <c r="N36" i="8"/>
  <c r="D9" i="6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C33" i="4"/>
  <c r="R6" i="8" l="1"/>
  <c r="P36" i="8"/>
  <c r="G18" i="3"/>
  <c r="N6" i="9" l="1"/>
  <c r="P6" i="9" s="1"/>
  <c r="R36" i="8"/>
  <c r="N36" i="9" s="1"/>
  <c r="G20" i="3"/>
  <c r="R6" i="9" l="1"/>
  <c r="P36" i="9"/>
  <c r="G21" i="3"/>
  <c r="N6" i="10" l="1"/>
  <c r="P6" i="10" s="1"/>
  <c r="R36" i="9"/>
  <c r="N36" i="10" s="1"/>
  <c r="B32" i="2"/>
  <c r="R6" i="10" l="1"/>
  <c r="P36" i="10"/>
  <c r="G7" i="3"/>
  <c r="N6" i="11" l="1"/>
  <c r="P6" i="11" s="1"/>
  <c r="R36" i="10"/>
  <c r="N36" i="11" s="1"/>
  <c r="G22" i="3"/>
  <c r="R6" i="11" l="1"/>
  <c r="P36" i="11"/>
  <c r="G16" i="3"/>
  <c r="G23" i="3" s="1"/>
  <c r="N6" i="12" l="1"/>
  <c r="R36" i="11"/>
  <c r="G22" i="2"/>
  <c r="G15" i="2"/>
  <c r="G16" i="2"/>
  <c r="P6" i="12" l="1"/>
  <c r="N36" i="12"/>
  <c r="D24" i="3"/>
  <c r="G41" i="3"/>
  <c r="C41" i="3"/>
  <c r="I23" i="3"/>
  <c r="E23" i="3"/>
  <c r="B29" i="3" s="1"/>
  <c r="G33" i="3" s="1"/>
  <c r="C23" i="3"/>
  <c r="F13" i="4"/>
  <c r="F29" i="3"/>
  <c r="R6" i="12" l="1"/>
  <c r="P36" i="12"/>
  <c r="C33" i="3"/>
  <c r="R36" i="12" l="1"/>
  <c r="N6" i="13"/>
  <c r="G21" i="2"/>
  <c r="G20" i="2"/>
  <c r="P6" i="13" l="1"/>
  <c r="N36" i="13"/>
  <c r="F21" i="1"/>
  <c r="R6" i="13" l="1"/>
  <c r="P36" i="13"/>
  <c r="G7" i="2"/>
  <c r="N6" i="14" l="1"/>
  <c r="R36" i="13"/>
  <c r="G10" i="2"/>
  <c r="N36" i="14" l="1"/>
  <c r="P6" i="14"/>
  <c r="G12" i="2"/>
  <c r="R6" i="14" l="1"/>
  <c r="P36" i="14"/>
  <c r="G41" i="2"/>
  <c r="C41" i="2"/>
  <c r="I23" i="2"/>
  <c r="E23" i="2"/>
  <c r="B29" i="2" s="1"/>
  <c r="C23" i="2"/>
  <c r="F22" i="2"/>
  <c r="H22" i="2" s="1"/>
  <c r="F21" i="2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F20" i="2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F19" i="2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F18" i="2"/>
  <c r="H18" i="2" s="1"/>
  <c r="D18" i="3" s="1"/>
  <c r="F18" i="3" s="1"/>
  <c r="H18" i="3" s="1"/>
  <c r="D18" i="4" s="1"/>
  <c r="F18" i="4" s="1"/>
  <c r="F17" i="2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G23" i="2"/>
  <c r="F29" i="2" s="1"/>
  <c r="F16" i="2"/>
  <c r="H16" i="2" s="1"/>
  <c r="D16" i="3" s="1"/>
  <c r="F16" i="3" s="1"/>
  <c r="F15" i="2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F14" i="2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F13" i="2"/>
  <c r="H13" i="2" s="1"/>
  <c r="D13" i="3" s="1"/>
  <c r="F12" i="2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F11" i="2"/>
  <c r="H11" i="2" s="1"/>
  <c r="D11" i="3" s="1"/>
  <c r="F11" i="3" s="1"/>
  <c r="H11" i="3" s="1"/>
  <c r="D11" i="4" s="1"/>
  <c r="F10" i="2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F9" i="2"/>
  <c r="H9" i="2" s="1"/>
  <c r="F8" i="2"/>
  <c r="H8" i="2" s="1"/>
  <c r="D8" i="3" s="1"/>
  <c r="F8" i="3" s="1"/>
  <c r="H8" i="3" s="1"/>
  <c r="D8" i="4" s="1"/>
  <c r="F8" i="4" s="1"/>
  <c r="H8" i="4" s="1"/>
  <c r="D8" i="5" s="1"/>
  <c r="F8" i="5" s="1"/>
  <c r="H8" i="5" s="1"/>
  <c r="F7" i="2"/>
  <c r="H7" i="2" s="1"/>
  <c r="D7" i="3" s="1"/>
  <c r="F7" i="3" s="1"/>
  <c r="H7" i="3" s="1"/>
  <c r="D7" i="4" s="1"/>
  <c r="F7" i="4" s="1"/>
  <c r="H7" i="4" s="1"/>
  <c r="D7" i="5" s="1"/>
  <c r="F7" i="5" s="1"/>
  <c r="H7" i="5" s="1"/>
  <c r="F6" i="2"/>
  <c r="F11" i="4" l="1"/>
  <c r="H11" i="4" s="1"/>
  <c r="N6" i="15"/>
  <c r="P6" i="15" s="1"/>
  <c r="R36" i="14"/>
  <c r="D7" i="6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8" i="6"/>
  <c r="F8" i="6" s="1"/>
  <c r="H8" i="6" s="1"/>
  <c r="F8" i="7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D17" i="6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9" i="6"/>
  <c r="F19" i="6" s="1"/>
  <c r="H19" i="6" s="1"/>
  <c r="F19" i="7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D15" i="6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3" i="6"/>
  <c r="F13" i="6" s="1"/>
  <c r="H13" i="6" s="1"/>
  <c r="D13" i="7" s="1"/>
  <c r="F13" i="7" s="1"/>
  <c r="H13" i="7" s="1"/>
  <c r="D13" i="8" s="1"/>
  <c r="F13" i="8" s="1"/>
  <c r="D18" i="6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2" i="6"/>
  <c r="D10" i="6"/>
  <c r="F10" i="6" s="1"/>
  <c r="H10" i="6" s="1"/>
  <c r="D10" i="7" s="1"/>
  <c r="F10" i="7" s="1"/>
  <c r="H10" i="7" s="1"/>
  <c r="D10" i="8" s="1"/>
  <c r="F10" i="8" s="1"/>
  <c r="H10" i="8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22" i="3"/>
  <c r="F22" i="3" s="1"/>
  <c r="H22" i="3" s="1"/>
  <c r="D22" i="4" s="1"/>
  <c r="F22" i="4" s="1"/>
  <c r="H22" i="4" s="1"/>
  <c r="D22" i="5" s="1"/>
  <c r="F22" i="5" s="1"/>
  <c r="H22" i="5" s="1"/>
  <c r="H16" i="3"/>
  <c r="D16" i="4" s="1"/>
  <c r="F16" i="4" s="1"/>
  <c r="H16" i="4" s="1"/>
  <c r="D16" i="5" s="1"/>
  <c r="F16" i="5" s="1"/>
  <c r="H16" i="5" s="1"/>
  <c r="F23" i="2"/>
  <c r="G33" i="2"/>
  <c r="C33" i="2"/>
  <c r="H6" i="2"/>
  <c r="D19" i="16" l="1"/>
  <c r="F19" i="16" s="1"/>
  <c r="H19" i="16" s="1"/>
  <c r="D19" i="17" s="1"/>
  <c r="F19" i="17" s="1"/>
  <c r="H19" i="17" s="1"/>
  <c r="N36" i="15"/>
  <c r="N36" i="16"/>
  <c r="D18" i="15"/>
  <c r="F18" i="15" s="1"/>
  <c r="H18" i="15" s="1"/>
  <c r="D18" i="16" s="1"/>
  <c r="F18" i="16" s="1"/>
  <c r="H18" i="16" s="1"/>
  <c r="D18" i="17" s="1"/>
  <c r="F18" i="17" s="1"/>
  <c r="H18" i="17" s="1"/>
  <c r="F12" i="6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2" i="14" s="1"/>
  <c r="F12" i="14" s="1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H13" i="8"/>
  <c r="D13" i="9" s="1"/>
  <c r="F13" i="9" s="1"/>
  <c r="H13" i="9" s="1"/>
  <c r="D13" i="10" s="1"/>
  <c r="F13" i="10" s="1"/>
  <c r="R6" i="15"/>
  <c r="P36" i="15"/>
  <c r="D22" i="6"/>
  <c r="F22" i="6" s="1"/>
  <c r="H22" i="6" s="1"/>
  <c r="D22" i="7" s="1"/>
  <c r="D16" i="6"/>
  <c r="F16" i="6" s="1"/>
  <c r="H16" i="6" s="1"/>
  <c r="D16" i="7" s="1"/>
  <c r="F16" i="7" s="1"/>
  <c r="H16" i="7" s="1"/>
  <c r="D20" i="6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D14" i="6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H23" i="2"/>
  <c r="D23" i="3" s="1"/>
  <c r="D6" i="3"/>
  <c r="F6" i="3" s="1"/>
  <c r="H6" i="3" s="1"/>
  <c r="D6" i="4" s="1"/>
  <c r="F6" i="4" s="1"/>
  <c r="G16" i="1"/>
  <c r="H20" i="15" l="1"/>
  <c r="D20" i="16" s="1"/>
  <c r="F20" i="16" s="1"/>
  <c r="H20" i="16" s="1"/>
  <c r="D20" i="17" s="1"/>
  <c r="F20" i="17" s="1"/>
  <c r="H20" i="17" s="1"/>
  <c r="R36" i="15"/>
  <c r="N6" i="16"/>
  <c r="P6" i="16" s="1"/>
  <c r="H13" i="10"/>
  <c r="D13" i="11" s="1"/>
  <c r="F13" i="11" s="1"/>
  <c r="H13" i="11" s="1"/>
  <c r="D13" i="12" s="1"/>
  <c r="F13" i="12" s="1"/>
  <c r="H13" i="12" s="1"/>
  <c r="D14" i="11"/>
  <c r="F14" i="11" s="1"/>
  <c r="H14" i="11" s="1"/>
  <c r="F22" i="7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D22" i="11" s="1"/>
  <c r="F22" i="11" s="1"/>
  <c r="H22" i="11" s="1"/>
  <c r="D22" i="12" s="1"/>
  <c r="F22" i="12" s="1"/>
  <c r="H22" i="12" s="1"/>
  <c r="D22" i="13" s="1"/>
  <c r="F22" i="13" s="1"/>
  <c r="H22" i="13" s="1"/>
  <c r="D22" i="14" s="1"/>
  <c r="F22" i="14" s="1"/>
  <c r="H22" i="14" s="1"/>
  <c r="D22" i="15" s="1"/>
  <c r="F22" i="15" s="1"/>
  <c r="H22" i="15" s="1"/>
  <c r="D22" i="16" s="1"/>
  <c r="F22" i="16" s="1"/>
  <c r="H22" i="16" s="1"/>
  <c r="D22" i="17" s="1"/>
  <c r="F22" i="17" s="1"/>
  <c r="H22" i="17" s="1"/>
  <c r="H23" i="3"/>
  <c r="D23" i="4" s="1"/>
  <c r="H6" i="4"/>
  <c r="F23" i="4"/>
  <c r="F23" i="3"/>
  <c r="G47" i="1"/>
  <c r="C47" i="1"/>
  <c r="I29" i="1"/>
  <c r="E29" i="1"/>
  <c r="C29" i="1"/>
  <c r="F28" i="1"/>
  <c r="H28" i="1" s="1"/>
  <c r="F27" i="1"/>
  <c r="H27" i="1" s="1"/>
  <c r="F26" i="1"/>
  <c r="H26" i="1" s="1"/>
  <c r="G29" i="1"/>
  <c r="F25" i="1"/>
  <c r="H25" i="1" s="1"/>
  <c r="F24" i="1"/>
  <c r="H24" i="1" s="1"/>
  <c r="F23" i="1"/>
  <c r="H23" i="1" s="1"/>
  <c r="F22" i="1"/>
  <c r="H22" i="1" s="1"/>
  <c r="H21" i="1"/>
  <c r="F20" i="1"/>
  <c r="H20" i="1" s="1"/>
  <c r="F19" i="1"/>
  <c r="F18" i="1"/>
  <c r="H18" i="1" s="1"/>
  <c r="F17" i="1"/>
  <c r="H17" i="1" s="1"/>
  <c r="F16" i="1"/>
  <c r="H16" i="1" s="1"/>
  <c r="F15" i="1"/>
  <c r="H15" i="1" s="1"/>
  <c r="F14" i="1"/>
  <c r="F13" i="1"/>
  <c r="H13" i="1" s="1"/>
  <c r="F12" i="1"/>
  <c r="H12" i="1" s="1"/>
  <c r="H11" i="1"/>
  <c r="F10" i="1"/>
  <c r="H10" i="1" s="1"/>
  <c r="F9" i="1"/>
  <c r="H8" i="1"/>
  <c r="F7" i="1"/>
  <c r="H7" i="1" s="1"/>
  <c r="F6" i="1"/>
  <c r="R6" i="16" l="1"/>
  <c r="P36" i="16"/>
  <c r="H25" i="10"/>
  <c r="D14" i="12"/>
  <c r="F14" i="12" s="1"/>
  <c r="H14" i="12" s="1"/>
  <c r="H25" i="11"/>
  <c r="D6" i="5"/>
  <c r="H23" i="4"/>
  <c r="H14" i="1"/>
  <c r="F29" i="1"/>
  <c r="F35" i="1"/>
  <c r="B35" i="1"/>
  <c r="G39" i="1" s="1"/>
  <c r="H6" i="1"/>
  <c r="R36" i="16" l="1"/>
  <c r="N6" i="17"/>
  <c r="D14" i="13"/>
  <c r="F14" i="13" s="1"/>
  <c r="H14" i="13" s="1"/>
  <c r="H25" i="12"/>
  <c r="C39" i="1"/>
  <c r="B47" i="1" s="1"/>
  <c r="D47" i="1" s="1"/>
  <c r="B30" i="2" s="1"/>
  <c r="B41" i="2" s="1"/>
  <c r="D41" i="2" s="1"/>
  <c r="B30" i="3" s="1"/>
  <c r="B41" i="3" s="1"/>
  <c r="D41" i="3" s="1"/>
  <c r="F6" i="5"/>
  <c r="D23" i="5"/>
  <c r="F47" i="1"/>
  <c r="H47" i="1" s="1"/>
  <c r="F30" i="2" s="1"/>
  <c r="F41" i="2" s="1"/>
  <c r="H41" i="2" s="1"/>
  <c r="F30" i="3" s="1"/>
  <c r="F41" i="3" s="1"/>
  <c r="H41" i="3" s="1"/>
  <c r="H29" i="1"/>
  <c r="P6" i="17" l="1"/>
  <c r="N36" i="17"/>
  <c r="D14" i="14"/>
  <c r="F14" i="14" s="1"/>
  <c r="H14" i="14" s="1"/>
  <c r="H25" i="13"/>
  <c r="B30" i="4"/>
  <c r="B41" i="4" s="1"/>
  <c r="D41" i="4" s="1"/>
  <c r="B29" i="5" s="1"/>
  <c r="B38" i="5" s="1"/>
  <c r="D38" i="5" s="1"/>
  <c r="B30" i="6" s="1"/>
  <c r="B41" i="6" s="1"/>
  <c r="D41" i="6" s="1"/>
  <c r="B30" i="7" s="1"/>
  <c r="B41" i="7" s="1"/>
  <c r="D41" i="7" s="1"/>
  <c r="B30" i="8" s="1"/>
  <c r="B41" i="8" s="1"/>
  <c r="D41" i="8" s="1"/>
  <c r="B30" i="9" s="1"/>
  <c r="B41" i="9" s="1"/>
  <c r="D41" i="9" s="1"/>
  <c r="B30" i="10" s="1"/>
  <c r="B42" i="10" s="1"/>
  <c r="D42" i="10" s="1"/>
  <c r="H6" i="5"/>
  <c r="F23" i="5"/>
  <c r="F30" i="4"/>
  <c r="F41" i="4" s="1"/>
  <c r="H41" i="4" s="1"/>
  <c r="H43" i="4" s="1"/>
  <c r="R6" i="17" l="1"/>
  <c r="R36" i="17" s="1"/>
  <c r="P36" i="17"/>
  <c r="B30" i="11"/>
  <c r="B41" i="11" s="1"/>
  <c r="D41" i="11" s="1"/>
  <c r="B30" i="12" s="1"/>
  <c r="B41" i="12" s="1"/>
  <c r="D41" i="12" s="1"/>
  <c r="D14" i="15"/>
  <c r="F14" i="15" s="1"/>
  <c r="H14" i="15" s="1"/>
  <c r="H25" i="14"/>
  <c r="F29" i="5"/>
  <c r="F38" i="5" s="1"/>
  <c r="H38" i="5" s="1"/>
  <c r="F30" i="6" s="1"/>
  <c r="F41" i="6" s="1"/>
  <c r="H41" i="6" s="1"/>
  <c r="F30" i="7" s="1"/>
  <c r="F41" i="7" s="1"/>
  <c r="H41" i="7" s="1"/>
  <c r="F30" i="8" s="1"/>
  <c r="F41" i="8" s="1"/>
  <c r="H41" i="8" s="1"/>
  <c r="H23" i="5"/>
  <c r="D6" i="6"/>
  <c r="H25" i="15" l="1"/>
  <c r="D14" i="16"/>
  <c r="F14" i="16" s="1"/>
  <c r="H14" i="16" s="1"/>
  <c r="B30" i="13"/>
  <c r="B41" i="13" s="1"/>
  <c r="D41" i="13" s="1"/>
  <c r="I49" i="5"/>
  <c r="D21" i="6"/>
  <c r="F21" i="6" s="1"/>
  <c r="H21" i="6" s="1"/>
  <c r="D21" i="7" s="1"/>
  <c r="F21" i="7" s="1"/>
  <c r="H40" i="5"/>
  <c r="F30" i="9"/>
  <c r="F41" i="9" s="1"/>
  <c r="H41" i="9" s="1"/>
  <c r="F30" i="10" s="1"/>
  <c r="F42" i="10" s="1"/>
  <c r="H42" i="10" s="1"/>
  <c r="F6" i="6"/>
  <c r="D23" i="6"/>
  <c r="H25" i="16" l="1"/>
  <c r="D14" i="17"/>
  <c r="F14" i="17" s="1"/>
  <c r="H14" i="17" s="1"/>
  <c r="H25" i="17" s="1"/>
  <c r="B30" i="14"/>
  <c r="B45" i="14" s="1"/>
  <c r="D45" i="14" s="1"/>
  <c r="B30" i="15" s="1"/>
  <c r="B42" i="15" s="1"/>
  <c r="D42" i="15" s="1"/>
  <c r="B30" i="16" s="1"/>
  <c r="B41" i="16" s="1"/>
  <c r="D41" i="16" s="1"/>
  <c r="B41" i="17" s="1"/>
  <c r="D41" i="17" s="1"/>
  <c r="E51" i="17" s="1"/>
  <c r="F30" i="11"/>
  <c r="F41" i="11" s="1"/>
  <c r="H41" i="11" s="1"/>
  <c r="F23" i="6"/>
  <c r="H6" i="6"/>
  <c r="H23" i="6" l="1"/>
  <c r="I39" i="6" s="1"/>
  <c r="D6" i="7"/>
  <c r="F30" i="12"/>
  <c r="F41" i="12" s="1"/>
  <c r="H41" i="12" s="1"/>
  <c r="F30" i="13" s="1"/>
  <c r="F41" i="13" s="1"/>
  <c r="H41" i="13" s="1"/>
  <c r="F30" i="14" s="1"/>
  <c r="F45" i="14" s="1"/>
  <c r="H45" i="14" s="1"/>
  <c r="F30" i="15" s="1"/>
  <c r="F42" i="15" s="1"/>
  <c r="H42" i="15" s="1"/>
  <c r="F30" i="16" s="1"/>
  <c r="F41" i="16" s="1"/>
  <c r="H41" i="16" s="1"/>
  <c r="F30" i="17" s="1"/>
  <c r="F41" i="17" s="1"/>
  <c r="H41" i="17" s="1"/>
  <c r="D23" i="7" l="1"/>
  <c r="F6" i="7"/>
  <c r="H6" i="7" l="1"/>
  <c r="F23" i="7"/>
  <c r="H23" i="7" l="1"/>
  <c r="I38" i="7" s="1"/>
  <c r="D6" i="8"/>
  <c r="F6" i="8" l="1"/>
  <c r="D23" i="8"/>
  <c r="H6" i="8" l="1"/>
  <c r="F23" i="8"/>
  <c r="D6" i="9" l="1"/>
  <c r="F6" i="9" s="1"/>
  <c r="H23" i="8"/>
  <c r="I38" i="8" l="1"/>
  <c r="D23" i="9"/>
  <c r="H6" i="9"/>
  <c r="F23" i="9"/>
  <c r="D6" i="10" l="1"/>
  <c r="F6" i="10" s="1"/>
  <c r="H23" i="9"/>
  <c r="D23" i="10" l="1"/>
  <c r="H24" i="9"/>
  <c r="H6" i="10"/>
  <c r="F23" i="10"/>
  <c r="D6" i="11" l="1"/>
  <c r="F6" i="11" s="1"/>
  <c r="H23" i="10"/>
  <c r="D23" i="11" s="1"/>
  <c r="H6" i="11" l="1"/>
  <c r="F23" i="11"/>
  <c r="D6" i="12" l="1"/>
  <c r="H23" i="11"/>
  <c r="F6" i="12" l="1"/>
  <c r="D23" i="12"/>
  <c r="H6" i="12" l="1"/>
  <c r="F23" i="12"/>
  <c r="D6" i="13" l="1"/>
  <c r="H23" i="12"/>
  <c r="F6" i="13" l="1"/>
  <c r="D23" i="13"/>
  <c r="H6" i="13" l="1"/>
  <c r="F23" i="13"/>
  <c r="D6" i="14" l="1"/>
  <c r="H23" i="13"/>
  <c r="D23" i="14" l="1"/>
  <c r="F6" i="14"/>
  <c r="F23" i="14" l="1"/>
  <c r="H6" i="14"/>
  <c r="H23" i="14" s="1"/>
  <c r="D23" i="16" s="1"/>
  <c r="D23" i="15" l="1"/>
  <c r="D6" i="15"/>
  <c r="F6" i="15" s="1"/>
  <c r="H6" i="15" l="1"/>
  <c r="F23" i="15"/>
  <c r="H23" i="15" l="1"/>
  <c r="D6" i="16"/>
  <c r="F6" i="16" s="1"/>
  <c r="H6" i="16" l="1"/>
  <c r="F23" i="16"/>
  <c r="H23" i="16" l="1"/>
  <c r="D6" i="17"/>
  <c r="D23" i="17" l="1"/>
  <c r="F6" i="17"/>
  <c r="H6" i="17" l="1"/>
  <c r="H23" i="17" s="1"/>
  <c r="F23" i="17"/>
</calcChain>
</file>

<file path=xl/sharedStrings.xml><?xml version="1.0" encoding="utf-8"?>
<sst xmlns="http://schemas.openxmlformats.org/spreadsheetml/2006/main" count="2086" uniqueCount="251">
  <si>
    <t xml:space="preserve">RENT STATEMENT </t>
  </si>
  <si>
    <t>FOR THE MONTH OF AUGUST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</si>
  <si>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</si>
  <si>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</si>
  <si>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</si>
  <si>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</si>
  <si>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</si>
  <si>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</si>
  <si>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</si>
  <si>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</si>
  <si>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</si>
  <si>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SUMMARY</t>
  </si>
  <si>
    <t>EXPECTED</t>
  </si>
  <si>
    <t xml:space="preserve">DETAILS </t>
  </si>
  <si>
    <t xml:space="preserve">CR </t>
  </si>
  <si>
    <t>DR</t>
  </si>
  <si>
    <t>BL</t>
  </si>
  <si>
    <t>AUGUST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</si>
  <si>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</si>
  <si>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</si>
  <si>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</si>
  <si>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</si>
  <si>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</si>
  <si>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</si>
  <si>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</si>
  <si>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</si>
  <si>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</si>
  <si>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</si>
  <si>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</si>
  <si>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</si>
  <si>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SAMUEL/JANE</t>
  </si>
  <si>
    <t>MOSES LEMAYIAN</t>
  </si>
  <si>
    <t>FREDRICK</t>
  </si>
  <si>
    <t xml:space="preserve">MARY </t>
  </si>
  <si>
    <t>MARY NEKESA</t>
  </si>
  <si>
    <t>SIMON MUTISO</t>
  </si>
  <si>
    <t>PAPA</t>
  </si>
  <si>
    <t>JOSEPH OKAL</t>
  </si>
  <si>
    <t>DAN MOKAYA</t>
  </si>
  <si>
    <t>PAID ON 10/8</t>
  </si>
  <si>
    <t>SEPTEMBER</t>
  </si>
  <si>
    <t>MILKA NJOKI(CARETAKER)</t>
  </si>
  <si>
    <t>GRACE NJOKI</t>
  </si>
  <si>
    <t>HUDSON NDUNGU</t>
  </si>
  <si>
    <t>ALICE AHANZA</t>
  </si>
  <si>
    <t>VACCANT</t>
  </si>
  <si>
    <t>JOSEPH MUTUA</t>
  </si>
  <si>
    <t>JAMES MWANGI</t>
  </si>
  <si>
    <t>WELDING</t>
  </si>
  <si>
    <t>JACK MAINA</t>
  </si>
  <si>
    <t>FOR THE MONTH OF SEPTEMBER 2020</t>
  </si>
  <si>
    <t>PAID ON 1/9</t>
  </si>
  <si>
    <t>JULIUS KARIUKI</t>
  </si>
  <si>
    <t>PAPA NO.9 VACCATED</t>
  </si>
  <si>
    <t>VACCATED</t>
  </si>
  <si>
    <t xml:space="preserve">THOMSON </t>
  </si>
  <si>
    <t>PAID ON 10/9</t>
  </si>
  <si>
    <t>FOR THE MONTH OF OCTOBER 2020</t>
  </si>
  <si>
    <t>OCTOBER</t>
  </si>
  <si>
    <t>PAID ON 21/9</t>
  </si>
  <si>
    <t>STEPHEN NDERITU</t>
  </si>
  <si>
    <t>STEPHEN NDIRITU</t>
  </si>
  <si>
    <t>DEPOSIT4,10,11</t>
  </si>
  <si>
    <t>PAID ON 12/10</t>
  </si>
  <si>
    <t>FOR THE MONTH OF NOVEMBER 2020</t>
  </si>
  <si>
    <t>NOVEMBER</t>
  </si>
  <si>
    <t>PAID ON 26/10</t>
  </si>
  <si>
    <t>JAMES OLUOCH</t>
  </si>
  <si>
    <t>GODFREY</t>
  </si>
  <si>
    <t>PAID ON 10/11</t>
  </si>
  <si>
    <t>DEPOSIT no.8</t>
  </si>
  <si>
    <t>PAID ON 23/11</t>
  </si>
  <si>
    <t>SIMON 13 VACCATED</t>
  </si>
  <si>
    <t>DECEMBER</t>
  </si>
  <si>
    <t>FOR THE MONTH OF DECEMBER 2020</t>
  </si>
  <si>
    <t>paid on 30/11</t>
  </si>
  <si>
    <t>MOSES LEMIYIAN PLOT 2</t>
  </si>
  <si>
    <t>GRACE HOTEL</t>
  </si>
  <si>
    <t>BENARD OMWANGA</t>
  </si>
  <si>
    <t>CLIFF OKEMWA</t>
  </si>
  <si>
    <t>RODGERS</t>
  </si>
  <si>
    <t>HELLEN</t>
  </si>
  <si>
    <t>AGNES</t>
  </si>
  <si>
    <t>EDDER</t>
  </si>
  <si>
    <t>LEMY</t>
  </si>
  <si>
    <t>JOSPHINE OSOGA</t>
  </si>
  <si>
    <t>ASSETFLOW</t>
  </si>
  <si>
    <t>OFFICE COUNTY</t>
  </si>
  <si>
    <t>MOSES LEMIYIAN</t>
  </si>
  <si>
    <t>NEW</t>
  </si>
  <si>
    <t>PAID LL</t>
  </si>
  <si>
    <t>NEW PAID LL</t>
  </si>
  <si>
    <t>ELIJAH KAMAU</t>
  </si>
  <si>
    <t>PAID ON 9/12</t>
  </si>
  <si>
    <t>PAID ON 15/12</t>
  </si>
  <si>
    <t>JONATHAN TATIC</t>
  </si>
  <si>
    <t>SAMUEL KISEMEI</t>
  </si>
  <si>
    <t>SEPEWA/ RAPHAEL PASHA</t>
  </si>
  <si>
    <t>LL</t>
  </si>
  <si>
    <t>MCA /MANDERA</t>
  </si>
  <si>
    <t>RAPHAEL PAID LL</t>
  </si>
  <si>
    <t>JOSPHINE PAID LL</t>
  </si>
  <si>
    <t>PAID ON  18/12</t>
  </si>
  <si>
    <t>JOSEPHNO.9 PAID LL</t>
  </si>
  <si>
    <t>PAID ON 18/12</t>
  </si>
  <si>
    <t>PAID ON 26/12</t>
  </si>
  <si>
    <t>FOR THE MONTH OF JANUARY 2021</t>
  </si>
  <si>
    <t>JANUARY</t>
  </si>
  <si>
    <t>LEMMY VACCATED</t>
  </si>
  <si>
    <t>CHARLES</t>
  </si>
  <si>
    <t>PAID ON 9/01</t>
  </si>
  <si>
    <t xml:space="preserve">DEPOSIT </t>
  </si>
  <si>
    <t>DEPOSIT NO.28</t>
  </si>
  <si>
    <t>AGNES WANGECHI</t>
  </si>
  <si>
    <t>PAID ON 14/1</t>
  </si>
  <si>
    <t>PAID ON  12/1</t>
  </si>
  <si>
    <t>PAID ON 23/1</t>
  </si>
  <si>
    <t>FOR THE MONTH OF FEBRUARY 2021</t>
  </si>
  <si>
    <t>RENT STATEMENT</t>
  </si>
  <si>
    <t>FEBRUARY</t>
  </si>
  <si>
    <t>PAID ON 30/1</t>
  </si>
  <si>
    <t>HANNAH NYOKABI</t>
  </si>
  <si>
    <t>PAID ON 8/2</t>
  </si>
  <si>
    <t>AGATHA NDUNGU</t>
  </si>
  <si>
    <t>FREDRICK NO.17PAID L/LADY</t>
  </si>
  <si>
    <t>DOMINIC SILA</t>
  </si>
  <si>
    <t>PAID ON 12/2</t>
  </si>
  <si>
    <t>BENARD</t>
  </si>
  <si>
    <t>MARY NO.16 VACCATED</t>
  </si>
  <si>
    <t>SUSAN NDUNGE</t>
  </si>
  <si>
    <t>VIDA KARIMI</t>
  </si>
  <si>
    <t>PAID ON 13/2</t>
  </si>
  <si>
    <t>SAMUEL MULIMI</t>
  </si>
  <si>
    <t>DEPOSIT no14,4,8</t>
  </si>
  <si>
    <t>PAID ON 23/2</t>
  </si>
  <si>
    <t>JANE WANJRU</t>
  </si>
  <si>
    <t>FOR THE MONTH OF MARCH 2021</t>
  </si>
  <si>
    <t>MARCH</t>
  </si>
  <si>
    <t>PAID ON 8/3</t>
  </si>
  <si>
    <t>CHARLES M'RINGINE</t>
  </si>
  <si>
    <t>PAID ON10/3</t>
  </si>
  <si>
    <t>BRIDGET KIENDE</t>
  </si>
  <si>
    <t>PAID ON 12/1</t>
  </si>
  <si>
    <t>COUNTY</t>
  </si>
  <si>
    <t>CARETAKER</t>
  </si>
  <si>
    <t>PAID ON 15/3</t>
  </si>
  <si>
    <t>DAN MOKAYA ON DEP</t>
  </si>
  <si>
    <t>SIMON NJOROGE</t>
  </si>
  <si>
    <t>LL2000</t>
  </si>
  <si>
    <t>JOSEPH PAID LL</t>
  </si>
  <si>
    <t>ON DEP</t>
  </si>
  <si>
    <t>DEPOSIT NO.3&amp;11</t>
  </si>
  <si>
    <t>FOR THE MONTH OF APRIL 2021</t>
  </si>
  <si>
    <t>APRIL</t>
  </si>
  <si>
    <t>PAID ON 6/4</t>
  </si>
  <si>
    <t>PAINTS</t>
  </si>
  <si>
    <t>PAID ON 9/4</t>
  </si>
  <si>
    <t>PETER MAINA K</t>
  </si>
  <si>
    <t>WATER ON 13/4</t>
  </si>
  <si>
    <t>PAINTING LABOUR</t>
  </si>
  <si>
    <t>PAID ON 15/4</t>
  </si>
  <si>
    <t>PAID ON 17/4</t>
  </si>
  <si>
    <t>PAID ON 23/4</t>
  </si>
  <si>
    <t>FOR THE MONTH OF MAY 2021</t>
  </si>
  <si>
    <t>MAY</t>
  </si>
  <si>
    <t>WATER</t>
  </si>
  <si>
    <t>PAID ON 8/5</t>
  </si>
  <si>
    <t>PAID ON 11/5</t>
  </si>
  <si>
    <t>PAID ON 17/5</t>
  </si>
  <si>
    <t>PAID ON 14/5</t>
  </si>
  <si>
    <t>PAID ON 15/5</t>
  </si>
  <si>
    <t>FOR THE MONTH OF JUNE 21 2021</t>
  </si>
  <si>
    <t>JUNE</t>
  </si>
  <si>
    <t>FOR THE MONTH OF JUNE 2021</t>
  </si>
  <si>
    <t>PAID ON 28/5</t>
  </si>
  <si>
    <t>PAID ON 7/6</t>
  </si>
  <si>
    <t>ELIJAH VACCATED</t>
  </si>
  <si>
    <t>PAID ON 9/6</t>
  </si>
  <si>
    <t>SOLOMON KISEMEI</t>
  </si>
  <si>
    <t>PAID ON 14/6</t>
  </si>
  <si>
    <t>PAID ON 15/6</t>
  </si>
  <si>
    <t>FOR THE MONTH OF JULY 21 2021</t>
  </si>
  <si>
    <t>JULY</t>
  </si>
  <si>
    <t>FOR THE MONTH OF JULY 2021</t>
  </si>
  <si>
    <t>GEOFREY FRANCIS</t>
  </si>
  <si>
    <t>DEPOSIT NO.18</t>
  </si>
  <si>
    <t>DEPOSIT NO.30</t>
  </si>
  <si>
    <t>DEPOSIT no12</t>
  </si>
  <si>
    <t>SUSAN EVICTED</t>
  </si>
  <si>
    <t>PAID ON 6/7</t>
  </si>
  <si>
    <t>PAID ON 8/7</t>
  </si>
  <si>
    <t>PAID ON 14/7</t>
  </si>
  <si>
    <t>MERCY</t>
  </si>
  <si>
    <t>PAID ON 15/7</t>
  </si>
  <si>
    <t>PAINTS+LABOUR HSE16</t>
  </si>
  <si>
    <t>METERBOX PADLOCK</t>
  </si>
  <si>
    <t>HELLEN VACCATED</t>
  </si>
  <si>
    <t>METERBOX PADLOCK+LAINA</t>
  </si>
  <si>
    <t>FOR THE MONTH OF AUGUST 21 2021</t>
  </si>
  <si>
    <t>DEPOSIT NO.9</t>
  </si>
  <si>
    <t>TABITHA MUTHONI</t>
  </si>
  <si>
    <t>FOR THE MONTH OF AUGUST 2021</t>
  </si>
  <si>
    <t>PAID ON 7/8</t>
  </si>
  <si>
    <t>RODGERS EVICTED</t>
  </si>
  <si>
    <t>JEREMIA NZINGA</t>
  </si>
  <si>
    <t>EVICTED</t>
  </si>
  <si>
    <t>WATER+CARETAKER</t>
  </si>
  <si>
    <t>PAID ON14/8</t>
  </si>
  <si>
    <t>PAID ON 21/8</t>
  </si>
  <si>
    <t>ELECTRICITY REPAIR+LABOUR</t>
  </si>
  <si>
    <t>FOR THE MONTH OF SEPTEMBER 21 2021</t>
  </si>
  <si>
    <t>DEPOSIT NO</t>
  </si>
  <si>
    <t>FOR THE MONTH OF SEPTEMBER 2021</t>
  </si>
  <si>
    <t>PAID ON 8/9</t>
  </si>
  <si>
    <t>PAID ON 3/9</t>
  </si>
  <si>
    <t>DEPOSIT REFUND</t>
  </si>
  <si>
    <t>WATER2/9</t>
  </si>
  <si>
    <t>PAID ON 16/9</t>
  </si>
  <si>
    <t>PAID ON 13/9</t>
  </si>
  <si>
    <t>FOR THE MONTH OF OCTOBER 21 2021</t>
  </si>
  <si>
    <t>FOR THE MONTH OF OCTOBER 2021</t>
  </si>
  <si>
    <t>Florence</t>
  </si>
  <si>
    <t>PAID ON 20/9</t>
  </si>
  <si>
    <t>JOSEPH</t>
  </si>
  <si>
    <t>KINANYIA</t>
  </si>
  <si>
    <t>SIMON VACCATED</t>
  </si>
  <si>
    <t>ELIJAH</t>
  </si>
  <si>
    <t>PAID ON 6/10</t>
  </si>
  <si>
    <t>DEPOSIT REFUND MERCY</t>
  </si>
  <si>
    <t>PAID ON 9/10</t>
  </si>
  <si>
    <t>PAID ON 14/10</t>
  </si>
  <si>
    <t>PAID ON 15/10</t>
  </si>
  <si>
    <t>FOR THE MONTH OF NOVEMBER 21 2021</t>
  </si>
  <si>
    <t>FOR THE MONTH OF NOVEMBER 2021</t>
  </si>
  <si>
    <t>NOV</t>
  </si>
  <si>
    <t>PAID ON26-10-2021</t>
  </si>
  <si>
    <t>PAID ON 3/11</t>
  </si>
  <si>
    <t>timothy mutua</t>
  </si>
  <si>
    <t>TIMOTHY MUTUA</t>
  </si>
  <si>
    <t>ANN WANJIRU</t>
  </si>
  <si>
    <t>PAID ON 13/11</t>
  </si>
  <si>
    <t>PAID ON 17/11</t>
  </si>
  <si>
    <t>MOSES LEMIYIAN PLOT 2-LAINA PLAZA</t>
  </si>
  <si>
    <t>NEMWEL ABSALOM</t>
  </si>
  <si>
    <t>FOR THE MONTH OF DECEMBER 21 2021</t>
  </si>
  <si>
    <t>PAID ON 6/12</t>
  </si>
  <si>
    <t>FOR THE MONTH OF DECEMBER 2021</t>
  </si>
  <si>
    <t>ZAKARIA MUKOYA</t>
  </si>
  <si>
    <t>MZEE</t>
  </si>
  <si>
    <t>DEC</t>
  </si>
  <si>
    <t>PAID ON 14/12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</si>
</sst>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10" fillId="0" borderId="1" xfId="0" applyFont="1" applyFill="1" applyBorder="1"/>
    <xf numFmtId="164" fontId="11" fillId="0" borderId="1" xfId="1" applyNumberFormat="1" applyFont="1" applyBorder="1" applyAlignment="1">
      <alignment horizontal="right"/>
    </xf>
    <xf numFmtId="0" fontId="0" fillId="0" borderId="1" xfId="0" applyBorder="1"/>
    <xf numFmtId="0" fontId="10" fillId="0" borderId="1" xfId="0" applyFont="1" applyBorder="1"/>
    <xf numFmtId="0" fontId="12" fillId="0" borderId="1" xfId="0" applyFont="1" applyBorder="1"/>
    <xf numFmtId="0" fontId="12" fillId="0" borderId="1" xfId="0" applyFont="1" applyFill="1" applyBorder="1"/>
    <xf numFmtId="0" fontId="4" fillId="0" borderId="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5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43" fontId="12" fillId="0" borderId="1" xfId="1" applyFont="1" applyBorder="1" applyAlignment="1">
      <alignment horizontal="left"/>
    </xf>
    <xf numFmtId="3" fontId="0" fillId="0" borderId="0" xfId="0" applyNumberFormat="1"/>
    <xf numFmtId="0" fontId="8" fillId="0" borderId="1" xfId="0" applyFont="1" applyFill="1" applyBorder="1"/>
    <xf numFmtId="43" fontId="8" fillId="0" borderId="1" xfId="1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1" xfId="0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164" fontId="18" fillId="0" borderId="1" xfId="0" applyNumberFormat="1" applyFont="1" applyBorder="1" applyAlignment="1">
      <alignment horizontal="right"/>
    </xf>
    <xf numFmtId="0" fontId="1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25">
          <cell r="E25">
            <v>3300</v>
          </cell>
        </row>
      </sheetData>
      <sheetData sheetId="1">
        <row r="28">
          <cell r="C28">
            <v>0</v>
          </cell>
        </row>
      </sheetData>
      <sheetData sheetId="2">
        <row r="28">
          <cell r="E28">
            <v>36300</v>
          </cell>
        </row>
      </sheetData>
      <sheetData sheetId="3">
        <row r="28">
          <cell r="E28">
            <v>40300</v>
          </cell>
        </row>
      </sheetData>
      <sheetData sheetId="4">
        <row r="28">
          <cell r="E28">
            <v>20500</v>
          </cell>
        </row>
      </sheetData>
      <sheetData sheetId="5">
        <row r="28">
          <cell r="E28">
            <v>15500</v>
          </cell>
        </row>
      </sheetData>
      <sheetData sheetId="6">
        <row r="28">
          <cell r="E28">
            <v>21500</v>
          </cell>
        </row>
      </sheetData>
      <sheetData sheetId="7">
        <row r="28">
          <cell r="E28">
            <v>23500</v>
          </cell>
        </row>
      </sheetData>
      <sheetData sheetId="8">
        <row r="28">
          <cell r="E28">
            <v>21500</v>
          </cell>
        </row>
      </sheetData>
      <sheetData sheetId="9">
        <row r="28">
          <cell r="E28">
            <v>20000</v>
          </cell>
        </row>
      </sheetData>
      <sheetData sheetId="10">
        <row r="28">
          <cell r="E28">
            <v>29000</v>
          </cell>
        </row>
      </sheetData>
      <sheetData sheetId="11">
        <row r="28">
          <cell r="E28">
            <v>32000</v>
          </cell>
        </row>
      </sheetData>
      <sheetData sheetId="12">
        <row r="28">
          <cell r="E28">
            <v>38000</v>
          </cell>
        </row>
      </sheetData>
      <sheetData sheetId="13">
        <row r="28">
          <cell r="E28">
            <v>39000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opLeftCell="A19" workbookViewId="0">
      <selection activeCell="K19" sqref="K19"/>
    </sheetView>
  </sheetViews>
  <sheetFormatPr defaultRowHeight="15" x14ac:dyDescent="0.25"/>
  <cols>
    <col min="1" max="1" width="16.85546875" customWidth="1"/>
    <col min="4" max="4" width="7.5703125" customWidth="1"/>
    <col min="7" max="7" width="8.140625" customWidth="1"/>
    <col min="8" max="8" width="8.425781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8" t="s">
        <v>41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10" x14ac:dyDescent="0.25">
      <c r="A7" t="s">
        <v>42</v>
      </c>
      <c r="B7" s="13">
        <v>2</v>
      </c>
      <c r="D7" s="15"/>
      <c r="E7" s="19">
        <v>3000</v>
      </c>
      <c r="F7" s="16">
        <f>C8+D7+E7</f>
        <v>3000</v>
      </c>
      <c r="G7" s="16">
        <v>3000</v>
      </c>
      <c r="H7" s="17">
        <f t="shared" ref="H7:H28" si="0">F7-G7</f>
        <v>0</v>
      </c>
      <c r="I7" s="15"/>
    </row>
    <row r="8" spans="1:10" x14ac:dyDescent="0.25">
      <c r="A8" s="20" t="s">
        <v>45</v>
      </c>
      <c r="B8" s="13">
        <v>3</v>
      </c>
      <c r="C8" s="14"/>
      <c r="D8" s="15"/>
      <c r="E8" s="19"/>
      <c r="F8" s="16"/>
      <c r="G8" s="16"/>
      <c r="H8" s="17">
        <f t="shared" si="0"/>
        <v>0</v>
      </c>
      <c r="I8" s="15"/>
    </row>
    <row r="9" spans="1:10" x14ac:dyDescent="0.25">
      <c r="A9" s="21" t="s">
        <v>45</v>
      </c>
      <c r="B9" s="13">
        <v>4</v>
      </c>
      <c r="C9" s="14"/>
      <c r="D9" s="15"/>
      <c r="E9" s="19"/>
      <c r="F9" s="16">
        <f t="shared" ref="F9:F28" si="1">C9+D9+E9</f>
        <v>0</v>
      </c>
      <c r="G9" s="16"/>
      <c r="H9" s="17"/>
      <c r="I9" s="15"/>
    </row>
    <row r="10" spans="1:10" x14ac:dyDescent="0.25">
      <c r="A10" s="21" t="s">
        <v>38</v>
      </c>
      <c r="B10" s="13">
        <v>5</v>
      </c>
      <c r="D10" s="15"/>
      <c r="E10" s="19">
        <v>2500</v>
      </c>
      <c r="F10" s="16">
        <f>C11+D10+E10</f>
        <v>2500</v>
      </c>
      <c r="G10" s="16">
        <v>2500</v>
      </c>
      <c r="H10" s="17">
        <f t="shared" si="0"/>
        <v>0</v>
      </c>
      <c r="I10" s="15"/>
    </row>
    <row r="11" spans="1:10" x14ac:dyDescent="0.25">
      <c r="A11" s="18" t="s">
        <v>45</v>
      </c>
      <c r="B11" s="13">
        <v>6</v>
      </c>
      <c r="C11" s="14"/>
      <c r="D11" s="15"/>
      <c r="E11" s="19"/>
      <c r="F11" s="16"/>
      <c r="G11" s="16"/>
      <c r="H11" s="17">
        <f t="shared" si="0"/>
        <v>0</v>
      </c>
      <c r="I11" s="15"/>
    </row>
    <row r="12" spans="1:10" x14ac:dyDescent="0.25">
      <c r="A12" s="21" t="s">
        <v>47</v>
      </c>
      <c r="B12" s="13">
        <v>7</v>
      </c>
      <c r="C12" s="14"/>
      <c r="D12" s="15"/>
      <c r="E12" s="19">
        <v>2000</v>
      </c>
      <c r="F12" s="16">
        <f t="shared" si="1"/>
        <v>2000</v>
      </c>
      <c r="G12" s="16">
        <v>2000</v>
      </c>
      <c r="H12" s="17">
        <f t="shared" si="0"/>
        <v>0</v>
      </c>
      <c r="I12" s="15"/>
    </row>
    <row r="13" spans="1:10" x14ac:dyDescent="0.25">
      <c r="A13" s="50" t="s">
        <v>37</v>
      </c>
      <c r="B13" s="13">
        <v>8</v>
      </c>
      <c r="C13" s="14"/>
      <c r="D13" s="15"/>
      <c r="E13" s="19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10" x14ac:dyDescent="0.25">
      <c r="A14" s="50" t="s">
        <v>36</v>
      </c>
      <c r="B14" s="13">
        <v>9</v>
      </c>
      <c r="C14" s="14"/>
      <c r="D14" s="15"/>
      <c r="E14" s="19">
        <v>2500</v>
      </c>
      <c r="F14" s="16">
        <f t="shared" si="1"/>
        <v>2500</v>
      </c>
      <c r="G14" s="16"/>
      <c r="H14" s="17">
        <f t="shared" si="0"/>
        <v>2500</v>
      </c>
      <c r="I14" s="15"/>
      <c r="J14" t="s">
        <v>54</v>
      </c>
    </row>
    <row r="15" spans="1:10" x14ac:dyDescent="0.25">
      <c r="A15" s="12" t="s">
        <v>48</v>
      </c>
      <c r="B15" s="24">
        <v>10</v>
      </c>
      <c r="C15" s="14"/>
      <c r="D15" s="15"/>
      <c r="E15" s="19"/>
      <c r="F15" s="16">
        <f t="shared" si="1"/>
        <v>0</v>
      </c>
      <c r="G15" s="16"/>
      <c r="H15" s="17">
        <f t="shared" si="0"/>
        <v>0</v>
      </c>
      <c r="I15" s="15"/>
    </row>
    <row r="16" spans="1:10" x14ac:dyDescent="0.25">
      <c r="A16" s="23" t="s">
        <v>46</v>
      </c>
      <c r="B16" s="13">
        <v>11</v>
      </c>
      <c r="C16" s="14"/>
      <c r="D16" s="15"/>
      <c r="E16" s="19">
        <v>2000</v>
      </c>
      <c r="F16" s="16">
        <f t="shared" si="1"/>
        <v>2000</v>
      </c>
      <c r="G16" s="16">
        <f>2000</f>
        <v>2000</v>
      </c>
      <c r="H16" s="17">
        <f t="shared" si="0"/>
        <v>0</v>
      </c>
      <c r="I16" s="15"/>
    </row>
    <row r="17" spans="1:9" x14ac:dyDescent="0.25">
      <c r="A17" s="18" t="s">
        <v>45</v>
      </c>
      <c r="B17" s="13">
        <v>12</v>
      </c>
      <c r="C17" s="14"/>
      <c r="D17" s="15"/>
      <c r="E17" s="19"/>
      <c r="F17" s="16">
        <f t="shared" si="1"/>
        <v>0</v>
      </c>
      <c r="G17" s="16"/>
      <c r="H17" s="17">
        <f t="shared" si="0"/>
        <v>0</v>
      </c>
      <c r="I17" s="15"/>
    </row>
    <row r="18" spans="1:9" x14ac:dyDescent="0.25">
      <c r="A18" s="22" t="s">
        <v>35</v>
      </c>
      <c r="B18" s="13">
        <v>13</v>
      </c>
      <c r="C18" s="14"/>
      <c r="D18" s="15"/>
      <c r="E18" s="19">
        <v>2000</v>
      </c>
      <c r="F18" s="16">
        <f t="shared" si="1"/>
        <v>2000</v>
      </c>
      <c r="G18" s="16">
        <v>2000</v>
      </c>
      <c r="H18" s="17">
        <f t="shared" si="0"/>
        <v>0</v>
      </c>
      <c r="I18" s="15"/>
    </row>
    <row r="19" spans="1:9" x14ac:dyDescent="0.25">
      <c r="A19" s="20" t="s">
        <v>43</v>
      </c>
      <c r="B19" s="13">
        <v>14</v>
      </c>
      <c r="D19" s="15"/>
      <c r="E19" s="19">
        <v>2000</v>
      </c>
      <c r="F19" s="16">
        <f>C20+D19+E19</f>
        <v>2000</v>
      </c>
      <c r="G19" s="16">
        <v>2000</v>
      </c>
      <c r="H19" s="17"/>
      <c r="I19" s="15"/>
    </row>
    <row r="20" spans="1:9" x14ac:dyDescent="0.25">
      <c r="A20" s="18" t="s">
        <v>44</v>
      </c>
      <c r="B20" s="13">
        <v>15</v>
      </c>
      <c r="C20" s="14"/>
      <c r="D20" s="15"/>
      <c r="E20" s="19">
        <v>2000</v>
      </c>
      <c r="F20" s="16">
        <f>C21+D20+E20</f>
        <v>2000</v>
      </c>
      <c r="G20" s="16">
        <v>2000</v>
      </c>
      <c r="H20" s="17">
        <f t="shared" si="0"/>
        <v>0</v>
      </c>
      <c r="I20" s="15"/>
    </row>
    <row r="21" spans="1:9" x14ac:dyDescent="0.25">
      <c r="A21" s="22" t="s">
        <v>34</v>
      </c>
      <c r="B21" s="25">
        <v>16</v>
      </c>
      <c r="C21" s="14"/>
      <c r="D21" s="15"/>
      <c r="E21" s="19">
        <v>2000</v>
      </c>
      <c r="F21" s="16">
        <f>C22+D21+E21</f>
        <v>2000</v>
      </c>
      <c r="G21" s="16">
        <v>2000</v>
      </c>
      <c r="H21" s="17">
        <f>F21-G21</f>
        <v>0</v>
      </c>
      <c r="I21" s="15"/>
    </row>
    <row r="22" spans="1:9" x14ac:dyDescent="0.25">
      <c r="A22" s="22" t="s">
        <v>32</v>
      </c>
      <c r="B22" s="13">
        <v>17</v>
      </c>
      <c r="C22" s="14"/>
      <c r="D22" s="15"/>
      <c r="E22" s="19">
        <v>3800</v>
      </c>
      <c r="F22" s="16">
        <f t="shared" si="1"/>
        <v>3800</v>
      </c>
      <c r="G22" s="16">
        <v>3800</v>
      </c>
      <c r="H22" s="17">
        <f t="shared" si="0"/>
        <v>0</v>
      </c>
      <c r="I22" s="15"/>
    </row>
    <row r="23" spans="1:9" x14ac:dyDescent="0.25">
      <c r="A23" s="18"/>
      <c r="B23" s="13">
        <v>18</v>
      </c>
      <c r="C23" s="14"/>
      <c r="D23" s="15"/>
      <c r="E23" s="19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1"/>
      <c r="B24" s="26">
        <v>19</v>
      </c>
      <c r="C24" s="14"/>
      <c r="D24" s="15"/>
      <c r="E24" s="19"/>
      <c r="F24" s="16">
        <f t="shared" si="1"/>
        <v>0</v>
      </c>
      <c r="G24" s="16"/>
      <c r="H24" s="17">
        <f t="shared" si="0"/>
        <v>0</v>
      </c>
      <c r="I24" s="15"/>
    </row>
    <row r="25" spans="1:9" x14ac:dyDescent="0.25">
      <c r="A25" s="21"/>
      <c r="B25" s="26">
        <v>20</v>
      </c>
      <c r="C25" s="14"/>
      <c r="D25" s="15"/>
      <c r="E25" s="19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21"/>
      <c r="B26" s="26"/>
      <c r="C26" s="14"/>
      <c r="D26" s="15"/>
      <c r="E26" s="19"/>
      <c r="F26" s="16">
        <f t="shared" si="1"/>
        <v>0</v>
      </c>
      <c r="G26" s="16"/>
      <c r="H26" s="17">
        <f t="shared" si="0"/>
        <v>0</v>
      </c>
      <c r="I26" s="15"/>
    </row>
    <row r="27" spans="1:9" x14ac:dyDescent="0.25">
      <c r="A27" s="21"/>
      <c r="B27" s="26"/>
      <c r="C27" s="14"/>
      <c r="D27" s="15"/>
      <c r="E27" s="19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1" t="s">
        <v>32</v>
      </c>
      <c r="B28" s="26"/>
      <c r="C28" s="14"/>
      <c r="D28" s="15"/>
      <c r="E28" s="19"/>
      <c r="F28" s="16">
        <f t="shared" si="1"/>
        <v>0</v>
      </c>
      <c r="G28" s="16"/>
      <c r="H28" s="17">
        <f t="shared" si="0"/>
        <v>0</v>
      </c>
      <c r="I28" s="15"/>
    </row>
    <row r="29" spans="1:9" x14ac:dyDescent="0.25">
      <c r="A29" s="27" t="s">
        <v>33</v>
      </c>
      <c r="B29" s="28"/>
      <c r="C29" s="14">
        <f t="shared" ref="C29:I29" si="2">SUM(C6:C28)</f>
        <v>0</v>
      </c>
      <c r="D29" s="15"/>
      <c r="E29" s="29">
        <f t="shared" si="2"/>
        <v>25800</v>
      </c>
      <c r="F29" s="16">
        <f>SUM(F6:F28)</f>
        <v>25800</v>
      </c>
      <c r="G29" s="16">
        <f t="shared" si="2"/>
        <v>23300</v>
      </c>
      <c r="H29" s="16">
        <f>SUM(H6:H28)</f>
        <v>2500</v>
      </c>
      <c r="I29" s="15">
        <f t="shared" si="2"/>
        <v>0</v>
      </c>
    </row>
    <row r="30" spans="1:9" x14ac:dyDescent="0.25">
      <c r="H30" s="30"/>
      <c r="I30" s="3"/>
    </row>
    <row r="32" spans="1:9" x14ac:dyDescent="0.25">
      <c r="A32" s="3" t="s">
        <v>11</v>
      </c>
      <c r="B32" s="31"/>
      <c r="C32" s="32"/>
      <c r="D32" s="33"/>
      <c r="E32" s="34"/>
      <c r="F32" s="35"/>
      <c r="G32" s="34"/>
      <c r="H32" s="36"/>
      <c r="I32" s="3"/>
    </row>
    <row r="33" spans="1:10" x14ac:dyDescent="0.25">
      <c r="A33" s="37" t="s">
        <v>12</v>
      </c>
      <c r="B33" s="37"/>
      <c r="C33" s="37"/>
      <c r="D33" s="38"/>
      <c r="E33" s="37" t="s">
        <v>8</v>
      </c>
      <c r="F33" s="3"/>
      <c r="G33" s="3"/>
      <c r="H33" s="3"/>
      <c r="I33" s="3"/>
    </row>
    <row r="34" spans="1:10" x14ac:dyDescent="0.25">
      <c r="A34" s="39" t="s">
        <v>13</v>
      </c>
      <c r="B34" s="39" t="s">
        <v>14</v>
      </c>
      <c r="C34" s="39" t="s">
        <v>15</v>
      </c>
      <c r="D34" s="39" t="s">
        <v>16</v>
      </c>
      <c r="E34" s="39" t="s">
        <v>13</v>
      </c>
      <c r="F34" s="39" t="s">
        <v>14</v>
      </c>
      <c r="G34" s="39" t="s">
        <v>15</v>
      </c>
      <c r="H34" s="39" t="s">
        <v>16</v>
      </c>
      <c r="I34" s="3"/>
    </row>
    <row r="35" spans="1:10" x14ac:dyDescent="0.25">
      <c r="A35" s="28" t="s">
        <v>17</v>
      </c>
      <c r="B35" s="40">
        <f>E29</f>
        <v>25800</v>
      </c>
      <c r="C35" s="28"/>
      <c r="D35" s="28"/>
      <c r="E35" s="28" t="s">
        <v>17</v>
      </c>
      <c r="F35" s="40">
        <f>G29</f>
        <v>23300</v>
      </c>
      <c r="G35" s="28"/>
      <c r="H35" s="28"/>
      <c r="I35" s="36"/>
    </row>
    <row r="36" spans="1:10" x14ac:dyDescent="0.25">
      <c r="A36" s="28" t="s">
        <v>18</v>
      </c>
      <c r="B36" s="40"/>
      <c r="C36" s="28"/>
      <c r="D36" s="28"/>
      <c r="E36" s="28" t="s">
        <v>18</v>
      </c>
      <c r="F36" s="40"/>
      <c r="G36" s="28"/>
      <c r="H36" s="28"/>
      <c r="I36" s="36"/>
    </row>
    <row r="37" spans="1:10" x14ac:dyDescent="0.25">
      <c r="A37" s="28" t="s">
        <v>10</v>
      </c>
      <c r="B37" s="40"/>
      <c r="C37" s="28"/>
      <c r="D37" s="28"/>
      <c r="E37" s="28"/>
      <c r="F37" s="40"/>
      <c r="G37" s="28"/>
      <c r="H37" s="28"/>
      <c r="I37" s="36" t="s">
        <v>19</v>
      </c>
    </row>
    <row r="38" spans="1:10" x14ac:dyDescent="0.25">
      <c r="A38" s="28" t="s">
        <v>4</v>
      </c>
      <c r="B38" s="40"/>
      <c r="C38" s="28"/>
      <c r="D38" s="28"/>
      <c r="E38" s="28"/>
      <c r="F38" s="40"/>
      <c r="G38" s="28"/>
      <c r="H38" s="28"/>
      <c r="I38" s="3"/>
    </row>
    <row r="39" spans="1:10" x14ac:dyDescent="0.25">
      <c r="A39" s="28" t="s">
        <v>20</v>
      </c>
      <c r="B39" s="41">
        <v>0.1</v>
      </c>
      <c r="C39" s="40">
        <f>B39*B35</f>
        <v>2580</v>
      </c>
      <c r="D39" s="28"/>
      <c r="E39" s="28" t="s">
        <v>20</v>
      </c>
      <c r="F39" s="41">
        <v>0.1</v>
      </c>
      <c r="G39" s="40">
        <f>F39*B35</f>
        <v>2580</v>
      </c>
      <c r="H39" s="28"/>
      <c r="I39" s="3"/>
    </row>
    <row r="40" spans="1:10" x14ac:dyDescent="0.25">
      <c r="A40" s="39" t="s">
        <v>21</v>
      </c>
      <c r="B40" s="28" t="s">
        <v>22</v>
      </c>
      <c r="C40" s="28"/>
      <c r="D40" s="28"/>
      <c r="E40" s="39" t="s">
        <v>21</v>
      </c>
      <c r="F40" s="42"/>
      <c r="G40" s="28"/>
      <c r="H40" s="28"/>
      <c r="I40" s="36"/>
    </row>
    <row r="41" spans="1:10" x14ac:dyDescent="0.25">
      <c r="A41" s="43" t="s">
        <v>23</v>
      </c>
      <c r="B41" s="41">
        <v>0.3</v>
      </c>
      <c r="C41" s="44"/>
      <c r="D41" s="28"/>
      <c r="E41" s="43" t="s">
        <v>23</v>
      </c>
      <c r="F41" s="41">
        <v>0.3</v>
      </c>
      <c r="G41" s="44"/>
      <c r="H41" s="28"/>
      <c r="I41" s="3"/>
    </row>
    <row r="42" spans="1:10" x14ac:dyDescent="0.25">
      <c r="A42" s="42"/>
      <c r="C42" s="41"/>
      <c r="D42" s="44"/>
      <c r="E42" s="42"/>
      <c r="F42" s="41"/>
      <c r="G42" s="44"/>
      <c r="H42" s="28"/>
      <c r="I42" s="3"/>
    </row>
    <row r="43" spans="1:10" x14ac:dyDescent="0.25">
      <c r="A43" s="42" t="s">
        <v>39</v>
      </c>
      <c r="B43" s="41"/>
      <c r="C43" s="28">
        <v>15000</v>
      </c>
      <c r="D43" s="28"/>
      <c r="E43" s="42" t="s">
        <v>39</v>
      </c>
      <c r="F43" s="41"/>
      <c r="G43" s="28">
        <v>15000</v>
      </c>
      <c r="H43" s="28"/>
      <c r="I43" s="36"/>
    </row>
    <row r="44" spans="1:10" x14ac:dyDescent="0.25">
      <c r="A44" s="42" t="s">
        <v>53</v>
      </c>
      <c r="B44" s="41"/>
      <c r="C44" s="28">
        <v>2500</v>
      </c>
      <c r="D44" s="28"/>
      <c r="E44" s="42"/>
      <c r="F44" s="41"/>
      <c r="G44" s="28"/>
      <c r="H44" s="28"/>
      <c r="I44" s="45"/>
      <c r="J44" s="30"/>
    </row>
    <row r="45" spans="1:10" x14ac:dyDescent="0.25">
      <c r="A45" s="42"/>
      <c r="B45" s="28"/>
      <c r="C45" s="44"/>
      <c r="D45" s="28"/>
      <c r="E45" s="42"/>
      <c r="F45" s="28"/>
      <c r="G45" s="44"/>
      <c r="H45" s="28"/>
      <c r="I45" s="3"/>
    </row>
    <row r="46" spans="1:10" x14ac:dyDescent="0.25">
      <c r="A46" s="42"/>
      <c r="B46" s="28"/>
      <c r="C46" s="44"/>
      <c r="D46" s="28"/>
      <c r="E46" s="42"/>
      <c r="F46" s="28"/>
      <c r="G46" s="44"/>
      <c r="H46" s="28"/>
      <c r="I46" s="3"/>
      <c r="J46" s="51"/>
    </row>
    <row r="47" spans="1:10" x14ac:dyDescent="0.25">
      <c r="A47" s="39" t="s">
        <v>24</v>
      </c>
      <c r="B47" s="46">
        <f>B38+B35+B36+B37-C39</f>
        <v>23220</v>
      </c>
      <c r="C47" s="46">
        <f>SUM(C41:C46)</f>
        <v>17500</v>
      </c>
      <c r="D47" s="46">
        <f>B47-C47</f>
        <v>5720</v>
      </c>
      <c r="E47" s="39" t="s">
        <v>24</v>
      </c>
      <c r="F47" s="46">
        <f>F35+F36+F38-G39</f>
        <v>20720</v>
      </c>
      <c r="G47" s="46">
        <f>SUM(G41:G46)</f>
        <v>15000</v>
      </c>
      <c r="H47" s="46">
        <f>F47-G47</f>
        <v>5720</v>
      </c>
      <c r="I47" s="45"/>
    </row>
    <row r="48" spans="1:10" x14ac:dyDescent="0.25">
      <c r="A48" s="47" t="s">
        <v>25</v>
      </c>
      <c r="B48" s="48"/>
      <c r="C48" s="48" t="s">
        <v>26</v>
      </c>
      <c r="D48" s="49"/>
      <c r="E48" s="47"/>
      <c r="F48" s="47" t="s">
        <v>27</v>
      </c>
      <c r="G48" s="3"/>
      <c r="H48" s="3"/>
      <c r="I48" s="3"/>
    </row>
    <row r="49" spans="1:9" x14ac:dyDescent="0.25">
      <c r="A49" s="47" t="s">
        <v>28</v>
      </c>
      <c r="B49" s="48"/>
      <c r="C49" s="48" t="s">
        <v>29</v>
      </c>
      <c r="D49" s="49"/>
      <c r="E49" s="47"/>
      <c r="F49" s="47" t="s">
        <v>30</v>
      </c>
      <c r="G49" s="3"/>
      <c r="H49" s="3"/>
      <c r="I49" s="45"/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workbookViewId="0">
      <selection activeCell="G22" sqref="G22"/>
    </sheetView>
  </sheetViews>
  <sheetFormatPr defaultRowHeight="15" x14ac:dyDescent="0.25"/>
  <cols>
    <col min="1" max="1" width="19.85546875" customWidth="1"/>
    <col min="11" max="11" width="23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163</v>
      </c>
      <c r="C4" s="1"/>
      <c r="E4" s="1"/>
      <c r="F4" s="6"/>
      <c r="G4" s="7"/>
      <c r="H4" s="3"/>
      <c r="I4" s="3"/>
      <c r="K4" s="5"/>
      <c r="L4" s="1" t="s">
        <v>163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APRIL21!H6:H23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APRIL21!R6:R36</f>
        <v>1500</v>
      </c>
      <c r="O6" s="16">
        <v>10000</v>
      </c>
      <c r="P6" s="16">
        <f>M6+N6+O6</f>
        <v>11500</v>
      </c>
      <c r="Q6" s="16">
        <f>10500</f>
        <v>10500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APRIL21!H7:H24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APRIL21!R7:R37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4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APRIL21!H8:H25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APRIL21!R8:R38</f>
        <v>0</v>
      </c>
      <c r="O8" s="16">
        <v>8000</v>
      </c>
      <c r="P8" s="16">
        <f t="shared" si="2"/>
        <v>8000</v>
      </c>
      <c r="Q8" s="16"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APRIL21!H9:H26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APRIL21!R9:R39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>
        <f>APRIL21!H10:H27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APRIL21!R10:R40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APRIL21!H11:H28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APRIL21!R11:R41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APRIL21!H12:H29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APRIL21!R12:R42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APRIL21!H13:H30</f>
        <v>1000</v>
      </c>
      <c r="E13" s="19">
        <v>2000</v>
      </c>
      <c r="F13" s="16">
        <f t="shared" si="0"/>
        <v>3000</v>
      </c>
      <c r="G13" s="16">
        <v>2000</v>
      </c>
      <c r="H13" s="17">
        <f>F13-G13</f>
        <v>1000</v>
      </c>
      <c r="I13" s="15"/>
      <c r="K13" s="50" t="s">
        <v>80</v>
      </c>
      <c r="L13" s="13">
        <v>8</v>
      </c>
      <c r="M13" s="14"/>
      <c r="N13" s="15">
        <f>APRIL21!R13:R43</f>
        <v>0</v>
      </c>
      <c r="O13" s="16">
        <v>3500</v>
      </c>
      <c r="P13" s="16">
        <f t="shared" si="2"/>
        <v>3500</v>
      </c>
      <c r="Q13" s="16">
        <f>2500</f>
        <v>2500</v>
      </c>
      <c r="R13" s="17">
        <f>P13-Q13</f>
        <v>1000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APRIL21!H14:H31</f>
        <v>1000</v>
      </c>
      <c r="E14" s="19">
        <v>2500</v>
      </c>
      <c r="F14" s="16">
        <f t="shared" si="0"/>
        <v>3500</v>
      </c>
      <c r="G14" s="16">
        <f>3000</f>
        <v>3000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APRIL21!R14:R44</f>
        <v>0</v>
      </c>
      <c r="O14" s="16">
        <v>3500</v>
      </c>
      <c r="P14" s="16">
        <f t="shared" si="2"/>
        <v>3500</v>
      </c>
      <c r="Q14" s="16">
        <f>2000+1500</f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APRIL21!H15:H32</f>
        <v>2700</v>
      </c>
      <c r="E15" s="19">
        <v>2000</v>
      </c>
      <c r="F15" s="16">
        <f t="shared" si="0"/>
        <v>4700</v>
      </c>
      <c r="G15" s="16">
        <f>2700+2000</f>
        <v>4700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APRIL21!R15:R45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APRIL21!H16:H33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APRIL21!R16:R46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APRIL21!H17:H34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APRIL21!R17:R47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APRIL21!H18:H35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APRIL21!R18:R48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APRIL21!H19:H36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APRIL21!R19:R49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APRIL21!H20:H37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APRIL21!R20:R50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APRIL21!H21:H38</f>
        <v>500</v>
      </c>
      <c r="E21" s="19">
        <v>2000</v>
      </c>
      <c r="F21" s="16">
        <f t="shared" si="0"/>
        <v>2500</v>
      </c>
      <c r="G21" s="16">
        <f>2000</f>
        <v>2000</v>
      </c>
      <c r="H21" s="17">
        <f>F21-G21</f>
        <v>500</v>
      </c>
      <c r="I21" s="15"/>
      <c r="K21" s="23"/>
      <c r="L21" s="24">
        <v>16</v>
      </c>
      <c r="M21" s="14"/>
      <c r="N21" s="15">
        <f>APRIL21!R21:R51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APRIL21!H22:H39</f>
        <v>0</v>
      </c>
      <c r="E22" s="19">
        <v>3800</v>
      </c>
      <c r="F22" s="16">
        <f t="shared" si="0"/>
        <v>3800</v>
      </c>
      <c r="G22" s="16">
        <v>3800</v>
      </c>
      <c r="H22" s="17">
        <f>F22-G22</f>
        <v>0</v>
      </c>
      <c r="I22" s="15"/>
      <c r="K22" s="23"/>
      <c r="L22" s="13">
        <v>17</v>
      </c>
      <c r="M22" s="14"/>
      <c r="N22" s="15">
        <f>APRIL21!R22:R52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>APRIL21!H23:H40</f>
        <v>5700</v>
      </c>
      <c r="E23" s="29">
        <f>SUM(E6:E22)</f>
        <v>32100</v>
      </c>
      <c r="F23" s="16">
        <f>SUM(F6:F22)</f>
        <v>37800</v>
      </c>
      <c r="G23" s="16">
        <f>SUM(G6:G22)</f>
        <v>35300</v>
      </c>
      <c r="H23" s="16">
        <f>SUM(H6:H22)</f>
        <v>2500</v>
      </c>
      <c r="I23" s="15">
        <f>SUM(I6:I22)</f>
        <v>0</v>
      </c>
      <c r="K23" s="23"/>
      <c r="L23" s="24">
        <v>18</v>
      </c>
      <c r="M23" s="14"/>
      <c r="N23" s="15">
        <f>APRIL21!R23:R53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APRIL21!R24:R54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H25" s="30">
        <f>H14+H8+H20+H22</f>
        <v>1000</v>
      </c>
      <c r="K25" s="23" t="s">
        <v>99</v>
      </c>
      <c r="L25" s="24">
        <v>20</v>
      </c>
      <c r="M25" s="14"/>
      <c r="N25" s="15">
        <f>APRIL21!R25:R55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APRIL21!R26:R56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APRIL21!R27:R57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APRIL21!R28:R58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164</v>
      </c>
      <c r="B29" s="40">
        <f>E23</f>
        <v>32100</v>
      </c>
      <c r="C29" s="28"/>
      <c r="D29" s="28"/>
      <c r="E29" s="28" t="s">
        <v>164</v>
      </c>
      <c r="F29" s="40">
        <f>G23</f>
        <v>35300</v>
      </c>
      <c r="G29" s="28"/>
      <c r="H29" s="28"/>
      <c r="I29" s="36"/>
      <c r="K29" s="18"/>
      <c r="L29" s="24">
        <v>24</v>
      </c>
      <c r="M29" s="14"/>
      <c r="N29" s="15">
        <f>APRIL21!R29:R59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APRIL21!D41</f>
        <v>-11</v>
      </c>
      <c r="C30" s="28"/>
      <c r="D30" s="28"/>
      <c r="E30" s="28" t="s">
        <v>18</v>
      </c>
      <c r="F30" s="40">
        <f>APRIL21!H41</f>
        <v>-4911</v>
      </c>
      <c r="G30" s="28"/>
      <c r="H30" s="28"/>
      <c r="I30" s="36"/>
      <c r="K30" s="18"/>
      <c r="L30" s="13">
        <v>25</v>
      </c>
      <c r="M30" s="14"/>
      <c r="N30" s="15">
        <f>APRIL21!R30:R60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APRIL21!R31:R61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/>
      <c r="K32" s="12"/>
      <c r="L32" s="13">
        <v>27</v>
      </c>
      <c r="M32" s="14"/>
      <c r="N32" s="15">
        <f>APRIL21!R32:R62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3210</v>
      </c>
      <c r="D33" s="28"/>
      <c r="E33" s="28" t="s">
        <v>20</v>
      </c>
      <c r="F33" s="41">
        <v>0.1</v>
      </c>
      <c r="G33" s="40">
        <f>F33*B29</f>
        <v>3210</v>
      </c>
      <c r="H33" s="28"/>
      <c r="I33" s="45"/>
      <c r="K33" s="22"/>
      <c r="L33" s="24">
        <v>28</v>
      </c>
      <c r="M33" s="14"/>
      <c r="N33" s="15">
        <f>APRIL21!R33:R63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0</v>
      </c>
      <c r="K34" s="22" t="s">
        <v>92</v>
      </c>
      <c r="L34" s="13">
        <v>29</v>
      </c>
      <c r="M34" s="14"/>
      <c r="N34" s="15">
        <f>APRIL21!R34:R64</f>
        <v>2000</v>
      </c>
      <c r="O34" s="16">
        <v>5000</v>
      </c>
      <c r="P34" s="16">
        <f>M34+N34+O34</f>
        <v>7000</v>
      </c>
      <c r="Q34" s="16">
        <f>2000+800</f>
        <v>2800</v>
      </c>
      <c r="R34" s="17">
        <f t="shared" si="3"/>
        <v>4200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APRIL21!R35:R65</f>
        <v>30000</v>
      </c>
      <c r="O35" s="16"/>
      <c r="P35" s="16">
        <f t="shared" si="2"/>
        <v>30000</v>
      </c>
      <c r="Q35" s="16"/>
      <c r="R35" s="17"/>
      <c r="S35" s="15"/>
    </row>
    <row r="36" spans="1:19" x14ac:dyDescent="0.25">
      <c r="A36" s="42" t="s">
        <v>165</v>
      </c>
      <c r="C36">
        <v>1500</v>
      </c>
      <c r="D36" s="44"/>
      <c r="E36" s="42" t="s">
        <v>165</v>
      </c>
      <c r="G36">
        <v>1500</v>
      </c>
      <c r="H36" s="28"/>
      <c r="I36" s="3"/>
      <c r="K36" s="27" t="s">
        <v>24</v>
      </c>
      <c r="L36" s="28"/>
      <c r="M36" s="14">
        <f t="shared" ref="M36:S36" si="4">SUM(M6:M35)</f>
        <v>0</v>
      </c>
      <c r="N36" s="15">
        <f>APRIL21!R36:R66</f>
        <v>33500</v>
      </c>
      <c r="O36" s="29">
        <f t="shared" si="4"/>
        <v>67000</v>
      </c>
      <c r="P36" s="16">
        <f>SUM(P6:P35)</f>
        <v>100500</v>
      </c>
      <c r="Q36" s="16">
        <f t="shared" si="4"/>
        <v>64300</v>
      </c>
      <c r="R36" s="16">
        <f t="shared" si="4"/>
        <v>6200</v>
      </c>
      <c r="S36" s="15">
        <f t="shared" si="4"/>
        <v>0</v>
      </c>
    </row>
    <row r="37" spans="1:19" x14ac:dyDescent="0.25">
      <c r="A37" s="42" t="s">
        <v>166</v>
      </c>
      <c r="B37" s="41"/>
      <c r="C37" s="28">
        <v>15097</v>
      </c>
      <c r="D37" s="28"/>
      <c r="E37" s="42" t="s">
        <v>166</v>
      </c>
      <c r="F37" s="41"/>
      <c r="G37" s="28">
        <v>15097</v>
      </c>
      <c r="H37" s="28"/>
      <c r="I37" s="36"/>
      <c r="N37" s="15">
        <f>APRIL21!R37:R67</f>
        <v>0</v>
      </c>
      <c r="R37" s="30"/>
      <c r="S37" s="3"/>
    </row>
    <row r="38" spans="1:19" x14ac:dyDescent="0.25">
      <c r="A38" s="42" t="s">
        <v>167</v>
      </c>
      <c r="B38" s="41"/>
      <c r="C38" s="28">
        <v>500</v>
      </c>
      <c r="D38" s="28"/>
      <c r="E38" s="42" t="s">
        <v>167</v>
      </c>
      <c r="F38" s="41"/>
      <c r="G38" s="28">
        <v>500</v>
      </c>
      <c r="H38" s="28"/>
      <c r="I38" s="45"/>
      <c r="J38" s="30"/>
    </row>
    <row r="39" spans="1:19" x14ac:dyDescent="0.25">
      <c r="A39" s="42" t="s">
        <v>170</v>
      </c>
      <c r="B39" s="28"/>
      <c r="C39" s="44">
        <v>6575</v>
      </c>
      <c r="D39" s="28"/>
      <c r="E39" s="42" t="s">
        <v>170</v>
      </c>
      <c r="F39" s="28"/>
      <c r="G39" s="44">
        <v>6575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1000</v>
      </c>
      <c r="S39" s="3"/>
    </row>
    <row r="40" spans="1:19" x14ac:dyDescent="0.25">
      <c r="A40" s="42" t="s">
        <v>168</v>
      </c>
      <c r="B40" s="28"/>
      <c r="C40" s="44">
        <v>2781</v>
      </c>
      <c r="D40" s="28"/>
      <c r="E40" s="42" t="s">
        <v>168</v>
      </c>
      <c r="F40" s="28"/>
      <c r="G40" s="44">
        <v>2781</v>
      </c>
      <c r="H40" s="28"/>
      <c r="I40" s="3"/>
      <c r="K40" s="3"/>
      <c r="L40" s="31"/>
      <c r="M40" s="32"/>
      <c r="N40" s="33"/>
      <c r="O40" s="34"/>
      <c r="P40" s="35"/>
      <c r="Q40" s="34"/>
      <c r="R40" s="36"/>
      <c r="S40" s="3"/>
    </row>
    <row r="41" spans="1:19" x14ac:dyDescent="0.25">
      <c r="A41" s="42" t="s">
        <v>174</v>
      </c>
      <c r="B41" s="28"/>
      <c r="C41" s="44"/>
      <c r="D41" s="28"/>
      <c r="E41" s="42" t="s">
        <v>174</v>
      </c>
      <c r="F41" s="28"/>
      <c r="G41" s="44"/>
      <c r="H41" s="28"/>
      <c r="I41" s="3"/>
      <c r="J41" s="51"/>
      <c r="K41" s="37" t="s">
        <v>12</v>
      </c>
      <c r="L41" s="37"/>
      <c r="M41" s="37"/>
      <c r="N41" s="38"/>
      <c r="O41" s="37" t="s">
        <v>8</v>
      </c>
      <c r="P41" s="3"/>
      <c r="Q41" s="3"/>
      <c r="R41" s="3"/>
      <c r="S41" s="3"/>
    </row>
    <row r="42" spans="1:19" x14ac:dyDescent="0.25">
      <c r="A42" s="39" t="s">
        <v>24</v>
      </c>
      <c r="B42" s="46">
        <f>B32+B29+B30+B31-C33</f>
        <v>28879</v>
      </c>
      <c r="C42" s="46">
        <f>SUM(C35:C41)</f>
        <v>26453</v>
      </c>
      <c r="D42" s="46">
        <f>B42-C42</f>
        <v>2426</v>
      </c>
      <c r="E42" s="39" t="s">
        <v>24</v>
      </c>
      <c r="F42" s="46">
        <f>F29+F30+F32-G33</f>
        <v>27179</v>
      </c>
      <c r="G42" s="46">
        <f>SUM(G35:G41)</f>
        <v>26453</v>
      </c>
      <c r="H42" s="46">
        <f>F42-G42</f>
        <v>726</v>
      </c>
      <c r="I42" s="45"/>
      <c r="K42" s="39" t="s">
        <v>13</v>
      </c>
      <c r="L42" s="39" t="s">
        <v>14</v>
      </c>
      <c r="M42" s="39" t="s">
        <v>15</v>
      </c>
      <c r="N42" s="39" t="s">
        <v>16</v>
      </c>
      <c r="O42" s="39" t="s">
        <v>13</v>
      </c>
      <c r="P42" s="39" t="s">
        <v>14</v>
      </c>
      <c r="Q42" s="39" t="s">
        <v>15</v>
      </c>
      <c r="R42" s="39" t="s">
        <v>16</v>
      </c>
      <c r="S42" s="3"/>
    </row>
    <row r="43" spans="1:19" x14ac:dyDescent="0.25">
      <c r="A43" s="47" t="s">
        <v>25</v>
      </c>
      <c r="B43" s="48"/>
      <c r="C43" s="48" t="s">
        <v>26</v>
      </c>
      <c r="D43" s="49"/>
      <c r="E43" s="47"/>
      <c r="F43" s="47" t="s">
        <v>27</v>
      </c>
      <c r="G43" s="3"/>
      <c r="H43" s="3"/>
      <c r="I43" s="3"/>
      <c r="K43" s="28" t="s">
        <v>164</v>
      </c>
      <c r="L43" s="40">
        <f>O36</f>
        <v>67000</v>
      </c>
      <c r="M43" s="28"/>
      <c r="N43" s="28"/>
      <c r="O43" s="28" t="s">
        <v>164</v>
      </c>
      <c r="P43" s="40">
        <f>Q36</f>
        <v>64300</v>
      </c>
      <c r="Q43" s="28"/>
      <c r="R43" s="28"/>
      <c r="S43" s="36"/>
    </row>
    <row r="44" spans="1:19" x14ac:dyDescent="0.25">
      <c r="A44" s="47" t="s">
        <v>28</v>
      </c>
      <c r="B44" s="48"/>
      <c r="C44" s="48" t="s">
        <v>29</v>
      </c>
      <c r="D44" s="49"/>
      <c r="E44" s="47"/>
      <c r="F44" s="47" t="s">
        <v>88</v>
      </c>
      <c r="G44" s="3"/>
      <c r="H44" s="3"/>
      <c r="I44" s="45"/>
      <c r="K44" s="28" t="s">
        <v>18</v>
      </c>
      <c r="L44" s="40">
        <f>APRIL21!N55</f>
        <v>-502</v>
      </c>
      <c r="M44" s="28"/>
      <c r="N44" s="28"/>
      <c r="O44" s="28" t="s">
        <v>18</v>
      </c>
      <c r="P44" s="40">
        <f>APRIL21!R55</f>
        <v>-4002</v>
      </c>
      <c r="Q44" s="28"/>
      <c r="R44" s="28"/>
      <c r="S44" s="36"/>
    </row>
    <row r="45" spans="1:19" x14ac:dyDescent="0.25">
      <c r="K45" s="28" t="s">
        <v>151</v>
      </c>
      <c r="L45" s="40">
        <f>M36</f>
        <v>0</v>
      </c>
      <c r="M45" s="28"/>
      <c r="N45" s="28"/>
      <c r="O45" s="28"/>
      <c r="P45" s="40"/>
      <c r="Q45" s="28"/>
      <c r="R45" s="28"/>
      <c r="S45" s="36" t="s">
        <v>19</v>
      </c>
    </row>
    <row r="46" spans="1:19" x14ac:dyDescent="0.25">
      <c r="K46" s="28" t="s">
        <v>10</v>
      </c>
      <c r="L46" s="40"/>
      <c r="M46" s="28"/>
      <c r="N46" s="28"/>
      <c r="O46" s="28"/>
      <c r="P46" s="40"/>
      <c r="Q46" s="28"/>
      <c r="R46" s="28"/>
      <c r="S46" s="3"/>
    </row>
    <row r="47" spans="1:19" x14ac:dyDescent="0.25">
      <c r="K47" s="28" t="s">
        <v>20</v>
      </c>
      <c r="L47" s="41">
        <v>0.1</v>
      </c>
      <c r="M47" s="40">
        <f>L47*L43</f>
        <v>6700</v>
      </c>
      <c r="N47" s="28"/>
      <c r="O47" s="28" t="s">
        <v>20</v>
      </c>
      <c r="P47" s="41">
        <v>0.1</v>
      </c>
      <c r="Q47" s="40">
        <f>P47*L43</f>
        <v>6700</v>
      </c>
      <c r="R47" s="28"/>
      <c r="S47" s="3"/>
    </row>
    <row r="48" spans="1:19" x14ac:dyDescent="0.25">
      <c r="K48" s="39" t="s">
        <v>21</v>
      </c>
      <c r="L48" s="28" t="s">
        <v>22</v>
      </c>
      <c r="M48" s="28"/>
      <c r="N48" s="28"/>
      <c r="O48" s="39" t="s">
        <v>21</v>
      </c>
      <c r="P48" s="42"/>
      <c r="Q48" s="28"/>
      <c r="R48" s="28"/>
      <c r="S48" s="36"/>
    </row>
    <row r="49" spans="9:19" x14ac:dyDescent="0.25">
      <c r="K49" s="43" t="s">
        <v>23</v>
      </c>
      <c r="L49" s="41">
        <v>0.3</v>
      </c>
      <c r="M49" s="44">
        <f>L49*M8+(L49*M16)</f>
        <v>0</v>
      </c>
      <c r="N49" s="28"/>
      <c r="O49" s="43" t="s">
        <v>23</v>
      </c>
      <c r="P49" s="41">
        <v>0.3</v>
      </c>
      <c r="Q49" s="44">
        <f>M49</f>
        <v>0</v>
      </c>
      <c r="R49" s="28"/>
      <c r="S49" s="3"/>
    </row>
    <row r="50" spans="9:19" x14ac:dyDescent="0.25">
      <c r="K50" s="42" t="s">
        <v>144</v>
      </c>
      <c r="L50" s="28"/>
      <c r="M50" s="44">
        <v>3500</v>
      </c>
      <c r="N50" s="28"/>
      <c r="O50" s="42" t="s">
        <v>144</v>
      </c>
      <c r="P50" s="28"/>
      <c r="Q50" s="44">
        <v>3500</v>
      </c>
      <c r="R50" s="28"/>
      <c r="S50" s="36"/>
    </row>
    <row r="51" spans="9:19" x14ac:dyDescent="0.25">
      <c r="I51" s="51"/>
      <c r="K51" s="42" t="s">
        <v>165</v>
      </c>
      <c r="L51" s="28"/>
      <c r="M51" s="44">
        <v>2000</v>
      </c>
      <c r="N51" s="28"/>
      <c r="O51" s="42" t="s">
        <v>165</v>
      </c>
      <c r="P51" s="28"/>
      <c r="Q51" s="44">
        <v>2000</v>
      </c>
      <c r="R51" s="28"/>
      <c r="S51" s="45"/>
    </row>
    <row r="52" spans="9:19" x14ac:dyDescent="0.25">
      <c r="K52" s="42" t="s">
        <v>166</v>
      </c>
      <c r="L52" s="28"/>
      <c r="M52" s="44">
        <v>20102</v>
      </c>
      <c r="N52" s="28"/>
      <c r="O52" s="42" t="s">
        <v>166</v>
      </c>
      <c r="P52" s="28"/>
      <c r="Q52" s="44">
        <v>20102</v>
      </c>
      <c r="R52" s="28"/>
      <c r="S52" s="3"/>
    </row>
    <row r="53" spans="9:19" x14ac:dyDescent="0.25">
      <c r="K53" s="42" t="s">
        <v>169</v>
      </c>
      <c r="L53" s="28"/>
      <c r="M53" s="44">
        <v>34105</v>
      </c>
      <c r="N53" s="28"/>
      <c r="O53" s="42" t="s">
        <v>169</v>
      </c>
      <c r="P53" s="28"/>
      <c r="Q53" s="44">
        <v>34105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42"/>
      <c r="L55" s="28"/>
      <c r="M55" s="44"/>
      <c r="N55" s="28"/>
      <c r="O55" s="42"/>
      <c r="P55" s="28"/>
      <c r="Q55" s="44"/>
      <c r="R55" s="28"/>
      <c r="S55" s="3"/>
    </row>
    <row r="56" spans="9:19" x14ac:dyDescent="0.25">
      <c r="K56" s="39" t="s">
        <v>24</v>
      </c>
      <c r="L56" s="46">
        <f>L46+L43+L44+L45-M47</f>
        <v>59798</v>
      </c>
      <c r="M56" s="46">
        <f>SUM(M49:M55)</f>
        <v>59707</v>
      </c>
      <c r="N56" s="46">
        <f>L56-M56</f>
        <v>91</v>
      </c>
      <c r="O56" s="39" t="s">
        <v>24</v>
      </c>
      <c r="P56" s="46">
        <f>P43+P44+P46-Q47</f>
        <v>53598</v>
      </c>
      <c r="Q56" s="46">
        <f>SUM(Q49:Q55)</f>
        <v>59707</v>
      </c>
      <c r="R56" s="46">
        <f>P56-Q56</f>
        <v>-6109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0" spans="9:19" x14ac:dyDescent="0.25">
      <c r="O60" s="5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opLeftCell="A10" workbookViewId="0">
      <selection activeCell="Q13" sqref="Q13"/>
    </sheetView>
  </sheetViews>
  <sheetFormatPr defaultRowHeight="15" x14ac:dyDescent="0.25"/>
  <cols>
    <col min="1" max="1" width="19" customWidth="1"/>
    <col min="11" max="11" width="17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171</v>
      </c>
      <c r="C4" s="1"/>
      <c r="E4" s="1"/>
      <c r="F4" s="6"/>
      <c r="G4" s="7"/>
      <c r="H4" s="3"/>
      <c r="I4" s="3"/>
      <c r="K4" s="5"/>
      <c r="L4" s="1" t="s">
        <v>173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'MAY21'!H6:H24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'MAY21'!R6:R36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'MAY21'!H7:H25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'MAY21'!R7:R37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'MAY21'!H8:H26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'MAY21'!R8:R38</f>
        <v>0</v>
      </c>
      <c r="O8" s="16">
        <v>8000</v>
      </c>
      <c r="P8" s="16">
        <f t="shared" si="2"/>
        <v>8000</v>
      </c>
      <c r="Q8" s="16">
        <f>6500+1500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'MAY21'!H9:H27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'MAY21'!R9:R39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>
        <f>'MAY21'!H10:H28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'MAY21'!R10:R41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'MAY21'!H11:H29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'MAY21'!R11:R42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'MAY21'!H12:H30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'MAY21'!R12:R43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'MAY21'!H13:H31</f>
        <v>1000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'MAY21'!R13:R44</f>
        <v>1000</v>
      </c>
      <c r="O13" s="16">
        <v>3500</v>
      </c>
      <c r="P13" s="16">
        <f t="shared" si="2"/>
        <v>4500</v>
      </c>
      <c r="Q13" s="16">
        <f>2500</f>
        <v>2500</v>
      </c>
      <c r="R13" s="17">
        <f>P13-Q13</f>
        <v>2000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'MAY21'!H14:H32</f>
        <v>500</v>
      </c>
      <c r="E14" s="19">
        <v>2500</v>
      </c>
      <c r="F14" s="16">
        <f t="shared" si="0"/>
        <v>3000</v>
      </c>
      <c r="G14" s="16">
        <v>2000</v>
      </c>
      <c r="H14" s="17">
        <f t="shared" si="1"/>
        <v>1000</v>
      </c>
      <c r="I14" s="15"/>
      <c r="K14" s="50" t="s">
        <v>81</v>
      </c>
      <c r="L14" s="13">
        <v>9</v>
      </c>
      <c r="M14" s="14"/>
      <c r="N14" s="15">
        <f>'MAY21'!R14:R45</f>
        <v>0</v>
      </c>
      <c r="O14" s="16">
        <v>3500</v>
      </c>
      <c r="P14" s="16">
        <f t="shared" si="2"/>
        <v>3500</v>
      </c>
      <c r="Q14" s="16">
        <f>3500</f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'MAY21'!H15:H33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'MAY21'!R15:R46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'MAY21'!H16:H34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'MAY21'!R16:R47</f>
        <v>0</v>
      </c>
      <c r="O16" s="16">
        <v>3500</v>
      </c>
      <c r="P16" s="16">
        <f t="shared" si="2"/>
        <v>3500</v>
      </c>
      <c r="Q16" s="16">
        <f>2000+1500</f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'MAY21'!H17:H35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'MAY21'!R17:R48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'MAY21'!H18:H36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'MAY21'!R18:R49</f>
        <v>0</v>
      </c>
      <c r="O18" s="16">
        <v>5000</v>
      </c>
      <c r="P18" s="16">
        <f t="shared" si="2"/>
        <v>5000</v>
      </c>
      <c r="Q18" s="16">
        <f>5000</f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'MAY21'!H19:H37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'MAY21'!R19:R50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'MAY21'!H20:H38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'MAY21'!R20:R51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'MAY21'!H21:H39</f>
        <v>500</v>
      </c>
      <c r="E21" s="19">
        <v>2000</v>
      </c>
      <c r="F21" s="16">
        <f t="shared" si="0"/>
        <v>2500</v>
      </c>
      <c r="G21" s="16"/>
      <c r="H21" s="17"/>
      <c r="I21" s="15"/>
      <c r="K21" s="23"/>
      <c r="L21" s="24">
        <v>16</v>
      </c>
      <c r="M21" s="14"/>
      <c r="N21" s="15">
        <f>'MAY21'!R21:R52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'MAY21'!H22:H41</f>
        <v>0</v>
      </c>
      <c r="E22" s="19">
        <v>3800</v>
      </c>
      <c r="F22" s="16">
        <f t="shared" si="0"/>
        <v>3800</v>
      </c>
      <c r="G22" s="16">
        <f>3000</f>
        <v>3000</v>
      </c>
      <c r="H22" s="17">
        <f>F22-G22</f>
        <v>800</v>
      </c>
      <c r="I22" s="15"/>
      <c r="K22" s="23"/>
      <c r="L22" s="13">
        <v>17</v>
      </c>
      <c r="M22" s="14"/>
      <c r="N22" s="15">
        <f>'MAY21'!R22:R53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>'MAY21'!H23:H42</f>
        <v>2500</v>
      </c>
      <c r="E23" s="29">
        <f>SUM(E6:E22)</f>
        <v>32100</v>
      </c>
      <c r="F23" s="16">
        <f>SUM(F6:F22)</f>
        <v>34600</v>
      </c>
      <c r="G23" s="16">
        <f>SUM(G6:G22)</f>
        <v>26800</v>
      </c>
      <c r="H23" s="16">
        <f>SUM(H6:H22)</f>
        <v>5300</v>
      </c>
      <c r="I23" s="15">
        <f>SUM(I6:I22)</f>
        <v>0</v>
      </c>
      <c r="K23" s="23"/>
      <c r="L23" s="24">
        <v>18</v>
      </c>
      <c r="M23" s="14"/>
      <c r="N23" s="15">
        <f>'MAY21'!R23:R54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'MAY21'!R24:R55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H25" s="30">
        <f>H14+H8+H20+H22</f>
        <v>2300</v>
      </c>
      <c r="K25" s="23" t="s">
        <v>99</v>
      </c>
      <c r="L25" s="24">
        <v>20</v>
      </c>
      <c r="M25" s="14"/>
      <c r="N25" s="15">
        <f>'MAY21'!R25:R56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'MAY21'!R26:R57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'MAY21'!R27:R58</f>
        <v>0</v>
      </c>
      <c r="O27" s="16">
        <v>3500</v>
      </c>
      <c r="P27" s="16">
        <f t="shared" si="2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'MAY21'!R28:R59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172</v>
      </c>
      <c r="B29" s="40">
        <f>E23</f>
        <v>32100</v>
      </c>
      <c r="C29" s="28"/>
      <c r="D29" s="28"/>
      <c r="E29" s="28" t="s">
        <v>172</v>
      </c>
      <c r="F29" s="40">
        <f>G23</f>
        <v>26800</v>
      </c>
      <c r="G29" s="28"/>
      <c r="H29" s="28"/>
      <c r="I29" s="36"/>
      <c r="K29" s="18"/>
      <c r="L29" s="24">
        <v>24</v>
      </c>
      <c r="M29" s="14"/>
      <c r="N29" s="15">
        <f>'MAY21'!R29:R60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'MAY21'!D42</f>
        <v>2426</v>
      </c>
      <c r="C30" s="28"/>
      <c r="D30" s="28"/>
      <c r="E30" s="28" t="s">
        <v>18</v>
      </c>
      <c r="F30" s="40">
        <f>'MAY21'!H42</f>
        <v>726</v>
      </c>
      <c r="G30" s="28"/>
      <c r="H30" s="28"/>
      <c r="I30" s="36">
        <f>B29-C33</f>
        <v>28890</v>
      </c>
      <c r="K30" s="18"/>
      <c r="L30" s="13">
        <v>25</v>
      </c>
      <c r="M30" s="14"/>
      <c r="N30" s="15">
        <f>'MAY21'!R30:R61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I30-C37</f>
        <v>13793</v>
      </c>
      <c r="K31" s="22"/>
      <c r="L31" s="24">
        <v>26</v>
      </c>
      <c r="M31" s="14"/>
      <c r="N31" s="15">
        <f>'MAY21'!R31:R62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>
        <f>I31-2000</f>
        <v>11793</v>
      </c>
      <c r="K32" s="12"/>
      <c r="L32" s="13">
        <v>27</v>
      </c>
      <c r="M32" s="14"/>
      <c r="N32" s="15">
        <f>'MAY21'!R32:R63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0" x14ac:dyDescent="0.25">
      <c r="A33" s="28" t="s">
        <v>20</v>
      </c>
      <c r="B33" s="41">
        <v>0.1</v>
      </c>
      <c r="C33" s="40">
        <f>B33*B29</f>
        <v>3210</v>
      </c>
      <c r="D33" s="28"/>
      <c r="E33" s="28" t="s">
        <v>20</v>
      </c>
      <c r="F33" s="41">
        <v>0.1</v>
      </c>
      <c r="G33" s="40">
        <f>F33*B29</f>
        <v>3210</v>
      </c>
      <c r="H33" s="28"/>
      <c r="I33" s="45"/>
      <c r="K33" s="22"/>
      <c r="L33" s="24">
        <v>28</v>
      </c>
      <c r="M33" s="14"/>
      <c r="N33" s="15">
        <f>'MAY21'!R33:R64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11793</v>
      </c>
      <c r="K34" s="22" t="s">
        <v>92</v>
      </c>
      <c r="L34" s="13">
        <v>29</v>
      </c>
      <c r="M34" s="14"/>
      <c r="N34" s="15">
        <f>'MAY21'!R34:R65</f>
        <v>4200</v>
      </c>
      <c r="O34" s="16"/>
      <c r="P34" s="16">
        <f>M34+N34+O34</f>
        <v>4200</v>
      </c>
      <c r="Q34" s="16"/>
      <c r="R34" s="17"/>
      <c r="S34" s="15"/>
      <c r="T34" t="s">
        <v>54</v>
      </c>
    </row>
    <row r="35" spans="1:2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178</v>
      </c>
      <c r="L35" s="24">
        <v>30</v>
      </c>
      <c r="M35" s="14">
        <v>5000</v>
      </c>
      <c r="N35" s="15"/>
      <c r="O35" s="16">
        <v>5000</v>
      </c>
      <c r="P35" s="16">
        <f t="shared" si="2"/>
        <v>10000</v>
      </c>
      <c r="Q35" s="16">
        <v>10000</v>
      </c>
      <c r="R35" s="17">
        <f t="shared" si="3"/>
        <v>0</v>
      </c>
      <c r="S35" s="15"/>
    </row>
    <row r="36" spans="1:20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6"/>
      <c r="K36" s="27" t="s">
        <v>24</v>
      </c>
      <c r="L36" s="28"/>
      <c r="M36" s="14">
        <f t="shared" ref="M36:S36" si="4">SUM(M6:M35)</f>
        <v>5000</v>
      </c>
      <c r="N36" s="15">
        <f>'MAY21'!R36:R67</f>
        <v>6200</v>
      </c>
      <c r="O36" s="29">
        <f t="shared" si="4"/>
        <v>67000</v>
      </c>
      <c r="P36" s="16">
        <f>SUM(P6:P35)</f>
        <v>78200</v>
      </c>
      <c r="Q36" s="16">
        <f t="shared" si="4"/>
        <v>71000</v>
      </c>
      <c r="R36" s="16">
        <f t="shared" si="4"/>
        <v>3000</v>
      </c>
      <c r="S36" s="15">
        <f t="shared" si="4"/>
        <v>0</v>
      </c>
    </row>
    <row r="37" spans="1:20" x14ac:dyDescent="0.25">
      <c r="A37" s="42" t="s">
        <v>177</v>
      </c>
      <c r="B37" s="41"/>
      <c r="C37" s="28">
        <v>15097</v>
      </c>
      <c r="D37" s="28"/>
      <c r="E37" s="42" t="s">
        <v>177</v>
      </c>
      <c r="F37" s="41"/>
      <c r="G37" s="28">
        <v>15097</v>
      </c>
      <c r="H37" s="28"/>
      <c r="I37" s="36"/>
      <c r="N37" s="15">
        <f>'MAY21'!R37:R68</f>
        <v>0</v>
      </c>
      <c r="R37" s="30"/>
      <c r="S37" s="3"/>
    </row>
    <row r="38" spans="1:20" x14ac:dyDescent="0.25">
      <c r="A38" s="42" t="s">
        <v>180</v>
      </c>
      <c r="B38" s="41"/>
      <c r="C38" s="28">
        <v>10087</v>
      </c>
      <c r="D38" s="28"/>
      <c r="E38" s="42" t="s">
        <v>180</v>
      </c>
      <c r="F38" s="41"/>
      <c r="G38" s="28">
        <v>10087</v>
      </c>
      <c r="H38" s="28"/>
      <c r="I38" s="45"/>
      <c r="J38" s="30"/>
    </row>
    <row r="39" spans="1:20" x14ac:dyDescent="0.25">
      <c r="A39" s="42" t="s">
        <v>188</v>
      </c>
      <c r="B39" s="28"/>
      <c r="C39" s="44">
        <v>2500</v>
      </c>
      <c r="D39" s="28"/>
      <c r="E39" s="42"/>
      <c r="F39" s="28"/>
      <c r="G39" s="44"/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2000</v>
      </c>
      <c r="S39" s="3"/>
    </row>
    <row r="40" spans="1:20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0" x14ac:dyDescent="0.25">
      <c r="A41" s="39" t="s">
        <v>24</v>
      </c>
      <c r="B41" s="46">
        <f>B32+B29+B30+B31-C33</f>
        <v>31316</v>
      </c>
      <c r="C41" s="46">
        <f>SUM(C35:C40)</f>
        <v>29684</v>
      </c>
      <c r="D41" s="46">
        <f>B41-C41</f>
        <v>1632</v>
      </c>
      <c r="E41" s="39" t="s">
        <v>24</v>
      </c>
      <c r="F41" s="46">
        <f>F29+F30+F32-G33</f>
        <v>24316</v>
      </c>
      <c r="G41" s="46">
        <f>SUM(G35:G40)</f>
        <v>27184</v>
      </c>
      <c r="H41" s="46">
        <f>F41-G41</f>
        <v>-2868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172</v>
      </c>
      <c r="L42" s="40">
        <f>O36</f>
        <v>67000</v>
      </c>
      <c r="M42" s="28"/>
      <c r="N42" s="28"/>
      <c r="O42" s="28" t="s">
        <v>172</v>
      </c>
      <c r="P42" s="40">
        <f>Q36</f>
        <v>71000</v>
      </c>
      <c r="Q42" s="28"/>
      <c r="R42" s="28"/>
      <c r="S42" s="36"/>
    </row>
    <row r="43" spans="1:20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'MAY21'!N56</f>
        <v>91</v>
      </c>
      <c r="M43" s="28"/>
      <c r="N43" s="28"/>
      <c r="O43" s="28" t="s">
        <v>18</v>
      </c>
      <c r="P43" s="40">
        <f>'MAY21'!R56</f>
        <v>-6109</v>
      </c>
      <c r="Q43" s="28"/>
      <c r="R43" s="28"/>
      <c r="S43" s="36"/>
    </row>
    <row r="44" spans="1:20" x14ac:dyDescent="0.25">
      <c r="K44" s="28" t="s">
        <v>186</v>
      </c>
      <c r="L44" s="40">
        <f>M36</f>
        <v>5000</v>
      </c>
      <c r="M44" s="28"/>
      <c r="N44" s="28"/>
      <c r="O44" s="28"/>
      <c r="P44" s="40"/>
      <c r="Q44" s="28"/>
      <c r="R44" s="28"/>
      <c r="S44" s="36" t="s">
        <v>19</v>
      </c>
    </row>
    <row r="45" spans="1:20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20" x14ac:dyDescent="0.25">
      <c r="K46" s="28" t="s">
        <v>20</v>
      </c>
      <c r="L46" s="41">
        <v>0.1</v>
      </c>
      <c r="M46" s="40">
        <f>L46*L42</f>
        <v>6700</v>
      </c>
      <c r="N46" s="28"/>
      <c r="O46" s="28" t="s">
        <v>20</v>
      </c>
      <c r="P46" s="41">
        <v>0.1</v>
      </c>
      <c r="Q46" s="40">
        <f>P46*L42</f>
        <v>6700</v>
      </c>
      <c r="R46" s="28"/>
      <c r="S46" s="3"/>
    </row>
    <row r="47" spans="1:20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20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>
        <f>L42+L44</f>
        <v>72000</v>
      </c>
    </row>
    <row r="49" spans="9:21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>
        <f>T48-M46-M49-M50-M51</f>
        <v>39698</v>
      </c>
    </row>
    <row r="50" spans="9:21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>
        <f>T49-4200</f>
        <v>35498</v>
      </c>
      <c r="U50" s="30"/>
    </row>
    <row r="51" spans="9:21" x14ac:dyDescent="0.25">
      <c r="K51" s="42" t="s">
        <v>175</v>
      </c>
      <c r="L51" s="28"/>
      <c r="M51" s="44">
        <v>20102</v>
      </c>
      <c r="N51" s="28"/>
      <c r="O51" s="42" t="s">
        <v>175</v>
      </c>
      <c r="P51" s="28"/>
      <c r="Q51" s="44">
        <v>20102</v>
      </c>
      <c r="R51" s="28"/>
      <c r="S51" s="3"/>
    </row>
    <row r="52" spans="9:21" x14ac:dyDescent="0.25">
      <c r="K52" s="42" t="s">
        <v>176</v>
      </c>
      <c r="L52" s="28"/>
      <c r="M52" s="44">
        <v>4200</v>
      </c>
      <c r="N52" s="28"/>
      <c r="O52" s="42"/>
      <c r="P52" s="28"/>
      <c r="Q52" s="44"/>
      <c r="R52" s="28"/>
      <c r="S52" s="3"/>
    </row>
    <row r="53" spans="9:21" x14ac:dyDescent="0.25">
      <c r="K53" s="42" t="s">
        <v>179</v>
      </c>
      <c r="L53" s="28"/>
      <c r="M53" s="44">
        <v>35500</v>
      </c>
      <c r="N53" s="28"/>
      <c r="O53" s="42" t="s">
        <v>179</v>
      </c>
      <c r="P53" s="28"/>
      <c r="Q53" s="44">
        <v>35500</v>
      </c>
      <c r="R53" s="28"/>
      <c r="S53" s="3"/>
    </row>
    <row r="54" spans="9:21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21" x14ac:dyDescent="0.25">
      <c r="K55" s="39" t="s">
        <v>24</v>
      </c>
      <c r="L55" s="46">
        <f>L45+L42+L43+L44-M46</f>
        <v>65391</v>
      </c>
      <c r="M55" s="46">
        <f>SUM(M48:M54)</f>
        <v>65302</v>
      </c>
      <c r="N55" s="46">
        <f>L55-M55</f>
        <v>89</v>
      </c>
      <c r="O55" s="39" t="s">
        <v>24</v>
      </c>
      <c r="P55" s="46">
        <f>P42+P43+P45-Q46</f>
        <v>58191</v>
      </c>
      <c r="Q55" s="46">
        <f>SUM(Q48:Q54)</f>
        <v>61102</v>
      </c>
      <c r="R55" s="46">
        <f>P55-Q55</f>
        <v>-2911</v>
      </c>
      <c r="S55" s="45"/>
    </row>
    <row r="56" spans="9:21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21" x14ac:dyDescent="0.25">
      <c r="O59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opLeftCell="E1" workbookViewId="0">
      <selection activeCell="Q13" sqref="Q13"/>
    </sheetView>
  </sheetViews>
  <sheetFormatPr defaultRowHeight="15" x14ac:dyDescent="0.25"/>
  <cols>
    <col min="1" max="1" width="23.28515625" customWidth="1"/>
    <col min="11" max="11" width="2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181</v>
      </c>
      <c r="C4" s="1"/>
      <c r="E4" s="1"/>
      <c r="F4" s="6"/>
      <c r="G4" s="7"/>
      <c r="H4" s="3"/>
      <c r="I4" s="3"/>
      <c r="K4" s="5"/>
      <c r="L4" s="1" t="s">
        <v>183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'JUNE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'JUNE 21'!R6:R35</f>
        <v>1000</v>
      </c>
      <c r="O6" s="16">
        <v>10000</v>
      </c>
      <c r="P6" s="16">
        <f>M6+N6+O6</f>
        <v>11000</v>
      </c>
      <c r="Q6" s="16">
        <f>10000</f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'JUNE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'JUNE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'JUNE 21'!H8:H24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'JUNE 21'!R8:R37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'JUNE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'JUNE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12" t="s">
        <v>45</v>
      </c>
      <c r="B10" s="13">
        <v>5</v>
      </c>
      <c r="C10" s="14"/>
      <c r="D10" s="15">
        <f>'JUNE 21'!H10:H26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'JUNE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'JUNE 21'!H11:H27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'JUNE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'JUNE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'JUNE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>
        <f>'JUNE 21'!H13:H29</f>
        <v>1000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'JUNE 21'!R13:R42</f>
        <v>2000</v>
      </c>
      <c r="O13" s="16">
        <v>3500</v>
      </c>
      <c r="P13" s="16">
        <f t="shared" si="2"/>
        <v>5500</v>
      </c>
      <c r="Q13" s="16"/>
      <c r="R13" s="17">
        <f>P13-Q13</f>
        <v>5500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'JUNE 21'!H14:H30</f>
        <v>1000</v>
      </c>
      <c r="E14" s="19">
        <v>2500</v>
      </c>
      <c r="F14" s="16">
        <f t="shared" si="0"/>
        <v>3500</v>
      </c>
      <c r="G14" s="16">
        <f>2000</f>
        <v>2000</v>
      </c>
      <c r="H14" s="17">
        <f t="shared" si="1"/>
        <v>1500</v>
      </c>
      <c r="I14" s="15"/>
      <c r="K14" s="50" t="s">
        <v>81</v>
      </c>
      <c r="L14" s="13">
        <v>9</v>
      </c>
      <c r="M14" s="14"/>
      <c r="N14" s="15">
        <f>'JUNE 21'!R14:R43</f>
        <v>0</v>
      </c>
      <c r="O14" s="16">
        <v>3500</v>
      </c>
      <c r="P14" s="16">
        <f t="shared" si="2"/>
        <v>3500</v>
      </c>
      <c r="Q14" s="16"/>
      <c r="R14" s="17">
        <f t="shared" si="3"/>
        <v>3500</v>
      </c>
      <c r="S14" s="15"/>
      <c r="T14" t="s">
        <v>54</v>
      </c>
    </row>
    <row r="15" spans="1:20" x14ac:dyDescent="0.25">
      <c r="A15" s="22" t="s">
        <v>52</v>
      </c>
      <c r="B15" s="24">
        <v>10</v>
      </c>
      <c r="C15" s="14"/>
      <c r="D15" s="15">
        <f>'JUNE 21'!H15:H31</f>
        <v>0</v>
      </c>
      <c r="E15" s="19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'JUNE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'JUNE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'JUNE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89</v>
      </c>
      <c r="B17" s="13">
        <v>12</v>
      </c>
      <c r="C17" s="14">
        <v>2000</v>
      </c>
      <c r="D17" s="15">
        <f>'JUNE 21'!H17:H33</f>
        <v>0</v>
      </c>
      <c r="E17" s="19">
        <v>2000</v>
      </c>
      <c r="F17" s="16">
        <f t="shared" si="0"/>
        <v>4000</v>
      </c>
      <c r="G17" s="16">
        <v>2500</v>
      </c>
      <c r="H17" s="17">
        <f t="shared" si="1"/>
        <v>1500</v>
      </c>
      <c r="I17" s="15"/>
      <c r="K17" s="23"/>
      <c r="L17" s="24">
        <v>12</v>
      </c>
      <c r="M17" s="14"/>
      <c r="N17" s="15">
        <f>'JUNE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'JUNE 21'!H18:H34</f>
        <v>2000</v>
      </c>
      <c r="E18" s="19">
        <v>2000</v>
      </c>
      <c r="F18" s="16">
        <f t="shared" si="0"/>
        <v>4000</v>
      </c>
      <c r="G18" s="16">
        <f>1800+2200</f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'JUNE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'JUNE 21'!H19:H35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'JUNE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'JUNE 21'!H20:H36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'JUNE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>
        <v>2000</v>
      </c>
      <c r="D21" s="15"/>
      <c r="E21" s="19">
        <v>1000</v>
      </c>
      <c r="F21" s="16">
        <f t="shared" si="0"/>
        <v>3000</v>
      </c>
      <c r="G21" s="16">
        <v>2500</v>
      </c>
      <c r="H21" s="17">
        <f>F21-G21</f>
        <v>500</v>
      </c>
      <c r="I21" s="15"/>
      <c r="K21" s="23"/>
      <c r="L21" s="24">
        <v>16</v>
      </c>
      <c r="M21" s="14"/>
      <c r="N21" s="15">
        <f>'JUNE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'JUNE 21'!H22:H38</f>
        <v>800</v>
      </c>
      <c r="E22" s="19">
        <v>3800</v>
      </c>
      <c r="F22" s="16">
        <f t="shared" si="0"/>
        <v>4600</v>
      </c>
      <c r="G22" s="16">
        <f>4000</f>
        <v>4000</v>
      </c>
      <c r="H22" s="17">
        <f>F22-G22</f>
        <v>600</v>
      </c>
      <c r="I22" s="15"/>
      <c r="K22" s="23"/>
      <c r="L22" s="13">
        <v>17</v>
      </c>
      <c r="M22" s="14"/>
      <c r="N22" s="15">
        <f>'JUNE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 t="shared" ref="D23:I23" si="5">SUM(D6:D22)</f>
        <v>5300</v>
      </c>
      <c r="E23" s="29">
        <f t="shared" si="5"/>
        <v>33100</v>
      </c>
      <c r="F23" s="16">
        <f t="shared" si="5"/>
        <v>42400</v>
      </c>
      <c r="G23" s="16">
        <f t="shared" si="5"/>
        <v>36800</v>
      </c>
      <c r="H23" s="16">
        <f t="shared" si="5"/>
        <v>5600</v>
      </c>
      <c r="I23" s="15">
        <f t="shared" si="5"/>
        <v>0</v>
      </c>
      <c r="K23" s="23" t="s">
        <v>184</v>
      </c>
      <c r="L23" s="24">
        <v>18</v>
      </c>
      <c r="M23" s="14">
        <v>3500</v>
      </c>
      <c r="N23" s="15">
        <f>'JUNE 21'!R23:R52</f>
        <v>0</v>
      </c>
      <c r="O23" s="16">
        <v>3500</v>
      </c>
      <c r="P23" s="16">
        <f t="shared" si="4"/>
        <v>7000</v>
      </c>
      <c r="Q23" s="16">
        <v>7000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'JUNE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2600</v>
      </c>
      <c r="K25" s="23" t="s">
        <v>99</v>
      </c>
      <c r="L25" s="24">
        <v>20</v>
      </c>
      <c r="M25" s="14"/>
      <c r="N25" s="15">
        <f>'JUNE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'JUNE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'JUNE 21'!R27:R56</f>
        <v>0</v>
      </c>
      <c r="O27" s="16">
        <v>3500</v>
      </c>
      <c r="P27" s="16">
        <f t="shared" si="4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'JUNE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182</v>
      </c>
      <c r="B29" s="40">
        <f>E23</f>
        <v>33100</v>
      </c>
      <c r="C29" s="28"/>
      <c r="D29" s="28"/>
      <c r="E29" s="28" t="s">
        <v>182</v>
      </c>
      <c r="F29" s="40">
        <f>G23</f>
        <v>36800</v>
      </c>
      <c r="G29" s="28"/>
      <c r="H29" s="28"/>
      <c r="I29" s="36"/>
      <c r="K29" s="18"/>
      <c r="L29" s="24">
        <v>24</v>
      </c>
      <c r="M29" s="14"/>
      <c r="N29" s="15">
        <f>'JUNE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'JUNE 21'!D41</f>
        <v>1632</v>
      </c>
      <c r="C30" s="28"/>
      <c r="D30" s="28"/>
      <c r="E30" s="28" t="s">
        <v>18</v>
      </c>
      <c r="F30" s="40">
        <f>'JUNE 21'!H41</f>
        <v>-2868</v>
      </c>
      <c r="G30" s="28"/>
      <c r="H30" s="28"/>
      <c r="I30" s="36">
        <f>B29-C33</f>
        <v>29790</v>
      </c>
      <c r="K30" s="18"/>
      <c r="L30" s="13">
        <v>25</v>
      </c>
      <c r="M30" s="14"/>
      <c r="N30" s="15">
        <f>'JUNE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I30-C37</f>
        <v>19703</v>
      </c>
      <c r="K31" s="22"/>
      <c r="L31" s="24">
        <v>26</v>
      </c>
      <c r="M31" s="14"/>
      <c r="N31" s="15">
        <f>'JUNE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f>500+1500</f>
        <v>2000</v>
      </c>
      <c r="C32" s="28"/>
      <c r="D32" s="28"/>
      <c r="E32" s="28"/>
      <c r="F32" s="40"/>
      <c r="G32" s="28"/>
      <c r="H32" s="28"/>
      <c r="I32" s="45">
        <f>I31-2000</f>
        <v>17703</v>
      </c>
      <c r="K32" s="12"/>
      <c r="L32" s="13">
        <v>27</v>
      </c>
      <c r="M32" s="14"/>
      <c r="N32" s="15">
        <f>'JUNE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1" x14ac:dyDescent="0.25">
      <c r="A33" s="28" t="s">
        <v>20</v>
      </c>
      <c r="B33" s="41">
        <v>0.1</v>
      </c>
      <c r="C33" s="40">
        <f>B33*B29</f>
        <v>3310</v>
      </c>
      <c r="D33" s="28"/>
      <c r="E33" s="28" t="s">
        <v>20</v>
      </c>
      <c r="F33" s="41">
        <v>0.1</v>
      </c>
      <c r="G33" s="40">
        <f>F33*B29</f>
        <v>3310</v>
      </c>
      <c r="H33" s="28"/>
      <c r="I33" s="45"/>
      <c r="K33" s="22"/>
      <c r="L33" s="24">
        <v>28</v>
      </c>
      <c r="M33" s="14"/>
      <c r="N33" s="15">
        <f>'JUNE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1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17703</v>
      </c>
      <c r="K34" s="22" t="s">
        <v>45</v>
      </c>
      <c r="L34" s="13">
        <v>29</v>
      </c>
      <c r="M34" s="14"/>
      <c r="N34" s="15"/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1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178</v>
      </c>
      <c r="L35" s="24">
        <v>30</v>
      </c>
      <c r="M35" s="14"/>
      <c r="N35" s="15">
        <f>'JUNE 21'!R35:R64</f>
        <v>0</v>
      </c>
      <c r="O35" s="16">
        <v>5000</v>
      </c>
      <c r="P35" s="16">
        <f t="shared" si="2"/>
        <v>5000</v>
      </c>
      <c r="Q35" s="16"/>
      <c r="R35" s="17">
        <f t="shared" si="3"/>
        <v>5000</v>
      </c>
      <c r="S35" s="15"/>
    </row>
    <row r="36" spans="1:21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"/>
      <c r="K36" s="27" t="s">
        <v>24</v>
      </c>
      <c r="L36" s="28"/>
      <c r="M36" s="14">
        <f t="shared" ref="M36:S36" si="6">SUM(M6:M35)</f>
        <v>3500</v>
      </c>
      <c r="N36" s="15">
        <f>SUM(N6:N35)</f>
        <v>3000</v>
      </c>
      <c r="O36" s="29">
        <f t="shared" si="6"/>
        <v>70500</v>
      </c>
      <c r="P36" s="16">
        <f>SUM(P6:P35)</f>
        <v>77000</v>
      </c>
      <c r="Q36" s="16">
        <f t="shared" si="6"/>
        <v>62000</v>
      </c>
      <c r="R36" s="16">
        <f t="shared" si="6"/>
        <v>15000</v>
      </c>
      <c r="S36" s="15">
        <f t="shared" si="6"/>
        <v>0</v>
      </c>
    </row>
    <row r="37" spans="1:21" x14ac:dyDescent="0.25">
      <c r="A37" s="42" t="s">
        <v>190</v>
      </c>
      <c r="B37" s="41"/>
      <c r="C37" s="28">
        <v>10087</v>
      </c>
      <c r="D37" s="28"/>
      <c r="E37" s="42" t="s">
        <v>190</v>
      </c>
      <c r="F37" s="41"/>
      <c r="G37" s="28">
        <v>10087</v>
      </c>
      <c r="H37" s="28"/>
      <c r="I37" s="36"/>
      <c r="N37" s="15">
        <f>'MAY21'!R37:R68</f>
        <v>0</v>
      </c>
      <c r="R37" s="30"/>
      <c r="S37" s="3"/>
    </row>
    <row r="38" spans="1:21" x14ac:dyDescent="0.25">
      <c r="A38" s="42" t="s">
        <v>193</v>
      </c>
      <c r="B38" s="41"/>
      <c r="C38" s="28">
        <v>18102</v>
      </c>
      <c r="D38" s="28"/>
      <c r="E38" s="42" t="s">
        <v>193</v>
      </c>
      <c r="F38" s="41"/>
      <c r="G38" s="28">
        <v>18102</v>
      </c>
      <c r="H38" s="28"/>
      <c r="I38" s="45"/>
      <c r="J38" s="30"/>
    </row>
    <row r="39" spans="1:21" x14ac:dyDescent="0.25">
      <c r="A39" s="42" t="s">
        <v>194</v>
      </c>
      <c r="B39" s="28"/>
      <c r="C39" s="44">
        <v>1682</v>
      </c>
      <c r="D39" s="28"/>
      <c r="E39" s="42" t="s">
        <v>194</v>
      </c>
      <c r="F39" s="28"/>
      <c r="G39" s="44">
        <v>1682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5500</v>
      </c>
      <c r="S39" s="3"/>
    </row>
    <row r="40" spans="1:21" x14ac:dyDescent="0.25">
      <c r="A40" s="42" t="s">
        <v>197</v>
      </c>
      <c r="B40" s="28"/>
      <c r="C40" s="44">
        <f>250</f>
        <v>250</v>
      </c>
      <c r="D40" s="28"/>
      <c r="E40" s="42" t="s">
        <v>195</v>
      </c>
      <c r="F40" s="28"/>
      <c r="G40" s="44">
        <f>250</f>
        <v>250</v>
      </c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1" x14ac:dyDescent="0.25">
      <c r="A41" s="39" t="s">
        <v>24</v>
      </c>
      <c r="B41" s="46">
        <f>B32+B29+B30+B31-C33</f>
        <v>33422</v>
      </c>
      <c r="C41" s="46">
        <f>SUM(C35:C40)</f>
        <v>32121</v>
      </c>
      <c r="D41" s="46">
        <f>B41-C41</f>
        <v>1301</v>
      </c>
      <c r="E41" s="39" t="s">
        <v>24</v>
      </c>
      <c r="F41" s="46">
        <f>F29+F30+F32-G33</f>
        <v>30622</v>
      </c>
      <c r="G41" s="46">
        <f>SUM(G35:G40)</f>
        <v>32121</v>
      </c>
      <c r="H41" s="46">
        <f>F41-G41</f>
        <v>-1499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1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182</v>
      </c>
      <c r="L42" s="40">
        <f>O36</f>
        <v>70500</v>
      </c>
      <c r="M42" s="28"/>
      <c r="N42" s="28"/>
      <c r="O42" s="28" t="s">
        <v>182</v>
      </c>
      <c r="P42" s="40">
        <f>Q36</f>
        <v>62000</v>
      </c>
      <c r="Q42" s="28"/>
      <c r="R42" s="28"/>
      <c r="S42" s="36"/>
    </row>
    <row r="43" spans="1:21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'JUNE 21'!N55</f>
        <v>89</v>
      </c>
      <c r="M43" s="28"/>
      <c r="N43" s="28"/>
      <c r="O43" s="28" t="s">
        <v>18</v>
      </c>
      <c r="P43" s="40">
        <f>'JUNE 21'!R55</f>
        <v>-2911</v>
      </c>
      <c r="Q43" s="28"/>
      <c r="R43" s="28"/>
      <c r="S43" s="36"/>
    </row>
    <row r="44" spans="1:21" x14ac:dyDescent="0.25">
      <c r="K44" s="28" t="s">
        <v>185</v>
      </c>
      <c r="L44" s="40">
        <f>M36</f>
        <v>3500</v>
      </c>
      <c r="M44" s="28"/>
      <c r="N44" s="28"/>
      <c r="O44" s="28"/>
      <c r="P44" s="40"/>
      <c r="Q44" s="28"/>
      <c r="R44" s="28"/>
      <c r="S44" s="36" t="s">
        <v>19</v>
      </c>
    </row>
    <row r="45" spans="1:21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  <c r="U45" s="51">
        <f>L42+L44</f>
        <v>74000</v>
      </c>
    </row>
    <row r="46" spans="1:21" x14ac:dyDescent="0.25">
      <c r="K46" s="28" t="s">
        <v>20</v>
      </c>
      <c r="L46" s="41">
        <v>0.1</v>
      </c>
      <c r="M46" s="40">
        <f>L46*L42</f>
        <v>7050</v>
      </c>
      <c r="N46" s="28"/>
      <c r="O46" s="28" t="s">
        <v>20</v>
      </c>
      <c r="P46" s="41">
        <v>0.1</v>
      </c>
      <c r="Q46" s="40">
        <f>P46*L42</f>
        <v>7050</v>
      </c>
      <c r="R46" s="28"/>
      <c r="S46" s="3"/>
      <c r="U46" s="51">
        <f>M46</f>
        <v>7050</v>
      </c>
    </row>
    <row r="47" spans="1:21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  <c r="U47" s="51">
        <f>U45-U46</f>
        <v>66950</v>
      </c>
    </row>
    <row r="48" spans="1:21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/>
      <c r="U48">
        <v>5500</v>
      </c>
    </row>
    <row r="49" spans="9:21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/>
      <c r="U49" s="51">
        <f>U47-U48</f>
        <v>61450</v>
      </c>
    </row>
    <row r="50" spans="9:21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/>
      <c r="U50" s="30">
        <v>20000</v>
      </c>
    </row>
    <row r="51" spans="9:21" x14ac:dyDescent="0.25">
      <c r="K51" s="42" t="s">
        <v>189</v>
      </c>
      <c r="L51" s="28"/>
      <c r="M51" s="44">
        <v>20000</v>
      </c>
      <c r="N51" s="28"/>
      <c r="O51" s="42" t="s">
        <v>189</v>
      </c>
      <c r="P51" s="28"/>
      <c r="Q51" s="44">
        <v>20000</v>
      </c>
      <c r="R51" s="28"/>
      <c r="S51" s="3"/>
      <c r="U51" s="30">
        <f>U49-U50</f>
        <v>41450</v>
      </c>
    </row>
    <row r="52" spans="9:21" x14ac:dyDescent="0.25">
      <c r="K52" s="42" t="s">
        <v>191</v>
      </c>
      <c r="L52" s="28"/>
      <c r="M52" s="44">
        <v>41539</v>
      </c>
      <c r="N52" s="28"/>
      <c r="O52" s="42" t="s">
        <v>191</v>
      </c>
      <c r="P52" s="28"/>
      <c r="Q52" s="44">
        <v>41539</v>
      </c>
      <c r="R52" s="28"/>
      <c r="S52" s="3"/>
    </row>
    <row r="53" spans="9:21" x14ac:dyDescent="0.25">
      <c r="K53" s="42" t="s">
        <v>196</v>
      </c>
      <c r="L53" s="28"/>
      <c r="M53" s="44">
        <v>3500</v>
      </c>
      <c r="N53" s="28"/>
      <c r="O53" s="42"/>
      <c r="P53" s="28"/>
      <c r="Q53" s="44"/>
      <c r="R53" s="28"/>
      <c r="S53" s="3"/>
    </row>
    <row r="54" spans="9:21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21" x14ac:dyDescent="0.25">
      <c r="K55" s="39" t="s">
        <v>24</v>
      </c>
      <c r="L55" s="46">
        <f>L45+L42+L43+L44-M46</f>
        <v>67039</v>
      </c>
      <c r="M55" s="46">
        <f>SUM(M48:M54)</f>
        <v>70539</v>
      </c>
      <c r="N55" s="46">
        <f>L55-M55</f>
        <v>-3500</v>
      </c>
      <c r="O55" s="39" t="s">
        <v>24</v>
      </c>
      <c r="P55" s="46">
        <f>P42+P43+P45-Q46</f>
        <v>52039</v>
      </c>
      <c r="Q55" s="46">
        <f>SUM(Q48:Q54)</f>
        <v>67039</v>
      </c>
      <c r="R55" s="46">
        <f>P55-Q55</f>
        <v>-15000</v>
      </c>
      <c r="S55" s="45"/>
    </row>
    <row r="56" spans="9:21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21" x14ac:dyDescent="0.25">
      <c r="O59" s="5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"/>
  <sheetViews>
    <sheetView topLeftCell="F1" workbookViewId="0">
      <selection activeCell="L4" sqref="L4"/>
    </sheetView>
  </sheetViews>
  <sheetFormatPr defaultRowHeight="15" x14ac:dyDescent="0.25"/>
  <cols>
    <col min="1" max="1" width="19.85546875" customWidth="1"/>
    <col min="11" max="11" width="18.85546875" customWidth="1"/>
    <col min="20" max="20" width="18.4257812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198</v>
      </c>
      <c r="C4" s="1"/>
      <c r="E4" s="1"/>
      <c r="F4" s="6"/>
      <c r="G4" s="7"/>
      <c r="H4" s="3"/>
      <c r="I4" s="3"/>
      <c r="K4" s="5"/>
      <c r="L4" s="1" t="s">
        <v>201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'JULY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'JULY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'JULY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'JULY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'JULY 21'!H8:H24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'JULY 21'!R8:R37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'JULY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'JULY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2" t="s">
        <v>35</v>
      </c>
      <c r="B10" s="13">
        <v>5</v>
      </c>
      <c r="C10" s="14"/>
      <c r="D10" s="15">
        <f>'JULY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'JULY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'JULY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'JULY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'JULY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 t="s">
        <v>204</v>
      </c>
      <c r="L12" s="13">
        <v>7</v>
      </c>
      <c r="M12" s="14">
        <v>3500</v>
      </c>
      <c r="N12" s="15">
        <f>'JULY 21'!R12:R41</f>
        <v>0</v>
      </c>
      <c r="O12" s="16">
        <v>3500</v>
      </c>
      <c r="P12" s="16">
        <f t="shared" si="2"/>
        <v>7000</v>
      </c>
      <c r="Q12" s="16">
        <v>7000</v>
      </c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/>
      <c r="E13" s="19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  <c r="K13" s="53" t="s">
        <v>80</v>
      </c>
      <c r="L13" s="54">
        <v>8</v>
      </c>
      <c r="M13" s="55"/>
      <c r="N13" s="56">
        <f>'JULY 21'!R13:R42</f>
        <v>5500</v>
      </c>
      <c r="O13" s="57"/>
      <c r="P13" s="57">
        <f t="shared" si="2"/>
        <v>5500</v>
      </c>
      <c r="Q13" s="57"/>
      <c r="R13" s="58">
        <f>P13-Q13</f>
        <v>5500</v>
      </c>
      <c r="S13" s="56"/>
      <c r="T13" s="59" t="s">
        <v>205</v>
      </c>
    </row>
    <row r="14" spans="1:20" x14ac:dyDescent="0.25">
      <c r="A14" s="50" t="s">
        <v>46</v>
      </c>
      <c r="B14" s="13">
        <v>9</v>
      </c>
      <c r="C14" s="14"/>
      <c r="D14" s="15">
        <f>'JULY 21'!H14:H30</f>
        <v>1500</v>
      </c>
      <c r="E14" s="19">
        <v>2500</v>
      </c>
      <c r="F14" s="16">
        <f t="shared" si="0"/>
        <v>4000</v>
      </c>
      <c r="G14" s="16">
        <f>3000</f>
        <v>3000</v>
      </c>
      <c r="H14" s="17">
        <f t="shared" si="1"/>
        <v>1000</v>
      </c>
      <c r="I14" s="15"/>
      <c r="K14" s="50" t="s">
        <v>200</v>
      </c>
      <c r="L14" s="13">
        <v>9</v>
      </c>
      <c r="M14" s="14">
        <v>3500</v>
      </c>
      <c r="N14" s="15"/>
      <c r="O14" s="16">
        <v>3500</v>
      </c>
      <c r="P14" s="16">
        <f t="shared" si="2"/>
        <v>7000</v>
      </c>
      <c r="Q14" s="16">
        <f>3500+3500</f>
        <v>7000</v>
      </c>
      <c r="R14" s="17">
        <f t="shared" si="3"/>
        <v>0</v>
      </c>
      <c r="S14" s="15"/>
    </row>
    <row r="15" spans="1:20" x14ac:dyDescent="0.25">
      <c r="A15" s="22" t="s">
        <v>52</v>
      </c>
      <c r="B15" s="24">
        <v>10</v>
      </c>
      <c r="C15" s="14"/>
      <c r="D15" s="15">
        <f>'JULY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'JULY 21'!R15:R44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'JULY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'JULY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/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'JULY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'JULY 21'!H18:H34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'JULY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'JULY 21'!H19:H35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'JULY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'JULY 21'!H20:H36</f>
        <v>500</v>
      </c>
      <c r="E20" s="19">
        <v>2000</v>
      </c>
      <c r="F20" s="16">
        <f t="shared" si="0"/>
        <v>2500</v>
      </c>
      <c r="G20" s="16">
        <f>1000</f>
        <v>1000</v>
      </c>
      <c r="H20" s="17">
        <f>F20-G20</f>
        <v>1500</v>
      </c>
      <c r="I20" s="15"/>
      <c r="K20" s="23"/>
      <c r="L20" s="13">
        <v>15</v>
      </c>
      <c r="M20" s="14"/>
      <c r="N20" s="15">
        <f>'JULY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/>
      <c r="D21" s="15">
        <f>'JULY 21'!H21:H37</f>
        <v>500</v>
      </c>
      <c r="E21" s="19">
        <v>2000</v>
      </c>
      <c r="F21" s="16">
        <f t="shared" si="0"/>
        <v>2500</v>
      </c>
      <c r="G21" s="16">
        <v>2500</v>
      </c>
      <c r="H21" s="17">
        <f>F21-G21</f>
        <v>0</v>
      </c>
      <c r="I21" s="15"/>
      <c r="K21" s="23"/>
      <c r="L21" s="24">
        <v>16</v>
      </c>
      <c r="M21" s="14"/>
      <c r="N21" s="15">
        <f>'JULY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'JULY 21'!H22:H38</f>
        <v>600</v>
      </c>
      <c r="E22" s="19">
        <v>3800</v>
      </c>
      <c r="F22" s="16">
        <f t="shared" si="0"/>
        <v>4400</v>
      </c>
      <c r="G22" s="16">
        <f>3800</f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'JULY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 t="shared" ref="D23:I23" si="5">SUM(D6:D22)</f>
        <v>3100</v>
      </c>
      <c r="E23" s="29">
        <f t="shared" si="5"/>
        <v>34100</v>
      </c>
      <c r="F23" s="16">
        <f t="shared" si="5"/>
        <v>37200</v>
      </c>
      <c r="G23" s="16">
        <f t="shared" si="5"/>
        <v>34100</v>
      </c>
      <c r="H23" s="16">
        <f t="shared" si="5"/>
        <v>3100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'JULY 21'!R23:R52</f>
        <v>0</v>
      </c>
      <c r="O23" s="16">
        <v>3500</v>
      </c>
      <c r="P23" s="16">
        <f t="shared" si="4"/>
        <v>3500</v>
      </c>
      <c r="Q23" s="16">
        <v>3500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'JULY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3100</v>
      </c>
      <c r="K25" s="23" t="s">
        <v>99</v>
      </c>
      <c r="L25" s="24">
        <v>20</v>
      </c>
      <c r="M25" s="14"/>
      <c r="N25" s="15">
        <f>'JULY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'JULY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'JULY 21'!R27:R56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'JULY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17</v>
      </c>
      <c r="B29" s="40">
        <f>E23</f>
        <v>34100</v>
      </c>
      <c r="C29" s="28"/>
      <c r="D29" s="28"/>
      <c r="E29" s="28" t="s">
        <v>17</v>
      </c>
      <c r="F29" s="40">
        <f>G23</f>
        <v>34100</v>
      </c>
      <c r="G29" s="28"/>
      <c r="H29" s="28"/>
      <c r="I29" s="36"/>
      <c r="K29" s="18"/>
      <c r="L29" s="24">
        <v>24</v>
      </c>
      <c r="M29" s="14"/>
      <c r="N29" s="15">
        <f>'JULY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'JULY 21'!D41</f>
        <v>1301</v>
      </c>
      <c r="C30" s="28"/>
      <c r="D30" s="28"/>
      <c r="E30" s="28" t="s">
        <v>18</v>
      </c>
      <c r="F30" s="40">
        <f>'JULY 21'!H41</f>
        <v>-1499</v>
      </c>
      <c r="G30" s="28"/>
      <c r="H30" s="28"/>
      <c r="I30" s="36"/>
      <c r="K30" s="18"/>
      <c r="L30" s="13">
        <v>25</v>
      </c>
      <c r="M30" s="14"/>
      <c r="N30" s="15">
        <f>'JULY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/>
      <c r="J31" s="51">
        <f>B29</f>
        <v>34100</v>
      </c>
      <c r="K31" s="22"/>
      <c r="L31" s="24">
        <v>26</v>
      </c>
      <c r="M31" s="14"/>
      <c r="N31" s="15">
        <f>'JULY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/>
      <c r="J32" s="51">
        <f>C33</f>
        <v>3410</v>
      </c>
      <c r="K32" s="12"/>
      <c r="L32" s="13">
        <v>27</v>
      </c>
      <c r="M32" s="14"/>
      <c r="N32" s="15">
        <f>'JULY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2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/>
      <c r="J33" s="51">
        <f>J31-J32</f>
        <v>30690</v>
      </c>
      <c r="K33" s="22"/>
      <c r="L33" s="24">
        <v>28</v>
      </c>
      <c r="M33" s="14"/>
      <c r="N33" s="15">
        <f>'JULY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2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J34">
        <v>2000</v>
      </c>
      <c r="K34" s="22" t="s">
        <v>45</v>
      </c>
      <c r="L34" s="13">
        <v>29</v>
      </c>
      <c r="M34" s="14"/>
      <c r="N34" s="15">
        <f>'JULY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2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J35" s="51">
        <f>J33-J34</f>
        <v>28690</v>
      </c>
      <c r="K35" s="22" t="s">
        <v>178</v>
      </c>
      <c r="L35" s="24">
        <v>30</v>
      </c>
      <c r="M35" s="14"/>
      <c r="N35" s="15">
        <f>'JULY 21'!R35:R64</f>
        <v>5000</v>
      </c>
      <c r="O35" s="16">
        <v>5000</v>
      </c>
      <c r="P35" s="16">
        <f t="shared" si="2"/>
        <v>10000</v>
      </c>
      <c r="Q35" s="16">
        <v>10000</v>
      </c>
      <c r="R35" s="17">
        <f t="shared" si="3"/>
        <v>0</v>
      </c>
      <c r="S35" s="15"/>
    </row>
    <row r="36" spans="1:22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"/>
      <c r="J36">
        <v>15500</v>
      </c>
      <c r="K36" s="27" t="s">
        <v>24</v>
      </c>
      <c r="L36" s="28"/>
      <c r="M36" s="14">
        <f t="shared" ref="M36:S36" si="6">SUM(M6:M35)</f>
        <v>7000</v>
      </c>
      <c r="N36" s="15">
        <f>SUM(N6:N35)</f>
        <v>11500</v>
      </c>
      <c r="O36" s="29">
        <f t="shared" si="6"/>
        <v>70500</v>
      </c>
      <c r="P36" s="16">
        <f>SUM(P6:P35)</f>
        <v>89000</v>
      </c>
      <c r="Q36" s="16">
        <f t="shared" si="6"/>
        <v>82500</v>
      </c>
      <c r="R36" s="16">
        <f t="shared" si="6"/>
        <v>6500</v>
      </c>
      <c r="S36" s="15">
        <f t="shared" si="6"/>
        <v>0</v>
      </c>
    </row>
    <row r="37" spans="1:22" x14ac:dyDescent="0.25">
      <c r="A37" s="42" t="s">
        <v>39</v>
      </c>
      <c r="B37" s="41"/>
      <c r="C37" s="28">
        <v>15500</v>
      </c>
      <c r="D37" s="28"/>
      <c r="E37" s="42" t="s">
        <v>39</v>
      </c>
      <c r="F37" s="41"/>
      <c r="G37" s="28">
        <v>15500</v>
      </c>
      <c r="H37" s="28"/>
      <c r="I37" s="36"/>
      <c r="J37" s="51">
        <f>J35-J36</f>
        <v>13190</v>
      </c>
      <c r="N37" s="15">
        <f>'MAY21'!R37:R68</f>
        <v>0</v>
      </c>
      <c r="R37" s="30"/>
      <c r="S37" s="3"/>
    </row>
    <row r="38" spans="1:22" x14ac:dyDescent="0.25">
      <c r="A38" s="42" t="s">
        <v>208</v>
      </c>
      <c r="B38" s="41"/>
      <c r="C38" s="28">
        <v>13097</v>
      </c>
      <c r="D38" s="28"/>
      <c r="E38" s="42" t="s">
        <v>208</v>
      </c>
      <c r="F38" s="41"/>
      <c r="G38" s="28">
        <v>13097</v>
      </c>
      <c r="H38" s="28"/>
      <c r="I38" s="45"/>
      <c r="J38" s="30"/>
    </row>
    <row r="39" spans="1:22" x14ac:dyDescent="0.25">
      <c r="A39" s="42" t="s">
        <v>209</v>
      </c>
      <c r="B39" s="28"/>
      <c r="C39" s="44">
        <v>4050</v>
      </c>
      <c r="D39" s="28"/>
      <c r="E39" s="42" t="s">
        <v>209</v>
      </c>
      <c r="F39" s="28"/>
      <c r="G39" s="44">
        <v>4050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5500</v>
      </c>
      <c r="S39" s="3"/>
    </row>
    <row r="40" spans="1:22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2" x14ac:dyDescent="0.25">
      <c r="A41" s="39" t="s">
        <v>24</v>
      </c>
      <c r="B41" s="46">
        <f>B32+B29+B30+B31-C33</f>
        <v>31991</v>
      </c>
      <c r="C41" s="46">
        <f>SUM(C35:C40)</f>
        <v>34647</v>
      </c>
      <c r="D41" s="46">
        <f>B41-C41</f>
        <v>-2656</v>
      </c>
      <c r="E41" s="39" t="s">
        <v>24</v>
      </c>
      <c r="F41" s="46">
        <f>F29+F30+F32-G33</f>
        <v>29191</v>
      </c>
      <c r="G41" s="46">
        <f>SUM(G35:G40)</f>
        <v>34647</v>
      </c>
      <c r="H41" s="46">
        <f>F41-G41</f>
        <v>-5456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2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17</v>
      </c>
      <c r="L42" s="40">
        <f>O36</f>
        <v>70500</v>
      </c>
      <c r="M42" s="28"/>
      <c r="N42" s="28"/>
      <c r="O42" s="28" t="s">
        <v>17</v>
      </c>
      <c r="P42" s="40">
        <f>Q36</f>
        <v>82500</v>
      </c>
      <c r="Q42" s="28"/>
      <c r="R42" s="28"/>
      <c r="S42" s="36"/>
    </row>
    <row r="43" spans="1:22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'JULY 21'!N55</f>
        <v>-3500</v>
      </c>
      <c r="M43" s="28"/>
      <c r="N43" s="28"/>
      <c r="O43" s="28" t="s">
        <v>18</v>
      </c>
      <c r="P43" s="40">
        <f>'JULY 21'!R55</f>
        <v>-15000</v>
      </c>
      <c r="Q43" s="28"/>
      <c r="R43" s="28"/>
      <c r="S43" s="36"/>
    </row>
    <row r="44" spans="1:22" x14ac:dyDescent="0.25">
      <c r="K44" s="28" t="s">
        <v>199</v>
      </c>
      <c r="L44" s="40">
        <f>M36</f>
        <v>7000</v>
      </c>
      <c r="M44" s="28"/>
      <c r="N44" s="28"/>
      <c r="O44" s="28"/>
      <c r="P44" s="40"/>
      <c r="Q44" s="28"/>
      <c r="R44" s="28"/>
      <c r="S44" s="36" t="s">
        <v>19</v>
      </c>
    </row>
    <row r="45" spans="1:22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  <c r="U45" s="51">
        <f>L42</f>
        <v>70500</v>
      </c>
    </row>
    <row r="46" spans="1:22" x14ac:dyDescent="0.25">
      <c r="K46" s="28" t="s">
        <v>20</v>
      </c>
      <c r="L46" s="41">
        <v>0.1</v>
      </c>
      <c r="M46" s="40">
        <f>L46*L42</f>
        <v>7050</v>
      </c>
      <c r="N46" s="28"/>
      <c r="O46" s="28" t="s">
        <v>20</v>
      </c>
      <c r="P46" s="41">
        <v>0.1</v>
      </c>
      <c r="Q46" s="40">
        <f>P46*L42</f>
        <v>7050</v>
      </c>
      <c r="R46" s="28"/>
      <c r="S46" s="3"/>
      <c r="T46" t="s">
        <v>20</v>
      </c>
      <c r="U46" s="51">
        <f>M46</f>
        <v>7050</v>
      </c>
    </row>
    <row r="47" spans="1:22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  <c r="U47" s="51">
        <f>U45-U46</f>
        <v>63450</v>
      </c>
      <c r="V47">
        <f>500+350</f>
        <v>850</v>
      </c>
    </row>
    <row r="48" spans="1:22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 t="s">
        <v>206</v>
      </c>
      <c r="U48">
        <v>5500</v>
      </c>
      <c r="V48">
        <f>8500-V47</f>
        <v>7650</v>
      </c>
    </row>
    <row r="49" spans="9:22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/>
      <c r="U49" s="51">
        <f>U47-U48</f>
        <v>57950</v>
      </c>
      <c r="V49">
        <f>V48+3500</f>
        <v>11150</v>
      </c>
    </row>
    <row r="50" spans="9:22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 t="s">
        <v>8</v>
      </c>
      <c r="U50" s="30">
        <v>20000</v>
      </c>
    </row>
    <row r="51" spans="9:22" x14ac:dyDescent="0.25">
      <c r="K51" s="42" t="s">
        <v>202</v>
      </c>
      <c r="L51" s="28"/>
      <c r="M51" s="44">
        <v>20000</v>
      </c>
      <c r="N51" s="28"/>
      <c r="O51" s="42" t="s">
        <v>202</v>
      </c>
      <c r="P51" s="28"/>
      <c r="Q51" s="44">
        <v>20000</v>
      </c>
      <c r="R51" s="28"/>
      <c r="S51" s="3"/>
      <c r="U51" s="30">
        <f>U49-U50</f>
        <v>37950</v>
      </c>
    </row>
    <row r="52" spans="9:22" x14ac:dyDescent="0.25">
      <c r="K52" s="42" t="s">
        <v>203</v>
      </c>
      <c r="L52" s="28"/>
      <c r="M52" s="44">
        <v>5500</v>
      </c>
      <c r="N52" s="28"/>
      <c r="O52" s="42"/>
      <c r="P52" s="28"/>
      <c r="Q52" s="44"/>
      <c r="R52" s="28"/>
      <c r="S52" s="3"/>
      <c r="T52" t="s">
        <v>205</v>
      </c>
    </row>
    <row r="53" spans="9:22" x14ac:dyDescent="0.25">
      <c r="K53" s="42" t="s">
        <v>207</v>
      </c>
      <c r="L53" s="28"/>
      <c r="M53" s="44">
        <v>38700</v>
      </c>
      <c r="N53" s="28"/>
      <c r="O53" s="42" t="s">
        <v>207</v>
      </c>
      <c r="P53" s="28"/>
      <c r="Q53" s="44">
        <v>38700</v>
      </c>
      <c r="R53" s="28"/>
      <c r="S53" s="3"/>
      <c r="U53" s="30">
        <f>U51-U52</f>
        <v>37950</v>
      </c>
    </row>
    <row r="54" spans="9:22" x14ac:dyDescent="0.25">
      <c r="K54" s="42"/>
      <c r="L54" s="28"/>
      <c r="M54" s="44"/>
      <c r="N54" s="28"/>
      <c r="O54" s="42"/>
      <c r="P54" s="28"/>
      <c r="Q54" s="44"/>
      <c r="R54" s="28"/>
      <c r="S54" s="3"/>
      <c r="T54" t="s">
        <v>4</v>
      </c>
      <c r="U54">
        <v>3500</v>
      </c>
      <c r="V54" s="30">
        <f>U55</f>
        <v>41450</v>
      </c>
    </row>
    <row r="55" spans="9:22" x14ac:dyDescent="0.25">
      <c r="K55" s="39" t="s">
        <v>24</v>
      </c>
      <c r="L55" s="46">
        <f>L45+L42+L43+L44-M46</f>
        <v>66950</v>
      </c>
      <c r="M55" s="46">
        <f>SUM(M48:M54)</f>
        <v>69700</v>
      </c>
      <c r="N55" s="46">
        <f>L55-M55</f>
        <v>-2750</v>
      </c>
      <c r="O55" s="39" t="s">
        <v>24</v>
      </c>
      <c r="P55" s="46">
        <f>P42+P43+P45-Q46</f>
        <v>60450</v>
      </c>
      <c r="Q55" s="46">
        <f>SUM(Q48:Q54)</f>
        <v>64200</v>
      </c>
      <c r="R55" s="46">
        <f>P55-Q55</f>
        <v>-3750</v>
      </c>
      <c r="S55" s="45"/>
      <c r="U55" s="30">
        <f>U53+U54</f>
        <v>41450</v>
      </c>
      <c r="V55">
        <v>2</v>
      </c>
    </row>
    <row r="56" spans="9:22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8" spans="9:22" x14ac:dyDescent="0.25">
      <c r="T58">
        <f>5500/2</f>
        <v>2750</v>
      </c>
      <c r="U58">
        <f>T58-2855</f>
        <v>-105</v>
      </c>
    </row>
    <row r="59" spans="9:22" x14ac:dyDescent="0.25">
      <c r="O59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3"/>
  <sheetViews>
    <sheetView topLeftCell="E16" zoomScaleNormal="100" workbookViewId="0">
      <selection activeCell="Q35" sqref="Q35"/>
    </sheetView>
  </sheetViews>
  <sheetFormatPr defaultRowHeight="15" x14ac:dyDescent="0.25"/>
  <cols>
    <col min="1" max="1" width="17.85546875" customWidth="1"/>
    <col min="11" max="11" width="17.8554687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210</v>
      </c>
      <c r="C4" s="1"/>
      <c r="E4" s="1"/>
      <c r="F4" s="6"/>
      <c r="G4" s="7"/>
      <c r="H4" s="3"/>
      <c r="I4" s="3"/>
      <c r="K4" s="5"/>
      <c r="L4" s="1" t="s">
        <v>212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'AUGUST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'AUGUST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'AUGUST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'AUGUST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'AUGUST 21'!H8:H24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'AUGUST 21'!R8:R37</f>
        <v>0</v>
      </c>
      <c r="O8" s="16">
        <v>8000</v>
      </c>
      <c r="P8" s="16">
        <f t="shared" si="2"/>
        <v>8000</v>
      </c>
      <c r="Q8" s="16">
        <f>3000+5000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'AUGUST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'AUGUST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2" t="s">
        <v>35</v>
      </c>
      <c r="B10" s="13">
        <v>5</v>
      </c>
      <c r="C10" s="14"/>
      <c r="D10" s="15">
        <f>'AUGUST 21'!H10:H26</f>
        <v>0</v>
      </c>
      <c r="E10" s="19">
        <v>2000</v>
      </c>
      <c r="F10" s="16">
        <f t="shared" si="0"/>
        <v>2000</v>
      </c>
      <c r="G10" s="16"/>
      <c r="H10" s="17">
        <f t="shared" si="1"/>
        <v>2000</v>
      </c>
      <c r="I10" s="15"/>
      <c r="K10" s="21" t="s">
        <v>96</v>
      </c>
      <c r="L10" s="13">
        <v>5</v>
      </c>
      <c r="M10" s="14"/>
      <c r="N10" s="15">
        <f>'AUGUST 21'!R10:R39</f>
        <v>0</v>
      </c>
      <c r="O10" s="16">
        <v>3500</v>
      </c>
      <c r="P10" s="16">
        <f t="shared" si="2"/>
        <v>3500</v>
      </c>
      <c r="Q10" s="16">
        <f>3500</f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'AUGUST 21'!H11:H27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'AUGUST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'AUGUST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'AUGUST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>
        <f>'AUGUST 21'!H13:H29</f>
        <v>0</v>
      </c>
      <c r="E13" s="19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/>
      <c r="O13" s="16">
        <v>3500</v>
      </c>
      <c r="P13" s="16">
        <f>M13+N13+O13</f>
        <v>3500</v>
      </c>
      <c r="Q13" s="57">
        <v>3500</v>
      </c>
      <c r="R13" s="17">
        <f>P13-Q13</f>
        <v>0</v>
      </c>
      <c r="S13" s="56"/>
      <c r="T13" s="59"/>
    </row>
    <row r="14" spans="1:20" x14ac:dyDescent="0.25">
      <c r="A14" s="50" t="s">
        <v>46</v>
      </c>
      <c r="B14" s="13">
        <v>9</v>
      </c>
      <c r="C14" s="14"/>
      <c r="D14" s="15">
        <f>'AUGUST 21'!H14:H30</f>
        <v>1000</v>
      </c>
      <c r="E14" s="19">
        <v>2500</v>
      </c>
      <c r="F14" s="16">
        <f t="shared" si="0"/>
        <v>3500</v>
      </c>
      <c r="G14" s="16">
        <f>1000+2500</f>
        <v>3500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'AUGUST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20" x14ac:dyDescent="0.25">
      <c r="A15" s="22" t="s">
        <v>52</v>
      </c>
      <c r="B15" s="24">
        <v>10</v>
      </c>
      <c r="C15" s="14"/>
      <c r="D15" s="15">
        <f>'AUGUST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'AUGUST 21'!R15:R44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'AUGUST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'AUGUST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223</v>
      </c>
      <c r="B17" s="13">
        <v>12</v>
      </c>
      <c r="C17" s="14">
        <v>2000</v>
      </c>
      <c r="D17" s="15">
        <f>'AUGUST 21'!H17:H33</f>
        <v>0</v>
      </c>
      <c r="E17" s="19">
        <v>1000</v>
      </c>
      <c r="F17" s="16">
        <f t="shared" si="0"/>
        <v>3000</v>
      </c>
      <c r="G17" s="16">
        <v>3000</v>
      </c>
      <c r="H17" s="17">
        <f t="shared" si="1"/>
        <v>0</v>
      </c>
      <c r="I17" s="15"/>
      <c r="K17" s="23"/>
      <c r="L17" s="24">
        <v>12</v>
      </c>
      <c r="M17" s="14"/>
      <c r="N17" s="15">
        <f>'AUGUST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'AUGUST 21'!H18:H34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'AUGUST 21'!R18:R47</f>
        <v>0</v>
      </c>
      <c r="O18" s="16">
        <v>5000</v>
      </c>
      <c r="P18" s="16">
        <f t="shared" si="2"/>
        <v>5000</v>
      </c>
      <c r="Q18" s="16">
        <f>5000</f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>
        <v>2000</v>
      </c>
      <c r="D19" s="15">
        <f>'AUGUST 21'!H19:H35</f>
        <v>0</v>
      </c>
      <c r="E19" s="19">
        <v>1000</v>
      </c>
      <c r="F19" s="16">
        <f t="shared" si="0"/>
        <v>3000</v>
      </c>
      <c r="G19" s="16">
        <v>3000</v>
      </c>
      <c r="H19" s="17">
        <f t="shared" si="1"/>
        <v>0</v>
      </c>
      <c r="I19" s="15"/>
      <c r="K19" s="23" t="s">
        <v>226</v>
      </c>
      <c r="L19" s="24">
        <v>14</v>
      </c>
      <c r="M19" s="14"/>
      <c r="N19" s="15">
        <f>'AUGUST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'AUGUST 21'!H20:H36</f>
        <v>1500</v>
      </c>
      <c r="E20" s="19">
        <v>2000</v>
      </c>
      <c r="F20" s="16">
        <f t="shared" si="0"/>
        <v>3500</v>
      </c>
      <c r="G20" s="16"/>
      <c r="H20" s="17">
        <f>F20-G20</f>
        <v>3500</v>
      </c>
      <c r="I20" s="15"/>
      <c r="K20" s="23"/>
      <c r="L20" s="13">
        <v>15</v>
      </c>
      <c r="M20" s="14"/>
      <c r="N20" s="15">
        <f>'AUGUST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/>
      <c r="D21" s="15">
        <f>'AUGUST 21'!H21:H37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  <c r="K21" s="23"/>
      <c r="L21" s="24">
        <v>16</v>
      </c>
      <c r="M21" s="14"/>
      <c r="N21" s="15">
        <f>'AUGUST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'AUGUST 21'!H22:H38</f>
        <v>600</v>
      </c>
      <c r="E22" s="19">
        <v>3800</v>
      </c>
      <c r="F22" s="16">
        <f t="shared" si="0"/>
        <v>4400</v>
      </c>
      <c r="G22" s="16"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'AUGUST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 t="shared" ref="D23:I23" si="5">SUM(D6:D22)</f>
        <v>3100</v>
      </c>
      <c r="E23" s="29">
        <f t="shared" si="5"/>
        <v>34100</v>
      </c>
      <c r="F23" s="16">
        <f t="shared" si="5"/>
        <v>41200</v>
      </c>
      <c r="G23" s="16">
        <f t="shared" si="5"/>
        <v>33100</v>
      </c>
      <c r="H23" s="16">
        <f t="shared" si="5"/>
        <v>8100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'AUGUST 21'!R23:R52</f>
        <v>0</v>
      </c>
      <c r="O23" s="16">
        <v>3500</v>
      </c>
      <c r="P23" s="16">
        <f t="shared" si="4"/>
        <v>3500</v>
      </c>
      <c r="Q23" s="16">
        <v>3500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'AUGUST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4100</v>
      </c>
      <c r="K25" s="23" t="s">
        <v>45</v>
      </c>
      <c r="L25" s="24">
        <v>20</v>
      </c>
      <c r="M25" s="14"/>
      <c r="N25" s="15">
        <f>'AUGUST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'AUGUST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'AUGUST 21'!R27:R56</f>
        <v>0</v>
      </c>
      <c r="O27" s="16">
        <v>3500</v>
      </c>
      <c r="P27" s="16">
        <f t="shared" si="4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'AUGUST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40</v>
      </c>
      <c r="B29" s="40">
        <f>E23</f>
        <v>34100</v>
      </c>
      <c r="C29" s="28"/>
      <c r="D29" s="28"/>
      <c r="E29" s="28" t="s">
        <v>40</v>
      </c>
      <c r="F29" s="40">
        <f>G23</f>
        <v>33100</v>
      </c>
      <c r="G29" s="28"/>
      <c r="H29" s="28"/>
      <c r="I29" s="36"/>
      <c r="K29" s="18"/>
      <c r="L29" s="24">
        <v>24</v>
      </c>
      <c r="M29" s="14"/>
      <c r="N29" s="15">
        <f>'AUGUST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'AUGUST 21'!D41</f>
        <v>-2656</v>
      </c>
      <c r="C30" s="28"/>
      <c r="D30" s="28"/>
      <c r="E30" s="28" t="s">
        <v>18</v>
      </c>
      <c r="F30" s="40">
        <f>'AUGUST 21'!H41</f>
        <v>-5456</v>
      </c>
      <c r="G30" s="28"/>
      <c r="H30" s="28"/>
      <c r="I30" s="36"/>
      <c r="K30" s="18"/>
      <c r="L30" s="13">
        <v>25</v>
      </c>
      <c r="M30" s="14"/>
      <c r="N30" s="15">
        <f>'AUGUST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/>
      <c r="J31" s="51">
        <f>B29</f>
        <v>34100</v>
      </c>
      <c r="K31" s="22"/>
      <c r="L31" s="24">
        <v>26</v>
      </c>
      <c r="M31" s="14"/>
      <c r="N31" s="15">
        <f>'AUGUST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f>C17+C19</f>
        <v>4000</v>
      </c>
      <c r="C32" s="28"/>
      <c r="D32" s="28"/>
      <c r="E32" s="28"/>
      <c r="F32" s="40"/>
      <c r="G32" s="28"/>
      <c r="H32" s="28"/>
      <c r="I32" s="45"/>
      <c r="J32" s="51">
        <f>C33</f>
        <v>3410</v>
      </c>
      <c r="K32" s="12"/>
      <c r="L32" s="13">
        <v>27</v>
      </c>
      <c r="M32" s="14"/>
      <c r="N32" s="15">
        <f>'AUGUST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/>
      <c r="J33" s="51">
        <f>J31-J32</f>
        <v>30690</v>
      </c>
      <c r="K33" s="22"/>
      <c r="L33" s="24">
        <v>28</v>
      </c>
      <c r="M33" s="14"/>
      <c r="N33" s="15">
        <f>'AUGUST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J34">
        <v>3000</v>
      </c>
      <c r="K34" s="22" t="s">
        <v>45</v>
      </c>
      <c r="L34" s="13">
        <v>29</v>
      </c>
      <c r="M34" s="14"/>
      <c r="N34" s="15">
        <f>'AUGUST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J35" s="51">
        <f>J33-J34</f>
        <v>27690</v>
      </c>
      <c r="K35" s="22" t="s">
        <v>178</v>
      </c>
      <c r="L35" s="24">
        <v>30</v>
      </c>
      <c r="M35" s="14"/>
      <c r="N35" s="15">
        <f>'AUGUST 21'!R35:R64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"/>
      <c r="J36">
        <v>15000</v>
      </c>
      <c r="K36" s="27" t="s">
        <v>24</v>
      </c>
      <c r="L36" s="28"/>
      <c r="M36" s="14">
        <f t="shared" ref="M36:S36" si="6">SUM(M6:M35)</f>
        <v>0</v>
      </c>
      <c r="N36" s="15">
        <f>SUM(N6:N35)</f>
        <v>1000</v>
      </c>
      <c r="O36" s="29">
        <f t="shared" si="6"/>
        <v>70500</v>
      </c>
      <c r="P36" s="16">
        <f>SUM(P6:P35)</f>
        <v>71500</v>
      </c>
      <c r="Q36" s="16">
        <f t="shared" si="6"/>
        <v>70500</v>
      </c>
      <c r="R36" s="16">
        <f t="shared" si="6"/>
        <v>1000</v>
      </c>
      <c r="S36" s="15">
        <f t="shared" si="6"/>
        <v>0</v>
      </c>
    </row>
    <row r="37" spans="1:19" x14ac:dyDescent="0.25">
      <c r="A37" s="42" t="s">
        <v>213</v>
      </c>
      <c r="B37" s="41"/>
      <c r="C37" s="28">
        <v>15000</v>
      </c>
      <c r="D37" s="28"/>
      <c r="E37" s="42" t="s">
        <v>213</v>
      </c>
      <c r="F37" s="41"/>
      <c r="G37" s="28">
        <v>15000</v>
      </c>
      <c r="H37" s="28"/>
      <c r="I37" s="36"/>
      <c r="J37" s="51">
        <f>J35-J36</f>
        <v>12690</v>
      </c>
      <c r="N37" s="15">
        <f>'MAY21'!R37:R68</f>
        <v>0</v>
      </c>
      <c r="R37" s="30"/>
      <c r="S37" s="3"/>
    </row>
    <row r="38" spans="1:19" x14ac:dyDescent="0.25">
      <c r="A38" s="42" t="s">
        <v>215</v>
      </c>
      <c r="B38" s="28"/>
      <c r="C38" s="44">
        <v>2000</v>
      </c>
      <c r="D38" s="28"/>
      <c r="E38" s="42" t="s">
        <v>215</v>
      </c>
      <c r="F38" s="28"/>
      <c r="G38" s="44">
        <v>2000</v>
      </c>
      <c r="H38" s="28"/>
      <c r="I38" s="45"/>
      <c r="J38" s="30">
        <v>4050</v>
      </c>
    </row>
    <row r="39" spans="1:19" x14ac:dyDescent="0.25">
      <c r="A39" s="42" t="s">
        <v>217</v>
      </c>
      <c r="B39" s="28"/>
      <c r="C39" s="44">
        <v>7640</v>
      </c>
      <c r="D39" s="28"/>
      <c r="E39" s="42" t="s">
        <v>217</v>
      </c>
      <c r="F39" s="28"/>
      <c r="G39" s="44">
        <v>7640</v>
      </c>
      <c r="H39" s="28"/>
      <c r="I39" s="45"/>
      <c r="J39" s="30">
        <f>J37-J38</f>
        <v>8640</v>
      </c>
    </row>
    <row r="40" spans="1:19" x14ac:dyDescent="0.25">
      <c r="A40" s="42" t="s">
        <v>222</v>
      </c>
      <c r="B40" s="28"/>
      <c r="C40" s="44">
        <v>2400</v>
      </c>
      <c r="D40" s="28"/>
      <c r="E40" s="42" t="s">
        <v>222</v>
      </c>
      <c r="F40" s="28"/>
      <c r="G40" s="44">
        <v>2500</v>
      </c>
      <c r="H40" s="28"/>
      <c r="I40" s="45"/>
      <c r="J40" s="30"/>
    </row>
    <row r="41" spans="1:19" x14ac:dyDescent="0.25">
      <c r="A41" s="42"/>
      <c r="B41" s="28"/>
      <c r="C41" s="44"/>
      <c r="D41" s="28"/>
      <c r="E41" s="42"/>
      <c r="F41" s="28"/>
      <c r="G41" s="44"/>
      <c r="H41" s="28"/>
      <c r="I41" s="45"/>
      <c r="J41" s="30"/>
    </row>
    <row r="42" spans="1:19" x14ac:dyDescent="0.25">
      <c r="A42" s="42" t="s">
        <v>225</v>
      </c>
      <c r="B42" s="28"/>
      <c r="C42" s="44">
        <v>2000</v>
      </c>
      <c r="D42" s="28"/>
      <c r="E42" s="42"/>
      <c r="F42" s="28"/>
      <c r="G42" s="44"/>
      <c r="H42" s="28"/>
      <c r="I42" s="45"/>
      <c r="J42" s="30"/>
    </row>
    <row r="43" spans="1:19" x14ac:dyDescent="0.25">
      <c r="A43" s="42"/>
      <c r="B43" s="28"/>
      <c r="C43" s="44"/>
      <c r="D43" s="28"/>
      <c r="E43" s="42"/>
      <c r="F43" s="28"/>
      <c r="G43" s="44"/>
      <c r="H43" s="28"/>
      <c r="I43" s="36">
        <f>C42+C41+C40</f>
        <v>4400</v>
      </c>
      <c r="J43" s="30">
        <f>J37-J38</f>
        <v>8640</v>
      </c>
      <c r="K43" s="3" t="s">
        <v>11</v>
      </c>
      <c r="L43" s="31"/>
      <c r="M43" s="32"/>
      <c r="N43" s="33"/>
      <c r="O43" s="34"/>
      <c r="P43" s="35"/>
      <c r="Q43" s="34"/>
      <c r="R43" s="36">
        <f>R8+R13</f>
        <v>0</v>
      </c>
      <c r="S43" s="3"/>
    </row>
    <row r="44" spans="1:19" x14ac:dyDescent="0.25">
      <c r="A44" s="42"/>
      <c r="B44" s="28"/>
      <c r="C44" s="44"/>
      <c r="D44" s="28"/>
      <c r="E44" s="42"/>
      <c r="F44" s="28"/>
      <c r="G44" s="44"/>
      <c r="H44" s="28"/>
      <c r="I44" s="45"/>
      <c r="J44" s="51">
        <v>2000</v>
      </c>
      <c r="K44" s="37" t="s">
        <v>12</v>
      </c>
      <c r="L44" s="37"/>
      <c r="M44" s="37"/>
      <c r="N44" s="38"/>
      <c r="O44" s="37" t="s">
        <v>8</v>
      </c>
      <c r="P44" s="3"/>
      <c r="Q44" s="3"/>
      <c r="R44" s="3"/>
      <c r="S44" s="3"/>
    </row>
    <row r="45" spans="1:19" x14ac:dyDescent="0.25">
      <c r="A45" s="39" t="s">
        <v>24</v>
      </c>
      <c r="B45" s="46">
        <f>B32+B29+B30+B31-C33</f>
        <v>32034</v>
      </c>
      <c r="C45" s="46">
        <f>SUM(C35:C44)</f>
        <v>32040</v>
      </c>
      <c r="D45" s="46">
        <f>B45-C45</f>
        <v>-6</v>
      </c>
      <c r="E45" s="39" t="s">
        <v>24</v>
      </c>
      <c r="F45" s="46">
        <f>F29+F30+F32-G33</f>
        <v>24234</v>
      </c>
      <c r="G45" s="46">
        <f>SUM(G35:G44)</f>
        <v>30140</v>
      </c>
      <c r="H45" s="46">
        <f>F45-G45</f>
        <v>-5906</v>
      </c>
      <c r="I45" s="45"/>
      <c r="J45" s="30">
        <f>J43-J44</f>
        <v>6640</v>
      </c>
      <c r="K45" s="39" t="s">
        <v>13</v>
      </c>
      <c r="L45" s="39" t="s">
        <v>14</v>
      </c>
      <c r="M45" s="39" t="s">
        <v>15</v>
      </c>
      <c r="N45" s="39" t="s">
        <v>16</v>
      </c>
      <c r="O45" s="39" t="s">
        <v>13</v>
      </c>
      <c r="P45" s="39" t="s">
        <v>14</v>
      </c>
      <c r="Q45" s="39" t="s">
        <v>15</v>
      </c>
      <c r="R45" s="39" t="s">
        <v>16</v>
      </c>
      <c r="S45" s="3"/>
    </row>
    <row r="46" spans="1:19" x14ac:dyDescent="0.25">
      <c r="A46" s="47" t="s">
        <v>25</v>
      </c>
      <c r="B46" s="48"/>
      <c r="C46" s="48" t="s">
        <v>26</v>
      </c>
      <c r="D46" s="49"/>
      <c r="E46" s="47"/>
      <c r="F46" s="47" t="s">
        <v>27</v>
      </c>
      <c r="G46" s="3"/>
      <c r="H46" s="3"/>
      <c r="I46" s="3"/>
      <c r="K46" s="28" t="s">
        <v>40</v>
      </c>
      <c r="L46" s="40">
        <f>O36</f>
        <v>70500</v>
      </c>
      <c r="M46" s="28"/>
      <c r="N46" s="28"/>
      <c r="O46" s="28" t="s">
        <v>40</v>
      </c>
      <c r="P46" s="40">
        <f>Q36</f>
        <v>70500</v>
      </c>
      <c r="Q46" s="28"/>
      <c r="R46" s="28"/>
      <c r="S46" s="36"/>
    </row>
    <row r="47" spans="1:19" x14ac:dyDescent="0.25">
      <c r="A47" s="47" t="s">
        <v>28</v>
      </c>
      <c r="B47" s="48"/>
      <c r="C47" s="48" t="s">
        <v>29</v>
      </c>
      <c r="D47" s="49"/>
      <c r="E47" s="47"/>
      <c r="F47" s="47" t="s">
        <v>88</v>
      </c>
      <c r="G47" s="3"/>
      <c r="H47" s="3"/>
      <c r="I47" s="45"/>
      <c r="K47" s="28" t="s">
        <v>18</v>
      </c>
      <c r="L47" s="40">
        <f>'AUGUST 21'!N55</f>
        <v>-2750</v>
      </c>
      <c r="M47" s="28"/>
      <c r="N47" s="28"/>
      <c r="O47" s="28" t="s">
        <v>18</v>
      </c>
      <c r="P47" s="40">
        <f>'AUGUST 21'!R55</f>
        <v>-3750</v>
      </c>
      <c r="Q47" s="28"/>
      <c r="R47" s="28"/>
      <c r="S47" s="36"/>
    </row>
    <row r="48" spans="1:19" x14ac:dyDescent="0.25">
      <c r="K48" s="28" t="s">
        <v>211</v>
      </c>
      <c r="L48" s="40">
        <f>M36</f>
        <v>0</v>
      </c>
      <c r="M48" s="28"/>
      <c r="N48" s="28"/>
      <c r="O48" s="28"/>
      <c r="P48" s="40"/>
      <c r="Q48" s="28"/>
      <c r="R48" s="28"/>
      <c r="S48" s="36" t="s">
        <v>19</v>
      </c>
    </row>
    <row r="49" spans="9:22" x14ac:dyDescent="0.25">
      <c r="K49" s="28" t="s">
        <v>10</v>
      </c>
      <c r="L49" s="40"/>
      <c r="M49" s="28"/>
      <c r="N49" s="28"/>
      <c r="O49" s="28"/>
      <c r="P49" s="40"/>
      <c r="Q49" s="28"/>
      <c r="R49" s="28"/>
      <c r="S49" s="3"/>
      <c r="U49" s="51">
        <f>L46</f>
        <v>70500</v>
      </c>
    </row>
    <row r="50" spans="9:22" x14ac:dyDescent="0.25">
      <c r="K50" s="28" t="s">
        <v>20</v>
      </c>
      <c r="L50" s="41">
        <v>0.1</v>
      </c>
      <c r="M50" s="40">
        <f>L50*L46</f>
        <v>7050</v>
      </c>
      <c r="N50" s="28"/>
      <c r="O50" s="28" t="s">
        <v>20</v>
      </c>
      <c r="P50" s="41">
        <v>0.1</v>
      </c>
      <c r="Q50" s="40">
        <f>P50*L46</f>
        <v>7050</v>
      </c>
      <c r="R50" s="28"/>
      <c r="S50" s="3"/>
      <c r="T50" t="s">
        <v>20</v>
      </c>
      <c r="U50" s="51">
        <f>M50</f>
        <v>7050</v>
      </c>
    </row>
    <row r="51" spans="9:22" x14ac:dyDescent="0.25">
      <c r="K51" s="39" t="s">
        <v>21</v>
      </c>
      <c r="L51" s="28" t="s">
        <v>22</v>
      </c>
      <c r="M51" s="28"/>
      <c r="N51" s="28"/>
      <c r="O51" s="39" t="s">
        <v>21</v>
      </c>
      <c r="P51" s="42"/>
      <c r="Q51" s="28"/>
      <c r="R51" s="28"/>
      <c r="S51" s="36"/>
      <c r="U51" s="51">
        <f>U49-U50</f>
        <v>63450</v>
      </c>
      <c r="V51">
        <f>500+350</f>
        <v>850</v>
      </c>
    </row>
    <row r="52" spans="9:22" x14ac:dyDescent="0.25">
      <c r="K52" s="43" t="s">
        <v>23</v>
      </c>
      <c r="L52" s="41">
        <v>0.3</v>
      </c>
      <c r="M52" s="44">
        <f>L52*M8+(L52*M16)</f>
        <v>0</v>
      </c>
      <c r="N52" s="28"/>
      <c r="O52" s="43" t="s">
        <v>23</v>
      </c>
      <c r="P52" s="41">
        <v>0.3</v>
      </c>
      <c r="Q52" s="44">
        <f>M52</f>
        <v>0</v>
      </c>
      <c r="R52" s="28"/>
      <c r="S52" s="3"/>
      <c r="T52" s="51" t="s">
        <v>206</v>
      </c>
      <c r="U52">
        <f>3500+2500</f>
        <v>6000</v>
      </c>
      <c r="V52">
        <f>8500-V51</f>
        <v>7650</v>
      </c>
    </row>
    <row r="53" spans="9:22" x14ac:dyDescent="0.25">
      <c r="K53" s="42" t="s">
        <v>144</v>
      </c>
      <c r="L53" s="28"/>
      <c r="M53" s="44">
        <v>3500</v>
      </c>
      <c r="N53" s="28"/>
      <c r="O53" s="42" t="s">
        <v>144</v>
      </c>
      <c r="P53" s="28"/>
      <c r="Q53" s="44">
        <v>3500</v>
      </c>
      <c r="R53" s="28"/>
      <c r="S53" s="36"/>
      <c r="T53" s="30"/>
      <c r="U53" s="51">
        <f>U51-U52</f>
        <v>57450</v>
      </c>
      <c r="V53">
        <f>V52+3500</f>
        <v>11150</v>
      </c>
    </row>
    <row r="54" spans="9:22" x14ac:dyDescent="0.25">
      <c r="I54" s="51"/>
      <c r="K54" s="42" t="s">
        <v>165</v>
      </c>
      <c r="L54" s="28"/>
      <c r="M54" s="44">
        <v>2500</v>
      </c>
      <c r="N54" s="28"/>
      <c r="O54" s="42" t="s">
        <v>165</v>
      </c>
      <c r="P54" s="28"/>
      <c r="Q54" s="44">
        <v>2500</v>
      </c>
      <c r="R54" s="28"/>
      <c r="S54" s="45"/>
      <c r="T54" s="30" t="s">
        <v>8</v>
      </c>
      <c r="U54" s="30">
        <v>20000</v>
      </c>
    </row>
    <row r="55" spans="9:22" x14ac:dyDescent="0.25">
      <c r="K55" s="42" t="s">
        <v>214</v>
      </c>
      <c r="L55" s="28"/>
      <c r="M55" s="44">
        <v>20000</v>
      </c>
      <c r="N55" s="28"/>
      <c r="O55" s="42" t="s">
        <v>214</v>
      </c>
      <c r="P55" s="28"/>
      <c r="Q55" s="44">
        <v>20000</v>
      </c>
      <c r="R55" s="28"/>
      <c r="S55" s="3"/>
      <c r="U55" s="30">
        <f>U53-U54</f>
        <v>37450</v>
      </c>
    </row>
    <row r="56" spans="9:22" x14ac:dyDescent="0.25">
      <c r="K56" s="42" t="s">
        <v>218</v>
      </c>
      <c r="L56" s="28"/>
      <c r="M56" s="44">
        <v>34700</v>
      </c>
      <c r="N56" s="28"/>
      <c r="O56" s="42" t="s">
        <v>218</v>
      </c>
      <c r="P56" s="28"/>
      <c r="Q56" s="44">
        <v>34700</v>
      </c>
      <c r="R56" s="28"/>
      <c r="S56" s="3"/>
      <c r="T56" t="s">
        <v>205</v>
      </c>
      <c r="U56">
        <v>2750</v>
      </c>
    </row>
    <row r="57" spans="9:22" x14ac:dyDescent="0.25">
      <c r="K57" s="42"/>
      <c r="L57" s="28"/>
      <c r="M57" s="44"/>
      <c r="N57" s="28"/>
      <c r="O57" s="42"/>
      <c r="P57" s="28"/>
      <c r="Q57" s="44"/>
      <c r="R57" s="28"/>
      <c r="S57" s="3"/>
      <c r="U57" s="30">
        <f>U55-U56</f>
        <v>34700</v>
      </c>
    </row>
    <row r="58" spans="9:22" x14ac:dyDescent="0.25">
      <c r="K58" s="42"/>
      <c r="L58" s="28"/>
      <c r="M58" s="44"/>
      <c r="N58" s="28"/>
      <c r="O58" s="42"/>
      <c r="P58" s="28"/>
      <c r="Q58" s="44"/>
      <c r="R58" s="28"/>
      <c r="S58" s="3"/>
      <c r="T58" t="s">
        <v>4</v>
      </c>
      <c r="V58" s="30">
        <f>U59</f>
        <v>0</v>
      </c>
    </row>
    <row r="59" spans="9:22" x14ac:dyDescent="0.25">
      <c r="K59" s="39" t="s">
        <v>24</v>
      </c>
      <c r="L59" s="46">
        <f>L49+L46+L47+L48-M50</f>
        <v>60700</v>
      </c>
      <c r="M59" s="46">
        <f>SUM(M52:M58)</f>
        <v>60700</v>
      </c>
      <c r="N59" s="46">
        <f>L59-M59</f>
        <v>0</v>
      </c>
      <c r="O59" s="39" t="s">
        <v>24</v>
      </c>
      <c r="P59" s="46">
        <f>P46+P47+P49-Q50</f>
        <v>59700</v>
      </c>
      <c r="Q59" s="46">
        <f>SUM(Q52:Q58)</f>
        <v>60700</v>
      </c>
      <c r="R59" s="46">
        <f>P59-Q59</f>
        <v>-1000</v>
      </c>
      <c r="S59" s="45"/>
      <c r="U59" s="30"/>
      <c r="V59">
        <v>2</v>
      </c>
    </row>
    <row r="60" spans="9:22" x14ac:dyDescent="0.25">
      <c r="K60" s="47" t="s">
        <v>25</v>
      </c>
      <c r="L60" s="48"/>
      <c r="M60" s="48" t="s">
        <v>26</v>
      </c>
      <c r="N60" s="49"/>
      <c r="O60" s="47"/>
      <c r="P60" s="47" t="s">
        <v>27</v>
      </c>
      <c r="Q60" s="3"/>
      <c r="R60" s="3"/>
      <c r="S60" s="3"/>
    </row>
    <row r="62" spans="9:22" x14ac:dyDescent="0.25">
      <c r="T62">
        <f>5500/2</f>
        <v>2750</v>
      </c>
    </row>
    <row r="63" spans="9:22" x14ac:dyDescent="0.25">
      <c r="O63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6"/>
  <sheetViews>
    <sheetView topLeftCell="B28" workbookViewId="0">
      <selection activeCell="A40" sqref="A40:C40"/>
    </sheetView>
  </sheetViews>
  <sheetFormatPr defaultRowHeight="15" x14ac:dyDescent="0.25"/>
  <cols>
    <col min="1" max="1" width="22.140625" customWidth="1"/>
    <col min="11" max="11" width="20.1406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219</v>
      </c>
      <c r="C4" s="1"/>
      <c r="E4" s="1"/>
      <c r="F4" s="6"/>
      <c r="G4" s="7"/>
      <c r="H4" s="3"/>
      <c r="I4" s="3"/>
      <c r="K4" s="5"/>
      <c r="L4" s="1" t="s">
        <v>220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'SEPTEMBER 21'!H6:H23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'SEPTEMBER 21'!R6:R36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'SEPTEMBER 21'!H7:H24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'SEPTEMBER 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'SEPTEMBER 21'!H8:H25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'SEPTEMBER 21'!R8:R38</f>
        <v>0</v>
      </c>
      <c r="O8" s="16">
        <v>8000</v>
      </c>
      <c r="P8" s="16">
        <f t="shared" si="2"/>
        <v>8000</v>
      </c>
      <c r="Q8" s="16"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'SEPTEMBER 21'!H9:H26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'SEPTEMBER 21'!R9:R43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/>
      <c r="B10" s="13">
        <v>5</v>
      </c>
      <c r="C10" s="14"/>
      <c r="D10" s="15"/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'SEPTEMBER 21'!R10:R44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'SEPTEMBER 21'!H11:H28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'SEPTEMBER 21'!R11:R45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'SEPTEMBER 21'!H12:H29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'SEPTEMBER 21'!R12:R46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'SEPTEMBER 21'!H13:H30</f>
        <v>0</v>
      </c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>
        <f>'SEPTEMBER 21'!R13:R47</f>
        <v>0</v>
      </c>
      <c r="O13" s="16">
        <v>3500</v>
      </c>
      <c r="P13" s="16">
        <f>M13+N13+O13</f>
        <v>3500</v>
      </c>
      <c r="Q13" s="57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'SEPTEMBER 21'!H14:H31</f>
        <v>0</v>
      </c>
      <c r="E14" s="19">
        <v>2500</v>
      </c>
      <c r="F14" s="16">
        <f t="shared" si="0"/>
        <v>2500</v>
      </c>
      <c r="G14" s="16">
        <v>2500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'SEPTEMBER 21'!R14:R48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'SEPTEMBER 21'!H15:H32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'SEPTEMBER 21'!R15:R49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'SEPTEMBER 21'!H16:H33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'SEPTEMBER 21'!R16:R50</f>
        <v>0</v>
      </c>
      <c r="O16" s="16">
        <v>3500</v>
      </c>
      <c r="P16" s="16">
        <f t="shared" si="2"/>
        <v>3500</v>
      </c>
      <c r="Q16" s="16">
        <v>2000</v>
      </c>
      <c r="R16" s="17">
        <f t="shared" si="3"/>
        <v>1500</v>
      </c>
      <c r="S16" s="15"/>
    </row>
    <row r="17" spans="1:19" x14ac:dyDescent="0.25">
      <c r="A17" s="52" t="s">
        <v>223</v>
      </c>
      <c r="B17" s="13">
        <v>12</v>
      </c>
      <c r="C17" s="14"/>
      <c r="D17" s="15">
        <f>'SEPTEMBER 21'!H17:H34</f>
        <v>0</v>
      </c>
      <c r="E17" s="19">
        <v>2000</v>
      </c>
      <c r="F17" s="16">
        <f t="shared" si="0"/>
        <v>2000</v>
      </c>
      <c r="G17" s="16"/>
      <c r="H17" s="17">
        <f t="shared" si="1"/>
        <v>2000</v>
      </c>
      <c r="I17" s="15"/>
      <c r="K17" s="23"/>
      <c r="L17" s="24">
        <v>12</v>
      </c>
      <c r="M17" s="14"/>
      <c r="N17" s="15">
        <f>'SEPTEMBER 21'!R17:R51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'SEPTEMBER 21'!H18:H35</f>
        <v>2000</v>
      </c>
      <c r="E18" s="19">
        <v>2000</v>
      </c>
      <c r="F18" s="16">
        <f t="shared" si="0"/>
        <v>4000</v>
      </c>
      <c r="G18" s="16"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'SEPTEMBER 21'!R18:R52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'SEPTEMBER 21'!H19:H36</f>
        <v>0</v>
      </c>
      <c r="E19" s="19">
        <v>2000</v>
      </c>
      <c r="F19" s="16">
        <f t="shared" si="0"/>
        <v>2000</v>
      </c>
      <c r="G19" s="16">
        <v>1000</v>
      </c>
      <c r="H19" s="17">
        <f t="shared" si="1"/>
        <v>1000</v>
      </c>
      <c r="I19" s="15"/>
      <c r="K19" s="23" t="s">
        <v>226</v>
      </c>
      <c r="L19" s="24">
        <v>14</v>
      </c>
      <c r="M19" s="14">
        <v>500</v>
      </c>
      <c r="N19" s="15">
        <f>'SEPTEMBER 21'!R19:R53</f>
        <v>0</v>
      </c>
      <c r="O19" s="16">
        <f>3500+3500</f>
        <v>7000</v>
      </c>
      <c r="P19" s="16">
        <f t="shared" si="2"/>
        <v>7500</v>
      </c>
      <c r="Q19" s="16">
        <v>7000</v>
      </c>
      <c r="R19" s="17">
        <f t="shared" si="3"/>
        <v>500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'SEPTEMBER 21'!H20:H37</f>
        <v>3500</v>
      </c>
      <c r="E20" s="19">
        <v>2000</v>
      </c>
      <c r="F20" s="16">
        <f t="shared" si="0"/>
        <v>5500</v>
      </c>
      <c r="G20" s="16">
        <f>1000</f>
        <v>1000</v>
      </c>
      <c r="H20" s="17">
        <f>F20-G20</f>
        <v>4500</v>
      </c>
      <c r="I20" s="15"/>
      <c r="K20" s="23"/>
      <c r="L20" s="13">
        <v>15</v>
      </c>
      <c r="M20" s="14"/>
      <c r="N20" s="15">
        <f>'SEPTEMBER 21'!R20:R54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237</v>
      </c>
      <c r="B21" s="25">
        <v>16</v>
      </c>
      <c r="C21" s="14">
        <v>2000</v>
      </c>
      <c r="D21" s="15">
        <f>'SEPTEMBER 21'!H21:H38</f>
        <v>0</v>
      </c>
      <c r="E21" s="19">
        <v>2000</v>
      </c>
      <c r="F21" s="16">
        <f t="shared" si="0"/>
        <v>4000</v>
      </c>
      <c r="G21" s="16">
        <v>4000</v>
      </c>
      <c r="H21" s="17">
        <f>F21-G21</f>
        <v>0</v>
      </c>
      <c r="I21" s="15"/>
      <c r="K21" s="23"/>
      <c r="L21" s="24">
        <v>16</v>
      </c>
      <c r="M21" s="14"/>
      <c r="N21" s="15">
        <f>'SEPTEMBER 21'!R21:R55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'SEPTEMBER 21'!H22:H39</f>
        <v>600</v>
      </c>
      <c r="E22" s="19">
        <v>3800</v>
      </c>
      <c r="F22" s="16">
        <f t="shared" si="0"/>
        <v>4400</v>
      </c>
      <c r="G22" s="16">
        <f>3800</f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'SEPTEMBER 21'!R22:R56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>'SEPTEMBER 21'!H23:H40</f>
        <v>8100</v>
      </c>
      <c r="E23" s="29">
        <f>SUM(E6:E22)</f>
        <v>34100</v>
      </c>
      <c r="F23" s="16">
        <f>SUM(F6:F22)</f>
        <v>42200</v>
      </c>
      <c r="G23" s="16">
        <f>SUM(G6:G22)</f>
        <v>34100</v>
      </c>
      <c r="H23" s="16">
        <f>SUM(H6:H22)</f>
        <v>8100</v>
      </c>
      <c r="I23" s="15">
        <f>SUM(I6:I22)</f>
        <v>0</v>
      </c>
      <c r="K23" s="23" t="s">
        <v>184</v>
      </c>
      <c r="L23" s="24">
        <v>18</v>
      </c>
      <c r="M23" s="14"/>
      <c r="N23" s="15">
        <f>'SEPTEMBER 21'!R23:R57</f>
        <v>0</v>
      </c>
      <c r="O23" s="16">
        <v>3500</v>
      </c>
      <c r="P23" s="16">
        <f t="shared" si="4"/>
        <v>3500</v>
      </c>
      <c r="Q23" s="16"/>
      <c r="R23" s="17">
        <f t="shared" si="3"/>
        <v>3500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'SEPTEMBER 21'!R24:R58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5100</v>
      </c>
      <c r="K25" s="23" t="s">
        <v>45</v>
      </c>
      <c r="L25" s="24">
        <v>20</v>
      </c>
      <c r="M25" s="14"/>
      <c r="N25" s="15">
        <f>'SEPTEMBER 21'!R25:R59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'SEPTEMBER 21'!R26:R60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'SEPTEMBER 21'!R27:R61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'SEPTEMBER 21'!R28:R62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58</v>
      </c>
      <c r="B29" s="40">
        <f>E23</f>
        <v>34100</v>
      </c>
      <c r="C29" s="28"/>
      <c r="D29" s="28"/>
      <c r="E29" s="28" t="s">
        <v>58</v>
      </c>
      <c r="F29" s="40">
        <f>G23</f>
        <v>34100</v>
      </c>
      <c r="G29" s="28"/>
      <c r="H29" s="28"/>
      <c r="I29" s="36"/>
      <c r="K29" s="18"/>
      <c r="L29" s="24">
        <v>24</v>
      </c>
      <c r="M29" s="14"/>
      <c r="N29" s="15">
        <f>'SEPTEMBER 21'!R29:R63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'SEPTEMBER 21'!D45</f>
        <v>-6</v>
      </c>
      <c r="C30" s="28"/>
      <c r="D30" s="28"/>
      <c r="E30" s="28" t="s">
        <v>18</v>
      </c>
      <c r="F30" s="40">
        <f>'SEPTEMBER 21'!H45</f>
        <v>-5906</v>
      </c>
      <c r="G30" s="28"/>
      <c r="H30" s="28"/>
      <c r="I30" s="36">
        <f>B29+B32</f>
        <v>36100</v>
      </c>
      <c r="K30" s="18"/>
      <c r="L30" s="13">
        <v>25</v>
      </c>
      <c r="M30" s="14"/>
      <c r="N30" s="15">
        <f>'SEPTEMBER 21'!R30:R64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3410</v>
      </c>
      <c r="J31" s="51"/>
      <c r="K31" s="22"/>
      <c r="L31" s="24">
        <v>26</v>
      </c>
      <c r="M31" s="14"/>
      <c r="N31" s="15">
        <f>'SEPTEMBER 21'!R31:R65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v>2000</v>
      </c>
      <c r="C32" s="28"/>
      <c r="D32" s="28"/>
      <c r="E32" s="28"/>
      <c r="F32" s="40"/>
      <c r="G32" s="28"/>
      <c r="H32" s="28"/>
      <c r="I32" s="45">
        <f>I30-I31</f>
        <v>32690</v>
      </c>
      <c r="J32" s="51"/>
      <c r="K32" s="12"/>
      <c r="L32" s="13">
        <v>27</v>
      </c>
      <c r="M32" s="14"/>
      <c r="N32" s="15">
        <f>'SEPTEMBER 21'!R32:R66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>
        <f>C36</f>
        <v>3000</v>
      </c>
      <c r="J33" s="51"/>
      <c r="K33" s="22"/>
      <c r="L33" s="24">
        <v>28</v>
      </c>
      <c r="M33" s="14"/>
      <c r="N33" s="15">
        <f>'SEPTEMBER 21'!R33:R67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29690</v>
      </c>
      <c r="K34" s="22" t="s">
        <v>45</v>
      </c>
      <c r="L34" s="13">
        <v>29</v>
      </c>
      <c r="M34" s="14"/>
      <c r="N34" s="15">
        <f>'SEPTEMBER 21'!R34:R68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15000</v>
      </c>
      <c r="J35" s="51"/>
      <c r="K35" s="22" t="s">
        <v>178</v>
      </c>
      <c r="L35" s="24">
        <v>30</v>
      </c>
      <c r="M35" s="14"/>
      <c r="N35" s="15">
        <f>'SEPTEMBER 21'!R35:R69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6">
        <f>I34-I35</f>
        <v>14690</v>
      </c>
      <c r="K36" s="27" t="s">
        <v>24</v>
      </c>
      <c r="L36" s="28"/>
      <c r="M36" s="14">
        <f t="shared" ref="M36:S36" si="5">SUM(M6:M35)</f>
        <v>500</v>
      </c>
      <c r="N36" s="15">
        <f>'SEPTEMBER 21'!R36:R70</f>
        <v>1000</v>
      </c>
      <c r="O36" s="29">
        <f t="shared" si="5"/>
        <v>77500</v>
      </c>
      <c r="P36" s="16">
        <f>SUM(P6:P35)</f>
        <v>79000</v>
      </c>
      <c r="Q36" s="16">
        <f t="shared" si="5"/>
        <v>72500</v>
      </c>
      <c r="R36" s="16">
        <f t="shared" si="5"/>
        <v>6500</v>
      </c>
      <c r="S36" s="15">
        <f t="shared" si="5"/>
        <v>0</v>
      </c>
    </row>
    <row r="37" spans="1:19" x14ac:dyDescent="0.25">
      <c r="A37" s="42" t="s">
        <v>228</v>
      </c>
      <c r="B37" s="28"/>
      <c r="C37" s="44">
        <v>2000</v>
      </c>
      <c r="D37" s="28"/>
      <c r="E37" s="42" t="s">
        <v>215</v>
      </c>
      <c r="F37" s="28"/>
      <c r="G37" s="44">
        <v>2000</v>
      </c>
      <c r="H37" s="28"/>
      <c r="I37" s="36">
        <v>2000</v>
      </c>
      <c r="J37" s="51"/>
      <c r="N37" s="15">
        <f>'SEPTEMBER 21'!R37:R71</f>
        <v>0</v>
      </c>
      <c r="R37" s="30"/>
      <c r="S37" s="3"/>
    </row>
    <row r="38" spans="1:19" x14ac:dyDescent="0.25">
      <c r="A38" s="42" t="s">
        <v>229</v>
      </c>
      <c r="B38" s="28"/>
      <c r="C38" s="44">
        <v>15000</v>
      </c>
      <c r="D38" s="28"/>
      <c r="E38" s="42" t="s">
        <v>229</v>
      </c>
      <c r="F38" s="28"/>
      <c r="G38" s="44">
        <v>15000</v>
      </c>
      <c r="H38" s="28"/>
      <c r="I38" s="45">
        <f>I36-I37</f>
        <v>12690</v>
      </c>
      <c r="J38" s="30"/>
    </row>
    <row r="39" spans="1:19" x14ac:dyDescent="0.25">
      <c r="A39" s="42" t="s">
        <v>231</v>
      </c>
      <c r="B39" s="28"/>
      <c r="C39" s="44">
        <v>12690</v>
      </c>
      <c r="D39" s="28"/>
      <c r="E39" s="42" t="s">
        <v>231</v>
      </c>
      <c r="F39" s="28"/>
      <c r="G39" s="44">
        <v>12690</v>
      </c>
      <c r="H39" s="28"/>
      <c r="I39" s="3"/>
      <c r="J39" s="30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30"/>
      <c r="K40" s="3"/>
      <c r="L40" s="31"/>
      <c r="M40" s="32"/>
      <c r="N40" s="33"/>
      <c r="O40" s="34"/>
      <c r="P40" s="35"/>
      <c r="Q40" s="34"/>
      <c r="R40" s="36"/>
      <c r="S40" s="3"/>
    </row>
    <row r="41" spans="1:19" x14ac:dyDescent="0.25">
      <c r="A41" s="42"/>
      <c r="B41" s="28"/>
      <c r="C41" s="44"/>
      <c r="D41" s="28"/>
      <c r="E41" s="42"/>
      <c r="F41" s="28"/>
      <c r="G41" s="44"/>
      <c r="H41" s="28"/>
      <c r="I41" s="45"/>
      <c r="J41" s="51"/>
      <c r="K41" s="37" t="s">
        <v>12</v>
      </c>
      <c r="L41" s="37"/>
      <c r="M41" s="37"/>
      <c r="N41" s="38"/>
      <c r="O41" s="37" t="s">
        <v>8</v>
      </c>
      <c r="P41" s="3"/>
      <c r="Q41" s="3"/>
      <c r="R41" s="3"/>
      <c r="S41" s="3"/>
    </row>
    <row r="42" spans="1:19" x14ac:dyDescent="0.25">
      <c r="A42" s="39" t="s">
        <v>24</v>
      </c>
      <c r="B42" s="46">
        <f>B32+B29+B30+B31-C33</f>
        <v>32684</v>
      </c>
      <c r="C42" s="46">
        <f>SUM(C35:C41)</f>
        <v>32690</v>
      </c>
      <c r="D42" s="46">
        <f>B42-C42</f>
        <v>-6</v>
      </c>
      <c r="E42" s="39" t="s">
        <v>24</v>
      </c>
      <c r="F42" s="46">
        <f>F29+F30+F32-G33</f>
        <v>24784</v>
      </c>
      <c r="G42" s="46">
        <f>SUM(G35:G41)</f>
        <v>32690</v>
      </c>
      <c r="H42" s="46">
        <f>F42-G42</f>
        <v>-7906</v>
      </c>
      <c r="I42" s="45"/>
      <c r="J42" s="30"/>
      <c r="K42" s="39" t="s">
        <v>13</v>
      </c>
      <c r="L42" s="39" t="s">
        <v>14</v>
      </c>
      <c r="M42" s="39" t="s">
        <v>15</v>
      </c>
      <c r="N42" s="39" t="s">
        <v>16</v>
      </c>
      <c r="O42" s="39" t="s">
        <v>13</v>
      </c>
      <c r="P42" s="39" t="s">
        <v>14</v>
      </c>
      <c r="Q42" s="39" t="s">
        <v>15</v>
      </c>
      <c r="R42" s="39" t="s">
        <v>16</v>
      </c>
      <c r="S42" s="3"/>
    </row>
    <row r="43" spans="1:19" x14ac:dyDescent="0.25">
      <c r="A43" s="47" t="s">
        <v>25</v>
      </c>
      <c r="B43" s="48"/>
      <c r="C43" s="48" t="s">
        <v>26</v>
      </c>
      <c r="D43" s="49"/>
      <c r="E43" s="47"/>
      <c r="F43" s="47" t="s">
        <v>27</v>
      </c>
      <c r="G43" s="3"/>
      <c r="H43" s="3"/>
      <c r="I43" s="3"/>
      <c r="K43" s="28" t="s">
        <v>58</v>
      </c>
      <c r="L43" s="40">
        <f>O36</f>
        <v>77500</v>
      </c>
      <c r="M43" s="28"/>
      <c r="N43" s="28"/>
      <c r="O43" s="28" t="s">
        <v>58</v>
      </c>
      <c r="P43" s="40">
        <f>Q36</f>
        <v>72500</v>
      </c>
      <c r="Q43" s="28"/>
      <c r="R43" s="28"/>
      <c r="S43" s="36"/>
    </row>
    <row r="44" spans="1:19" x14ac:dyDescent="0.25">
      <c r="A44" s="47" t="s">
        <v>221</v>
      </c>
      <c r="B44" s="48"/>
      <c r="C44" s="48" t="s">
        <v>29</v>
      </c>
      <c r="D44" s="49"/>
      <c r="E44" s="47"/>
      <c r="F44" s="47" t="s">
        <v>88</v>
      </c>
      <c r="G44" s="3"/>
      <c r="H44" s="3"/>
      <c r="I44" s="45"/>
      <c r="K44" s="28" t="s">
        <v>18</v>
      </c>
      <c r="L44" s="40">
        <f>'SEPTEMBER 21'!N59</f>
        <v>0</v>
      </c>
      <c r="M44" s="28"/>
      <c r="N44" s="28"/>
      <c r="O44" s="28" t="s">
        <v>18</v>
      </c>
      <c r="P44" s="40">
        <f>'SEPTEMBER 21'!R59</f>
        <v>-1000</v>
      </c>
      <c r="Q44" s="28"/>
      <c r="R44" s="28"/>
      <c r="S44" s="36"/>
    </row>
    <row r="45" spans="1:19" x14ac:dyDescent="0.25">
      <c r="K45" s="28" t="s">
        <v>211</v>
      </c>
      <c r="L45" s="40">
        <f>M36</f>
        <v>500</v>
      </c>
      <c r="M45" s="28"/>
      <c r="N45" s="28"/>
      <c r="O45" s="28"/>
      <c r="P45" s="40"/>
      <c r="Q45" s="28"/>
      <c r="R45" s="28"/>
      <c r="S45" s="36" t="s">
        <v>19</v>
      </c>
    </row>
    <row r="46" spans="1:19" x14ac:dyDescent="0.25">
      <c r="K46" s="28" t="s">
        <v>10</v>
      </c>
      <c r="L46" s="40"/>
      <c r="M46" s="28"/>
      <c r="N46" s="28"/>
      <c r="O46" s="28"/>
      <c r="P46" s="40"/>
      <c r="Q46" s="28"/>
      <c r="R46" s="28"/>
      <c r="S46" s="45">
        <f>L43</f>
        <v>77500</v>
      </c>
    </row>
    <row r="47" spans="1:19" x14ac:dyDescent="0.25">
      <c r="K47" s="28" t="s">
        <v>20</v>
      </c>
      <c r="L47" s="41">
        <v>0.1</v>
      </c>
      <c r="M47" s="40">
        <f>L47*L43</f>
        <v>7750</v>
      </c>
      <c r="N47" s="28"/>
      <c r="O47" s="28" t="s">
        <v>20</v>
      </c>
      <c r="P47" s="41">
        <v>0.1</v>
      </c>
      <c r="Q47" s="40">
        <f>P47*L43</f>
        <v>7750</v>
      </c>
      <c r="R47" s="28"/>
      <c r="S47" s="45">
        <f>M47</f>
        <v>7750</v>
      </c>
    </row>
    <row r="48" spans="1:19" x14ac:dyDescent="0.25">
      <c r="K48" s="39" t="s">
        <v>21</v>
      </c>
      <c r="L48" s="28" t="s">
        <v>22</v>
      </c>
      <c r="M48" s="28"/>
      <c r="N48" s="28"/>
      <c r="O48" s="39" t="s">
        <v>21</v>
      </c>
      <c r="P48" s="42"/>
      <c r="Q48" s="28"/>
      <c r="R48" s="28"/>
      <c r="S48" s="36">
        <f>S46-S47</f>
        <v>69750</v>
      </c>
    </row>
    <row r="49" spans="9:19" x14ac:dyDescent="0.25">
      <c r="K49" s="43" t="s">
        <v>23</v>
      </c>
      <c r="L49" s="41">
        <v>0.3</v>
      </c>
      <c r="M49" s="44">
        <f>L49*M8+(L49*M16)</f>
        <v>0</v>
      </c>
      <c r="N49" s="28"/>
      <c r="O49" s="43" t="s">
        <v>23</v>
      </c>
      <c r="P49" s="41">
        <v>0.3</v>
      </c>
      <c r="Q49" s="44">
        <f>M49</f>
        <v>0</v>
      </c>
      <c r="R49" s="28"/>
      <c r="S49" s="36">
        <f>M50+M51</f>
        <v>6000</v>
      </c>
    </row>
    <row r="50" spans="9:19" x14ac:dyDescent="0.25">
      <c r="K50" s="42" t="s">
        <v>144</v>
      </c>
      <c r="L50" s="28"/>
      <c r="M50" s="44">
        <v>3500</v>
      </c>
      <c r="N50" s="28"/>
      <c r="O50" s="42" t="s">
        <v>144</v>
      </c>
      <c r="P50" s="28"/>
      <c r="Q50" s="44">
        <v>3500</v>
      </c>
      <c r="R50" s="28"/>
      <c r="S50" s="36">
        <f>S48-S49</f>
        <v>63750</v>
      </c>
    </row>
    <row r="51" spans="9:19" x14ac:dyDescent="0.25">
      <c r="I51" s="51"/>
      <c r="K51" s="42" t="s">
        <v>165</v>
      </c>
      <c r="L51" s="28"/>
      <c r="M51" s="44">
        <v>2500</v>
      </c>
      <c r="N51" s="28"/>
      <c r="O51" s="42" t="s">
        <v>165</v>
      </c>
      <c r="P51" s="28"/>
      <c r="Q51" s="44">
        <v>2500</v>
      </c>
      <c r="R51" s="28"/>
      <c r="S51" s="45">
        <f>M52</f>
        <v>20000</v>
      </c>
    </row>
    <row r="52" spans="9:19" x14ac:dyDescent="0.25">
      <c r="K52" s="42" t="s">
        <v>227</v>
      </c>
      <c r="L52" s="28"/>
      <c r="M52" s="44">
        <v>20000</v>
      </c>
      <c r="N52" s="28"/>
      <c r="O52" s="42" t="s">
        <v>227</v>
      </c>
      <c r="P52" s="28"/>
      <c r="Q52" s="44">
        <v>20000</v>
      </c>
      <c r="R52" s="28"/>
      <c r="S52" s="45">
        <f>S50-S51</f>
        <v>43750</v>
      </c>
    </row>
    <row r="53" spans="9:19" x14ac:dyDescent="0.25">
      <c r="K53" s="42" t="s">
        <v>230</v>
      </c>
      <c r="L53" s="28"/>
      <c r="M53" s="44">
        <v>43750</v>
      </c>
      <c r="N53" s="28"/>
      <c r="O53" s="42" t="s">
        <v>230</v>
      </c>
      <c r="P53" s="28"/>
      <c r="Q53" s="44">
        <v>43750</v>
      </c>
      <c r="R53" s="28"/>
      <c r="S53" s="3">
        <f>500+3000</f>
        <v>3500</v>
      </c>
    </row>
    <row r="54" spans="9:19" x14ac:dyDescent="0.25">
      <c r="K54" s="42" t="s">
        <v>235</v>
      </c>
      <c r="L54" s="28"/>
      <c r="M54" s="44">
        <v>10087</v>
      </c>
      <c r="N54" s="28"/>
      <c r="O54" s="42" t="s">
        <v>235</v>
      </c>
      <c r="P54" s="28"/>
      <c r="Q54" s="44">
        <v>10087</v>
      </c>
      <c r="R54" s="28"/>
      <c r="S54" s="45">
        <f>S52+S53</f>
        <v>47250</v>
      </c>
    </row>
    <row r="55" spans="9:19" x14ac:dyDescent="0.25">
      <c r="K55" s="42"/>
      <c r="L55" s="28"/>
      <c r="M55" s="44"/>
      <c r="N55" s="28"/>
      <c r="O55" s="42"/>
      <c r="P55" s="28"/>
      <c r="Q55" s="44"/>
      <c r="R55" s="28"/>
      <c r="S55" s="3"/>
    </row>
    <row r="56" spans="9:19" x14ac:dyDescent="0.25">
      <c r="K56" s="39" t="s">
        <v>24</v>
      </c>
      <c r="L56" s="46">
        <f>L46+L43+L44+L45-M47</f>
        <v>70250</v>
      </c>
      <c r="M56" s="46">
        <f>SUM(M49:M55)</f>
        <v>79837</v>
      </c>
      <c r="N56" s="46">
        <f>L56-M56</f>
        <v>-9587</v>
      </c>
      <c r="O56" s="39" t="s">
        <v>24</v>
      </c>
      <c r="P56" s="46">
        <f>P43+P44+P46-Q47</f>
        <v>63750</v>
      </c>
      <c r="Q56" s="46">
        <f>SUM(Q49:Q55)</f>
        <v>79837</v>
      </c>
      <c r="R56" s="46">
        <f>P56-Q56</f>
        <v>-16087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0" spans="9:19" x14ac:dyDescent="0.25">
      <c r="N60" t="s">
        <v>22</v>
      </c>
    </row>
    <row r="66" spans="12:12" x14ac:dyDescent="0.25">
      <c r="L66">
        <f>1500+4500+200+350</f>
        <v>6550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0" workbookViewId="0">
      <selection activeCell="G17" sqref="G17"/>
    </sheetView>
  </sheetViews>
  <sheetFormatPr defaultRowHeight="15" x14ac:dyDescent="0.25"/>
  <cols>
    <col min="1" max="1" width="24.5703125" customWidth="1"/>
    <col min="11" max="11" width="19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242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232</v>
      </c>
      <c r="C4" s="1"/>
      <c r="E4" s="1"/>
      <c r="F4" s="6"/>
      <c r="G4" s="7"/>
      <c r="H4" s="3"/>
      <c r="I4" s="3"/>
      <c r="K4" s="5"/>
      <c r="L4" s="1" t="s">
        <v>233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'OCTOBER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'OCTOBER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'OCTOBER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'OCTOBER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'OCTOBER 21'!H8:H24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'OCTOBER 21'!R8:R37</f>
        <v>0</v>
      </c>
      <c r="O8" s="16">
        <v>8000</v>
      </c>
      <c r="P8" s="16">
        <f t="shared" si="2"/>
        <v>8000</v>
      </c>
      <c r="Q8" s="16">
        <f>3000+5000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'OCTOBER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'OCTOBER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/>
      <c r="B10" s="13">
        <v>5</v>
      </c>
      <c r="C10" s="14"/>
      <c r="D10" s="15">
        <f>'OCTOBER 21'!H10:H26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'OCTOBER 21'!R10:R39</f>
        <v>0</v>
      </c>
      <c r="O10" s="16">
        <v>3500</v>
      </c>
      <c r="P10" s="16">
        <f t="shared" si="2"/>
        <v>3500</v>
      </c>
      <c r="Q10" s="16"/>
      <c r="R10" s="17">
        <f t="shared" si="3"/>
        <v>3500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'OCTOBER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'OCTOBER 21'!R11:R41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'OCTOBER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'OCTOBER 21'!R12:R42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'OCTOBER 21'!H13:H29</f>
        <v>0</v>
      </c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>
        <f>'OCTOBER 21'!R13:R43</f>
        <v>0</v>
      </c>
      <c r="O13" s="16">
        <v>3500</v>
      </c>
      <c r="P13" s="16">
        <f>M13+N13+O13</f>
        <v>3500</v>
      </c>
      <c r="Q13" s="16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'OCTOBER 21'!H14:H30</f>
        <v>0</v>
      </c>
      <c r="E14" s="19">
        <v>2500</v>
      </c>
      <c r="F14" s="16">
        <f t="shared" si="0"/>
        <v>2500</v>
      </c>
      <c r="G14" s="16">
        <v>2500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'OCTOBER 21'!R14:R44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'OCTOBER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'OCTOBER 21'!R15:R45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'OCTOBER 21'!H16:H32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239</v>
      </c>
      <c r="L16" s="13">
        <v>11</v>
      </c>
      <c r="M16" s="14"/>
      <c r="N16" s="15">
        <f>'OCTOBER 21'!R16:R46</f>
        <v>1500</v>
      </c>
      <c r="O16" s="16">
        <v>3500</v>
      </c>
      <c r="P16" s="16">
        <f t="shared" si="2"/>
        <v>5000</v>
      </c>
      <c r="Q16" s="16">
        <f>3500+1500</f>
        <v>5000</v>
      </c>
      <c r="R16" s="17">
        <f t="shared" si="3"/>
        <v>0</v>
      </c>
      <c r="S16" s="15"/>
    </row>
    <row r="17" spans="1:19" x14ac:dyDescent="0.25">
      <c r="A17" s="52" t="s">
        <v>223</v>
      </c>
      <c r="B17" s="13">
        <v>12</v>
      </c>
      <c r="C17" s="14"/>
      <c r="D17" s="15">
        <f>'OCTOBER 21'!H17:H33</f>
        <v>2000</v>
      </c>
      <c r="E17" s="19">
        <v>2000</v>
      </c>
      <c r="F17" s="16">
        <f t="shared" si="0"/>
        <v>4000</v>
      </c>
      <c r="G17" s="16">
        <v>1000</v>
      </c>
      <c r="H17" s="17">
        <f t="shared" si="1"/>
        <v>3000</v>
      </c>
      <c r="I17" s="15"/>
      <c r="K17" s="23"/>
      <c r="L17" s="24">
        <v>12</v>
      </c>
      <c r="M17" s="14"/>
      <c r="N17" s="15">
        <f>'OCTOBER 21'!R17:R47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'OCTOBER 21'!H18:H34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'OCTOBER 21'!R18:R48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'OCTOBER 21'!H19:H35</f>
        <v>1000</v>
      </c>
      <c r="E19" s="19">
        <v>2000</v>
      </c>
      <c r="F19" s="16">
        <f t="shared" si="0"/>
        <v>3000</v>
      </c>
      <c r="G19" s="16">
        <v>2000</v>
      </c>
      <c r="H19" s="17">
        <f t="shared" si="1"/>
        <v>1000</v>
      </c>
      <c r="I19" s="15"/>
      <c r="K19" s="23" t="s">
        <v>226</v>
      </c>
      <c r="L19" s="24">
        <v>14</v>
      </c>
      <c r="M19" s="14"/>
      <c r="N19" s="15"/>
      <c r="O19" s="16">
        <v>3500</v>
      </c>
      <c r="P19" s="16">
        <f t="shared" si="2"/>
        <v>3500</v>
      </c>
      <c r="Q19" s="16">
        <v>3500</v>
      </c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'OCTOBER 21'!H20:H36</f>
        <v>4500</v>
      </c>
      <c r="E20" s="19">
        <v>2000</v>
      </c>
      <c r="F20" s="16">
        <f t="shared" si="0"/>
        <v>6500</v>
      </c>
      <c r="G20" s="16">
        <f>1500+500+2000</f>
        <v>4000</v>
      </c>
      <c r="H20" s="17">
        <f>F20-G20</f>
        <v>2500</v>
      </c>
      <c r="I20" s="15"/>
      <c r="K20" s="23"/>
      <c r="L20" s="13">
        <v>15</v>
      </c>
      <c r="M20" s="14"/>
      <c r="N20" s="15">
        <f>'OCTOBER 21'!R20:R50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238</v>
      </c>
      <c r="B21" s="25">
        <v>16</v>
      </c>
      <c r="C21" s="14"/>
      <c r="D21" s="15">
        <f>'OCTOBER 21'!H21:H37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  <c r="K21" s="23"/>
      <c r="L21" s="24">
        <v>16</v>
      </c>
      <c r="M21" s="14"/>
      <c r="N21" s="15">
        <f>'OCTOBER 21'!R21:R51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'OCTOBER 21'!H22:H38</f>
        <v>600</v>
      </c>
      <c r="E22" s="19">
        <v>3800</v>
      </c>
      <c r="F22" s="16">
        <f t="shared" si="0"/>
        <v>4400</v>
      </c>
      <c r="G22" s="16"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'OCTOBER 21'!R22:R52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>'SEPTEMBER 21'!H23:H40</f>
        <v>8100</v>
      </c>
      <c r="E23" s="29">
        <f>SUM(E6:E22)</f>
        <v>34100</v>
      </c>
      <c r="F23" s="16">
        <f>SUM(F6:F22)</f>
        <v>42200</v>
      </c>
      <c r="G23" s="16">
        <f>SUM(G6:G22)</f>
        <v>33100</v>
      </c>
      <c r="H23" s="16">
        <f>SUM(H6:H22)</f>
        <v>9100</v>
      </c>
      <c r="I23" s="15">
        <f>SUM(I6:I22)</f>
        <v>0</v>
      </c>
      <c r="K23" s="23" t="s">
        <v>184</v>
      </c>
      <c r="L23" s="24">
        <v>18</v>
      </c>
      <c r="M23" s="14"/>
      <c r="N23" s="15">
        <f>'OCTOBER 21'!R23:R53</f>
        <v>3500</v>
      </c>
      <c r="O23" s="16">
        <v>3500</v>
      </c>
      <c r="P23" s="16">
        <f t="shared" si="4"/>
        <v>7000</v>
      </c>
      <c r="Q23" s="16"/>
      <c r="R23" s="17">
        <f t="shared" si="3"/>
        <v>7000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'OCTOBER 21'!R24:R54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3100</v>
      </c>
      <c r="K25" s="23" t="s">
        <v>45</v>
      </c>
      <c r="L25" s="24">
        <v>20</v>
      </c>
      <c r="M25" s="14"/>
      <c r="N25" s="15">
        <f>'OCTOBER 21'!R25:R55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'OCTOBER 21'!R26:R56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>
        <v>15</v>
      </c>
      <c r="H27" s="3"/>
      <c r="I27" s="3"/>
      <c r="K27" s="20" t="s">
        <v>86</v>
      </c>
      <c r="L27" s="24">
        <v>22</v>
      </c>
      <c r="M27" s="14"/>
      <c r="N27" s="15">
        <f>'OCTOBER 21'!R27:R57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'OCTOBER 21'!R28:R58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234</v>
      </c>
      <c r="B29" s="40">
        <f>E23</f>
        <v>34100</v>
      </c>
      <c r="C29" s="28"/>
      <c r="D29" s="28"/>
      <c r="E29" s="28" t="s">
        <v>234</v>
      </c>
      <c r="F29" s="40">
        <f>G23</f>
        <v>33100</v>
      </c>
      <c r="G29" s="28"/>
      <c r="H29" s="28"/>
      <c r="I29" s="36"/>
      <c r="K29" s="18"/>
      <c r="L29" s="24">
        <v>24</v>
      </c>
      <c r="M29" s="14"/>
      <c r="N29" s="15">
        <f>'OCTOBER 21'!R29:R59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'OCTOBER 21'!D42</f>
        <v>-6</v>
      </c>
      <c r="C30" s="28"/>
      <c r="D30" s="28"/>
      <c r="E30" s="28" t="s">
        <v>18</v>
      </c>
      <c r="F30" s="40">
        <f>'OCTOBER 21'!H42</f>
        <v>-7906</v>
      </c>
      <c r="G30" s="28"/>
      <c r="H30" s="28"/>
      <c r="I30" s="36">
        <f>B29+B32</f>
        <v>34100</v>
      </c>
      <c r="K30" s="18"/>
      <c r="L30" s="13">
        <v>25</v>
      </c>
      <c r="M30" s="14"/>
      <c r="N30" s="15">
        <f>'OCTOBER 21'!R30:R60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3410</v>
      </c>
      <c r="J31" s="51"/>
      <c r="K31" s="22"/>
      <c r="L31" s="24">
        <v>26</v>
      </c>
      <c r="M31" s="14"/>
      <c r="N31" s="15">
        <f>'OCTOBER 21'!R31:R61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>
        <f>I30-I31</f>
        <v>30690</v>
      </c>
      <c r="J32" s="51"/>
      <c r="K32" s="12"/>
      <c r="L32" s="13">
        <v>27</v>
      </c>
      <c r="M32" s="14"/>
      <c r="N32" s="15">
        <f>'OCTOBER 21'!R32:R62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>
        <f>C37</f>
        <v>15000</v>
      </c>
      <c r="J33" s="51"/>
      <c r="K33" s="22"/>
      <c r="L33" s="24">
        <v>28</v>
      </c>
      <c r="M33" s="14"/>
      <c r="N33" s="15">
        <f>'OCTOBER 21'!R33:R63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15690</v>
      </c>
      <c r="K34" s="22" t="s">
        <v>45</v>
      </c>
      <c r="L34" s="13">
        <v>29</v>
      </c>
      <c r="M34" s="14"/>
      <c r="N34" s="15">
        <f>'OCTOBER 21'!R34:R64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3000</v>
      </c>
      <c r="J35" s="51"/>
      <c r="K35" s="22" t="s">
        <v>178</v>
      </c>
      <c r="L35" s="24">
        <v>30</v>
      </c>
      <c r="M35" s="14"/>
      <c r="N35" s="15">
        <f>'OCTOBER 21'!R35:R65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6">
        <f>I34-I35</f>
        <v>12690</v>
      </c>
      <c r="K36" s="27" t="s">
        <v>24</v>
      </c>
      <c r="L36" s="28"/>
      <c r="M36" s="14">
        <f t="shared" ref="M36:S36" si="5">SUM(M6:M35)</f>
        <v>0</v>
      </c>
      <c r="N36" s="15">
        <f>'SEPTEMBER 21'!R36:R70</f>
        <v>1000</v>
      </c>
      <c r="O36" s="29">
        <f t="shared" si="5"/>
        <v>74000</v>
      </c>
      <c r="P36" s="16">
        <f>SUM(P6:P35)</f>
        <v>80000</v>
      </c>
      <c r="Q36" s="16">
        <f t="shared" si="5"/>
        <v>68500</v>
      </c>
      <c r="R36" s="16">
        <f t="shared" si="5"/>
        <v>11500</v>
      </c>
      <c r="S36" s="15">
        <f t="shared" si="5"/>
        <v>0</v>
      </c>
    </row>
    <row r="37" spans="1:19" x14ac:dyDescent="0.25">
      <c r="A37" s="42" t="s">
        <v>69</v>
      </c>
      <c r="B37" s="41"/>
      <c r="C37" s="28">
        <v>15000</v>
      </c>
      <c r="D37" s="28"/>
      <c r="E37" s="42" t="s">
        <v>69</v>
      </c>
      <c r="F37" s="41"/>
      <c r="G37" s="28">
        <v>15000</v>
      </c>
      <c r="H37" s="28"/>
      <c r="I37" s="36"/>
      <c r="J37" s="51"/>
      <c r="N37" s="15">
        <f>'SEPTEMBER 21'!R37:R71</f>
        <v>0</v>
      </c>
      <c r="R37" s="30"/>
      <c r="S37" s="3"/>
    </row>
    <row r="38" spans="1:19" x14ac:dyDescent="0.25">
      <c r="A38" s="42" t="s">
        <v>241</v>
      </c>
      <c r="B38" s="28"/>
      <c r="C38" s="44">
        <v>12600</v>
      </c>
      <c r="D38" s="28"/>
      <c r="E38" s="42" t="s">
        <v>241</v>
      </c>
      <c r="F38" s="28"/>
      <c r="G38" s="44">
        <v>12600</v>
      </c>
      <c r="H38" s="28"/>
      <c r="I38" s="45"/>
      <c r="J38" s="30"/>
    </row>
    <row r="39" spans="1:19" x14ac:dyDescent="0.25">
      <c r="A39" s="42" t="s">
        <v>224</v>
      </c>
      <c r="B39" s="28"/>
      <c r="C39" s="44">
        <v>2000</v>
      </c>
      <c r="D39" s="28"/>
      <c r="E39" s="42" t="s">
        <v>224</v>
      </c>
      <c r="F39" s="28"/>
      <c r="G39" s="44">
        <v>2000</v>
      </c>
      <c r="H39" s="28"/>
      <c r="I39" s="3"/>
      <c r="J39" s="30"/>
      <c r="K39" s="3"/>
      <c r="L39" s="31"/>
      <c r="M39" s="32"/>
      <c r="N39" s="33"/>
      <c r="O39" s="34"/>
      <c r="P39" s="35"/>
      <c r="Q39" s="34"/>
      <c r="R39" s="36"/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/>
      <c r="L40" s="37"/>
      <c r="M40" s="37"/>
      <c r="N40" s="38"/>
      <c r="O40" s="37"/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30684</v>
      </c>
      <c r="C41" s="46">
        <f>SUM(C35:C40)</f>
        <v>32600</v>
      </c>
      <c r="D41" s="46">
        <f>B41-C41</f>
        <v>-1916</v>
      </c>
      <c r="E41" s="39" t="s">
        <v>24</v>
      </c>
      <c r="F41" s="46">
        <f>F29+F30+F32-G33</f>
        <v>21784</v>
      </c>
      <c r="G41" s="46">
        <f>SUM(G35:G40)</f>
        <v>32600</v>
      </c>
      <c r="H41" s="46">
        <f>F41-G41</f>
        <v>-10816</v>
      </c>
      <c r="I41" s="45"/>
      <c r="J41" s="30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234</v>
      </c>
      <c r="L42" s="40">
        <f>O36</f>
        <v>74000</v>
      </c>
      <c r="M42" s="28"/>
      <c r="N42" s="28"/>
      <c r="O42" s="28" t="s">
        <v>234</v>
      </c>
      <c r="P42" s="40">
        <f>Q36</f>
        <v>68500</v>
      </c>
      <c r="Q42" s="28"/>
      <c r="R42" s="28"/>
      <c r="S42" s="36"/>
    </row>
    <row r="43" spans="1:19" x14ac:dyDescent="0.25">
      <c r="A43" s="47" t="s">
        <v>221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'OCTOBER 21'!N56</f>
        <v>-9587</v>
      </c>
      <c r="M43" s="28"/>
      <c r="N43" s="28"/>
      <c r="O43" s="28" t="s">
        <v>18</v>
      </c>
      <c r="P43" s="40">
        <f>'OCTOBER 21'!R56</f>
        <v>-16087</v>
      </c>
      <c r="Q43" s="28"/>
      <c r="R43" s="28"/>
      <c r="S43" s="36"/>
    </row>
    <row r="44" spans="1:19" x14ac:dyDescent="0.25">
      <c r="K44" s="28" t="s">
        <v>211</v>
      </c>
      <c r="L44" s="40"/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45">
        <f>L42</f>
        <v>74000</v>
      </c>
    </row>
    <row r="46" spans="1:19" x14ac:dyDescent="0.25">
      <c r="K46" s="28" t="s">
        <v>20</v>
      </c>
      <c r="L46" s="41">
        <v>0.1</v>
      </c>
      <c r="M46" s="40">
        <f>L46*L42</f>
        <v>7400</v>
      </c>
      <c r="N46" s="28"/>
      <c r="O46" s="28" t="s">
        <v>20</v>
      </c>
      <c r="P46" s="41">
        <v>0.1</v>
      </c>
      <c r="Q46" s="40">
        <f>P46*L42</f>
        <v>7400</v>
      </c>
      <c r="R46" s="28"/>
      <c r="S46" s="45">
        <f>M46</f>
        <v>7400</v>
      </c>
    </row>
    <row r="47" spans="1:19" x14ac:dyDescent="0.25">
      <c r="H47">
        <f>6300*3</f>
        <v>18900</v>
      </c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>
        <f>S45-S46</f>
        <v>66600</v>
      </c>
    </row>
    <row r="48" spans="1:19" x14ac:dyDescent="0.25">
      <c r="H48">
        <f>6300*2</f>
        <v>12600</v>
      </c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6">
        <f>M49+M50</f>
        <v>6000</v>
      </c>
    </row>
    <row r="49" spans="9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>
        <f>S47-S48</f>
        <v>60600</v>
      </c>
    </row>
    <row r="50" spans="9:19" x14ac:dyDescent="0.25">
      <c r="I50" s="51"/>
      <c r="K50" s="42" t="s">
        <v>165</v>
      </c>
      <c r="L50" s="28"/>
      <c r="M50" s="44">
        <v>2500</v>
      </c>
      <c r="N50" s="28"/>
      <c r="O50" s="42" t="s">
        <v>165</v>
      </c>
      <c r="P50" s="28"/>
      <c r="Q50" s="44">
        <v>2500</v>
      </c>
      <c r="R50" s="28"/>
      <c r="S50" s="45">
        <v>2000</v>
      </c>
    </row>
    <row r="51" spans="9:19" x14ac:dyDescent="0.25">
      <c r="K51" s="42" t="s">
        <v>236</v>
      </c>
      <c r="L51" s="28"/>
      <c r="M51" s="44">
        <v>20000</v>
      </c>
      <c r="N51" s="28"/>
      <c r="O51" s="42" t="s">
        <v>236</v>
      </c>
      <c r="P51" s="28"/>
      <c r="Q51" s="44">
        <v>20000</v>
      </c>
      <c r="R51" s="28"/>
      <c r="S51" s="45">
        <f>S49-S50</f>
        <v>58600</v>
      </c>
    </row>
    <row r="52" spans="9:19" x14ac:dyDescent="0.25">
      <c r="K52" s="42"/>
      <c r="L52" s="28"/>
      <c r="M52" s="44">
        <v>3500</v>
      </c>
      <c r="N52" s="28"/>
      <c r="O52" s="42"/>
      <c r="P52" s="28"/>
      <c r="Q52" s="44"/>
      <c r="R52" s="28"/>
      <c r="S52" s="3">
        <v>20000</v>
      </c>
    </row>
    <row r="53" spans="9:19" x14ac:dyDescent="0.25">
      <c r="K53" s="42" t="s">
        <v>240</v>
      </c>
      <c r="L53" s="28"/>
      <c r="M53" s="44">
        <v>35105</v>
      </c>
      <c r="N53" s="28"/>
      <c r="O53" s="42" t="s">
        <v>240</v>
      </c>
      <c r="P53" s="28"/>
      <c r="Q53" s="44">
        <v>35105</v>
      </c>
      <c r="R53" s="28"/>
      <c r="S53" s="45">
        <f>S51-S52</f>
        <v>38600</v>
      </c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57013</v>
      </c>
      <c r="M55" s="46">
        <f>SUM(M48:M54)</f>
        <v>64605</v>
      </c>
      <c r="N55" s="46">
        <f>L55-M55</f>
        <v>-7592</v>
      </c>
      <c r="O55" s="39" t="s">
        <v>24</v>
      </c>
      <c r="P55" s="46">
        <f>P42+P43+P45-Q46</f>
        <v>45013</v>
      </c>
      <c r="Q55" s="46">
        <f>SUM(Q48:Q54)</f>
        <v>61105</v>
      </c>
      <c r="R55" s="46">
        <f>P55-Q55</f>
        <v>-16092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19" x14ac:dyDescent="0.25">
      <c r="N59" t="s">
        <v>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abSelected="1" topLeftCell="A4" workbookViewId="0">
      <selection activeCell="G20" sqref="G20"/>
    </sheetView>
  </sheetViews>
  <sheetFormatPr defaultRowHeight="15" x14ac:dyDescent="0.25"/>
  <cols>
    <col min="1" max="1" width="20.5703125" customWidth="1"/>
    <col min="11" max="11" width="16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242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244</v>
      </c>
      <c r="C4" s="1"/>
      <c r="E4" s="1"/>
      <c r="F4" s="6"/>
      <c r="G4" s="7"/>
      <c r="H4" s="3"/>
      <c r="I4" s="3"/>
      <c r="K4" s="5"/>
      <c r="L4" s="1" t="s">
        <v>246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'NOVEMBER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'NOVEMBER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147</v>
      </c>
      <c r="B7" s="13">
        <v>2</v>
      </c>
      <c r="C7" s="14"/>
      <c r="D7" s="15">
        <f>'NOVEMBER 21'!H7:H23</f>
        <v>0</v>
      </c>
      <c r="E7" s="19">
        <v>2000</v>
      </c>
      <c r="F7" s="16">
        <f t="shared" ref="F7:F22" si="0">C7+D7+E7</f>
        <v>2000</v>
      </c>
      <c r="G7" s="16">
        <v>2000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'NOVEMBER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'NOVEMBER 21'!H8:H24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'NOVEMBER 21'!R8:R37</f>
        <v>0</v>
      </c>
      <c r="O8" s="16"/>
      <c r="P8" s="16">
        <f t="shared" si="2"/>
        <v>0</v>
      </c>
      <c r="Q8" s="16"/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'NOVEMBER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'NOVEMBER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 t="s">
        <v>243</v>
      </c>
      <c r="B10" s="13">
        <v>5</v>
      </c>
      <c r="C10" s="14"/>
      <c r="D10" s="15">
        <f>'NOVEMBER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'NOVEMBER 21'!R10:R39</f>
        <v>3500</v>
      </c>
      <c r="O10" s="16"/>
      <c r="P10" s="16">
        <f t="shared" si="2"/>
        <v>3500</v>
      </c>
      <c r="Q10" s="16"/>
      <c r="R10" s="17">
        <f t="shared" si="3"/>
        <v>3500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'NOVEMBER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'NOVEMBER 21'!R11:R40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'NOVEMBER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'NOVEMBER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'NOVEMBER 21'!H13:H29</f>
        <v>0</v>
      </c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>
        <f>'NOVEMBER 21'!R13:R42</f>
        <v>0</v>
      </c>
      <c r="O13" s="16">
        <v>3500</v>
      </c>
      <c r="P13" s="16">
        <f>M13+N13+O13</f>
        <v>3500</v>
      </c>
      <c r="Q13" s="16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'NOVEMBER 21'!H14:H30</f>
        <v>0</v>
      </c>
      <c r="E14" s="19">
        <v>2500</v>
      </c>
      <c r="F14" s="16">
        <f t="shared" si="0"/>
        <v>2500</v>
      </c>
      <c r="G14" s="16">
        <v>2500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'NOVEMBER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'NOVEMBER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'NOVEMBER 21'!R15:R44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89</v>
      </c>
      <c r="B16" s="13">
        <v>11</v>
      </c>
      <c r="C16" s="14"/>
      <c r="D16" s="15">
        <f>'NOVEMBER 21'!H16:H32</f>
        <v>0</v>
      </c>
      <c r="E16" s="19">
        <v>2000</v>
      </c>
      <c r="F16" s="16">
        <f t="shared" si="0"/>
        <v>2000</v>
      </c>
      <c r="G16" s="16"/>
      <c r="H16" s="17">
        <f t="shared" si="1"/>
        <v>2000</v>
      </c>
      <c r="I16" s="15"/>
      <c r="K16" s="23" t="s">
        <v>239</v>
      </c>
      <c r="L16" s="13">
        <v>11</v>
      </c>
      <c r="M16" s="14"/>
      <c r="N16" s="15">
        <f>'NOVEMBER 21'!R16:R45</f>
        <v>0</v>
      </c>
      <c r="O16" s="16">
        <v>3500</v>
      </c>
      <c r="P16" s="16">
        <f t="shared" si="2"/>
        <v>3500</v>
      </c>
      <c r="Q16" s="16"/>
      <c r="R16" s="17">
        <f t="shared" si="3"/>
        <v>3500</v>
      </c>
      <c r="S16" s="15"/>
    </row>
    <row r="17" spans="1:19" x14ac:dyDescent="0.25">
      <c r="A17" s="52" t="s">
        <v>247</v>
      </c>
      <c r="B17" s="13">
        <v>12</v>
      </c>
      <c r="C17" s="14"/>
      <c r="D17" s="15">
        <f>'NOVEMBER 21'!H17:H33</f>
        <v>3000</v>
      </c>
      <c r="E17" s="19">
        <v>2000</v>
      </c>
      <c r="F17" s="16">
        <f t="shared" si="0"/>
        <v>5000</v>
      </c>
      <c r="G17" s="16">
        <f>500+1000+2000</f>
        <v>3500</v>
      </c>
      <c r="H17" s="17">
        <f t="shared" si="1"/>
        <v>1500</v>
      </c>
      <c r="I17" s="15"/>
      <c r="K17" s="23"/>
      <c r="L17" s="24">
        <v>12</v>
      </c>
      <c r="M17" s="14"/>
      <c r="N17" s="15">
        <f>'NOVEMBER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'NOVEMBER 21'!H18:H34</f>
        <v>2000</v>
      </c>
      <c r="E18" s="19">
        <v>2000</v>
      </c>
      <c r="F18" s="16">
        <f t="shared" si="0"/>
        <v>4000</v>
      </c>
      <c r="G18" s="16"/>
      <c r="H18" s="17">
        <f t="shared" si="1"/>
        <v>4000</v>
      </c>
      <c r="I18" s="15"/>
      <c r="K18" s="23" t="s">
        <v>139</v>
      </c>
      <c r="L18" s="13">
        <v>13</v>
      </c>
      <c r="M18" s="14"/>
      <c r="N18" s="15">
        <f>'NOVEMBER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'NOVEMBER 21'!H19:H35</f>
        <v>1000</v>
      </c>
      <c r="E19" s="19">
        <v>2000</v>
      </c>
      <c r="F19" s="16">
        <f t="shared" si="0"/>
        <v>3000</v>
      </c>
      <c r="G19" s="16"/>
      <c r="H19" s="17">
        <f t="shared" si="1"/>
        <v>3000</v>
      </c>
      <c r="I19" s="15"/>
      <c r="K19" s="23" t="s">
        <v>226</v>
      </c>
      <c r="L19" s="24">
        <v>14</v>
      </c>
      <c r="M19" s="14"/>
      <c r="N19" s="15">
        <f>'NOVEMBER 21'!R19:R48</f>
        <v>0</v>
      </c>
      <c r="O19" s="16">
        <v>3500</v>
      </c>
      <c r="P19" s="16">
        <f t="shared" si="2"/>
        <v>3500</v>
      </c>
      <c r="Q19" s="16"/>
      <c r="R19" s="17">
        <f t="shared" si="3"/>
        <v>3500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'NOVEMBER 21'!H20:H36</f>
        <v>2500</v>
      </c>
      <c r="E20" s="19">
        <v>2000</v>
      </c>
      <c r="F20" s="16">
        <f t="shared" si="0"/>
        <v>4500</v>
      </c>
      <c r="G20" s="16">
        <f>1000+1000</f>
        <v>2000</v>
      </c>
      <c r="H20" s="17">
        <f>F20-G20</f>
        <v>2500</v>
      </c>
      <c r="I20" s="15"/>
      <c r="K20" s="23"/>
      <c r="L20" s="13">
        <v>15</v>
      </c>
      <c r="M20" s="14"/>
      <c r="N20" s="15">
        <f>'NOVEMBER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238</v>
      </c>
      <c r="B21" s="25">
        <v>16</v>
      </c>
      <c r="C21" s="14"/>
      <c r="D21" s="15">
        <f>'NOVEMBER 21'!H21:H37</f>
        <v>0</v>
      </c>
      <c r="E21" s="19">
        <v>2000</v>
      </c>
      <c r="F21" s="16">
        <f t="shared" si="0"/>
        <v>2000</v>
      </c>
      <c r="G21" s="16"/>
      <c r="H21" s="17">
        <f>F21-G21</f>
        <v>2000</v>
      </c>
      <c r="I21" s="15"/>
      <c r="K21" s="23"/>
      <c r="L21" s="24">
        <v>16</v>
      </c>
      <c r="M21" s="14"/>
      <c r="N21" s="15">
        <f>'NOVEMBER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'NOVEMBER 21'!H22:H38</f>
        <v>600</v>
      </c>
      <c r="E22" s="19">
        <v>3800</v>
      </c>
      <c r="F22" s="16">
        <f t="shared" si="0"/>
        <v>4400</v>
      </c>
      <c r="G22" s="16"/>
      <c r="H22" s="17">
        <f>F22-G22</f>
        <v>4400</v>
      </c>
      <c r="I22" s="15"/>
      <c r="K22" s="23"/>
      <c r="L22" s="13">
        <v>17</v>
      </c>
      <c r="M22" s="14"/>
      <c r="N22" s="15">
        <f>'NOVEMBER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 t="shared" ref="D23:I23" si="5">SUM(D6:D22)</f>
        <v>9100</v>
      </c>
      <c r="E23" s="29">
        <f t="shared" si="5"/>
        <v>36600</v>
      </c>
      <c r="F23" s="16">
        <f t="shared" si="5"/>
        <v>45700</v>
      </c>
      <c r="G23" s="16">
        <f>SUM(G6:G22)</f>
        <v>26300</v>
      </c>
      <c r="H23" s="16">
        <f t="shared" si="5"/>
        <v>19400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'NOVEMBER 21'!R23:R52</f>
        <v>7000</v>
      </c>
      <c r="O23" s="16"/>
      <c r="P23" s="16">
        <f t="shared" si="4"/>
        <v>7000</v>
      </c>
      <c r="Q23" s="16"/>
      <c r="R23" s="17">
        <f t="shared" si="3"/>
        <v>7000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'NOVEMBER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6900</v>
      </c>
      <c r="K25" s="23" t="s">
        <v>45</v>
      </c>
      <c r="L25" s="24">
        <v>20</v>
      </c>
      <c r="M25" s="14"/>
      <c r="N25" s="15">
        <f>'NOVEMBER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'NOVEMBER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>
        <v>15</v>
      </c>
      <c r="H27" s="3"/>
      <c r="I27" s="3"/>
      <c r="K27" s="20" t="s">
        <v>86</v>
      </c>
      <c r="L27" s="24">
        <v>22</v>
      </c>
      <c r="M27" s="14"/>
      <c r="N27" s="15">
        <f>'NOVEMBER 21'!R27:R56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'NOVEMBER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249</v>
      </c>
      <c r="B29" s="40">
        <f>E23</f>
        <v>36600</v>
      </c>
      <c r="C29" s="28"/>
      <c r="D29" s="28"/>
      <c r="E29" s="28" t="s">
        <v>249</v>
      </c>
      <c r="F29" s="40">
        <f>G23</f>
        <v>26300</v>
      </c>
      <c r="G29" s="28"/>
      <c r="H29" s="28"/>
      <c r="I29" s="36"/>
      <c r="K29" s="18"/>
      <c r="L29" s="24">
        <v>24</v>
      </c>
      <c r="M29" s="14"/>
      <c r="N29" s="15">
        <f>'NOVEMBER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-2000</f>
        <v>-2000</v>
      </c>
      <c r="C30" s="28"/>
      <c r="D30" s="28"/>
      <c r="E30" s="28" t="s">
        <v>18</v>
      </c>
      <c r="F30" s="40">
        <f>'NOVEMBER 21'!H41</f>
        <v>-10816</v>
      </c>
      <c r="G30" s="28"/>
      <c r="H30" s="28"/>
      <c r="I30" s="36">
        <f>B29+B32</f>
        <v>36600</v>
      </c>
      <c r="K30" s="18"/>
      <c r="L30" s="13">
        <v>25</v>
      </c>
      <c r="M30" s="14"/>
      <c r="N30" s="15">
        <f>'NOVEMBER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3660</v>
      </c>
      <c r="J31" s="51"/>
      <c r="K31" s="22"/>
      <c r="L31" s="24">
        <v>26</v>
      </c>
      <c r="M31" s="14"/>
      <c r="N31" s="15">
        <f>'NOVEMBER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>
        <f>I30-I31</f>
        <v>32940</v>
      </c>
      <c r="J32" s="51"/>
      <c r="K32" s="12"/>
      <c r="L32" s="13">
        <v>27</v>
      </c>
      <c r="M32" s="14"/>
      <c r="N32" s="15">
        <f>'NOVEMBER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1" x14ac:dyDescent="0.25">
      <c r="A33" s="28" t="s">
        <v>20</v>
      </c>
      <c r="B33" s="41">
        <v>0.1</v>
      </c>
      <c r="C33" s="40">
        <f>B33*B29</f>
        <v>3660</v>
      </c>
      <c r="D33" s="28"/>
      <c r="E33" s="28" t="s">
        <v>20</v>
      </c>
      <c r="F33" s="41">
        <v>0.1</v>
      </c>
      <c r="G33" s="40">
        <f>F33*B29</f>
        <v>3660</v>
      </c>
      <c r="H33" s="28"/>
      <c r="I33" s="45">
        <f>G36</f>
        <v>15097</v>
      </c>
      <c r="J33" s="51"/>
      <c r="K33" s="22"/>
      <c r="L33" s="24">
        <v>28</v>
      </c>
      <c r="M33" s="14"/>
      <c r="N33" s="15">
        <f>'NOVEMBER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1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17843</v>
      </c>
      <c r="K34" s="22" t="s">
        <v>45</v>
      </c>
      <c r="L34" s="13">
        <v>29</v>
      </c>
      <c r="M34" s="14"/>
      <c r="N34" s="15">
        <f>'NOVEMBER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1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2000</v>
      </c>
      <c r="J35" s="51"/>
      <c r="K35" s="22" t="s">
        <v>178</v>
      </c>
      <c r="L35" s="24">
        <v>30</v>
      </c>
      <c r="M35" s="14"/>
      <c r="N35" s="15">
        <f>'NOVEMBER 21'!R35:R64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21" x14ac:dyDescent="0.25">
      <c r="A36" s="42" t="s">
        <v>93</v>
      </c>
      <c r="C36">
        <v>15097</v>
      </c>
      <c r="D36" s="44"/>
      <c r="E36" s="42" t="s">
        <v>93</v>
      </c>
      <c r="G36">
        <v>15097</v>
      </c>
      <c r="H36" s="28"/>
      <c r="I36" s="36">
        <f>I34-I35</f>
        <v>15843</v>
      </c>
      <c r="K36" s="27" t="s">
        <v>24</v>
      </c>
      <c r="L36" s="28"/>
      <c r="M36" s="14">
        <f t="shared" ref="M36:S36" si="6">SUM(M6:M35)</f>
        <v>0</v>
      </c>
      <c r="N36" s="15">
        <f>SUM(N6:N35)</f>
        <v>11500</v>
      </c>
      <c r="O36" s="29">
        <f t="shared" si="6"/>
        <v>59000</v>
      </c>
      <c r="P36" s="16">
        <f>SUM(P6:P35)</f>
        <v>70500</v>
      </c>
      <c r="Q36" s="16">
        <f t="shared" si="6"/>
        <v>52000</v>
      </c>
      <c r="R36" s="16">
        <f t="shared" si="6"/>
        <v>18500</v>
      </c>
      <c r="S36" s="15">
        <f t="shared" si="6"/>
        <v>0</v>
      </c>
    </row>
    <row r="37" spans="1:21" x14ac:dyDescent="0.25">
      <c r="A37" s="42" t="s">
        <v>165</v>
      </c>
      <c r="B37" s="41"/>
      <c r="C37" s="28"/>
      <c r="D37" s="28"/>
      <c r="E37" s="42" t="s">
        <v>165</v>
      </c>
      <c r="F37" s="41"/>
      <c r="G37" s="28"/>
      <c r="H37" s="28"/>
      <c r="I37" s="36">
        <v>3000</v>
      </c>
      <c r="J37" s="51" t="s">
        <v>248</v>
      </c>
      <c r="N37" s="15">
        <f>'SEPTEMBER 21'!R37:R71</f>
        <v>0</v>
      </c>
      <c r="R37" s="30"/>
      <c r="S37" s="3"/>
    </row>
    <row r="38" spans="1:21" x14ac:dyDescent="0.25">
      <c r="A38" s="42" t="s">
        <v>250</v>
      </c>
      <c r="B38" s="28"/>
      <c r="C38" s="44">
        <v>10000</v>
      </c>
      <c r="D38" s="28"/>
      <c r="E38" s="42" t="s">
        <v>250</v>
      </c>
      <c r="F38" s="28"/>
      <c r="G38" s="44">
        <v>10000</v>
      </c>
      <c r="H38" s="28"/>
      <c r="I38" s="45">
        <v>2000</v>
      </c>
      <c r="J38" s="30"/>
    </row>
    <row r="39" spans="1:21" x14ac:dyDescent="0.25">
      <c r="A39" s="42"/>
      <c r="B39" s="28"/>
      <c r="C39" s="44"/>
      <c r="D39" s="28"/>
      <c r="E39" s="42"/>
      <c r="F39" s="28"/>
      <c r="G39" s="44"/>
      <c r="H39" s="28"/>
      <c r="I39" s="45">
        <f>I36+I37+I38</f>
        <v>20843</v>
      </c>
      <c r="J39" s="30"/>
      <c r="K39" s="3"/>
      <c r="L39" s="31"/>
      <c r="M39" s="32"/>
      <c r="N39" s="33"/>
      <c r="O39" s="34"/>
      <c r="P39" s="35"/>
      <c r="Q39" s="34"/>
      <c r="R39" s="36"/>
      <c r="S39" s="3"/>
    </row>
    <row r="40" spans="1:21" x14ac:dyDescent="0.25">
      <c r="A40" s="42"/>
      <c r="B40" s="28"/>
      <c r="C40" s="44"/>
      <c r="D40" s="28"/>
      <c r="E40" s="42"/>
      <c r="F40" s="28"/>
      <c r="G40" s="44"/>
      <c r="H40" s="28"/>
      <c r="I40" s="45">
        <v>2000</v>
      </c>
      <c r="J40" s="51"/>
      <c r="K40" s="37"/>
      <c r="L40" s="37"/>
      <c r="M40" s="37"/>
      <c r="N40" s="38"/>
      <c r="O40" s="37"/>
      <c r="P40" s="3"/>
      <c r="Q40" s="3"/>
      <c r="R40" s="3"/>
      <c r="S40" s="3"/>
    </row>
    <row r="41" spans="1:21" x14ac:dyDescent="0.25">
      <c r="A41" s="39" t="s">
        <v>24</v>
      </c>
      <c r="B41" s="46">
        <f>B32+B29+B30+B31-C33</f>
        <v>30940</v>
      </c>
      <c r="C41" s="46">
        <f>SUM(C35:C40)</f>
        <v>25097</v>
      </c>
      <c r="D41" s="46">
        <f>B41-C41</f>
        <v>5843</v>
      </c>
      <c r="E41" s="39" t="s">
        <v>24</v>
      </c>
      <c r="F41" s="46">
        <f>F29+F30+F32-G33</f>
        <v>11824</v>
      </c>
      <c r="G41" s="46">
        <f>SUM(G35:G40)</f>
        <v>25097</v>
      </c>
      <c r="H41" s="46">
        <f>F41-G41</f>
        <v>-13273</v>
      </c>
      <c r="I41" s="45">
        <f>I39-I40</f>
        <v>18843</v>
      </c>
      <c r="J41" s="30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1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249</v>
      </c>
      <c r="L42" s="40">
        <f>O36</f>
        <v>59000</v>
      </c>
      <c r="M42" s="28"/>
      <c r="N42" s="28"/>
      <c r="O42" s="28" t="s">
        <v>249</v>
      </c>
      <c r="P42" s="40">
        <f>Q36</f>
        <v>52000</v>
      </c>
      <c r="Q42" s="28"/>
      <c r="R42" s="28"/>
      <c r="S42" s="36"/>
    </row>
    <row r="43" spans="1:21" x14ac:dyDescent="0.25">
      <c r="A43" s="47" t="s">
        <v>221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-2000</f>
        <v>-2000</v>
      </c>
      <c r="M43" s="28"/>
      <c r="N43" s="28"/>
      <c r="O43" s="28" t="s">
        <v>18</v>
      </c>
      <c r="P43" s="40">
        <f>'NOVEMBER 21'!R55</f>
        <v>-16092</v>
      </c>
      <c r="Q43" s="28"/>
      <c r="R43" s="28"/>
      <c r="S43" s="36"/>
    </row>
    <row r="44" spans="1:21" x14ac:dyDescent="0.25">
      <c r="K44" s="28" t="s">
        <v>211</v>
      </c>
      <c r="L44" s="40"/>
      <c r="M44" s="28"/>
      <c r="N44" s="28"/>
      <c r="O44" s="28"/>
      <c r="P44" s="40"/>
      <c r="Q44" s="28"/>
      <c r="R44" s="28"/>
      <c r="S44" s="36" t="s">
        <v>19</v>
      </c>
    </row>
    <row r="45" spans="1:21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45">
        <f>L42</f>
        <v>59000</v>
      </c>
    </row>
    <row r="46" spans="1:21" x14ac:dyDescent="0.25">
      <c r="K46" s="28" t="s">
        <v>20</v>
      </c>
      <c r="L46" s="41">
        <v>0.1</v>
      </c>
      <c r="M46" s="40">
        <f>L46*L42</f>
        <v>5900</v>
      </c>
      <c r="N46" s="28"/>
      <c r="O46" s="28" t="s">
        <v>20</v>
      </c>
      <c r="P46" s="41">
        <v>0.1</v>
      </c>
      <c r="Q46" s="40">
        <f>P46*L42</f>
        <v>5900</v>
      </c>
      <c r="R46" s="28"/>
      <c r="S46" s="45">
        <f>M46</f>
        <v>5900</v>
      </c>
    </row>
    <row r="47" spans="1:21" x14ac:dyDescent="0.25">
      <c r="H47">
        <f>6300*3</f>
        <v>18900</v>
      </c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>
        <f>S45-S46</f>
        <v>53100</v>
      </c>
      <c r="U47">
        <f>10000-2000-2000</f>
        <v>6000</v>
      </c>
    </row>
    <row r="48" spans="1:21" x14ac:dyDescent="0.25">
      <c r="H48">
        <f>6300*2</f>
        <v>12600</v>
      </c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6">
        <f>M49+M50</f>
        <v>6000</v>
      </c>
    </row>
    <row r="49" spans="5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>
        <f>S47-S48</f>
        <v>47100</v>
      </c>
    </row>
    <row r="50" spans="5:19" x14ac:dyDescent="0.25">
      <c r="I50" s="51"/>
      <c r="K50" s="42" t="s">
        <v>165</v>
      </c>
      <c r="L50" s="28"/>
      <c r="M50" s="44">
        <v>2500</v>
      </c>
      <c r="N50" s="28"/>
      <c r="O50" s="42" t="s">
        <v>165</v>
      </c>
      <c r="P50" s="28"/>
      <c r="Q50" s="44">
        <v>2500</v>
      </c>
      <c r="R50" s="28"/>
      <c r="S50" s="45">
        <v>2000</v>
      </c>
    </row>
    <row r="51" spans="5:19" x14ac:dyDescent="0.25">
      <c r="E51" s="51">
        <f>D41+3000</f>
        <v>8843</v>
      </c>
      <c r="K51" s="42" t="s">
        <v>245</v>
      </c>
      <c r="L51" s="28"/>
      <c r="M51" s="44">
        <v>30105</v>
      </c>
      <c r="N51" s="28"/>
      <c r="O51" s="42" t="s">
        <v>245</v>
      </c>
      <c r="P51" s="28"/>
      <c r="Q51" s="44">
        <v>30105</v>
      </c>
      <c r="R51" s="28"/>
      <c r="S51" s="45">
        <f>S49-S50</f>
        <v>45100</v>
      </c>
    </row>
    <row r="52" spans="5:19" x14ac:dyDescent="0.25">
      <c r="K52" s="42" t="s">
        <v>250</v>
      </c>
      <c r="L52" s="28"/>
      <c r="M52" s="44">
        <v>14995</v>
      </c>
      <c r="N52" s="28"/>
      <c r="O52" s="42" t="s">
        <v>250</v>
      </c>
      <c r="P52" s="28"/>
      <c r="Q52" s="44">
        <v>14995</v>
      </c>
      <c r="R52" s="28"/>
      <c r="S52" s="3">
        <v>30000</v>
      </c>
    </row>
    <row r="53" spans="5:19" x14ac:dyDescent="0.25">
      <c r="K53" s="42"/>
      <c r="L53" s="28"/>
      <c r="M53" s="44"/>
      <c r="N53" s="28"/>
      <c r="O53" s="42"/>
      <c r="P53" s="28"/>
      <c r="Q53" s="44"/>
      <c r="R53" s="28"/>
      <c r="S53" s="45">
        <f>S51-S52</f>
        <v>15100</v>
      </c>
    </row>
    <row r="54" spans="5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5:19" x14ac:dyDescent="0.25">
      <c r="K55" s="39" t="s">
        <v>24</v>
      </c>
      <c r="L55" s="46">
        <f>L45+L42+L43+L44-M46</f>
        <v>51100</v>
      </c>
      <c r="M55" s="46">
        <f>SUM(M48:M54)</f>
        <v>51100</v>
      </c>
      <c r="N55" s="46">
        <f>L55-M55</f>
        <v>0</v>
      </c>
      <c r="O55" s="39" t="s">
        <v>24</v>
      </c>
      <c r="P55" s="46">
        <f>P42+P43+P45-Q46</f>
        <v>30008</v>
      </c>
      <c r="Q55" s="46">
        <f>SUM(Q48:Q54)</f>
        <v>51100</v>
      </c>
      <c r="R55" s="46">
        <f>P55-Q55</f>
        <v>-21092</v>
      </c>
      <c r="S55" s="45"/>
    </row>
    <row r="56" spans="5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8" workbookViewId="0">
      <selection activeCell="J41" sqref="J41"/>
    </sheetView>
  </sheetViews>
  <sheetFormatPr defaultRowHeight="15" x14ac:dyDescent="0.25"/>
  <cols>
    <col min="1" max="1" width="17.425781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50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8" t="s">
        <v>41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42</v>
      </c>
      <c r="B7" s="13">
        <v>2</v>
      </c>
      <c r="C7" s="14"/>
      <c r="D7" s="15"/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</row>
    <row r="8" spans="1:9" x14ac:dyDescent="0.25">
      <c r="A8" s="20"/>
      <c r="B8" s="13">
        <v>3</v>
      </c>
      <c r="C8" s="14"/>
      <c r="D8" s="15"/>
      <c r="E8" s="19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21" t="s">
        <v>49</v>
      </c>
      <c r="B9" s="13">
        <v>4</v>
      </c>
      <c r="C9" s="14">
        <v>2000</v>
      </c>
      <c r="D9" s="15"/>
      <c r="E9" s="19">
        <v>2000</v>
      </c>
      <c r="F9" s="16">
        <f t="shared" si="0"/>
        <v>4000</v>
      </c>
      <c r="G9" s="16">
        <v>3000</v>
      </c>
      <c r="H9" s="17">
        <f>F9-G9</f>
        <v>1000</v>
      </c>
      <c r="I9" s="15"/>
    </row>
    <row r="10" spans="1:9" x14ac:dyDescent="0.25">
      <c r="A10" s="21" t="s">
        <v>38</v>
      </c>
      <c r="B10" s="13">
        <v>5</v>
      </c>
      <c r="C10" s="14"/>
      <c r="D10" s="15"/>
      <c r="E10" s="19">
        <v>2500</v>
      </c>
      <c r="F10" s="16">
        <f t="shared" si="0"/>
        <v>2500</v>
      </c>
      <c r="G10" s="16">
        <f>2500</f>
        <v>2500</v>
      </c>
      <c r="H10" s="17">
        <f t="shared" si="1"/>
        <v>0</v>
      </c>
      <c r="I10" s="15"/>
    </row>
    <row r="11" spans="1:9" x14ac:dyDescent="0.25">
      <c r="A11" s="18" t="s">
        <v>55</v>
      </c>
      <c r="B11" s="13">
        <v>6</v>
      </c>
      <c r="C11" s="14"/>
      <c r="D11" s="15"/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1" t="s">
        <v>47</v>
      </c>
      <c r="B12" s="13">
        <v>7</v>
      </c>
      <c r="C12" s="14"/>
      <c r="D12" s="15"/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</row>
    <row r="13" spans="1:9" x14ac:dyDescent="0.25">
      <c r="A13" s="50" t="s">
        <v>37</v>
      </c>
      <c r="B13" s="13">
        <v>8</v>
      </c>
      <c r="C13" s="14"/>
      <c r="D13" s="15"/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50" t="s">
        <v>46</v>
      </c>
      <c r="B14" s="13">
        <v>9</v>
      </c>
      <c r="C14" s="14"/>
      <c r="D14" s="15"/>
      <c r="E14" s="19">
        <v>2500</v>
      </c>
      <c r="F14" s="16">
        <f t="shared" si="0"/>
        <v>2500</v>
      </c>
      <c r="G14" s="16">
        <v>2000</v>
      </c>
      <c r="H14" s="17">
        <f t="shared" si="1"/>
        <v>500</v>
      </c>
      <c r="I14" s="15"/>
    </row>
    <row r="15" spans="1:9" x14ac:dyDescent="0.25">
      <c r="A15" s="12" t="s">
        <v>52</v>
      </c>
      <c r="B15" s="24">
        <v>10</v>
      </c>
      <c r="C15" s="14">
        <v>2000</v>
      </c>
      <c r="D15" s="15"/>
      <c r="E15" s="19">
        <v>2000</v>
      </c>
      <c r="F15" s="16">
        <f t="shared" si="0"/>
        <v>4000</v>
      </c>
      <c r="G15" s="16">
        <f>2600+1000</f>
        <v>3600</v>
      </c>
      <c r="H15" s="17">
        <f t="shared" si="1"/>
        <v>400</v>
      </c>
      <c r="I15" s="15"/>
    </row>
    <row r="16" spans="1:9" x14ac:dyDescent="0.25">
      <c r="A16" s="23" t="s">
        <v>60</v>
      </c>
      <c r="B16" s="13">
        <v>11</v>
      </c>
      <c r="C16" s="14">
        <v>2000</v>
      </c>
      <c r="D16" s="15"/>
      <c r="E16" s="19">
        <v>2000</v>
      </c>
      <c r="F16" s="16">
        <f t="shared" si="0"/>
        <v>4000</v>
      </c>
      <c r="G16" s="16">
        <f>2500+1200</f>
        <v>3700</v>
      </c>
      <c r="H16" s="17">
        <f t="shared" si="1"/>
        <v>300</v>
      </c>
      <c r="I16" s="15"/>
    </row>
    <row r="17" spans="1:14" x14ac:dyDescent="0.25">
      <c r="A17" s="18"/>
      <c r="B17" s="13">
        <v>12</v>
      </c>
      <c r="C17" s="14"/>
      <c r="D17" s="15"/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4" x14ac:dyDescent="0.25">
      <c r="A18" s="22" t="s">
        <v>35</v>
      </c>
      <c r="B18" s="13">
        <v>13</v>
      </c>
      <c r="C18" s="14"/>
      <c r="D18" s="15"/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14" x14ac:dyDescent="0.25">
      <c r="A19" s="20" t="s">
        <v>43</v>
      </c>
      <c r="B19" s="13">
        <v>14</v>
      </c>
      <c r="C19" s="14"/>
      <c r="D19" s="15"/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4" x14ac:dyDescent="0.25">
      <c r="A20" s="18" t="s">
        <v>44</v>
      </c>
      <c r="B20" s="13">
        <v>15</v>
      </c>
      <c r="C20" s="14"/>
      <c r="D20" s="15"/>
      <c r="E20" s="19">
        <v>2000</v>
      </c>
      <c r="F20" s="16">
        <f t="shared" si="0"/>
        <v>2000</v>
      </c>
      <c r="G20" s="16">
        <f>1500+500</f>
        <v>2000</v>
      </c>
      <c r="H20" s="17">
        <f t="shared" si="1"/>
        <v>0</v>
      </c>
      <c r="I20" s="15"/>
    </row>
    <row r="21" spans="1:14" x14ac:dyDescent="0.25">
      <c r="A21" s="22" t="s">
        <v>34</v>
      </c>
      <c r="B21" s="25">
        <v>16</v>
      </c>
      <c r="C21" s="14"/>
      <c r="D21" s="15"/>
      <c r="E21" s="19">
        <v>2000</v>
      </c>
      <c r="F21" s="16">
        <f t="shared" si="0"/>
        <v>2000</v>
      </c>
      <c r="G21" s="16">
        <f>1000+1000</f>
        <v>2000</v>
      </c>
      <c r="H21" s="17">
        <f>F21-G21</f>
        <v>0</v>
      </c>
      <c r="I21" s="15"/>
    </row>
    <row r="22" spans="1:14" x14ac:dyDescent="0.25">
      <c r="A22" s="22" t="s">
        <v>32</v>
      </c>
      <c r="B22" s="13">
        <v>17</v>
      </c>
      <c r="C22" s="14"/>
      <c r="D22" s="15"/>
      <c r="E22" s="19">
        <v>3800</v>
      </c>
      <c r="F22" s="16">
        <f t="shared" si="0"/>
        <v>3800</v>
      </c>
      <c r="G22" s="16">
        <f>2000+1800</f>
        <v>3800</v>
      </c>
      <c r="H22" s="17">
        <f t="shared" si="1"/>
        <v>0</v>
      </c>
      <c r="I22" s="15"/>
    </row>
    <row r="23" spans="1:14" x14ac:dyDescent="0.25">
      <c r="A23" s="27" t="s">
        <v>33</v>
      </c>
      <c r="B23" s="28"/>
      <c r="C23" s="14">
        <f>SUM(C6:C22)</f>
        <v>6000</v>
      </c>
      <c r="D23" s="15"/>
      <c r="E23" s="29">
        <f>SUM(E6:E22)</f>
        <v>30300</v>
      </c>
      <c r="F23" s="16">
        <f>SUM(F6:F22)</f>
        <v>36300</v>
      </c>
      <c r="G23" s="16">
        <f>SUM(G6:G22)</f>
        <v>34100</v>
      </c>
      <c r="H23" s="16">
        <f>SUM(H6:H22)</f>
        <v>2200</v>
      </c>
      <c r="I23" s="15">
        <f>SUM(I6:I22)</f>
        <v>0</v>
      </c>
    </row>
    <row r="24" spans="1:14" x14ac:dyDescent="0.25">
      <c r="H24" s="30"/>
      <c r="I24" s="3"/>
    </row>
    <row r="26" spans="1:14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14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30"/>
    </row>
    <row r="28" spans="1:14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14" x14ac:dyDescent="0.25">
      <c r="A29" s="28" t="s">
        <v>40</v>
      </c>
      <c r="B29" s="40">
        <f>E23</f>
        <v>30300</v>
      </c>
      <c r="C29" s="28"/>
      <c r="D29" s="28"/>
      <c r="E29" s="28" t="s">
        <v>40</v>
      </c>
      <c r="F29" s="40">
        <f>G23</f>
        <v>34100</v>
      </c>
      <c r="G29" s="28"/>
      <c r="H29" s="28"/>
      <c r="I29" s="36"/>
    </row>
    <row r="30" spans="1:14" x14ac:dyDescent="0.25">
      <c r="A30" s="28" t="s">
        <v>18</v>
      </c>
      <c r="B30" s="40">
        <f>'AUGUST 20'!D47</f>
        <v>5720</v>
      </c>
      <c r="C30" s="28"/>
      <c r="D30" s="28"/>
      <c r="E30" s="28" t="s">
        <v>18</v>
      </c>
      <c r="F30" s="40">
        <f>'AUGUST 20'!H47</f>
        <v>5720</v>
      </c>
      <c r="G30" s="28"/>
      <c r="H30" s="28"/>
      <c r="I30" s="36"/>
      <c r="N30" s="41"/>
    </row>
    <row r="31" spans="1:14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14" x14ac:dyDescent="0.25">
      <c r="A32" s="28" t="s">
        <v>62</v>
      </c>
      <c r="B32" s="40">
        <f>800+1000+1700+1000</f>
        <v>4500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3030</v>
      </c>
      <c r="D33" s="28"/>
      <c r="E33" s="28" t="s">
        <v>20</v>
      </c>
      <c r="F33" s="41">
        <v>0.1</v>
      </c>
      <c r="G33" s="40">
        <f>F33*B29</f>
        <v>3030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51</v>
      </c>
      <c r="C36">
        <v>5877</v>
      </c>
      <c r="D36" s="44"/>
      <c r="E36" s="42" t="s">
        <v>51</v>
      </c>
      <c r="G36">
        <v>5877</v>
      </c>
      <c r="H36" s="28"/>
      <c r="I36" s="3"/>
    </row>
    <row r="37" spans="1:10" x14ac:dyDescent="0.25">
      <c r="A37" s="42" t="s">
        <v>56</v>
      </c>
      <c r="B37" s="41"/>
      <c r="C37" s="28">
        <v>18602</v>
      </c>
      <c r="D37" s="28"/>
      <c r="E37" s="42" t="s">
        <v>56</v>
      </c>
      <c r="F37" s="41"/>
      <c r="G37" s="28">
        <v>18602</v>
      </c>
      <c r="H37" s="28"/>
      <c r="I37" s="36"/>
    </row>
    <row r="38" spans="1:10" x14ac:dyDescent="0.25">
      <c r="A38" s="42" t="s">
        <v>59</v>
      </c>
      <c r="B38" s="41"/>
      <c r="C38" s="28">
        <v>8000</v>
      </c>
      <c r="D38" s="28"/>
      <c r="E38" s="42" t="s">
        <v>59</v>
      </c>
      <c r="F38" s="41"/>
      <c r="G38" s="28">
        <v>8000</v>
      </c>
      <c r="H38" s="28"/>
      <c r="I38" s="45"/>
      <c r="J38" s="30"/>
    </row>
    <row r="39" spans="1:10" x14ac:dyDescent="0.25">
      <c r="A39" s="42"/>
      <c r="B39" s="28"/>
      <c r="C39" s="44"/>
      <c r="D39" s="28"/>
      <c r="E39" s="42"/>
      <c r="F39" s="28"/>
      <c r="G39" s="44"/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37490</v>
      </c>
      <c r="C41" s="46">
        <f>SUM(C35:C40)</f>
        <v>32479</v>
      </c>
      <c r="D41" s="46">
        <f>B41-C41</f>
        <v>5011</v>
      </c>
      <c r="E41" s="39" t="s">
        <v>24</v>
      </c>
      <c r="F41" s="46">
        <f>F29+F30+F32-G33</f>
        <v>36790</v>
      </c>
      <c r="G41" s="46">
        <f>SUM(G35:G40)</f>
        <v>32479</v>
      </c>
      <c r="H41" s="46">
        <f>F41-G41</f>
        <v>4311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3"/>
      <c r="I43" s="4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C54" sqref="C54"/>
    </sheetView>
  </sheetViews>
  <sheetFormatPr defaultRowHeight="15" x14ac:dyDescent="0.25"/>
  <cols>
    <col min="1" max="1" width="16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57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8" t="s">
        <v>41</v>
      </c>
      <c r="B6" s="13">
        <v>1</v>
      </c>
      <c r="C6" s="14"/>
      <c r="D6" s="15">
        <f>'SEPTEMBER 20'!H6:H23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42</v>
      </c>
      <c r="B7" s="13">
        <v>2</v>
      </c>
      <c r="C7" s="14"/>
      <c r="D7" s="15">
        <f>'SEPTEMBER 20'!H7:H24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</row>
    <row r="8" spans="1:9" x14ac:dyDescent="0.25">
      <c r="A8" s="20"/>
      <c r="B8" s="13">
        <v>3</v>
      </c>
      <c r="C8" s="14"/>
      <c r="D8" s="15">
        <f>'SEPTEMBER 20'!H8:H25</f>
        <v>0</v>
      </c>
      <c r="E8" s="19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21"/>
      <c r="B9" s="13">
        <v>4</v>
      </c>
      <c r="C9" s="14"/>
      <c r="D9" s="15"/>
      <c r="E9" s="19"/>
      <c r="F9" s="16"/>
      <c r="G9" s="16"/>
      <c r="H9" s="17"/>
      <c r="I9" s="15"/>
    </row>
    <row r="10" spans="1:9" x14ac:dyDescent="0.25">
      <c r="A10" s="21"/>
      <c r="B10" s="13">
        <v>5</v>
      </c>
      <c r="C10" s="14"/>
      <c r="D10" s="15">
        <f>'SEPTEMBER 20'!H10:H27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</row>
    <row r="11" spans="1:9" x14ac:dyDescent="0.25">
      <c r="A11" s="18" t="s">
        <v>38</v>
      </c>
      <c r="B11" s="13">
        <v>6</v>
      </c>
      <c r="C11" s="14"/>
      <c r="D11" s="15">
        <f>'SEPTEMBER 20'!H11:H28</f>
        <v>0</v>
      </c>
      <c r="E11" s="19">
        <v>2500</v>
      </c>
      <c r="F11" s="16">
        <f>C11+D11+E11</f>
        <v>2500</v>
      </c>
      <c r="G11" s="16">
        <v>2500</v>
      </c>
      <c r="H11" s="17">
        <f t="shared" si="1"/>
        <v>0</v>
      </c>
      <c r="I11" s="15"/>
    </row>
    <row r="12" spans="1:9" x14ac:dyDescent="0.25">
      <c r="A12" s="21" t="s">
        <v>47</v>
      </c>
      <c r="B12" s="13">
        <v>7</v>
      </c>
      <c r="C12" s="14"/>
      <c r="D12" s="15">
        <f>'SEPTEMBER 20'!H12:H29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50"/>
      <c r="B13" s="13">
        <v>8</v>
      </c>
      <c r="C13" s="14"/>
      <c r="D13" s="15">
        <f>'SEPTEMBER 20'!H13:H30</f>
        <v>0</v>
      </c>
      <c r="E13" s="19"/>
      <c r="F13" s="16"/>
      <c r="G13" s="16"/>
      <c r="H13" s="17"/>
      <c r="I13" s="15"/>
    </row>
    <row r="14" spans="1:9" x14ac:dyDescent="0.25">
      <c r="A14" s="50" t="s">
        <v>46</v>
      </c>
      <c r="B14" s="13">
        <v>9</v>
      </c>
      <c r="C14" s="14"/>
      <c r="D14" s="15">
        <f>'SEPTEMBER 20'!H14:H31</f>
        <v>500</v>
      </c>
      <c r="E14" s="19">
        <v>2500</v>
      </c>
      <c r="F14" s="16">
        <f t="shared" si="0"/>
        <v>3000</v>
      </c>
      <c r="G14" s="16">
        <v>2500</v>
      </c>
      <c r="H14" s="17">
        <f t="shared" si="1"/>
        <v>500</v>
      </c>
      <c r="I14" s="15"/>
    </row>
    <row r="15" spans="1:9" x14ac:dyDescent="0.25">
      <c r="A15" s="12" t="s">
        <v>52</v>
      </c>
      <c r="B15" s="24">
        <v>10</v>
      </c>
      <c r="C15" s="14"/>
      <c r="D15" s="15">
        <f>'SEPTEMBER 20'!H15:H32</f>
        <v>400</v>
      </c>
      <c r="E15" s="19">
        <v>2000</v>
      </c>
      <c r="F15" s="16">
        <f t="shared" si="0"/>
        <v>2400</v>
      </c>
      <c r="G15" s="16">
        <v>2400</v>
      </c>
      <c r="H15" s="17">
        <f t="shared" si="1"/>
        <v>0</v>
      </c>
      <c r="I15" s="15"/>
    </row>
    <row r="16" spans="1:9" x14ac:dyDescent="0.25">
      <c r="A16" s="23" t="s">
        <v>61</v>
      </c>
      <c r="B16" s="13">
        <v>11</v>
      </c>
      <c r="C16" s="14"/>
      <c r="D16" s="15">
        <f>'SEPTEMBER 20'!H16:H33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</row>
    <row r="17" spans="1:9" x14ac:dyDescent="0.25">
      <c r="A17" s="18"/>
      <c r="B17" s="13">
        <v>12</v>
      </c>
      <c r="C17" s="14"/>
      <c r="D17" s="15">
        <f>'SEPTEMBER 20'!H17:H34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2" t="s">
        <v>35</v>
      </c>
      <c r="B18" s="13">
        <v>13</v>
      </c>
      <c r="C18" s="14"/>
      <c r="D18" s="15">
        <f>'SEPTEMBER 20'!H18:H35</f>
        <v>0</v>
      </c>
      <c r="E18" s="19">
        <v>2000</v>
      </c>
      <c r="F18" s="16">
        <f t="shared" si="0"/>
        <v>2000</v>
      </c>
      <c r="G18" s="16">
        <f>2000</f>
        <v>2000</v>
      </c>
      <c r="H18" s="17">
        <f t="shared" si="1"/>
        <v>0</v>
      </c>
      <c r="I18" s="15"/>
    </row>
    <row r="19" spans="1:9" x14ac:dyDescent="0.25">
      <c r="A19" s="20" t="s">
        <v>43</v>
      </c>
      <c r="B19" s="13">
        <v>14</v>
      </c>
      <c r="C19" s="14"/>
      <c r="D19" s="15">
        <f>'SEPTEMBER 20'!H19:H36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18" t="s">
        <v>44</v>
      </c>
      <c r="B20" s="13">
        <v>15</v>
      </c>
      <c r="C20" s="14"/>
      <c r="D20" s="15">
        <f>'SEPTEMBER 20'!H20:H37</f>
        <v>0</v>
      </c>
      <c r="E20" s="19">
        <v>2000</v>
      </c>
      <c r="F20" s="16">
        <f t="shared" si="0"/>
        <v>2000</v>
      </c>
      <c r="G20" s="16">
        <f>1500</f>
        <v>1500</v>
      </c>
      <c r="H20" s="17">
        <f>F20-G20</f>
        <v>500</v>
      </c>
      <c r="I20" s="15"/>
    </row>
    <row r="21" spans="1:9" x14ac:dyDescent="0.25">
      <c r="A21" s="22" t="s">
        <v>34</v>
      </c>
      <c r="B21" s="25">
        <v>16</v>
      </c>
      <c r="C21" s="14"/>
      <c r="D21" s="15">
        <f>'SEPTEMBER 20'!H21:H38</f>
        <v>0</v>
      </c>
      <c r="E21" s="19">
        <v>2000</v>
      </c>
      <c r="F21" s="16">
        <f t="shared" si="0"/>
        <v>2000</v>
      </c>
      <c r="G21" s="16">
        <f>2000</f>
        <v>2000</v>
      </c>
      <c r="H21" s="17">
        <f>F21-G21</f>
        <v>0</v>
      </c>
      <c r="I21" s="15"/>
    </row>
    <row r="22" spans="1:9" x14ac:dyDescent="0.25">
      <c r="A22" s="22" t="s">
        <v>32</v>
      </c>
      <c r="B22" s="13">
        <v>17</v>
      </c>
      <c r="C22" s="14"/>
      <c r="D22" s="15">
        <f>'SEPTEMBER 20'!H22:H39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</row>
    <row r="23" spans="1:9" x14ac:dyDescent="0.25">
      <c r="A23" s="27" t="s">
        <v>33</v>
      </c>
      <c r="B23" s="28"/>
      <c r="C23" s="14">
        <f>SUM(C6:C22)</f>
        <v>0</v>
      </c>
      <c r="D23" s="15">
        <f>'SEPTEMBER 20'!H23:H40</f>
        <v>2200</v>
      </c>
      <c r="E23" s="29">
        <f>SUM(E6:E22)</f>
        <v>24300</v>
      </c>
      <c r="F23" s="16">
        <f>SUM(F6:F22)</f>
        <v>25500</v>
      </c>
      <c r="G23" s="16">
        <f>SUM(G6:G22)</f>
        <v>24200</v>
      </c>
      <c r="H23" s="16">
        <f>SUM(H6:H22)</f>
        <v>1300</v>
      </c>
      <c r="I23" s="15">
        <f>SUM(I6:I22)</f>
        <v>0</v>
      </c>
    </row>
    <row r="24" spans="1:9" x14ac:dyDescent="0.25">
      <c r="D24" s="15">
        <f>'SEPTEMBER 20'!H24:H41</f>
        <v>0</v>
      </c>
      <c r="H24" s="30"/>
      <c r="I24" s="3"/>
    </row>
    <row r="26" spans="1: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</row>
    <row r="28" spans="1: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9" x14ac:dyDescent="0.25">
      <c r="A29" s="28" t="s">
        <v>58</v>
      </c>
      <c r="B29" s="40">
        <f>E23</f>
        <v>24300</v>
      </c>
      <c r="C29" s="28"/>
      <c r="D29" s="28"/>
      <c r="E29" s="28" t="s">
        <v>58</v>
      </c>
      <c r="F29" s="40">
        <f>G23</f>
        <v>24200</v>
      </c>
      <c r="G29" s="28"/>
      <c r="H29" s="28"/>
      <c r="I29" s="36"/>
    </row>
    <row r="30" spans="1:9" x14ac:dyDescent="0.25">
      <c r="A30" s="28" t="s">
        <v>18</v>
      </c>
      <c r="B30" s="40">
        <f>'SEPTEMBER 20'!D41</f>
        <v>5011</v>
      </c>
      <c r="C30" s="28"/>
      <c r="D30" s="28"/>
      <c r="E30" s="28" t="s">
        <v>18</v>
      </c>
      <c r="F30" s="40">
        <f>'SEPTEMBER 20'!H41</f>
        <v>4311</v>
      </c>
      <c r="G30" s="28"/>
      <c r="H30" s="28"/>
      <c r="I30" s="36"/>
    </row>
    <row r="31" spans="1: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9" x14ac:dyDescent="0.25">
      <c r="A32" s="28" t="s">
        <v>4</v>
      </c>
      <c r="B32" s="40">
        <v>400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2430</v>
      </c>
      <c r="D33" s="28"/>
      <c r="E33" s="28" t="s">
        <v>20</v>
      </c>
      <c r="F33" s="41">
        <v>0.1</v>
      </c>
      <c r="G33" s="40">
        <f>F33*B29</f>
        <v>2430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63</v>
      </c>
      <c r="C36">
        <v>20000</v>
      </c>
      <c r="D36" s="44"/>
      <c r="E36" s="42" t="s">
        <v>63</v>
      </c>
      <c r="G36">
        <v>20000</v>
      </c>
      <c r="H36" s="28"/>
      <c r="I36" s="3"/>
    </row>
    <row r="37" spans="1:10" x14ac:dyDescent="0.25">
      <c r="A37" s="42" t="s">
        <v>66</v>
      </c>
      <c r="B37" s="41"/>
      <c r="C37" s="28">
        <v>7077</v>
      </c>
      <c r="D37" s="28"/>
      <c r="E37" s="42" t="s">
        <v>66</v>
      </c>
      <c r="F37" s="41"/>
      <c r="G37" s="28">
        <v>7077</v>
      </c>
      <c r="H37" s="28"/>
      <c r="I37" s="36"/>
    </row>
    <row r="38" spans="1:10" x14ac:dyDescent="0.25">
      <c r="A38" s="42"/>
      <c r="B38" s="41"/>
      <c r="C38" s="28"/>
      <c r="D38" s="28"/>
      <c r="E38" s="42"/>
      <c r="F38" s="41"/>
      <c r="G38" s="28"/>
      <c r="H38" s="28"/>
      <c r="I38" s="45"/>
      <c r="J38" s="30"/>
    </row>
    <row r="39" spans="1:10" x14ac:dyDescent="0.25">
      <c r="A39" s="42"/>
      <c r="B39" s="28"/>
      <c r="C39" s="44"/>
      <c r="D39" s="28"/>
      <c r="E39" s="42"/>
      <c r="F39" s="28"/>
      <c r="G39" s="44"/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27281</v>
      </c>
      <c r="C41" s="46">
        <f>SUM(C35:C40)</f>
        <v>27077</v>
      </c>
      <c r="D41" s="46">
        <f>B41-C41</f>
        <v>204</v>
      </c>
      <c r="E41" s="39" t="s">
        <v>24</v>
      </c>
      <c r="F41" s="46">
        <f>F29+F30+F32-G33</f>
        <v>26081</v>
      </c>
      <c r="G41" s="46">
        <f>SUM(G35:G40)</f>
        <v>27077</v>
      </c>
      <c r="H41" s="46">
        <f>F41-G41</f>
        <v>-996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3"/>
      <c r="I43" s="4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H44" sqref="H44"/>
    </sheetView>
  </sheetViews>
  <sheetFormatPr defaultRowHeight="15" x14ac:dyDescent="0.25"/>
  <cols>
    <col min="1" max="1" width="17.285156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64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8" t="s">
        <v>41</v>
      </c>
      <c r="B6" s="13">
        <v>1</v>
      </c>
      <c r="C6" s="14"/>
      <c r="D6" s="15">
        <f>'OCTOBER 20'!H6:H23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10" x14ac:dyDescent="0.25">
      <c r="A7" t="s">
        <v>42</v>
      </c>
      <c r="B7" s="13">
        <v>2</v>
      </c>
      <c r="C7" s="14"/>
      <c r="D7" s="15">
        <f>'OCTOBER 20'!H7:H24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22" si="1">F7-G7</f>
        <v>0</v>
      </c>
      <c r="I7" s="15"/>
    </row>
    <row r="8" spans="1:10" x14ac:dyDescent="0.25">
      <c r="A8" s="20"/>
      <c r="B8" s="13">
        <v>3</v>
      </c>
      <c r="C8" s="14"/>
      <c r="D8" s="15">
        <f>'OCTOBER 20'!H8:H25</f>
        <v>0</v>
      </c>
      <c r="E8" s="19"/>
      <c r="F8" s="16">
        <f t="shared" si="0"/>
        <v>0</v>
      </c>
      <c r="G8" s="16"/>
      <c r="H8" s="17">
        <f t="shared" si="1"/>
        <v>0</v>
      </c>
      <c r="I8" s="15"/>
    </row>
    <row r="9" spans="1:10" x14ac:dyDescent="0.25">
      <c r="A9" s="21" t="s">
        <v>67</v>
      </c>
      <c r="B9" s="13">
        <v>4</v>
      </c>
      <c r="C9" s="14"/>
      <c r="D9" s="15">
        <f>'OCTOBER 20'!H9:H26</f>
        <v>0</v>
      </c>
      <c r="E9" s="19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1"/>
      <c r="B10" s="13">
        <v>5</v>
      </c>
      <c r="C10" s="14"/>
      <c r="D10" s="15">
        <f>'OCTOBER 20'!H10:H27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</row>
    <row r="11" spans="1:10" x14ac:dyDescent="0.25">
      <c r="A11" s="18" t="s">
        <v>38</v>
      </c>
      <c r="B11" s="13">
        <v>6</v>
      </c>
      <c r="C11" s="14"/>
      <c r="D11" s="15">
        <f>'OCTOBER 20'!H11:H28</f>
        <v>0</v>
      </c>
      <c r="E11" s="19">
        <v>2000</v>
      </c>
      <c r="F11" s="16">
        <f t="shared" si="0"/>
        <v>2000</v>
      </c>
      <c r="G11" s="16">
        <v>2000</v>
      </c>
      <c r="H11" s="17">
        <f t="shared" si="1"/>
        <v>0</v>
      </c>
      <c r="I11" s="15"/>
      <c r="J11" t="s">
        <v>54</v>
      </c>
    </row>
    <row r="12" spans="1:10" x14ac:dyDescent="0.25">
      <c r="A12" s="21" t="s">
        <v>47</v>
      </c>
      <c r="B12" s="13">
        <v>7</v>
      </c>
      <c r="C12" s="14"/>
      <c r="D12" s="15">
        <f>'OCTOBER 20'!H12:H29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10" x14ac:dyDescent="0.25">
      <c r="A13" s="50" t="s">
        <v>68</v>
      </c>
      <c r="B13" s="13">
        <v>8</v>
      </c>
      <c r="C13" s="14">
        <v>1000</v>
      </c>
      <c r="D13" s="15"/>
      <c r="E13" s="19">
        <v>2000</v>
      </c>
      <c r="F13" s="16">
        <f t="shared" si="0"/>
        <v>3000</v>
      </c>
      <c r="G13" s="16">
        <f>3000</f>
        <v>3000</v>
      </c>
      <c r="H13" s="17"/>
      <c r="I13" s="15"/>
    </row>
    <row r="14" spans="1:10" x14ac:dyDescent="0.25">
      <c r="A14" s="50" t="s">
        <v>46</v>
      </c>
      <c r="B14" s="13">
        <v>9</v>
      </c>
      <c r="C14" s="14"/>
      <c r="D14" s="15">
        <f>'OCTOBER 20'!H14:H31</f>
        <v>500</v>
      </c>
      <c r="E14" s="19">
        <v>2500</v>
      </c>
      <c r="F14" s="16">
        <f t="shared" si="0"/>
        <v>3000</v>
      </c>
      <c r="G14" s="16">
        <v>2500</v>
      </c>
      <c r="H14" s="17">
        <f>F14-G14</f>
        <v>500</v>
      </c>
      <c r="I14" s="15"/>
    </row>
    <row r="15" spans="1:10" x14ac:dyDescent="0.25">
      <c r="A15" s="12" t="s">
        <v>52</v>
      </c>
      <c r="B15" s="24">
        <v>10</v>
      </c>
      <c r="C15" s="14"/>
      <c r="D15" s="15">
        <f>'OCTOBER 20'!H15:H32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61</v>
      </c>
      <c r="B16" s="13">
        <v>11</v>
      </c>
      <c r="C16" s="14"/>
      <c r="D16" s="15">
        <f>'OCTOBER 20'!H16:H33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</row>
    <row r="17" spans="1:10" x14ac:dyDescent="0.25">
      <c r="A17" s="18"/>
      <c r="B17" s="13">
        <v>12</v>
      </c>
      <c r="C17" s="14"/>
      <c r="D17" s="15">
        <f>'OCTOBER 20'!H17:H34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2" t="s">
        <v>35</v>
      </c>
      <c r="B18" s="13">
        <v>13</v>
      </c>
      <c r="C18" s="14"/>
      <c r="D18" s="15">
        <f>'OCTOBER 20'!H18:H35</f>
        <v>0</v>
      </c>
      <c r="E18" s="19">
        <v>2000</v>
      </c>
      <c r="F18" s="16">
        <f t="shared" si="0"/>
        <v>2000</v>
      </c>
      <c r="G18" s="16"/>
      <c r="H18" s="17"/>
      <c r="I18" s="15"/>
      <c r="J18" t="s">
        <v>54</v>
      </c>
    </row>
    <row r="19" spans="1:10" x14ac:dyDescent="0.25">
      <c r="A19" s="20" t="s">
        <v>43</v>
      </c>
      <c r="B19" s="13">
        <v>14</v>
      </c>
      <c r="C19" s="14"/>
      <c r="D19" s="15">
        <f>'OCTOBER 20'!H19:H36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18" t="s">
        <v>44</v>
      </c>
      <c r="B20" s="13">
        <v>15</v>
      </c>
      <c r="C20" s="14"/>
      <c r="D20" s="15">
        <f>'OCTOBER 20'!H20:H37</f>
        <v>500</v>
      </c>
      <c r="E20" s="19">
        <v>2000</v>
      </c>
      <c r="F20" s="16">
        <f t="shared" si="0"/>
        <v>2500</v>
      </c>
      <c r="G20" s="16">
        <f>1500+500</f>
        <v>2000</v>
      </c>
      <c r="H20" s="17">
        <f>F20-G20</f>
        <v>500</v>
      </c>
      <c r="I20" s="15"/>
    </row>
    <row r="21" spans="1:10" x14ac:dyDescent="0.25">
      <c r="A21" s="22" t="s">
        <v>34</v>
      </c>
      <c r="B21" s="25">
        <v>16</v>
      </c>
      <c r="C21" s="14"/>
      <c r="D21" s="15">
        <f>'OCTOBER 20'!H21:H38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</row>
    <row r="22" spans="1:10" x14ac:dyDescent="0.25">
      <c r="A22" s="22" t="s">
        <v>32</v>
      </c>
      <c r="B22" s="13">
        <v>17</v>
      </c>
      <c r="C22" s="14"/>
      <c r="D22" s="15">
        <f>'OCTOBER 20'!H22:H39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</row>
    <row r="23" spans="1:10" x14ac:dyDescent="0.25">
      <c r="A23" s="27" t="s">
        <v>33</v>
      </c>
      <c r="B23" s="28"/>
      <c r="C23" s="14">
        <f>SUM(C6:C22)</f>
        <v>1000</v>
      </c>
      <c r="D23" s="15">
        <f>'OCTOBER 20'!H23:H40</f>
        <v>1300</v>
      </c>
      <c r="E23" s="29">
        <f>SUM(E6:E22)</f>
        <v>27800</v>
      </c>
      <c r="F23" s="16">
        <f>SUM(F6:F22)</f>
        <v>30100</v>
      </c>
      <c r="G23" s="16">
        <f>SUM(G6:G22)</f>
        <v>26800</v>
      </c>
      <c r="H23" s="16">
        <f>SUM(H6:H22)</f>
        <v>1300</v>
      </c>
      <c r="I23" s="15">
        <f>SUM(I6:I22)</f>
        <v>0</v>
      </c>
    </row>
    <row r="24" spans="1:10" x14ac:dyDescent="0.25">
      <c r="D24" s="15">
        <f>'SEPTEMBER 20'!H24:H41</f>
        <v>0</v>
      </c>
      <c r="H24" s="30"/>
      <c r="I24" s="3"/>
    </row>
    <row r="26" spans="1:10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10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</row>
    <row r="28" spans="1:10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10" x14ac:dyDescent="0.25">
      <c r="A29" s="28" t="s">
        <v>65</v>
      </c>
      <c r="B29" s="40">
        <f>E23</f>
        <v>27800</v>
      </c>
      <c r="C29" s="28"/>
      <c r="D29" s="28"/>
      <c r="E29" s="28" t="s">
        <v>65</v>
      </c>
      <c r="F29" s="40">
        <f>G23</f>
        <v>26800</v>
      </c>
      <c r="G29" s="28"/>
      <c r="H29" s="28"/>
      <c r="I29" s="36"/>
    </row>
    <row r="30" spans="1:10" x14ac:dyDescent="0.25">
      <c r="A30" s="28" t="s">
        <v>18</v>
      </c>
      <c r="B30" s="40">
        <f>'OCTOBER 20'!D41</f>
        <v>204</v>
      </c>
      <c r="C30" s="28"/>
      <c r="D30" s="28"/>
      <c r="E30" s="28" t="s">
        <v>18</v>
      </c>
      <c r="F30" s="40">
        <f>'OCTOBER 20'!H41</f>
        <v>-996</v>
      </c>
      <c r="G30" s="28"/>
      <c r="H30" s="28"/>
      <c r="I30" s="36"/>
    </row>
    <row r="31" spans="1:10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10" x14ac:dyDescent="0.25">
      <c r="A32" s="28" t="s">
        <v>70</v>
      </c>
      <c r="B32" s="40">
        <v>1000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2780</v>
      </c>
      <c r="D33" s="28"/>
      <c r="E33" s="28" t="s">
        <v>20</v>
      </c>
      <c r="F33" s="41">
        <v>0.1</v>
      </c>
      <c r="G33" s="40">
        <f>F33*B29</f>
        <v>2780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69</v>
      </c>
      <c r="C36">
        <f>18602-3500</f>
        <v>15102</v>
      </c>
      <c r="D36" s="44"/>
      <c r="E36" s="42" t="s">
        <v>69</v>
      </c>
      <c r="G36">
        <f>18602-3500</f>
        <v>15102</v>
      </c>
      <c r="H36" s="28"/>
      <c r="I36" s="3"/>
    </row>
    <row r="37" spans="1:10" x14ac:dyDescent="0.25">
      <c r="A37" s="42" t="s">
        <v>71</v>
      </c>
      <c r="B37" s="41"/>
      <c r="C37" s="28">
        <v>5877</v>
      </c>
      <c r="D37" s="28"/>
      <c r="E37" s="42" t="s">
        <v>71</v>
      </c>
      <c r="F37" s="41"/>
      <c r="G37" s="28">
        <v>5877</v>
      </c>
      <c r="H37" s="28"/>
      <c r="I37" s="36"/>
    </row>
    <row r="38" spans="1:10" x14ac:dyDescent="0.25">
      <c r="A38" s="42" t="s">
        <v>72</v>
      </c>
      <c r="B38" s="41"/>
      <c r="C38" s="28">
        <v>2000</v>
      </c>
      <c r="D38" s="28"/>
      <c r="E38" s="42"/>
      <c r="F38" s="41"/>
      <c r="G38" s="28"/>
      <c r="H38" s="28"/>
      <c r="I38" s="45"/>
      <c r="J38" s="30"/>
    </row>
    <row r="39" spans="1:10" x14ac:dyDescent="0.25">
      <c r="A39" s="42" t="s">
        <v>75</v>
      </c>
      <c r="B39" s="28"/>
      <c r="C39" s="44">
        <v>2500</v>
      </c>
      <c r="D39" s="28"/>
      <c r="E39" s="42" t="s">
        <v>75</v>
      </c>
      <c r="F39" s="28"/>
      <c r="G39" s="44">
        <v>2500</v>
      </c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26224</v>
      </c>
      <c r="C41" s="46">
        <f>SUM(C35:C40)</f>
        <v>25479</v>
      </c>
      <c r="D41" s="46">
        <f>B41-C41</f>
        <v>745</v>
      </c>
      <c r="E41" s="39" t="s">
        <v>24</v>
      </c>
      <c r="F41" s="46">
        <f>F29+F30+F32-G33</f>
        <v>23024</v>
      </c>
      <c r="G41" s="46">
        <f>SUM(G35:G40)</f>
        <v>23479</v>
      </c>
      <c r="H41" s="46">
        <f>F41-G41</f>
        <v>-455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45">
        <f>H23+H41</f>
        <v>845</v>
      </c>
      <c r="I43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7"/>
  <sheetViews>
    <sheetView topLeftCell="A7" workbookViewId="0">
      <selection activeCell="I32" sqref="I32"/>
    </sheetView>
  </sheetViews>
  <sheetFormatPr defaultRowHeight="15" x14ac:dyDescent="0.25"/>
  <cols>
    <col min="1" max="1" width="16.5703125" customWidth="1"/>
    <col min="10" max="10" width="9.140625" customWidth="1"/>
    <col min="11" max="11" width="16.28515625" customWidth="1"/>
    <col min="12" max="12" width="7.42578125" customWidth="1"/>
    <col min="14" max="14" width="7.140625" customWidth="1"/>
    <col min="15" max="15" width="10.28515625" customWidth="1"/>
  </cols>
  <sheetData>
    <row r="2" spans="1:20" ht="15.75" x14ac:dyDescent="0.25">
      <c r="A2" s="1"/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B3" s="1" t="s">
        <v>0</v>
      </c>
      <c r="D3" s="1" t="s">
        <v>31</v>
      </c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74</v>
      </c>
      <c r="C4" s="1"/>
      <c r="D4" s="1"/>
      <c r="E4" s="1"/>
      <c r="F4" s="6"/>
      <c r="G4" s="7"/>
      <c r="H4" s="3"/>
      <c r="I4" s="3"/>
      <c r="K4" s="5"/>
      <c r="L4" s="1" t="s">
        <v>74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NOVEMBER20!H6:H22</f>
        <v>0</v>
      </c>
      <c r="E6" s="16"/>
      <c r="F6" s="16">
        <f t="shared" ref="F6:F22" si="0">C6+D6+E6</f>
        <v>0</v>
      </c>
      <c r="G6" s="16"/>
      <c r="H6" s="17">
        <f t="shared" ref="H6:H22" si="1">F6-G6</f>
        <v>0</v>
      </c>
      <c r="I6" s="15"/>
      <c r="K6" s="18" t="s">
        <v>77</v>
      </c>
      <c r="L6" s="13">
        <v>1</v>
      </c>
      <c r="M6" s="14"/>
      <c r="N6" s="15"/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20" x14ac:dyDescent="0.25">
      <c r="A7" t="s">
        <v>42</v>
      </c>
      <c r="B7" s="13">
        <v>2</v>
      </c>
      <c r="C7" s="14"/>
      <c r="D7" s="15">
        <f>NOVEMBER20!H7:H23</f>
        <v>0</v>
      </c>
      <c r="E7" s="19">
        <v>1500</v>
      </c>
      <c r="F7" s="16">
        <f t="shared" si="0"/>
        <v>1500</v>
      </c>
      <c r="G7" s="16">
        <v>1500</v>
      </c>
      <c r="H7" s="17">
        <f t="shared" si="1"/>
        <v>0</v>
      </c>
      <c r="I7" s="15"/>
      <c r="K7" t="s">
        <v>97</v>
      </c>
      <c r="L7" s="13">
        <v>2</v>
      </c>
      <c r="M7" s="14"/>
      <c r="N7" s="15"/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  <c r="T7" t="s">
        <v>98</v>
      </c>
    </row>
    <row r="8" spans="1:20" x14ac:dyDescent="0.25">
      <c r="A8" s="20" t="s">
        <v>45</v>
      </c>
      <c r="B8" s="13">
        <v>3</v>
      </c>
      <c r="C8" s="14"/>
      <c r="D8" s="15">
        <f>NOVEMBER20!H8:H24</f>
        <v>0</v>
      </c>
      <c r="E8" s="19"/>
      <c r="F8" s="16">
        <f t="shared" si="0"/>
        <v>0</v>
      </c>
      <c r="G8" s="16"/>
      <c r="H8" s="17">
        <f t="shared" si="1"/>
        <v>0</v>
      </c>
      <c r="I8" s="15"/>
      <c r="K8" s="20" t="s">
        <v>78</v>
      </c>
      <c r="L8" s="13">
        <v>3</v>
      </c>
      <c r="M8" s="14"/>
      <c r="N8" s="15">
        <v>4000</v>
      </c>
      <c r="O8" s="16">
        <v>3500</v>
      </c>
      <c r="P8" s="16">
        <f t="shared" si="2"/>
        <v>7500</v>
      </c>
      <c r="Q8" s="16">
        <f>3500+4000</f>
        <v>7500</v>
      </c>
      <c r="R8" s="17">
        <f t="shared" si="3"/>
        <v>0</v>
      </c>
      <c r="S8" s="15">
        <v>4000</v>
      </c>
    </row>
    <row r="9" spans="1:20" x14ac:dyDescent="0.25">
      <c r="A9" s="21" t="s">
        <v>45</v>
      </c>
      <c r="B9" s="13">
        <v>4</v>
      </c>
      <c r="C9" s="14"/>
      <c r="D9" s="15">
        <f>NOVEMBER20!H9:H25</f>
        <v>0</v>
      </c>
      <c r="E9" s="19"/>
      <c r="F9" s="16">
        <f t="shared" si="0"/>
        <v>0</v>
      </c>
      <c r="G9" s="16"/>
      <c r="H9" s="17">
        <f t="shared" si="1"/>
        <v>0</v>
      </c>
      <c r="I9" s="15"/>
      <c r="K9" s="21"/>
      <c r="L9" s="13">
        <v>4</v>
      </c>
      <c r="M9" s="14"/>
      <c r="N9" s="15"/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1" t="s">
        <v>38</v>
      </c>
      <c r="B10" s="13">
        <v>5</v>
      </c>
      <c r="C10" s="14"/>
      <c r="D10" s="15">
        <f>NOVEMBER20!H10:H26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/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18" t="s">
        <v>45</v>
      </c>
      <c r="B11" s="13">
        <v>6</v>
      </c>
      <c r="C11" s="14"/>
      <c r="D11" s="15"/>
      <c r="E11" s="19"/>
      <c r="F11" s="16">
        <f t="shared" si="0"/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/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NOVEMBER20!H12:H28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/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45</v>
      </c>
      <c r="B13" s="13">
        <v>8</v>
      </c>
      <c r="C13" s="14"/>
      <c r="D13" s="15"/>
      <c r="E13" s="19"/>
      <c r="F13" s="16">
        <f t="shared" si="0"/>
        <v>0</v>
      </c>
      <c r="G13" s="16"/>
      <c r="H13" s="17">
        <f t="shared" si="1"/>
        <v>0</v>
      </c>
      <c r="I13" s="15"/>
      <c r="K13" s="50" t="s">
        <v>80</v>
      </c>
      <c r="L13" s="13">
        <v>8</v>
      </c>
      <c r="M13" s="14"/>
      <c r="N13" s="15"/>
      <c r="O13" s="16">
        <v>3500</v>
      </c>
      <c r="P13" s="16">
        <f t="shared" si="2"/>
        <v>3500</v>
      </c>
      <c r="Q13" s="16">
        <f>3500</f>
        <v>3500</v>
      </c>
      <c r="R13" s="17">
        <f t="shared" si="3"/>
        <v>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NOVEMBER20!H14:H30</f>
        <v>500</v>
      </c>
      <c r="E14" s="19">
        <v>2500</v>
      </c>
      <c r="F14" s="16">
        <f t="shared" si="0"/>
        <v>3000</v>
      </c>
      <c r="G14" s="16">
        <f>2000+500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/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20" x14ac:dyDescent="0.25">
      <c r="A15" s="12" t="s">
        <v>52</v>
      </c>
      <c r="B15" s="24">
        <v>10</v>
      </c>
      <c r="C15" s="14"/>
      <c r="D15" s="15">
        <f>NOVEMBER20!H15:H31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82</v>
      </c>
      <c r="L15" s="24">
        <v>10</v>
      </c>
      <c r="M15" s="14"/>
      <c r="N15" s="15"/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61</v>
      </c>
      <c r="B16" s="13">
        <v>11</v>
      </c>
      <c r="C16" s="14"/>
      <c r="D16" s="15">
        <f>NOVEMBER20!H16:H32</f>
        <v>300</v>
      </c>
      <c r="E16" s="19">
        <v>2000</v>
      </c>
      <c r="F16" s="16">
        <f t="shared" si="0"/>
        <v>2300</v>
      </c>
      <c r="G16" s="16">
        <v>2000</v>
      </c>
      <c r="H16" s="17">
        <f t="shared" si="1"/>
        <v>300</v>
      </c>
      <c r="I16" s="15"/>
      <c r="K16" s="23" t="s">
        <v>95</v>
      </c>
      <c r="L16" s="13">
        <v>11</v>
      </c>
      <c r="M16" s="14"/>
      <c r="N16" s="15"/>
      <c r="O16" s="16"/>
      <c r="P16" s="16">
        <f>M16+O1916+O16</f>
        <v>0</v>
      </c>
      <c r="Q16" s="16"/>
      <c r="R16" s="17"/>
      <c r="S16" s="15"/>
    </row>
    <row r="17" spans="1:19" x14ac:dyDescent="0.25">
      <c r="A17" s="18" t="s">
        <v>45</v>
      </c>
      <c r="B17" s="13">
        <v>12</v>
      </c>
      <c r="C17" s="14"/>
      <c r="D17" s="15">
        <f>NOVEMBER20!H17:H33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 t="s">
        <v>83</v>
      </c>
      <c r="L17" s="24">
        <v>12</v>
      </c>
      <c r="M17" s="14"/>
      <c r="N17" s="15"/>
      <c r="O17" s="16">
        <v>3500</v>
      </c>
      <c r="P17" s="16">
        <f t="shared" si="2"/>
        <v>3500</v>
      </c>
      <c r="Q17" s="16">
        <f>3000+500</f>
        <v>3500</v>
      </c>
      <c r="R17" s="17">
        <f t="shared" si="3"/>
        <v>0</v>
      </c>
      <c r="S17" s="15"/>
    </row>
    <row r="18" spans="1:19" x14ac:dyDescent="0.25">
      <c r="A18" s="22" t="s">
        <v>89</v>
      </c>
      <c r="B18" s="13">
        <v>13</v>
      </c>
      <c r="C18" s="14"/>
      <c r="D18" s="15">
        <f>NOVEMBER20!H18:H34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J18" t="s">
        <v>90</v>
      </c>
      <c r="K18" s="23" t="s">
        <v>29</v>
      </c>
      <c r="L18" s="13">
        <v>13</v>
      </c>
      <c r="M18" s="14"/>
      <c r="N18" s="15"/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43</v>
      </c>
      <c r="B19" s="13">
        <v>14</v>
      </c>
      <c r="C19" s="14"/>
      <c r="D19" s="15">
        <f>NOVEMBER20!H19:H35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/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NOVEMBER20!H20:H36</f>
        <v>500</v>
      </c>
      <c r="E20" s="19">
        <v>2000</v>
      </c>
      <c r="F20" s="16">
        <f t="shared" si="0"/>
        <v>2500</v>
      </c>
      <c r="G20" s="16">
        <f>2000</f>
        <v>2000</v>
      </c>
      <c r="H20" s="17">
        <f t="shared" si="1"/>
        <v>500</v>
      </c>
      <c r="I20" s="15"/>
      <c r="K20" s="23" t="s">
        <v>84</v>
      </c>
      <c r="L20" s="13">
        <v>15</v>
      </c>
      <c r="M20" s="14"/>
      <c r="N20" s="15">
        <f>17000+5000</f>
        <v>22000</v>
      </c>
      <c r="O20" s="16">
        <v>5000</v>
      </c>
      <c r="P20" s="16">
        <f>M20+N20+O20</f>
        <v>27000</v>
      </c>
      <c r="Q20" s="16"/>
      <c r="R20" s="17">
        <f t="shared" si="3"/>
        <v>27000</v>
      </c>
      <c r="S20" s="15"/>
    </row>
    <row r="21" spans="1:19" x14ac:dyDescent="0.25">
      <c r="A21" s="22" t="s">
        <v>34</v>
      </c>
      <c r="B21" s="25">
        <v>16</v>
      </c>
      <c r="C21" s="14"/>
      <c r="D21" s="15">
        <f>NOVEMBER20!H21:H37</f>
        <v>0</v>
      </c>
      <c r="E21" s="19">
        <v>2000</v>
      </c>
      <c r="F21" s="16">
        <f t="shared" si="0"/>
        <v>2000</v>
      </c>
      <c r="G21" s="16">
        <f>1500</f>
        <v>1500</v>
      </c>
      <c r="H21" s="17">
        <f t="shared" si="1"/>
        <v>500</v>
      </c>
      <c r="I21" s="15"/>
      <c r="K21" s="23"/>
      <c r="L21" s="24">
        <v>16</v>
      </c>
      <c r="M21" s="14"/>
      <c r="N21" s="15"/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NOVEMBER20!H22:H38</f>
        <v>0</v>
      </c>
      <c r="E22" s="19">
        <v>3800</v>
      </c>
      <c r="F22" s="16">
        <f t="shared" si="0"/>
        <v>3800</v>
      </c>
      <c r="G22" s="16">
        <v>3800</v>
      </c>
      <c r="H22" s="17">
        <f t="shared" si="1"/>
        <v>0</v>
      </c>
      <c r="I22" s="15"/>
      <c r="K22" s="23"/>
      <c r="L22" s="13">
        <v>17</v>
      </c>
      <c r="M22" s="14"/>
      <c r="N22" s="15"/>
      <c r="P22" s="16"/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>
        <f t="shared" ref="C23:I23" si="4">SUM(C6:C22)</f>
        <v>0</v>
      </c>
      <c r="D23" s="15">
        <f t="shared" si="4"/>
        <v>1300</v>
      </c>
      <c r="E23" s="29">
        <f t="shared" si="4"/>
        <v>23800</v>
      </c>
      <c r="F23" s="16">
        <f t="shared" si="4"/>
        <v>25100</v>
      </c>
      <c r="G23" s="16">
        <f t="shared" si="4"/>
        <v>23300</v>
      </c>
      <c r="H23" s="16">
        <f t="shared" si="4"/>
        <v>1800</v>
      </c>
      <c r="I23" s="15">
        <f t="shared" si="4"/>
        <v>0</v>
      </c>
      <c r="K23" s="23"/>
      <c r="L23" s="24">
        <v>18</v>
      </c>
      <c r="M23" s="14"/>
      <c r="N23" s="15"/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/>
      <c r="O24" s="16"/>
      <c r="P24" s="16"/>
      <c r="Q24" s="16"/>
      <c r="R24" s="17">
        <f t="shared" si="3"/>
        <v>0</v>
      </c>
      <c r="S24" s="15"/>
    </row>
    <row r="25" spans="1:19" x14ac:dyDescent="0.25">
      <c r="A25" s="3" t="s">
        <v>11</v>
      </c>
      <c r="B25" s="31"/>
      <c r="C25" s="32"/>
      <c r="D25" s="33"/>
      <c r="E25" s="34"/>
      <c r="F25" s="35"/>
      <c r="G25" s="34"/>
      <c r="H25" s="36"/>
      <c r="K25" s="23" t="s">
        <v>99</v>
      </c>
      <c r="L25" s="24">
        <v>20</v>
      </c>
      <c r="M25" s="14"/>
      <c r="N25" s="15"/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7" t="s">
        <v>12</v>
      </c>
      <c r="B26" s="37"/>
      <c r="C26" s="37"/>
      <c r="D26" s="38"/>
      <c r="E26" s="37" t="s">
        <v>8</v>
      </c>
      <c r="F26" s="3"/>
      <c r="G26" s="3"/>
      <c r="H26" s="3"/>
      <c r="I26" s="3"/>
      <c r="K26" s="22" t="s">
        <v>85</v>
      </c>
      <c r="L26" s="13">
        <v>21</v>
      </c>
      <c r="M26" s="14"/>
      <c r="N26" s="15"/>
      <c r="O26" s="16">
        <v>3500</v>
      </c>
      <c r="P26" s="16">
        <f t="shared" si="2"/>
        <v>3500</v>
      </c>
      <c r="Q26" s="16">
        <v>3500</v>
      </c>
      <c r="R26" s="17">
        <f t="shared" si="3"/>
        <v>0</v>
      </c>
      <c r="S26" s="15"/>
    </row>
    <row r="27" spans="1:19" x14ac:dyDescent="0.25">
      <c r="A27" s="39" t="s">
        <v>13</v>
      </c>
      <c r="B27" s="39" t="s">
        <v>14</v>
      </c>
      <c r="C27" s="39" t="s">
        <v>15</v>
      </c>
      <c r="D27" s="39" t="s">
        <v>16</v>
      </c>
      <c r="E27" s="39" t="s">
        <v>13</v>
      </c>
      <c r="F27" s="39" t="s">
        <v>14</v>
      </c>
      <c r="G27" s="39" t="s">
        <v>15</v>
      </c>
      <c r="H27" s="39" t="s">
        <v>16</v>
      </c>
      <c r="I27" s="3"/>
      <c r="K27" s="20" t="s">
        <v>86</v>
      </c>
      <c r="L27" s="24">
        <v>22</v>
      </c>
      <c r="M27" s="14"/>
      <c r="N27" s="15"/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28" t="s">
        <v>73</v>
      </c>
      <c r="B28" s="40">
        <f>E23</f>
        <v>23800</v>
      </c>
      <c r="C28" s="28"/>
      <c r="D28" s="28"/>
      <c r="E28" s="28" t="s">
        <v>73</v>
      </c>
      <c r="F28" s="40">
        <f>G23</f>
        <v>23300</v>
      </c>
      <c r="G28" s="28"/>
      <c r="H28" s="28"/>
      <c r="I28" s="3"/>
      <c r="K28" s="18"/>
      <c r="L28" s="13">
        <v>23</v>
      </c>
      <c r="M28" s="14"/>
      <c r="N28" s="15"/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18</v>
      </c>
      <c r="B29" s="40">
        <f>NOVEMBER20!D41</f>
        <v>745</v>
      </c>
      <c r="C29" s="28"/>
      <c r="D29" s="28"/>
      <c r="E29" s="28" t="s">
        <v>18</v>
      </c>
      <c r="F29" s="40">
        <f>NOVEMBER20!H41</f>
        <v>-455</v>
      </c>
      <c r="G29" s="28"/>
      <c r="H29" s="28"/>
      <c r="I29" s="36"/>
      <c r="K29" s="18"/>
      <c r="L29" s="24">
        <v>24</v>
      </c>
      <c r="M29" s="14"/>
      <c r="N29" s="15"/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10</v>
      </c>
      <c r="B30" s="40"/>
      <c r="C30" s="28"/>
      <c r="D30" s="28"/>
      <c r="E30" s="28"/>
      <c r="F30" s="40"/>
      <c r="G30" s="28"/>
      <c r="H30" s="28"/>
      <c r="I30" s="36"/>
      <c r="K30" s="18"/>
      <c r="L30" s="13">
        <v>25</v>
      </c>
      <c r="M30" s="14"/>
      <c r="N30" s="15"/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111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/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20</v>
      </c>
      <c r="B32" s="41">
        <v>0.1</v>
      </c>
      <c r="C32" s="40">
        <f>B32*B28</f>
        <v>2380</v>
      </c>
      <c r="D32" s="28"/>
      <c r="E32" s="28" t="s">
        <v>20</v>
      </c>
      <c r="F32" s="41">
        <v>0.1</v>
      </c>
      <c r="G32" s="40">
        <f>F32*B28</f>
        <v>2380</v>
      </c>
      <c r="H32" s="28"/>
      <c r="I32" s="3"/>
      <c r="K32" s="12"/>
      <c r="L32" s="13">
        <v>27</v>
      </c>
      <c r="M32" s="14"/>
      <c r="N32" s="15"/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21" x14ac:dyDescent="0.25">
      <c r="A33" s="39" t="s">
        <v>21</v>
      </c>
      <c r="B33" s="28" t="s">
        <v>22</v>
      </c>
      <c r="C33" s="28"/>
      <c r="D33" s="28"/>
      <c r="E33" s="39" t="s">
        <v>21</v>
      </c>
      <c r="F33" s="42"/>
      <c r="G33" s="28"/>
      <c r="H33" s="28"/>
      <c r="I33" s="3"/>
      <c r="K33" s="22"/>
      <c r="L33" s="24">
        <v>28</v>
      </c>
      <c r="M33" s="14"/>
      <c r="N33" s="15"/>
      <c r="O33" s="16"/>
      <c r="P33" s="16">
        <f t="shared" si="2"/>
        <v>0</v>
      </c>
      <c r="Q33" s="16"/>
      <c r="R33" s="17">
        <f t="shared" si="5"/>
        <v>0</v>
      </c>
      <c r="S33" s="15"/>
    </row>
    <row r="34" spans="1:21" x14ac:dyDescent="0.25">
      <c r="A34" s="42" t="s">
        <v>91</v>
      </c>
      <c r="C34">
        <v>2000</v>
      </c>
      <c r="D34" s="44"/>
      <c r="E34" s="42" t="s">
        <v>91</v>
      </c>
      <c r="G34">
        <v>2000</v>
      </c>
      <c r="H34" s="28"/>
      <c r="I34" s="36"/>
      <c r="K34" s="22" t="s">
        <v>92</v>
      </c>
      <c r="L34" s="13">
        <v>29</v>
      </c>
      <c r="M34" s="14"/>
      <c r="N34" s="15"/>
      <c r="O34" s="16">
        <v>5000</v>
      </c>
      <c r="P34" s="16">
        <f>M34+N34+O34</f>
        <v>5000</v>
      </c>
      <c r="Q34" s="16">
        <v>5000</v>
      </c>
      <c r="R34" s="17">
        <f t="shared" si="5"/>
        <v>0</v>
      </c>
      <c r="S34" s="15"/>
    </row>
    <row r="35" spans="1:21" x14ac:dyDescent="0.25">
      <c r="A35" s="42" t="s">
        <v>93</v>
      </c>
      <c r="B35" s="41"/>
      <c r="C35" s="28">
        <v>15097</v>
      </c>
      <c r="D35" s="28"/>
      <c r="E35" s="42" t="s">
        <v>93</v>
      </c>
      <c r="F35" s="41"/>
      <c r="G35" s="28">
        <v>15097</v>
      </c>
      <c r="H35" s="28"/>
      <c r="I35" s="3"/>
      <c r="K35" s="22" t="s">
        <v>87</v>
      </c>
      <c r="L35" s="24">
        <v>30</v>
      </c>
      <c r="M35" s="14"/>
      <c r="N35" s="15">
        <v>25000</v>
      </c>
      <c r="O35" s="16">
        <v>5000</v>
      </c>
      <c r="P35" s="16">
        <f t="shared" si="2"/>
        <v>30000</v>
      </c>
      <c r="Q35" s="16"/>
      <c r="R35" s="17">
        <f t="shared" si="3"/>
        <v>30000</v>
      </c>
      <c r="S35" s="15"/>
    </row>
    <row r="36" spans="1:21" x14ac:dyDescent="0.25">
      <c r="A36" s="42" t="s">
        <v>103</v>
      </c>
      <c r="B36" s="41"/>
      <c r="C36" s="28">
        <v>500</v>
      </c>
      <c r="D36" s="28"/>
      <c r="E36" s="42" t="s">
        <v>103</v>
      </c>
      <c r="F36" s="41"/>
      <c r="G36" s="28">
        <v>500</v>
      </c>
      <c r="H36" s="28"/>
      <c r="I36" s="3"/>
      <c r="K36" s="27" t="s">
        <v>24</v>
      </c>
      <c r="L36" s="28"/>
      <c r="M36" s="14">
        <f t="shared" ref="M36:S36" si="6">SUM(M6:M35)</f>
        <v>0</v>
      </c>
      <c r="N36" s="15">
        <f t="shared" si="6"/>
        <v>51000</v>
      </c>
      <c r="O36" s="29">
        <f t="shared" si="6"/>
        <v>71000</v>
      </c>
      <c r="P36" s="16">
        <f>SUM(P6:P35)</f>
        <v>122000</v>
      </c>
      <c r="Q36" s="16">
        <f t="shared" si="6"/>
        <v>65000</v>
      </c>
      <c r="R36" s="16">
        <f t="shared" si="6"/>
        <v>57000</v>
      </c>
      <c r="S36" s="15">
        <f t="shared" si="6"/>
        <v>4000</v>
      </c>
    </row>
    <row r="37" spans="1:21" x14ac:dyDescent="0.25">
      <c r="A37" s="42" t="s">
        <v>105</v>
      </c>
      <c r="B37" s="28"/>
      <c r="C37" s="44">
        <v>1571</v>
      </c>
      <c r="D37" s="28"/>
      <c r="E37" s="42" t="s">
        <v>105</v>
      </c>
      <c r="F37" s="28"/>
      <c r="G37" s="44">
        <v>1571</v>
      </c>
      <c r="H37" s="28"/>
      <c r="I37" s="36"/>
      <c r="N37" s="15">
        <f>'[1]OCTOBER 20'!R29:R51</f>
        <v>0</v>
      </c>
      <c r="R37" s="30"/>
      <c r="S37" s="3"/>
    </row>
    <row r="38" spans="1:21" x14ac:dyDescent="0.25">
      <c r="A38" s="39" t="s">
        <v>24</v>
      </c>
      <c r="B38" s="46">
        <f>B31+B28+B29+B30-C32</f>
        <v>22165</v>
      </c>
      <c r="C38" s="46">
        <f>SUM(C34:C37)</f>
        <v>19168</v>
      </c>
      <c r="D38" s="46">
        <f>B38-C38</f>
        <v>2997</v>
      </c>
      <c r="E38" s="39" t="s">
        <v>24</v>
      </c>
      <c r="F38" s="46">
        <f>F28+F29+F31-G32</f>
        <v>20465</v>
      </c>
      <c r="G38" s="46">
        <f>SUM(G34:G37)</f>
        <v>19168</v>
      </c>
      <c r="H38" s="46">
        <f>F38-G38</f>
        <v>1297</v>
      </c>
      <c r="I38" s="45"/>
      <c r="J38" s="30"/>
    </row>
    <row r="39" spans="1:21" x14ac:dyDescent="0.25">
      <c r="A39" s="47" t="s">
        <v>25</v>
      </c>
      <c r="B39" s="48"/>
      <c r="C39" s="48" t="s">
        <v>26</v>
      </c>
      <c r="D39" s="49"/>
      <c r="E39" s="47"/>
      <c r="F39" s="47" t="s">
        <v>27</v>
      </c>
      <c r="G39" s="3"/>
      <c r="H39" s="3"/>
      <c r="I39" s="45"/>
      <c r="K39" s="39" t="s">
        <v>13</v>
      </c>
      <c r="L39" s="39" t="s">
        <v>14</v>
      </c>
      <c r="M39" s="39" t="s">
        <v>15</v>
      </c>
      <c r="N39" s="39" t="s">
        <v>16</v>
      </c>
      <c r="O39" s="39" t="s">
        <v>13</v>
      </c>
      <c r="P39" s="39" t="s">
        <v>14</v>
      </c>
      <c r="Q39" s="39" t="s">
        <v>15</v>
      </c>
      <c r="R39" s="39" t="s">
        <v>16</v>
      </c>
      <c r="S39" s="3"/>
    </row>
    <row r="40" spans="1:21" x14ac:dyDescent="0.25">
      <c r="A40" s="47" t="s">
        <v>28</v>
      </c>
      <c r="B40" s="48"/>
      <c r="C40" s="48" t="s">
        <v>29</v>
      </c>
      <c r="D40" s="49"/>
      <c r="E40" s="47"/>
      <c r="F40" s="47" t="s">
        <v>88</v>
      </c>
      <c r="G40" s="3"/>
      <c r="H40" s="45">
        <f>H23+H38</f>
        <v>3097</v>
      </c>
      <c r="I40" s="3"/>
      <c r="K40" s="28" t="s">
        <v>73</v>
      </c>
      <c r="L40" s="40">
        <f>O36</f>
        <v>71000</v>
      </c>
      <c r="M40" s="28"/>
      <c r="N40" s="28"/>
      <c r="O40" s="28" t="s">
        <v>73</v>
      </c>
      <c r="P40" s="40">
        <f>Q36</f>
        <v>65000</v>
      </c>
      <c r="Q40" s="28"/>
      <c r="R40" s="28"/>
      <c r="S40" s="36"/>
    </row>
    <row r="41" spans="1:21" x14ac:dyDescent="0.25">
      <c r="I41" s="45"/>
      <c r="K41" s="28" t="s">
        <v>18</v>
      </c>
      <c r="L41" s="40"/>
      <c r="M41" s="28"/>
      <c r="N41" s="28"/>
      <c r="O41" s="28" t="s">
        <v>18</v>
      </c>
      <c r="P41" s="40"/>
      <c r="Q41" s="28"/>
      <c r="R41" s="28"/>
      <c r="S41" s="36"/>
    </row>
    <row r="42" spans="1:21" x14ac:dyDescent="0.25">
      <c r="K42" s="28" t="s">
        <v>10</v>
      </c>
      <c r="L42" s="40">
        <f>S36</f>
        <v>4000</v>
      </c>
      <c r="M42" s="28"/>
      <c r="N42" s="28"/>
      <c r="O42" s="28"/>
      <c r="P42" s="40"/>
      <c r="Q42" s="28"/>
      <c r="R42" s="28"/>
      <c r="S42" s="36" t="s">
        <v>19</v>
      </c>
    </row>
    <row r="43" spans="1:21" x14ac:dyDescent="0.25">
      <c r="K43" s="28" t="s">
        <v>4</v>
      </c>
      <c r="L43" s="40"/>
      <c r="M43" s="28"/>
      <c r="N43" s="28"/>
      <c r="O43" s="28"/>
      <c r="P43" s="40"/>
      <c r="Q43" s="28"/>
      <c r="R43" s="28"/>
      <c r="S43" s="3"/>
    </row>
    <row r="44" spans="1:21" x14ac:dyDescent="0.25">
      <c r="K44" s="28" t="s">
        <v>20</v>
      </c>
      <c r="L44" s="41">
        <v>0.1</v>
      </c>
      <c r="M44" s="40">
        <f>L44*L40</f>
        <v>7100</v>
      </c>
      <c r="N44" s="28"/>
      <c r="O44" s="28" t="s">
        <v>20</v>
      </c>
      <c r="P44" s="41">
        <v>0.1</v>
      </c>
      <c r="Q44" s="40">
        <f>P44*L40</f>
        <v>7100</v>
      </c>
      <c r="R44" s="28"/>
      <c r="S44" s="3"/>
    </row>
    <row r="45" spans="1:21" x14ac:dyDescent="0.25">
      <c r="K45" s="39" t="s">
        <v>21</v>
      </c>
      <c r="L45" s="28" t="s">
        <v>22</v>
      </c>
      <c r="M45" s="28"/>
      <c r="N45" s="28"/>
      <c r="O45" s="39" t="s">
        <v>21</v>
      </c>
      <c r="P45" s="42"/>
      <c r="Q45" s="28"/>
      <c r="R45" s="28"/>
      <c r="S45" s="36"/>
    </row>
    <row r="46" spans="1:21" x14ac:dyDescent="0.25">
      <c r="K46" s="43" t="s">
        <v>23</v>
      </c>
      <c r="L46" s="41">
        <v>0.3</v>
      </c>
      <c r="M46" s="44"/>
      <c r="N46" s="28"/>
      <c r="O46" s="43" t="s">
        <v>23</v>
      </c>
      <c r="P46" s="41">
        <v>0.3</v>
      </c>
      <c r="Q46" s="44"/>
      <c r="R46" s="28"/>
      <c r="S46" s="3"/>
      <c r="U46" s="51">
        <f>L40-M44</f>
        <v>63900</v>
      </c>
    </row>
    <row r="47" spans="1:21" x14ac:dyDescent="0.25">
      <c r="K47" s="42"/>
      <c r="N47" s="44"/>
      <c r="O47" s="42"/>
      <c r="R47" s="28"/>
      <c r="S47" s="3"/>
      <c r="U47">
        <f>U46*3</f>
        <v>191700</v>
      </c>
    </row>
    <row r="48" spans="1:21" x14ac:dyDescent="0.25">
      <c r="K48" s="42" t="s">
        <v>94</v>
      </c>
      <c r="L48" s="41"/>
      <c r="M48" s="28">
        <v>20102</v>
      </c>
      <c r="N48" s="28"/>
      <c r="O48" s="42" t="s">
        <v>94</v>
      </c>
      <c r="P48" s="41"/>
      <c r="Q48" s="28">
        <v>20102</v>
      </c>
      <c r="R48" s="28"/>
      <c r="S48" s="36"/>
    </row>
    <row r="49" spans="9:20" x14ac:dyDescent="0.25">
      <c r="I49" s="51">
        <f>H38+R55</f>
        <v>7376</v>
      </c>
      <c r="K49" s="42" t="s">
        <v>100</v>
      </c>
      <c r="L49" s="41"/>
      <c r="M49" s="28">
        <v>4000</v>
      </c>
      <c r="N49" s="28"/>
      <c r="O49" s="42" t="s">
        <v>100</v>
      </c>
      <c r="P49" s="41"/>
      <c r="Q49" s="28">
        <v>4000</v>
      </c>
      <c r="R49" s="28"/>
      <c r="S49" s="45"/>
      <c r="T49" s="30"/>
    </row>
    <row r="50" spans="9:20" x14ac:dyDescent="0.25">
      <c r="K50" s="42" t="s">
        <v>101</v>
      </c>
      <c r="L50" s="28"/>
      <c r="M50" s="44">
        <v>3500</v>
      </c>
      <c r="N50" s="28"/>
      <c r="O50" s="42" t="s">
        <v>101</v>
      </c>
      <c r="P50" s="28"/>
      <c r="Q50" s="44">
        <v>3500</v>
      </c>
      <c r="R50" s="28"/>
      <c r="S50" s="3"/>
    </row>
    <row r="51" spans="9:20" x14ac:dyDescent="0.25">
      <c r="K51" s="42" t="s">
        <v>102</v>
      </c>
      <c r="L51" s="28"/>
      <c r="M51" s="44">
        <v>14097</v>
      </c>
      <c r="N51" s="28"/>
      <c r="O51" s="42" t="s">
        <v>102</v>
      </c>
      <c r="P51" s="28"/>
      <c r="Q51" s="44">
        <v>14097</v>
      </c>
      <c r="R51" s="28"/>
      <c r="S51" s="3"/>
    </row>
    <row r="52" spans="9:20" x14ac:dyDescent="0.25">
      <c r="K52" s="42" t="s">
        <v>104</v>
      </c>
      <c r="L52" s="28"/>
      <c r="M52" s="44">
        <v>5061</v>
      </c>
      <c r="N52" s="28"/>
      <c r="O52" s="42" t="s">
        <v>104</v>
      </c>
      <c r="P52" s="28"/>
      <c r="Q52" s="44">
        <v>5061</v>
      </c>
      <c r="R52" s="28"/>
      <c r="S52" s="3"/>
    </row>
    <row r="53" spans="9:20" x14ac:dyDescent="0.25">
      <c r="K53" s="42" t="s">
        <v>105</v>
      </c>
      <c r="L53" s="28"/>
      <c r="M53" s="44">
        <v>5061</v>
      </c>
      <c r="N53" s="28"/>
      <c r="O53" s="42" t="s">
        <v>105</v>
      </c>
      <c r="P53" s="28"/>
      <c r="Q53" s="44">
        <v>5061</v>
      </c>
      <c r="R53" s="28"/>
      <c r="S53" s="3"/>
    </row>
    <row r="54" spans="9:20" x14ac:dyDescent="0.25">
      <c r="K54" s="42" t="s">
        <v>108</v>
      </c>
      <c r="L54" s="28"/>
      <c r="M54" s="44">
        <v>5000</v>
      </c>
      <c r="N54" s="28"/>
      <c r="O54" s="42"/>
      <c r="P54" s="28"/>
      <c r="Q54" s="44"/>
      <c r="R54" s="28"/>
      <c r="S54" s="3"/>
      <c r="T54" s="51"/>
    </row>
    <row r="55" spans="9:20" x14ac:dyDescent="0.25">
      <c r="K55" s="39" t="s">
        <v>24</v>
      </c>
      <c r="L55" s="46">
        <f>L43+L40+L41+L42-M44</f>
        <v>67900</v>
      </c>
      <c r="M55" s="46">
        <f>SUM(M46:M54)</f>
        <v>56821</v>
      </c>
      <c r="N55" s="46">
        <f>L55-M55</f>
        <v>11079</v>
      </c>
      <c r="O55" s="39" t="s">
        <v>24</v>
      </c>
      <c r="P55" s="46">
        <f>P40+P41+P43-Q44</f>
        <v>57900</v>
      </c>
      <c r="Q55" s="46">
        <f>SUM(Q46:Q54)</f>
        <v>51821</v>
      </c>
      <c r="R55" s="46">
        <f>P55-Q55</f>
        <v>6079</v>
      </c>
      <c r="S55" s="45"/>
    </row>
    <row r="56" spans="9:20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20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Q57" s="3"/>
      <c r="R57" s="3"/>
      <c r="S57" s="45"/>
    </row>
  </sheetData>
  <pageMargins left="0" right="0" top="0" bottom="0" header="0.3" footer="0.3"/>
  <pageSetup paperSize="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7"/>
  <sheetViews>
    <sheetView topLeftCell="A13" zoomScale="110" zoomScaleNormal="110" workbookViewId="0">
      <selection activeCell="E32" sqref="E32"/>
    </sheetView>
  </sheetViews>
  <sheetFormatPr defaultRowHeight="15" x14ac:dyDescent="0.25"/>
  <cols>
    <col min="1" max="1" width="21.5703125" customWidth="1"/>
    <col min="11" max="11" width="20.28515625" customWidth="1"/>
  </cols>
  <sheetData>
    <row r="2" spans="1:20" ht="15.75" x14ac:dyDescent="0.25">
      <c r="A2" s="1"/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31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106</v>
      </c>
      <c r="C4" s="1" t="s">
        <v>0</v>
      </c>
      <c r="E4" s="1"/>
      <c r="F4" s="6"/>
      <c r="G4" s="7"/>
      <c r="H4" s="3"/>
      <c r="I4" s="3"/>
      <c r="K4" s="5"/>
      <c r="L4" s="1" t="s">
        <v>106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'DECEMBER 20'!H6:H22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'DECEMBER 20'!R6:R35</f>
        <v>0</v>
      </c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20" x14ac:dyDescent="0.25">
      <c r="A7" t="s">
        <v>42</v>
      </c>
      <c r="B7" s="13">
        <v>2</v>
      </c>
      <c r="C7" s="14"/>
      <c r="D7" s="15">
        <f>'DECEMBER 20'!H7:H23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22" si="1">F7-G7</f>
        <v>0</v>
      </c>
      <c r="I7" s="15"/>
      <c r="K7" t="s">
        <v>97</v>
      </c>
      <c r="L7" s="13">
        <v>2</v>
      </c>
      <c r="M7" s="14"/>
      <c r="N7" s="15">
        <f>'DECEMBER 20'!R7:R36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  <c r="T7" t="s">
        <v>98</v>
      </c>
    </row>
    <row r="8" spans="1:20" x14ac:dyDescent="0.25">
      <c r="A8" s="20" t="s">
        <v>45</v>
      </c>
      <c r="B8" s="13">
        <v>3</v>
      </c>
      <c r="C8" s="14"/>
      <c r="D8" s="15">
        <f>'DECEMBER 20'!H8:H24</f>
        <v>0</v>
      </c>
      <c r="E8" s="19"/>
      <c r="F8" s="16">
        <f t="shared" si="0"/>
        <v>0</v>
      </c>
      <c r="G8" s="16"/>
      <c r="H8" s="17">
        <f t="shared" si="1"/>
        <v>0</v>
      </c>
      <c r="I8" s="15"/>
      <c r="K8" s="20" t="s">
        <v>78</v>
      </c>
      <c r="L8" s="13">
        <v>3</v>
      </c>
      <c r="M8" s="14"/>
      <c r="N8" s="15">
        <f>'DECEMBER 20'!R8:R37</f>
        <v>0</v>
      </c>
      <c r="O8" s="16">
        <v>7500</v>
      </c>
      <c r="P8" s="16">
        <f t="shared" si="2"/>
        <v>7500</v>
      </c>
      <c r="Q8" s="16"/>
      <c r="R8" s="17">
        <f t="shared" si="3"/>
        <v>7500</v>
      </c>
      <c r="S8" s="15"/>
    </row>
    <row r="9" spans="1:20" x14ac:dyDescent="0.25">
      <c r="A9" s="21" t="s">
        <v>45</v>
      </c>
      <c r="B9" s="13">
        <v>4</v>
      </c>
      <c r="C9" s="14"/>
      <c r="D9" s="15">
        <f>'DECEMBER 20'!H9:H24</f>
        <v>0</v>
      </c>
      <c r="E9" s="19"/>
      <c r="F9" s="16">
        <f t="shared" si="0"/>
        <v>0</v>
      </c>
      <c r="G9" s="16"/>
      <c r="H9" s="17">
        <f t="shared" si="1"/>
        <v>0</v>
      </c>
      <c r="I9" s="15"/>
      <c r="K9" s="21"/>
      <c r="L9" s="13">
        <v>4</v>
      </c>
      <c r="M9" s="14"/>
      <c r="N9" s="15">
        <f>'DECEMBER 20'!R9:R38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1" t="s">
        <v>38</v>
      </c>
      <c r="B10" s="13">
        <v>5</v>
      </c>
      <c r="C10" s="14"/>
      <c r="D10" s="15">
        <f>'DECEMBER 20'!H10:H25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'DECEMBER 20'!R10:R38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18" t="s">
        <v>45</v>
      </c>
      <c r="B11" s="13">
        <v>6</v>
      </c>
      <c r="C11" s="14"/>
      <c r="D11" s="15">
        <f>'DECEMBER 20'!H11:H26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'DECEMBER 20'!R11:R38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'DECEMBER 20'!H12:H27</f>
        <v>0</v>
      </c>
      <c r="E12" s="19">
        <v>2000</v>
      </c>
      <c r="F12" s="16">
        <f>C12+D12+E12</f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'DECEMBER 20'!R12:R39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/>
      <c r="B13" s="13">
        <v>8</v>
      </c>
      <c r="C13" s="14"/>
      <c r="D13" s="15">
        <f>'DECEMBER 20'!H13:H28</f>
        <v>0</v>
      </c>
      <c r="E13" s="19"/>
      <c r="F13" s="16">
        <f t="shared" si="0"/>
        <v>0</v>
      </c>
      <c r="G13" s="16"/>
      <c r="H13" s="17">
        <f t="shared" si="1"/>
        <v>0</v>
      </c>
      <c r="I13" s="15"/>
      <c r="K13" s="50" t="s">
        <v>80</v>
      </c>
      <c r="L13" s="13">
        <v>8</v>
      </c>
      <c r="M13" s="14"/>
      <c r="N13" s="15">
        <f>'DECEMBER 20'!R13:R40</f>
        <v>0</v>
      </c>
      <c r="O13" s="16">
        <v>3500</v>
      </c>
      <c r="P13" s="16">
        <f t="shared" si="2"/>
        <v>3500</v>
      </c>
      <c r="Q13" s="16">
        <v>3500</v>
      </c>
      <c r="R13" s="17">
        <f t="shared" si="3"/>
        <v>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'DECEMBER 20'!H14:H29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'DECEMBER 20'!R14:R41</f>
        <v>0</v>
      </c>
      <c r="O14" s="16">
        <v>3500</v>
      </c>
      <c r="P14" s="16">
        <f t="shared" si="2"/>
        <v>3500</v>
      </c>
      <c r="Q14" s="16">
        <f>3500</f>
        <v>3500</v>
      </c>
      <c r="R14" s="17">
        <f t="shared" si="3"/>
        <v>0</v>
      </c>
      <c r="S14" s="15"/>
    </row>
    <row r="15" spans="1:20" x14ac:dyDescent="0.25">
      <c r="A15" s="12" t="s">
        <v>52</v>
      </c>
      <c r="B15" s="24">
        <v>10</v>
      </c>
      <c r="C15" s="14"/>
      <c r="D15" s="15">
        <f>'DECEMBER 20'!H15:H30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'DECEMBER 20'!R15:R42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61</v>
      </c>
      <c r="B16" s="13">
        <v>11</v>
      </c>
      <c r="C16" s="14"/>
      <c r="D16" s="15">
        <f>'DECEMBER 20'!H16:H31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  <c r="K16" s="23" t="s">
        <v>45</v>
      </c>
      <c r="L16" s="13">
        <v>11</v>
      </c>
      <c r="M16" s="14"/>
      <c r="N16" s="15">
        <f>'DECEMBER 20'!R16:R43</f>
        <v>0</v>
      </c>
      <c r="O16" s="16"/>
      <c r="P16" s="16">
        <f t="shared" si="2"/>
        <v>0</v>
      </c>
      <c r="Q16" s="16"/>
      <c r="R16" s="17">
        <f t="shared" si="3"/>
        <v>0</v>
      </c>
      <c r="S16" s="15"/>
    </row>
    <row r="17" spans="1:19" x14ac:dyDescent="0.25">
      <c r="A17" s="18" t="s">
        <v>45</v>
      </c>
      <c r="B17" s="13">
        <v>12</v>
      </c>
      <c r="C17" s="14"/>
      <c r="D17" s="15">
        <f>'DECEMBER 20'!H17:H32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 t="s">
        <v>45</v>
      </c>
      <c r="L17" s="24">
        <v>12</v>
      </c>
      <c r="M17" s="14"/>
      <c r="N17" s="15">
        <f>'DECEMBER 20'!R17:R44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89</v>
      </c>
      <c r="B18" s="13">
        <v>13</v>
      </c>
      <c r="C18" s="14"/>
      <c r="D18" s="15">
        <f>'DECEMBER 20'!H18:H33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29</v>
      </c>
      <c r="L18" s="13">
        <v>13</v>
      </c>
      <c r="M18" s="14"/>
      <c r="N18" s="15">
        <f>'DECEMBER 20'!R18:R45</f>
        <v>0</v>
      </c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43</v>
      </c>
      <c r="B19" s="13">
        <v>14</v>
      </c>
      <c r="C19" s="14"/>
      <c r="D19" s="15">
        <f>'DECEMBER 20'!H19:H34</f>
        <v>0</v>
      </c>
      <c r="E19" s="19">
        <v>2000</v>
      </c>
      <c r="F19" s="16">
        <f t="shared" si="0"/>
        <v>2000</v>
      </c>
      <c r="G19" s="16"/>
      <c r="H19" s="17">
        <f t="shared" si="1"/>
        <v>2000</v>
      </c>
      <c r="I19" s="15"/>
      <c r="K19" s="23"/>
      <c r="L19" s="24">
        <v>14</v>
      </c>
      <c r="M19" s="14"/>
      <c r="N19" s="15">
        <f>'DECEMBER 20'!R19:R46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'DECEMBER 20'!H20:H35</f>
        <v>500</v>
      </c>
      <c r="E20" s="19">
        <v>2000</v>
      </c>
      <c r="F20" s="16">
        <f t="shared" si="0"/>
        <v>2500</v>
      </c>
      <c r="G20" s="16">
        <f>1000</f>
        <v>1000</v>
      </c>
      <c r="H20" s="17">
        <f>F20-G20</f>
        <v>1500</v>
      </c>
      <c r="I20" s="15"/>
      <c r="K20" s="23"/>
      <c r="L20" s="13">
        <v>15</v>
      </c>
      <c r="M20" s="14"/>
      <c r="N20" s="15"/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34</v>
      </c>
      <c r="B21" s="25">
        <v>16</v>
      </c>
      <c r="C21" s="14"/>
      <c r="D21" s="15">
        <f>'DECEMBER 20'!H21:H36</f>
        <v>500</v>
      </c>
      <c r="E21" s="19">
        <v>2000</v>
      </c>
      <c r="F21" s="16">
        <f t="shared" si="0"/>
        <v>2500</v>
      </c>
      <c r="G21" s="16"/>
      <c r="H21" s="17">
        <f>F21-G21</f>
        <v>2500</v>
      </c>
      <c r="I21" s="15"/>
      <c r="K21" s="23"/>
      <c r="L21" s="24">
        <v>16</v>
      </c>
      <c r="M21" s="14"/>
      <c r="N21" s="15">
        <f>'DECEMBER 20'!R21:R48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'DECEMBER 20'!H22:H37</f>
        <v>0</v>
      </c>
      <c r="E22" s="19">
        <v>3800</v>
      </c>
      <c r="F22" s="16">
        <f t="shared" si="0"/>
        <v>3800</v>
      </c>
      <c r="G22" s="16">
        <f>1300+2500</f>
        <v>3800</v>
      </c>
      <c r="H22" s="17">
        <f t="shared" si="1"/>
        <v>0</v>
      </c>
      <c r="I22" s="15"/>
      <c r="K22" s="23"/>
      <c r="L22" s="13">
        <v>17</v>
      </c>
      <c r="M22" s="14"/>
      <c r="N22" s="15">
        <f>'DECEMBER 20'!R22:R49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0</v>
      </c>
      <c r="D23" s="15">
        <f>SUM(D6:D22)</f>
        <v>1800</v>
      </c>
      <c r="E23" s="29">
        <f t="shared" si="4"/>
        <v>23800</v>
      </c>
      <c r="F23" s="16">
        <f t="shared" si="4"/>
        <v>25600</v>
      </c>
      <c r="G23" s="16">
        <f t="shared" si="4"/>
        <v>16800</v>
      </c>
      <c r="H23" s="16">
        <f t="shared" si="4"/>
        <v>8800</v>
      </c>
      <c r="I23" s="15">
        <f t="shared" si="4"/>
        <v>0</v>
      </c>
      <c r="K23" s="23"/>
      <c r="L23" s="24">
        <v>18</v>
      </c>
      <c r="M23" s="14"/>
      <c r="N23" s="15">
        <f>'DECEMBER 20'!R23:R50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'DECEMBER 20'!R24:R51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'DECEMBER 20'!R25:R52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'DECEMBER 20'!R26:R54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'DECEMBER 20'!R27:R55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'DECEMBER 20'!R28:R56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107</v>
      </c>
      <c r="B29" s="40">
        <f>E23</f>
        <v>23800</v>
      </c>
      <c r="C29" s="28"/>
      <c r="D29" s="28"/>
      <c r="E29" s="28" t="s">
        <v>107</v>
      </c>
      <c r="F29" s="40">
        <f>G23</f>
        <v>16800</v>
      </c>
      <c r="G29" s="28"/>
      <c r="H29" s="28"/>
      <c r="I29" s="36"/>
      <c r="K29" s="18"/>
      <c r="L29" s="24">
        <v>24</v>
      </c>
      <c r="M29" s="14"/>
      <c r="N29" s="15">
        <f>'DECEMBER 20'!R29:R57</f>
        <v>0</v>
      </c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18</v>
      </c>
      <c r="B30" s="40">
        <f>'DECEMBER 20'!D38</f>
        <v>2997</v>
      </c>
      <c r="C30" s="28"/>
      <c r="D30" s="28"/>
      <c r="E30" s="28" t="s">
        <v>18</v>
      </c>
      <c r="F30" s="40">
        <f>'DECEMBER 20'!H38</f>
        <v>1297</v>
      </c>
      <c r="G30" s="28"/>
      <c r="H30" s="28"/>
      <c r="I30" s="36"/>
      <c r="K30" s="18"/>
      <c r="L30" s="13">
        <v>25</v>
      </c>
      <c r="M30" s="14"/>
      <c r="N30" s="15">
        <f>'DECEMBER 20'!R30:R58</f>
        <v>0</v>
      </c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'DECEMBER 20'!R31:R59</f>
        <v>0</v>
      </c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70</v>
      </c>
      <c r="B32" s="40"/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'DECEMBER 20'!R32:R60</f>
        <v>0</v>
      </c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2380</v>
      </c>
      <c r="D33" s="28"/>
      <c r="E33" s="28" t="s">
        <v>20</v>
      </c>
      <c r="F33" s="41">
        <v>0.1</v>
      </c>
      <c r="G33" s="40">
        <f>F33*B29</f>
        <v>2380</v>
      </c>
      <c r="H33" s="28"/>
      <c r="I33" s="3"/>
      <c r="K33" s="22" t="s">
        <v>109</v>
      </c>
      <c r="L33" s="24">
        <v>28</v>
      </c>
      <c r="M33" s="14">
        <v>5000</v>
      </c>
      <c r="N33" s="15">
        <f>'DECEMBER 20'!R33:R61</f>
        <v>0</v>
      </c>
      <c r="O33" s="16">
        <v>5000</v>
      </c>
      <c r="P33" s="16">
        <f t="shared" si="2"/>
        <v>10000</v>
      </c>
      <c r="Q33" s="16">
        <v>10000</v>
      </c>
      <c r="R33" s="17">
        <f t="shared" si="5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'DECEMBER 20'!R34:R62</f>
        <v>0</v>
      </c>
      <c r="O34" s="16">
        <v>5000</v>
      </c>
      <c r="P34" s="16">
        <f>M34+N34+O34</f>
        <v>5000</v>
      </c>
      <c r="Q34" s="16">
        <v>5000</v>
      </c>
      <c r="R34" s="17">
        <f t="shared" si="5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'DECEMBER 20'!R35:R63</f>
        <v>30000</v>
      </c>
      <c r="O35" s="16">
        <v>5000</v>
      </c>
      <c r="P35" s="16">
        <f t="shared" si="2"/>
        <v>35000</v>
      </c>
      <c r="Q35" s="16">
        <v>10000</v>
      </c>
      <c r="R35" s="17">
        <f t="shared" si="3"/>
        <v>25000</v>
      </c>
      <c r="S35" s="15"/>
    </row>
    <row r="36" spans="1:19" x14ac:dyDescent="0.25">
      <c r="A36" s="42" t="s">
        <v>114</v>
      </c>
      <c r="C36">
        <v>24105</v>
      </c>
      <c r="D36" s="44"/>
      <c r="E36" s="42" t="s">
        <v>114</v>
      </c>
      <c r="G36">
        <v>24105</v>
      </c>
      <c r="H36" s="28"/>
      <c r="I36" s="3"/>
      <c r="K36" s="27" t="s">
        <v>24</v>
      </c>
      <c r="L36" s="28"/>
      <c r="M36" s="14">
        <f t="shared" ref="M36:S36" si="6">SUM(M6:M35)</f>
        <v>5000</v>
      </c>
      <c r="N36" s="15">
        <f>SUM(N6:N35)</f>
        <v>30000</v>
      </c>
      <c r="O36" s="29">
        <f t="shared" si="6"/>
        <v>68000</v>
      </c>
      <c r="P36" s="16">
        <f>SUM(P6:P35)</f>
        <v>103000</v>
      </c>
      <c r="Q36" s="16">
        <f t="shared" si="6"/>
        <v>70500</v>
      </c>
      <c r="R36" s="16">
        <f t="shared" si="6"/>
        <v>32500</v>
      </c>
      <c r="S36" s="15">
        <f t="shared" si="6"/>
        <v>0</v>
      </c>
    </row>
    <row r="37" spans="1:19" x14ac:dyDescent="0.25">
      <c r="A37" s="42" t="s">
        <v>124</v>
      </c>
      <c r="B37" s="41"/>
      <c r="C37" s="28">
        <v>2500</v>
      </c>
      <c r="D37" s="28"/>
      <c r="E37" s="42" t="s">
        <v>124</v>
      </c>
      <c r="F37" s="41"/>
      <c r="G37" s="28">
        <v>2500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/>
      <c r="B38" s="41"/>
      <c r="C38" s="28"/>
      <c r="D38" s="28"/>
      <c r="E38" s="42"/>
      <c r="F38" s="41"/>
      <c r="G38" s="28"/>
      <c r="H38" s="28"/>
      <c r="I38" s="45"/>
      <c r="J38" s="30"/>
    </row>
    <row r="39" spans="1:19" x14ac:dyDescent="0.25">
      <c r="A39" s="42"/>
      <c r="B39" s="28"/>
      <c r="C39" s="44"/>
      <c r="D39" s="28"/>
      <c r="E39" s="42"/>
      <c r="F39" s="28"/>
      <c r="G39" s="44"/>
      <c r="H39" s="28"/>
      <c r="I39" s="45">
        <f>H23+H41</f>
        <v>-2088</v>
      </c>
      <c r="K39" s="3" t="s">
        <v>11</v>
      </c>
      <c r="L39" s="31"/>
      <c r="M39" s="32"/>
      <c r="N39" s="33"/>
      <c r="O39" s="34"/>
      <c r="P39" s="35"/>
      <c r="Q39" s="34"/>
      <c r="R39" s="36">
        <f>R8+R13</f>
        <v>7500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24417</v>
      </c>
      <c r="C41" s="46">
        <f>SUM(C35:C40)</f>
        <v>26605</v>
      </c>
      <c r="D41" s="46">
        <f>B41-C41</f>
        <v>-2188</v>
      </c>
      <c r="E41" s="39" t="s">
        <v>24</v>
      </c>
      <c r="F41" s="46">
        <f>F29+F30+F32-G33</f>
        <v>15717</v>
      </c>
      <c r="G41" s="46">
        <f>SUM(G35:G40)</f>
        <v>26605</v>
      </c>
      <c r="H41" s="46">
        <f>F41-G41</f>
        <v>-10888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107</v>
      </c>
      <c r="L42" s="40">
        <f>O36</f>
        <v>68000</v>
      </c>
      <c r="M42" s="28"/>
      <c r="N42" s="28"/>
      <c r="O42" s="28" t="s">
        <v>107</v>
      </c>
      <c r="P42" s="40">
        <f>Q36</f>
        <v>70500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'DECEMBER 20'!N55</f>
        <v>11079</v>
      </c>
      <c r="M43" s="28"/>
      <c r="N43" s="28"/>
      <c r="O43" s="28" t="s">
        <v>18</v>
      </c>
      <c r="P43" s="40">
        <f>'DECEMBER 20'!R55</f>
        <v>6079</v>
      </c>
      <c r="Q43" s="28"/>
      <c r="R43" s="28"/>
      <c r="S43" s="36"/>
    </row>
    <row r="44" spans="1:19" x14ac:dyDescent="0.25">
      <c r="K44" s="28" t="s">
        <v>10</v>
      </c>
      <c r="L44" s="40">
        <f>S36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112</v>
      </c>
      <c r="L45" s="40">
        <v>5000</v>
      </c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6800</v>
      </c>
      <c r="N46" s="28"/>
      <c r="O46" s="28" t="s">
        <v>20</v>
      </c>
      <c r="P46" s="41">
        <v>0.1</v>
      </c>
      <c r="Q46" s="40">
        <f>P46*L42</f>
        <v>6800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/>
      <c r="N48" s="28"/>
      <c r="O48" s="43" t="s">
        <v>23</v>
      </c>
      <c r="P48" s="41">
        <v>0.3</v>
      </c>
      <c r="Q48" s="44"/>
      <c r="R48" s="28"/>
      <c r="S48" s="3"/>
    </row>
    <row r="49" spans="9:19" x14ac:dyDescent="0.25">
      <c r="K49" s="42" t="s">
        <v>110</v>
      </c>
      <c r="L49" s="41"/>
      <c r="M49" s="28">
        <v>20102</v>
      </c>
      <c r="N49" s="28"/>
      <c r="O49" s="42" t="s">
        <v>110</v>
      </c>
      <c r="P49" s="41"/>
      <c r="Q49" s="28">
        <v>20102</v>
      </c>
      <c r="R49" s="28"/>
      <c r="S49" s="36"/>
    </row>
    <row r="50" spans="9:19" x14ac:dyDescent="0.25">
      <c r="I50" s="51"/>
      <c r="K50" s="42" t="s">
        <v>100</v>
      </c>
      <c r="L50" s="41"/>
      <c r="M50" s="28">
        <v>4000</v>
      </c>
      <c r="N50" s="28"/>
      <c r="O50" s="42" t="s">
        <v>100</v>
      </c>
      <c r="P50" s="41"/>
      <c r="Q50" s="28">
        <v>4000</v>
      </c>
      <c r="R50" s="28"/>
      <c r="S50" s="45"/>
    </row>
    <row r="51" spans="9:19" x14ac:dyDescent="0.25">
      <c r="K51" s="42" t="s">
        <v>115</v>
      </c>
      <c r="L51" s="28"/>
      <c r="M51" s="44">
        <v>20102</v>
      </c>
      <c r="N51" s="28"/>
      <c r="O51" s="42" t="s">
        <v>115</v>
      </c>
      <c r="P51" s="28"/>
      <c r="Q51" s="44">
        <v>20102</v>
      </c>
      <c r="R51" s="28"/>
      <c r="S51" s="3"/>
    </row>
    <row r="52" spans="9:19" x14ac:dyDescent="0.25">
      <c r="K52" s="42" t="s">
        <v>116</v>
      </c>
      <c r="L52" s="28"/>
      <c r="M52" s="44">
        <v>14500</v>
      </c>
      <c r="N52" s="28"/>
      <c r="O52" s="42" t="s">
        <v>116</v>
      </c>
      <c r="P52" s="28"/>
      <c r="Q52" s="44">
        <v>14500</v>
      </c>
      <c r="R52" s="28"/>
      <c r="S52" s="3"/>
    </row>
    <row r="53" spans="9:19" x14ac:dyDescent="0.25">
      <c r="K53" s="42" t="s">
        <v>120</v>
      </c>
      <c r="L53" s="28"/>
      <c r="M53" s="44">
        <v>15000</v>
      </c>
      <c r="N53" s="28"/>
      <c r="O53" s="42" t="s">
        <v>120</v>
      </c>
      <c r="P53" s="28"/>
      <c r="Q53" s="44">
        <v>15000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77279</v>
      </c>
      <c r="M55" s="46">
        <f>SUM(M48:M54)</f>
        <v>73704</v>
      </c>
      <c r="N55" s="46">
        <f>L55-M55</f>
        <v>3575</v>
      </c>
      <c r="O55" s="39" t="s">
        <v>24</v>
      </c>
      <c r="P55" s="46">
        <f>P42+P43+P45-Q46</f>
        <v>69779</v>
      </c>
      <c r="Q55" s="46">
        <f>SUM(Q48:Q54)</f>
        <v>73704</v>
      </c>
      <c r="R55" s="46">
        <f>P55-Q55</f>
        <v>-3925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19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R57" s="36"/>
      <c r="S57" s="45"/>
    </row>
  </sheetData>
  <pageMargins left="0" right="0" top="0" bottom="0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opLeftCell="A10" zoomScaleNormal="100" workbookViewId="0">
      <selection activeCell="I39" sqref="I39"/>
    </sheetView>
  </sheetViews>
  <sheetFormatPr defaultRowHeight="15" x14ac:dyDescent="0.25"/>
  <cols>
    <col min="1" max="1" width="18.28515625" customWidth="1"/>
    <col min="11" max="11" width="20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117</v>
      </c>
      <c r="C4" s="1"/>
      <c r="E4" s="1"/>
      <c r="F4" s="6"/>
      <c r="G4" s="7"/>
      <c r="H4" s="3"/>
      <c r="I4" s="3"/>
      <c r="K4" s="5"/>
      <c r="L4" s="1" t="s">
        <v>117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'JANUARY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'JANUARY 21'!R6:R35</f>
        <v>0</v>
      </c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19" x14ac:dyDescent="0.25">
      <c r="A7" t="s">
        <v>42</v>
      </c>
      <c r="B7" s="13">
        <v>2</v>
      </c>
      <c r="C7" s="14"/>
      <c r="D7" s="15">
        <f>'JANUARY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  <c r="K7" t="s">
        <v>97</v>
      </c>
      <c r="L7" s="13">
        <v>2</v>
      </c>
      <c r="M7" s="14"/>
      <c r="N7" s="15">
        <f>'JANUARY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v>2000</v>
      </c>
      <c r="E8" s="19">
        <v>2000</v>
      </c>
      <c r="F8" s="16">
        <f t="shared" si="0"/>
        <v>4000</v>
      </c>
      <c r="G8" s="16">
        <v>4000</v>
      </c>
      <c r="H8" s="17">
        <f t="shared" si="1"/>
        <v>0</v>
      </c>
      <c r="I8" s="15"/>
      <c r="K8" s="20" t="s">
        <v>78</v>
      </c>
      <c r="L8" s="13">
        <v>3</v>
      </c>
      <c r="M8" s="14"/>
      <c r="N8" s="15">
        <f>'JANUARY 21'!R8:R37</f>
        <v>7500</v>
      </c>
      <c r="O8" s="16">
        <v>7500</v>
      </c>
      <c r="P8" s="16">
        <f t="shared" si="2"/>
        <v>15000</v>
      </c>
      <c r="Q8" s="16"/>
      <c r="R8" s="17">
        <f t="shared" si="3"/>
        <v>15000</v>
      </c>
      <c r="S8" s="15"/>
    </row>
    <row r="9" spans="1:19" x14ac:dyDescent="0.25">
      <c r="A9" s="21" t="s">
        <v>132</v>
      </c>
      <c r="B9" s="13">
        <v>4</v>
      </c>
      <c r="C9" s="14">
        <v>2500</v>
      </c>
      <c r="D9" s="15">
        <f>'JANUARY 21'!H9:H25</f>
        <v>0</v>
      </c>
      <c r="E9" s="19">
        <v>2500</v>
      </c>
      <c r="F9" s="16">
        <f t="shared" si="0"/>
        <v>5000</v>
      </c>
      <c r="G9" s="16">
        <v>5000</v>
      </c>
      <c r="H9" s="17">
        <f t="shared" si="1"/>
        <v>0</v>
      </c>
      <c r="I9" s="15"/>
      <c r="K9" s="21"/>
      <c r="L9" s="13">
        <v>4</v>
      </c>
      <c r="M9" s="14"/>
      <c r="N9" s="15">
        <f>'JANUARY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1" t="s">
        <v>38</v>
      </c>
      <c r="B10" s="13">
        <v>5</v>
      </c>
      <c r="C10" s="14"/>
      <c r="D10" s="15">
        <f>'JANUARY 21'!H10:H26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'JANUARY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52" t="s">
        <v>45</v>
      </c>
      <c r="B11" s="13">
        <v>6</v>
      </c>
      <c r="C11" s="14"/>
      <c r="D11" s="15">
        <f>'JANUARY 21'!H11:H27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'JANUARY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'JANUARY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'JANUARY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'JANUARY 21'!H13:H29</f>
        <v>0</v>
      </c>
      <c r="E13" s="19">
        <v>2000</v>
      </c>
      <c r="F13" s="16">
        <f t="shared" si="0"/>
        <v>3000</v>
      </c>
      <c r="G13" s="16">
        <v>3000</v>
      </c>
      <c r="H13" s="17">
        <f t="shared" si="1"/>
        <v>0</v>
      </c>
      <c r="I13" s="15"/>
      <c r="K13" s="50" t="s">
        <v>80</v>
      </c>
      <c r="L13" s="13">
        <v>8</v>
      </c>
      <c r="M13" s="14"/>
      <c r="N13" s="15">
        <f>'JANUARY 21'!R13:R42</f>
        <v>0</v>
      </c>
      <c r="O13" s="16">
        <v>3500</v>
      </c>
      <c r="P13" s="16">
        <f t="shared" si="2"/>
        <v>3500</v>
      </c>
      <c r="Q13" s="16">
        <f>1450+2050</f>
        <v>3500</v>
      </c>
      <c r="R13" s="17">
        <f t="shared" si="3"/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'JANUARY 21'!H14:H30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'JANUARY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'JANUARY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'JANUARY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61</v>
      </c>
      <c r="B16" s="13">
        <v>11</v>
      </c>
      <c r="C16" s="14"/>
      <c r="D16" s="15">
        <f>'JANUARY 21'!H16:H32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  <c r="K16" s="23" t="s">
        <v>45</v>
      </c>
      <c r="L16" s="13">
        <v>11</v>
      </c>
      <c r="M16" s="14"/>
      <c r="N16" s="15">
        <f>'JANUARY 21'!R16:R45</f>
        <v>0</v>
      </c>
      <c r="O16" s="16"/>
      <c r="P16" s="16">
        <f t="shared" si="2"/>
        <v>0</v>
      </c>
      <c r="Q16" s="16"/>
      <c r="R16" s="17">
        <f t="shared" si="3"/>
        <v>0</v>
      </c>
      <c r="S16" s="15"/>
    </row>
    <row r="17" spans="1:19" x14ac:dyDescent="0.25">
      <c r="A17" s="18" t="s">
        <v>129</v>
      </c>
      <c r="B17" s="13">
        <v>12</v>
      </c>
      <c r="C17" s="14"/>
      <c r="D17" s="15">
        <f>'JANUARY 21'!H17:H33</f>
        <v>0</v>
      </c>
      <c r="E17" s="19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  <c r="K17" s="23" t="s">
        <v>45</v>
      </c>
      <c r="L17" s="24">
        <v>12</v>
      </c>
      <c r="M17" s="14"/>
      <c r="N17" s="15">
        <f>'JANUARY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'JANUARY 21'!H18:H34</f>
        <v>2000</v>
      </c>
      <c r="E18" s="19">
        <v>2000</v>
      </c>
      <c r="F18" s="16">
        <f t="shared" si="0"/>
        <v>4000</v>
      </c>
      <c r="G18" s="16">
        <f>2000</f>
        <v>2000</v>
      </c>
      <c r="H18" s="17">
        <f>F18-G18</f>
        <v>2000</v>
      </c>
      <c r="I18" s="15"/>
      <c r="K18" s="23"/>
      <c r="L18" s="13">
        <v>13</v>
      </c>
      <c r="M18" s="14"/>
      <c r="N18" s="15">
        <f>'JANUARY 21'!R18:R47</f>
        <v>0</v>
      </c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>
        <v>2000</v>
      </c>
      <c r="D19" s="15"/>
      <c r="E19" s="19">
        <v>2000</v>
      </c>
      <c r="F19" s="16">
        <f t="shared" si="0"/>
        <v>4000</v>
      </c>
      <c r="G19" s="16">
        <v>4000</v>
      </c>
      <c r="H19" s="17">
        <f t="shared" si="1"/>
        <v>0</v>
      </c>
      <c r="I19" s="15"/>
      <c r="K19" s="23"/>
      <c r="L19" s="24">
        <v>14</v>
      </c>
      <c r="M19" s="14"/>
      <c r="N19" s="15">
        <f>'JANUARY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'JANUARY 21'!H20:H36</f>
        <v>1500</v>
      </c>
      <c r="E20" s="19">
        <v>2000</v>
      </c>
      <c r="F20" s="16">
        <f t="shared" si="0"/>
        <v>3500</v>
      </c>
      <c r="G20" s="16">
        <f>1500+500+500</f>
        <v>2500</v>
      </c>
      <c r="H20" s="17">
        <f>F20-G20</f>
        <v>1000</v>
      </c>
      <c r="I20" s="15"/>
      <c r="K20" s="23"/>
      <c r="L20" s="13">
        <v>15</v>
      </c>
      <c r="M20" s="14"/>
      <c r="N20" s="15">
        <f>'JANUARY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12" t="s">
        <v>34</v>
      </c>
      <c r="B21" s="25">
        <v>16</v>
      </c>
      <c r="C21" s="14"/>
      <c r="D21" s="15">
        <f>'JANUARY 21'!H21:H37</f>
        <v>2500</v>
      </c>
      <c r="E21" s="19">
        <v>2000</v>
      </c>
      <c r="F21" s="16">
        <f t="shared" si="0"/>
        <v>4500</v>
      </c>
      <c r="G21" s="16"/>
      <c r="H21" s="17"/>
      <c r="I21" s="15"/>
      <c r="J21" t="s">
        <v>54</v>
      </c>
      <c r="K21" s="23"/>
      <c r="L21" s="24">
        <v>16</v>
      </c>
      <c r="M21" s="14"/>
      <c r="N21" s="15">
        <f>'JANUARY 21'!R21:R50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'JANUARY 21'!H22:H38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  <c r="K22" s="23"/>
      <c r="L22" s="13">
        <v>17</v>
      </c>
      <c r="M22" s="14"/>
      <c r="N22" s="15">
        <f>'JANUARY 21'!R22:R51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5500</v>
      </c>
      <c r="D23" s="15">
        <f>SUM(D6:D22)</f>
        <v>8800</v>
      </c>
      <c r="E23" s="29">
        <f t="shared" si="4"/>
        <v>32300</v>
      </c>
      <c r="F23" s="16">
        <f t="shared" si="4"/>
        <v>46600</v>
      </c>
      <c r="G23" s="16">
        <f t="shared" si="4"/>
        <v>38300</v>
      </c>
      <c r="H23" s="16">
        <f t="shared" si="4"/>
        <v>3800</v>
      </c>
      <c r="I23" s="15">
        <f t="shared" si="4"/>
        <v>0</v>
      </c>
      <c r="K23" s="23"/>
      <c r="L23" s="24">
        <v>18</v>
      </c>
      <c r="M23" s="14"/>
      <c r="N23" s="15">
        <f>'JANUARY 21'!R23:R52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'JANUARY 21'!R24:R53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'JANUARY 21'!R25:R54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'JANUARY 21'!R26:R55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'JANUARY 21'!R27:R56</f>
        <v>0</v>
      </c>
      <c r="O27" s="16">
        <v>3500</v>
      </c>
      <c r="P27" s="16">
        <f t="shared" si="2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'JANUARY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119</v>
      </c>
      <c r="B29" s="40">
        <f>E23</f>
        <v>32300</v>
      </c>
      <c r="C29" s="28"/>
      <c r="D29" s="28"/>
      <c r="E29" s="28" t="s">
        <v>119</v>
      </c>
      <c r="F29" s="40">
        <f>G23</f>
        <v>38300</v>
      </c>
      <c r="G29" s="28"/>
      <c r="H29" s="28"/>
      <c r="I29" s="36"/>
      <c r="K29" s="18"/>
      <c r="L29" s="24">
        <v>24</v>
      </c>
      <c r="M29" s="14"/>
      <c r="N29" s="15">
        <f>'JANUARY 21'!R29:R58</f>
        <v>0</v>
      </c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18</v>
      </c>
      <c r="B30" s="40">
        <f>'JANUARY 21'!D41</f>
        <v>-2188</v>
      </c>
      <c r="C30" s="28"/>
      <c r="D30" s="28"/>
      <c r="E30" s="28" t="s">
        <v>18</v>
      </c>
      <c r="F30" s="40">
        <f>'JANUARY 21'!H41</f>
        <v>-10888</v>
      </c>
      <c r="G30" s="28"/>
      <c r="H30" s="28"/>
      <c r="I30" s="36"/>
      <c r="K30" s="18"/>
      <c r="L30" s="13">
        <v>25</v>
      </c>
      <c r="M30" s="14"/>
      <c r="N30" s="15">
        <f>'JANUARY 21'!R30:R59</f>
        <v>0</v>
      </c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'JANUARY 21'!R31:R60</f>
        <v>0</v>
      </c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133</v>
      </c>
      <c r="B32" s="40">
        <f>C23</f>
        <v>5500</v>
      </c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'JANUARY 21'!R32:R61</f>
        <v>0</v>
      </c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3230</v>
      </c>
      <c r="D33" s="28"/>
      <c r="E33" s="28" t="s">
        <v>20</v>
      </c>
      <c r="F33" s="41">
        <v>0.1</v>
      </c>
      <c r="G33" s="40">
        <f>F33*B29</f>
        <v>3230</v>
      </c>
      <c r="H33" s="28"/>
      <c r="I33" s="3"/>
      <c r="K33" s="22" t="s">
        <v>109</v>
      </c>
      <c r="L33" s="24">
        <v>28</v>
      </c>
      <c r="M33" s="14"/>
      <c r="N33" s="15">
        <f>'JANUARY 21'!R33:R62</f>
        <v>0</v>
      </c>
      <c r="O33" s="16">
        <v>5000</v>
      </c>
      <c r="P33" s="16">
        <f t="shared" si="2"/>
        <v>5000</v>
      </c>
      <c r="Q33" s="16">
        <f>5000</f>
        <v>5000</v>
      </c>
      <c r="R33" s="17">
        <f t="shared" si="5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'JANUARY 21'!R34:R63</f>
        <v>0</v>
      </c>
      <c r="O34" s="16">
        <v>5000</v>
      </c>
      <c r="P34" s="16">
        <f>M34+N34+O34</f>
        <v>5000</v>
      </c>
      <c r="Q34" s="16">
        <f>5000</f>
        <v>5000</v>
      </c>
      <c r="R34" s="17">
        <f t="shared" si="5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'JANUARY 21'!R35:R64</f>
        <v>25000</v>
      </c>
      <c r="O35" s="16">
        <v>5000</v>
      </c>
      <c r="P35" s="16">
        <f t="shared" si="2"/>
        <v>30000</v>
      </c>
      <c r="Q35" s="16">
        <v>5000</v>
      </c>
      <c r="R35" s="17">
        <f t="shared" si="3"/>
        <v>25000</v>
      </c>
      <c r="S35" s="15"/>
    </row>
    <row r="36" spans="1:19" x14ac:dyDescent="0.25">
      <c r="A36" s="42" t="s">
        <v>122</v>
      </c>
      <c r="C36">
        <v>15097</v>
      </c>
      <c r="D36" s="44"/>
      <c r="E36" s="42" t="s">
        <v>122</v>
      </c>
      <c r="G36">
        <v>15097</v>
      </c>
      <c r="H36" s="28"/>
      <c r="I36" s="3"/>
      <c r="K36" s="27" t="s">
        <v>24</v>
      </c>
      <c r="L36" s="28"/>
      <c r="M36" s="14">
        <f t="shared" ref="M36:S36" si="6">SUM(M6:M35)</f>
        <v>0</v>
      </c>
      <c r="N36" s="15">
        <f>SUM(N6:N35)</f>
        <v>32500</v>
      </c>
      <c r="O36" s="29">
        <f t="shared" si="6"/>
        <v>68000</v>
      </c>
      <c r="P36" s="16">
        <f>SUM(P6:P35)</f>
        <v>100500</v>
      </c>
      <c r="Q36" s="16">
        <f t="shared" si="6"/>
        <v>60500</v>
      </c>
      <c r="R36" s="16">
        <f t="shared" si="6"/>
        <v>40000</v>
      </c>
      <c r="S36" s="15">
        <f t="shared" si="6"/>
        <v>0</v>
      </c>
    </row>
    <row r="37" spans="1:19" x14ac:dyDescent="0.25">
      <c r="A37" s="42" t="s">
        <v>126</v>
      </c>
      <c r="B37" s="41"/>
      <c r="C37" s="28">
        <v>9587</v>
      </c>
      <c r="D37" s="28"/>
      <c r="E37" s="42" t="s">
        <v>126</v>
      </c>
      <c r="F37" s="41"/>
      <c r="G37" s="28">
        <v>9587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128</v>
      </c>
      <c r="B38" s="41"/>
      <c r="C38" s="28">
        <v>4500</v>
      </c>
      <c r="D38" s="28"/>
      <c r="E38" s="42"/>
      <c r="F38" s="41"/>
      <c r="G38" s="28"/>
      <c r="H38" s="28"/>
      <c r="I38" s="45">
        <f>H23+H41</f>
        <v>-757</v>
      </c>
      <c r="J38" s="30"/>
    </row>
    <row r="39" spans="1:19" x14ac:dyDescent="0.25">
      <c r="A39" s="42" t="s">
        <v>131</v>
      </c>
      <c r="B39" s="28"/>
      <c r="C39" s="44">
        <v>4055</v>
      </c>
      <c r="D39" s="28"/>
      <c r="E39" s="42" t="s">
        <v>131</v>
      </c>
      <c r="F39" s="28"/>
      <c r="G39" s="44">
        <v>4055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15000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32382</v>
      </c>
      <c r="C41" s="46">
        <f>SUM(C35:C40)</f>
        <v>33239</v>
      </c>
      <c r="D41" s="46">
        <f>B41-C41</f>
        <v>-857</v>
      </c>
      <c r="E41" s="39" t="s">
        <v>24</v>
      </c>
      <c r="F41" s="46">
        <f>F29+F30+F32-G33</f>
        <v>24182</v>
      </c>
      <c r="G41" s="46">
        <f>SUM(G35:G40)</f>
        <v>28739</v>
      </c>
      <c r="H41" s="46">
        <f>F41-G41</f>
        <v>-4557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119</v>
      </c>
      <c r="L42" s="40">
        <f>O36</f>
        <v>68000</v>
      </c>
      <c r="M42" s="28"/>
      <c r="N42" s="28"/>
      <c r="O42" s="28" t="s">
        <v>119</v>
      </c>
      <c r="P42" s="40">
        <f>Q36</f>
        <v>60500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'JANUARY 21'!N55</f>
        <v>3575</v>
      </c>
      <c r="M43" s="28"/>
      <c r="N43" s="28"/>
      <c r="O43" s="28" t="s">
        <v>18</v>
      </c>
      <c r="P43" s="40">
        <f>'JANUARY 21'!R55</f>
        <v>-3925</v>
      </c>
      <c r="Q43" s="28"/>
      <c r="R43" s="28"/>
      <c r="S43" s="36"/>
    </row>
    <row r="44" spans="1:19" x14ac:dyDescent="0.25">
      <c r="K44" s="28" t="s">
        <v>10</v>
      </c>
      <c r="L44" s="40">
        <f>S36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112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6800</v>
      </c>
      <c r="N46" s="28"/>
      <c r="O46" s="28" t="s">
        <v>20</v>
      </c>
      <c r="P46" s="41">
        <v>0.1</v>
      </c>
      <c r="Q46" s="40">
        <f>P46*L42</f>
        <v>6800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/>
      <c r="N48" s="28"/>
      <c r="O48" s="43" t="s">
        <v>23</v>
      </c>
      <c r="P48" s="41">
        <v>0.3</v>
      </c>
      <c r="Q48" s="44"/>
      <c r="R48" s="28"/>
      <c r="S48" s="3"/>
    </row>
    <row r="49" spans="9:19" x14ac:dyDescent="0.25">
      <c r="K49" s="42"/>
      <c r="L49" s="41"/>
      <c r="M49" s="28"/>
      <c r="N49" s="28"/>
      <c r="O49" s="42"/>
      <c r="P49" s="41"/>
      <c r="Q49" s="28"/>
      <c r="R49" s="28"/>
      <c r="S49" s="36"/>
    </row>
    <row r="50" spans="9:19" x14ac:dyDescent="0.25">
      <c r="I50" s="51"/>
      <c r="K50" s="42" t="s">
        <v>122</v>
      </c>
      <c r="L50" s="41"/>
      <c r="M50" s="28">
        <v>15097</v>
      </c>
      <c r="N50" s="28"/>
      <c r="O50" s="42" t="s">
        <v>122</v>
      </c>
      <c r="P50" s="41"/>
      <c r="Q50" s="28">
        <v>15097</v>
      </c>
      <c r="R50" s="28"/>
      <c r="S50" s="45"/>
    </row>
    <row r="51" spans="9:19" x14ac:dyDescent="0.25">
      <c r="K51" s="42" t="s">
        <v>127</v>
      </c>
      <c r="L51" s="28"/>
      <c r="M51" s="44">
        <v>15000</v>
      </c>
      <c r="N51" s="28"/>
      <c r="O51" s="42"/>
      <c r="P51" s="28"/>
      <c r="Q51" s="44"/>
      <c r="R51" s="28"/>
      <c r="S51" s="3"/>
    </row>
    <row r="52" spans="9:19" x14ac:dyDescent="0.25">
      <c r="K52" s="42" t="s">
        <v>126</v>
      </c>
      <c r="L52" s="28"/>
      <c r="M52" s="44">
        <v>35105</v>
      </c>
      <c r="N52" s="28"/>
      <c r="O52" s="42" t="s">
        <v>126</v>
      </c>
      <c r="P52" s="28"/>
      <c r="Q52" s="44">
        <v>35105</v>
      </c>
      <c r="R52" s="28"/>
      <c r="S52" s="3"/>
    </row>
    <row r="53" spans="9:19" x14ac:dyDescent="0.25">
      <c r="K53" s="42" t="s">
        <v>134</v>
      </c>
      <c r="L53" s="28"/>
      <c r="M53" s="44">
        <v>9087</v>
      </c>
      <c r="N53" s="28"/>
      <c r="O53" s="42" t="s">
        <v>134</v>
      </c>
      <c r="P53" s="28"/>
      <c r="Q53" s="44">
        <v>9087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64775</v>
      </c>
      <c r="M55" s="46">
        <f>SUM(M48:M54)</f>
        <v>74289</v>
      </c>
      <c r="N55" s="46">
        <f>L55-M55</f>
        <v>-9514</v>
      </c>
      <c r="O55" s="39" t="s">
        <v>24</v>
      </c>
      <c r="P55" s="46">
        <f>P42+P43+P45-Q46</f>
        <v>49775</v>
      </c>
      <c r="Q55" s="46">
        <f>SUM(Q48:Q54)</f>
        <v>59289</v>
      </c>
      <c r="R55" s="46">
        <f>P55-Q55</f>
        <v>-9514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19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Q57" s="3"/>
      <c r="R57" s="36"/>
      <c r="S57" s="4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1"/>
  <sheetViews>
    <sheetView workbookViewId="0">
      <selection activeCell="I39" sqref="I39"/>
    </sheetView>
  </sheetViews>
  <sheetFormatPr defaultRowHeight="15" x14ac:dyDescent="0.25"/>
  <cols>
    <col min="1" max="1" width="17" customWidth="1"/>
    <col min="11" max="11" width="18.1406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136</v>
      </c>
      <c r="C4" s="1"/>
      <c r="E4" s="1"/>
      <c r="F4" s="6"/>
      <c r="G4" s="7"/>
      <c r="H4" s="3"/>
      <c r="I4" s="3"/>
      <c r="K4" s="5"/>
      <c r="L4" s="1" t="s">
        <v>136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'FEBRUARY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'FEBRUARY 21'!R6:R35</f>
        <v>0</v>
      </c>
      <c r="O6" s="16">
        <v>10000</v>
      </c>
      <c r="P6" s="16">
        <f>M6+N6+O6</f>
        <v>10000</v>
      </c>
      <c r="Q6" s="16">
        <v>10000</v>
      </c>
      <c r="R6" s="17">
        <f>P6-Q6</f>
        <v>0</v>
      </c>
      <c r="S6" s="15"/>
    </row>
    <row r="7" spans="1:19" x14ac:dyDescent="0.25">
      <c r="A7" t="s">
        <v>42</v>
      </c>
      <c r="B7" s="13">
        <v>2</v>
      </c>
      <c r="C7" s="14"/>
      <c r="D7" s="15">
        <f>'FEBRUARY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'FEBRUARY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'FEBRUARY 21'!H8:H24</f>
        <v>0</v>
      </c>
      <c r="E8" s="19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  <c r="K8" s="20" t="s">
        <v>141</v>
      </c>
      <c r="L8" s="13">
        <v>3</v>
      </c>
      <c r="M8" s="14">
        <v>8000</v>
      </c>
      <c r="N8" s="15"/>
      <c r="O8" s="16">
        <v>8000</v>
      </c>
      <c r="P8" s="16">
        <f t="shared" si="2"/>
        <v>16000</v>
      </c>
      <c r="Q8" s="16">
        <f>8000+8000</f>
        <v>16000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'FEBRUARY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'FEBRUARY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1" t="s">
        <v>38</v>
      </c>
      <c r="B10" s="13">
        <v>5</v>
      </c>
      <c r="C10" s="14"/>
      <c r="D10" s="15">
        <f>'FEBRUARY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'FEBRUARY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52" t="s">
        <v>45</v>
      </c>
      <c r="B11" s="13">
        <v>6</v>
      </c>
      <c r="C11" s="14"/>
      <c r="D11" s="15">
        <f>'FEBRUARY 21'!H11:H27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'FEBRUARY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'FEBRUARY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'FEBRUARY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'FEBRUARY 21'!H13:H29</f>
        <v>0</v>
      </c>
      <c r="E13" s="19">
        <v>2000</v>
      </c>
      <c r="F13" s="16">
        <f t="shared" si="0"/>
        <v>3000</v>
      </c>
      <c r="G13" s="16">
        <v>3000</v>
      </c>
      <c r="H13" s="17">
        <f>F13-G13</f>
        <v>0</v>
      </c>
      <c r="I13" s="15"/>
      <c r="K13" s="50" t="s">
        <v>80</v>
      </c>
      <c r="L13" s="13">
        <v>8</v>
      </c>
      <c r="M13" s="14"/>
      <c r="N13" s="15">
        <f>'FEBRUARY 21'!R13:R42</f>
        <v>0</v>
      </c>
      <c r="O13" s="16">
        <v>3500</v>
      </c>
      <c r="P13" s="16">
        <f t="shared" si="2"/>
        <v>3500</v>
      </c>
      <c r="Q13" s="16">
        <f>3500</f>
        <v>3500</v>
      </c>
      <c r="R13" s="17">
        <f t="shared" si="3"/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'FEBRUARY 21'!H14:H30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J14" t="s">
        <v>148</v>
      </c>
      <c r="K14" s="50" t="s">
        <v>81</v>
      </c>
      <c r="L14" s="13">
        <v>9</v>
      </c>
      <c r="M14" s="14"/>
      <c r="N14" s="15">
        <f>'FEBRUARY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'FEBRUARY 21'!H15:H31</f>
        <v>0</v>
      </c>
      <c r="E15" s="19">
        <v>2000</v>
      </c>
      <c r="F15" s="16">
        <f t="shared" si="0"/>
        <v>2000</v>
      </c>
      <c r="G15" s="16"/>
      <c r="H15" s="17">
        <f t="shared" si="1"/>
        <v>2000</v>
      </c>
      <c r="I15" s="15"/>
      <c r="K15" s="22" t="s">
        <v>113</v>
      </c>
      <c r="L15" s="24">
        <v>10</v>
      </c>
      <c r="M15" s="14"/>
      <c r="N15" s="15">
        <f>'FEBRUARY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/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>
        <v>3500</v>
      </c>
      <c r="N16" s="15">
        <f>'FEBRUARY 21'!R16:R45</f>
        <v>0</v>
      </c>
      <c r="O16" s="16">
        <f>3500+1000</f>
        <v>4500</v>
      </c>
      <c r="P16" s="16">
        <f t="shared" si="2"/>
        <v>8000</v>
      </c>
      <c r="Q16" s="16">
        <f>4500+2500+1000</f>
        <v>8000</v>
      </c>
      <c r="R16" s="17">
        <f t="shared" si="3"/>
        <v>0</v>
      </c>
      <c r="S16" s="15"/>
    </row>
    <row r="17" spans="1:19" x14ac:dyDescent="0.25">
      <c r="A17" s="18" t="s">
        <v>45</v>
      </c>
      <c r="B17" s="13">
        <v>12</v>
      </c>
      <c r="C17" s="14"/>
      <c r="D17" s="15">
        <f>'FEBRUARY 21'!H17:H33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'FEBRUARY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'FEBRUARY 21'!H18:H34</f>
        <v>2000</v>
      </c>
      <c r="E18" s="19">
        <v>2000</v>
      </c>
      <c r="F18" s="16">
        <f t="shared" si="0"/>
        <v>4000</v>
      </c>
      <c r="G18" s="16">
        <f>2000</f>
        <v>2000</v>
      </c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'FEBRUARY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'FEBRUARY 21'!H19:H35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'FEBRUARY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'FEBRUARY 21'!H20:H36</f>
        <v>1000</v>
      </c>
      <c r="E20" s="19">
        <v>2000</v>
      </c>
      <c r="F20" s="16">
        <f t="shared" si="0"/>
        <v>3000</v>
      </c>
      <c r="G20" s="16">
        <f>500+1500</f>
        <v>2000</v>
      </c>
      <c r="H20" s="17">
        <f>F20-G20</f>
        <v>1000</v>
      </c>
      <c r="I20" s="15"/>
      <c r="K20" s="23"/>
      <c r="L20" s="13">
        <v>15</v>
      </c>
      <c r="M20" s="14"/>
      <c r="N20" s="15">
        <f>'FEBRUARY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12" t="s">
        <v>129</v>
      </c>
      <c r="B21" s="25">
        <v>16</v>
      </c>
      <c r="C21" s="14"/>
      <c r="D21" s="15">
        <f>'FEBRUARY 21'!H21:H37</f>
        <v>0</v>
      </c>
      <c r="E21" s="19">
        <v>2000</v>
      </c>
      <c r="F21" s="16">
        <f t="shared" si="0"/>
        <v>2000</v>
      </c>
      <c r="G21" s="16">
        <f>2000</f>
        <v>2000</v>
      </c>
      <c r="H21" s="17">
        <f>F21-G21</f>
        <v>0</v>
      </c>
      <c r="I21" s="15"/>
      <c r="K21" s="23"/>
      <c r="L21" s="24">
        <v>16</v>
      </c>
      <c r="M21" s="14"/>
      <c r="N21" s="15">
        <f>'FEBRUARY 21'!R21:R50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'FEBRUARY 21'!H22:H38</f>
        <v>0</v>
      </c>
      <c r="E22" s="19">
        <v>3800</v>
      </c>
      <c r="F22" s="16">
        <f t="shared" si="0"/>
        <v>3800</v>
      </c>
      <c r="G22" s="16">
        <v>3800</v>
      </c>
      <c r="H22" s="17">
        <f>F22-G22</f>
        <v>0</v>
      </c>
      <c r="I22" s="15"/>
      <c r="K22" s="23"/>
      <c r="L22" s="13">
        <v>17</v>
      </c>
      <c r="M22" s="14"/>
      <c r="N22" s="15">
        <f>'FEBRUARY 21'!R22:R51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1000</v>
      </c>
      <c r="D23" s="15">
        <f>SUM(D6:D22)</f>
        <v>3500</v>
      </c>
      <c r="E23" s="29">
        <f t="shared" si="4"/>
        <v>30300</v>
      </c>
      <c r="F23" s="16">
        <f t="shared" si="4"/>
        <v>34800</v>
      </c>
      <c r="G23" s="16">
        <f t="shared" si="4"/>
        <v>29300</v>
      </c>
      <c r="H23" s="16">
        <f t="shared" si="4"/>
        <v>5500</v>
      </c>
      <c r="I23" s="15">
        <f t="shared" si="4"/>
        <v>0</v>
      </c>
      <c r="K23" s="23"/>
      <c r="L23" s="24">
        <v>18</v>
      </c>
      <c r="M23" s="14"/>
      <c r="N23" s="15">
        <f>'FEBRUARY 21'!R23:R52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'FEBRUARY 21'!R24:R53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'FEBRUARY 21'!R25:R54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'FEBRUARY 21'!R26:R55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'FEBRUARY 21'!R27:R56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'FEBRUARY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137</v>
      </c>
      <c r="B29" s="40">
        <f>E23</f>
        <v>30300</v>
      </c>
      <c r="C29" s="28"/>
      <c r="D29" s="28"/>
      <c r="E29" s="28" t="s">
        <v>137</v>
      </c>
      <c r="F29" s="40">
        <f>G23</f>
        <v>29300</v>
      </c>
      <c r="G29" s="28"/>
      <c r="H29" s="28"/>
      <c r="I29" s="36"/>
      <c r="K29" s="18"/>
      <c r="L29" s="24">
        <v>24</v>
      </c>
      <c r="M29" s="14"/>
      <c r="N29" s="15">
        <f>'FEBRUARY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'FEBRUARY 21'!D41</f>
        <v>-857</v>
      </c>
      <c r="C30" s="28"/>
      <c r="D30" s="28"/>
      <c r="E30" s="28" t="s">
        <v>18</v>
      </c>
      <c r="F30" s="40">
        <f>'FEBRUARY 21'!H41</f>
        <v>-4557</v>
      </c>
      <c r="G30" s="28"/>
      <c r="H30" s="28"/>
      <c r="I30" s="36"/>
      <c r="K30" s="18"/>
      <c r="L30" s="13">
        <v>25</v>
      </c>
      <c r="M30" s="14"/>
      <c r="N30" s="15">
        <f>'FEBRUARY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'FEBRUARY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>
        <f>C23</f>
        <v>1000</v>
      </c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'FEBRUARY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3030</v>
      </c>
      <c r="D33" s="28"/>
      <c r="E33" s="28" t="s">
        <v>20</v>
      </c>
      <c r="F33" s="41">
        <v>0.1</v>
      </c>
      <c r="G33" s="40">
        <f>F33*B29</f>
        <v>3030</v>
      </c>
      <c r="H33" s="28"/>
      <c r="I33" s="3"/>
      <c r="K33" s="22"/>
      <c r="L33" s="24">
        <v>28</v>
      </c>
      <c r="M33" s="14"/>
      <c r="N33" s="15">
        <f>'FEBRUARY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'FEBRUARY 21'!R34:R63</f>
        <v>0</v>
      </c>
      <c r="O34" s="16">
        <v>5000</v>
      </c>
      <c r="P34" s="16">
        <f>M34+N34+O34</f>
        <v>5000</v>
      </c>
      <c r="Q34" s="16">
        <f>5000</f>
        <v>5000</v>
      </c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>
        <f>B35*E16</f>
        <v>600</v>
      </c>
      <c r="D35" s="28"/>
      <c r="E35" s="43" t="s">
        <v>23</v>
      </c>
      <c r="F35" s="41">
        <v>0.3</v>
      </c>
      <c r="G35" s="44">
        <f>F35*E16</f>
        <v>600</v>
      </c>
      <c r="H35" s="28"/>
      <c r="I35" s="3"/>
      <c r="K35" s="22" t="s">
        <v>87</v>
      </c>
      <c r="L35" s="24">
        <v>30</v>
      </c>
      <c r="M35" s="14"/>
      <c r="N35" s="15">
        <f>'FEBRUARY 21'!R35:R64</f>
        <v>25000</v>
      </c>
      <c r="O35" s="16">
        <v>5000</v>
      </c>
      <c r="P35" s="16">
        <f t="shared" si="2"/>
        <v>30000</v>
      </c>
      <c r="Q35" s="16"/>
      <c r="R35" s="17">
        <f t="shared" si="3"/>
        <v>30000</v>
      </c>
      <c r="S35" s="15"/>
    </row>
    <row r="36" spans="1:19" x14ac:dyDescent="0.25">
      <c r="A36" s="42" t="s">
        <v>140</v>
      </c>
      <c r="C36">
        <v>18000</v>
      </c>
      <c r="D36" s="44"/>
      <c r="E36" s="42" t="s">
        <v>140</v>
      </c>
      <c r="G36">
        <v>18000</v>
      </c>
      <c r="H36" s="28"/>
      <c r="I36" s="3"/>
      <c r="K36" s="27" t="s">
        <v>24</v>
      </c>
      <c r="L36" s="28"/>
      <c r="M36" s="14">
        <f t="shared" ref="M36:S36" si="5">SUM(M6:M35)</f>
        <v>11500</v>
      </c>
      <c r="N36" s="15">
        <f>SUM(N6:N35)</f>
        <v>25000</v>
      </c>
      <c r="O36" s="29">
        <f t="shared" si="5"/>
        <v>73000</v>
      </c>
      <c r="P36" s="16">
        <f>SUM(P6:P35)</f>
        <v>109500</v>
      </c>
      <c r="Q36" s="16">
        <f t="shared" si="5"/>
        <v>79500</v>
      </c>
      <c r="R36" s="16">
        <f t="shared" si="5"/>
        <v>30000</v>
      </c>
      <c r="S36" s="15">
        <f t="shared" si="5"/>
        <v>0</v>
      </c>
    </row>
    <row r="37" spans="1:19" x14ac:dyDescent="0.25">
      <c r="A37" s="42" t="s">
        <v>142</v>
      </c>
      <c r="B37" s="41"/>
      <c r="C37" s="28">
        <v>6075</v>
      </c>
      <c r="D37" s="28"/>
      <c r="E37" s="42" t="s">
        <v>142</v>
      </c>
      <c r="F37" s="41"/>
      <c r="G37" s="28">
        <v>6075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146</v>
      </c>
      <c r="B38" s="41"/>
      <c r="C38" s="28">
        <v>2000</v>
      </c>
      <c r="D38" s="28"/>
      <c r="E38" s="42" t="s">
        <v>146</v>
      </c>
      <c r="F38" s="41"/>
      <c r="G38" s="28">
        <v>2000</v>
      </c>
      <c r="H38" s="28"/>
      <c r="I38" s="45">
        <f>H23+H41</f>
        <v>-1462</v>
      </c>
      <c r="J38" s="30"/>
    </row>
    <row r="39" spans="1:19" x14ac:dyDescent="0.25">
      <c r="A39" s="42" t="s">
        <v>149</v>
      </c>
      <c r="B39" s="28"/>
      <c r="C39" s="44">
        <v>2000</v>
      </c>
      <c r="D39" s="28"/>
      <c r="E39" s="42" t="s">
        <v>149</v>
      </c>
      <c r="F39" s="28"/>
      <c r="G39" s="44">
        <v>2000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27413</v>
      </c>
      <c r="C41" s="46">
        <f>SUM(C35:C40)</f>
        <v>28675</v>
      </c>
      <c r="D41" s="46">
        <f>B41-C41</f>
        <v>-1262</v>
      </c>
      <c r="E41" s="39" t="s">
        <v>24</v>
      </c>
      <c r="F41" s="46">
        <f>F29+F30+F32-G33</f>
        <v>21713</v>
      </c>
      <c r="G41" s="46">
        <f>SUM(G35:G40)</f>
        <v>28675</v>
      </c>
      <c r="H41" s="46">
        <f>F41-G41</f>
        <v>-6962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137</v>
      </c>
      <c r="L42" s="40">
        <f>O36</f>
        <v>73000</v>
      </c>
      <c r="M42" s="28"/>
      <c r="N42" s="28"/>
      <c r="O42" s="28" t="s">
        <v>137</v>
      </c>
      <c r="P42" s="40">
        <f>Q36</f>
        <v>79500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'FEBRUARY 21'!N55</f>
        <v>-9514</v>
      </c>
      <c r="M43" s="28"/>
      <c r="N43" s="28"/>
      <c r="O43" s="28" t="s">
        <v>18</v>
      </c>
      <c r="P43" s="40">
        <f>'FEBRUARY 21'!R55</f>
        <v>-9514</v>
      </c>
      <c r="Q43" s="28"/>
      <c r="R43" s="28"/>
      <c r="S43" s="36"/>
    </row>
    <row r="44" spans="1:19" x14ac:dyDescent="0.25">
      <c r="K44" s="28" t="s">
        <v>151</v>
      </c>
      <c r="L44" s="40">
        <f>M36</f>
        <v>11500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7300</v>
      </c>
      <c r="N46" s="28"/>
      <c r="O46" s="28" t="s">
        <v>20</v>
      </c>
      <c r="P46" s="41">
        <v>0.1</v>
      </c>
      <c r="Q46" s="40">
        <f>P46*L42</f>
        <v>7300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>
        <f>L48*M8+(L48*M16)</f>
        <v>3450</v>
      </c>
      <c r="N48" s="28"/>
      <c r="O48" s="43" t="s">
        <v>23</v>
      </c>
      <c r="P48" s="41">
        <v>0.3</v>
      </c>
      <c r="Q48" s="44">
        <f>M48</f>
        <v>3450</v>
      </c>
      <c r="R48" s="28"/>
      <c r="S48" s="3"/>
    </row>
    <row r="49" spans="9:19" x14ac:dyDescent="0.25">
      <c r="K49" s="42" t="s">
        <v>138</v>
      </c>
      <c r="L49" s="41"/>
      <c r="M49" s="28">
        <v>10087</v>
      </c>
      <c r="N49" s="28"/>
      <c r="O49" s="42" t="s">
        <v>138</v>
      </c>
      <c r="P49" s="41"/>
      <c r="Q49" s="28">
        <v>10087</v>
      </c>
      <c r="R49" s="28"/>
      <c r="S49" s="36"/>
    </row>
    <row r="50" spans="9:19" x14ac:dyDescent="0.25">
      <c r="I50" s="51"/>
      <c r="K50" s="42" t="s">
        <v>144</v>
      </c>
      <c r="L50" s="41"/>
      <c r="M50" s="28">
        <v>3500</v>
      </c>
      <c r="N50" s="28"/>
      <c r="O50" s="42" t="s">
        <v>144</v>
      </c>
      <c r="P50" s="41"/>
      <c r="Q50" s="28">
        <v>3500</v>
      </c>
      <c r="R50" s="28"/>
      <c r="S50" s="45"/>
    </row>
    <row r="51" spans="9:19" x14ac:dyDescent="0.25">
      <c r="K51" s="42" t="s">
        <v>144</v>
      </c>
      <c r="L51" s="28"/>
      <c r="M51" s="44">
        <v>3500</v>
      </c>
      <c r="N51" s="28"/>
      <c r="O51" s="42" t="s">
        <v>144</v>
      </c>
      <c r="P51" s="28"/>
      <c r="Q51" s="44">
        <v>3500</v>
      </c>
      <c r="R51" s="28"/>
      <c r="S51" s="3"/>
    </row>
    <row r="52" spans="9:19" x14ac:dyDescent="0.25">
      <c r="K52" s="42" t="s">
        <v>145</v>
      </c>
      <c r="L52" s="28"/>
      <c r="M52" s="44">
        <v>49904</v>
      </c>
      <c r="N52" s="28"/>
      <c r="O52" s="42" t="s">
        <v>145</v>
      </c>
      <c r="P52" s="28"/>
      <c r="Q52" s="44">
        <v>49904</v>
      </c>
      <c r="R52" s="28"/>
      <c r="S52" s="3"/>
    </row>
    <row r="53" spans="9:19" x14ac:dyDescent="0.25">
      <c r="K53" s="42" t="s">
        <v>143</v>
      </c>
      <c r="L53" s="28"/>
      <c r="M53" s="44">
        <v>5000</v>
      </c>
      <c r="N53" s="28"/>
      <c r="O53" s="42"/>
      <c r="P53" s="28"/>
      <c r="Q53" s="44"/>
      <c r="R53" s="28"/>
      <c r="S53" s="3"/>
    </row>
    <row r="54" spans="9:19" x14ac:dyDescent="0.25">
      <c r="K54" s="42" t="s">
        <v>155</v>
      </c>
      <c r="L54" s="28"/>
      <c r="M54" s="44">
        <v>5600</v>
      </c>
      <c r="N54" s="28"/>
      <c r="O54" s="42" t="s">
        <v>155</v>
      </c>
      <c r="P54" s="28"/>
      <c r="Q54" s="44">
        <v>5600</v>
      </c>
      <c r="R54" s="28"/>
      <c r="S54" s="3"/>
    </row>
    <row r="55" spans="9:19" x14ac:dyDescent="0.25">
      <c r="K55" s="42" t="s">
        <v>159</v>
      </c>
      <c r="L55" s="28"/>
      <c r="M55" s="44">
        <v>2000</v>
      </c>
      <c r="N55" s="28"/>
      <c r="O55" s="42" t="s">
        <v>159</v>
      </c>
      <c r="P55" s="28"/>
      <c r="Q55" s="44">
        <v>2000</v>
      </c>
      <c r="R55" s="28"/>
      <c r="S55" s="3"/>
    </row>
    <row r="56" spans="9:19" x14ac:dyDescent="0.25">
      <c r="K56" s="39" t="s">
        <v>24</v>
      </c>
      <c r="L56" s="46">
        <f>L45+L42+L43+L44-M46</f>
        <v>67686</v>
      </c>
      <c r="M56" s="46">
        <f>SUM(M48:M55)</f>
        <v>83041</v>
      </c>
      <c r="N56" s="46">
        <f>L56-M56</f>
        <v>-15355</v>
      </c>
      <c r="O56" s="39" t="s">
        <v>24</v>
      </c>
      <c r="P56" s="46">
        <f>P42+P43+P45-Q46</f>
        <v>62686</v>
      </c>
      <c r="Q56" s="46">
        <f>SUM(Q48:Q55)</f>
        <v>78041</v>
      </c>
      <c r="R56" s="46">
        <f>P56-Q56</f>
        <v>-15355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8" spans="3:10" x14ac:dyDescent="0.25">
      <c r="F68">
        <f>179000+250000+190000</f>
        <v>619000</v>
      </c>
    </row>
    <row r="69" spans="3:10" x14ac:dyDescent="0.25">
      <c r="C69">
        <f>14000+900+250+1000</f>
        <v>16150</v>
      </c>
      <c r="J69">
        <f>11000+1800+200</f>
        <v>13000</v>
      </c>
    </row>
    <row r="70" spans="3:10" x14ac:dyDescent="0.25">
      <c r="C70">
        <f>16500-C69</f>
        <v>350</v>
      </c>
      <c r="D70">
        <f>500+900+15000</f>
        <v>16400</v>
      </c>
    </row>
    <row r="71" spans="3:10" x14ac:dyDescent="0.25">
      <c r="D71">
        <f>600+15000+900</f>
        <v>16500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0" workbookViewId="0">
      <selection activeCell="G22" sqref="G22"/>
    </sheetView>
  </sheetViews>
  <sheetFormatPr defaultRowHeight="15" x14ac:dyDescent="0.25"/>
  <cols>
    <col min="1" max="1" width="20.5703125" customWidth="1"/>
    <col min="11" max="11" width="24.42578125" bestFit="1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152</v>
      </c>
      <c r="C4" s="1"/>
      <c r="E4" s="1"/>
      <c r="F4" s="6"/>
      <c r="G4" s="7"/>
      <c r="H4" s="3"/>
      <c r="I4" s="3"/>
      <c r="K4" s="5"/>
      <c r="L4" s="1" t="s">
        <v>152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'MARCH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'MARCH 21'!R6:R36</f>
        <v>0</v>
      </c>
      <c r="O6" s="16">
        <v>10000</v>
      </c>
      <c r="P6" s="16">
        <f>M6+N6+O6</f>
        <v>10000</v>
      </c>
      <c r="Q6" s="16">
        <f>8500</f>
        <v>8500</v>
      </c>
      <c r="R6" s="17">
        <f>P6-Q6</f>
        <v>1500</v>
      </c>
      <c r="S6" s="15"/>
    </row>
    <row r="7" spans="1:19" x14ac:dyDescent="0.25">
      <c r="A7" t="s">
        <v>42</v>
      </c>
      <c r="B7" s="13">
        <v>2</v>
      </c>
      <c r="C7" s="14"/>
      <c r="D7" s="15">
        <f>'MARCH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'MARCH 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'MARCH 21'!H8:H24</f>
        <v>0</v>
      </c>
      <c r="E8" s="19">
        <v>4000</v>
      </c>
      <c r="F8" s="16">
        <f t="shared" si="0"/>
        <v>4000</v>
      </c>
      <c r="G8" s="16">
        <v>4000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'MARCH 21'!R8:R38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'MARCH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'MARCH 21'!R9:R39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/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'MARCH 21'!R10:R40</f>
        <v>0</v>
      </c>
      <c r="O10" s="16">
        <v>3500</v>
      </c>
      <c r="P10" s="16">
        <f t="shared" si="2"/>
        <v>3500</v>
      </c>
      <c r="Q10" s="16">
        <f>3500</f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'MARCH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'MARCH 21'!R11:R41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'MARCH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'MARCH 21'!R12:R42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'MARCH 21'!H13:H29</f>
        <v>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'MARCH 21'!R13:R43</f>
        <v>0</v>
      </c>
      <c r="O13" s="16">
        <v>3500</v>
      </c>
      <c r="P13" s="16">
        <f t="shared" si="2"/>
        <v>3500</v>
      </c>
      <c r="Q13" s="16">
        <v>3500</v>
      </c>
      <c r="R13" s="17">
        <f>P13-Q13</f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'MARCH 21'!H14:H30</f>
        <v>500</v>
      </c>
      <c r="E14" s="19">
        <v>2500</v>
      </c>
      <c r="F14" s="16">
        <f t="shared" si="0"/>
        <v>3000</v>
      </c>
      <c r="G14" s="16">
        <f>2000</f>
        <v>2000</v>
      </c>
      <c r="H14" s="17">
        <f t="shared" si="1"/>
        <v>1000</v>
      </c>
      <c r="I14" s="15"/>
      <c r="K14" s="50" t="s">
        <v>81</v>
      </c>
      <c r="L14" s="13">
        <v>9</v>
      </c>
      <c r="M14" s="14"/>
      <c r="N14" s="15">
        <f>'MARCH 21'!R14:R44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'MARCH 21'!H15:H31</f>
        <v>2000</v>
      </c>
      <c r="E15" s="19">
        <v>2000</v>
      </c>
      <c r="F15" s="16">
        <f t="shared" si="0"/>
        <v>4000</v>
      </c>
      <c r="G15" s="16">
        <f>1300</f>
        <v>1300</v>
      </c>
      <c r="H15" s="17">
        <f t="shared" si="1"/>
        <v>2700</v>
      </c>
      <c r="I15" s="15"/>
      <c r="K15" s="22" t="s">
        <v>113</v>
      </c>
      <c r="L15" s="24">
        <v>10</v>
      </c>
      <c r="M15" s="14"/>
      <c r="N15" s="15">
        <f>'MARCH 21'!R15:R45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'MARCH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'MARCH 21'!R16:R46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'MARCH 21'!H17:H33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'MARCH 21'!R17:R47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'MARCH 21'!H18:H34</f>
        <v>2000</v>
      </c>
      <c r="E18" s="19">
        <v>2000</v>
      </c>
      <c r="F18" s="16">
        <f t="shared" si="0"/>
        <v>4000</v>
      </c>
      <c r="G18" s="16"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'MARCH 21'!R18:R48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'MARCH 21'!H19:H35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'MARCH 21'!R19:R49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'MARCH 21'!H20:H36</f>
        <v>1000</v>
      </c>
      <c r="E20" s="19">
        <v>2000</v>
      </c>
      <c r="F20" s="16">
        <f t="shared" si="0"/>
        <v>3000</v>
      </c>
      <c r="G20" s="16">
        <f>1500+1000</f>
        <v>2500</v>
      </c>
      <c r="H20" s="17">
        <f>F20-G20</f>
        <v>500</v>
      </c>
      <c r="I20" s="15"/>
      <c r="K20" s="23"/>
      <c r="L20" s="13">
        <v>15</v>
      </c>
      <c r="M20" s="14"/>
      <c r="N20" s="15">
        <f>'MARCH 21'!R20:R50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'MARCH 21'!H21:H37</f>
        <v>0</v>
      </c>
      <c r="E21" s="19">
        <v>2000</v>
      </c>
      <c r="F21" s="16">
        <f t="shared" si="0"/>
        <v>2000</v>
      </c>
      <c r="G21" s="16">
        <f>1500</f>
        <v>1500</v>
      </c>
      <c r="H21" s="17">
        <f>F21-G21</f>
        <v>500</v>
      </c>
      <c r="I21" s="15"/>
      <c r="K21" s="23"/>
      <c r="L21" s="24">
        <v>16</v>
      </c>
      <c r="M21" s="14"/>
      <c r="N21" s="15">
        <f>'MARCH 21'!R21:R51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'MARCH 21'!H22:H38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>F22-G22</f>
        <v>0</v>
      </c>
      <c r="I22" s="15"/>
      <c r="K22" s="23"/>
      <c r="L22" s="13">
        <v>17</v>
      </c>
      <c r="M22" s="14"/>
      <c r="N22" s="15">
        <f>'MARCH 21'!R22:R52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1000</v>
      </c>
      <c r="D23" s="15">
        <f>'MARCH 21'!H23:H39</f>
        <v>5500</v>
      </c>
      <c r="E23" s="29">
        <f t="shared" si="4"/>
        <v>32300</v>
      </c>
      <c r="F23" s="16">
        <f t="shared" si="4"/>
        <v>38800</v>
      </c>
      <c r="G23" s="16">
        <f t="shared" si="4"/>
        <v>33100</v>
      </c>
      <c r="H23" s="16">
        <f t="shared" si="4"/>
        <v>5700</v>
      </c>
      <c r="I23" s="15">
        <f t="shared" si="4"/>
        <v>0</v>
      </c>
      <c r="K23" s="23"/>
      <c r="L23" s="24">
        <v>18</v>
      </c>
      <c r="M23" s="14"/>
      <c r="N23" s="15">
        <f>'MARCH 21'!R23:R53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>
        <f>H23-H13</f>
        <v>4700</v>
      </c>
      <c r="I24" s="3"/>
      <c r="K24" s="23"/>
      <c r="L24" s="13">
        <v>19</v>
      </c>
      <c r="M24" s="14"/>
      <c r="N24" s="15">
        <f>'MARCH 21'!R24:R55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'MARCH 21'!R25:R56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'MARCH 21'!R26:R57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'MARCH 21'!R27:R58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'MARCH 21'!R28:R59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153</v>
      </c>
      <c r="B29" s="40">
        <f>E23</f>
        <v>32300</v>
      </c>
      <c r="C29" s="28"/>
      <c r="D29" s="28"/>
      <c r="E29" s="28" t="s">
        <v>153</v>
      </c>
      <c r="F29" s="40">
        <f>G23</f>
        <v>33100</v>
      </c>
      <c r="G29" s="28"/>
      <c r="H29" s="28"/>
      <c r="I29" s="36"/>
      <c r="K29" s="18"/>
      <c r="L29" s="24">
        <v>24</v>
      </c>
      <c r="M29" s="14"/>
      <c r="N29" s="15">
        <f>'MARCH 21'!R29:R60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'MARCH 21'!D41</f>
        <v>-1262</v>
      </c>
      <c r="C30" s="28"/>
      <c r="D30" s="28"/>
      <c r="E30" s="28" t="s">
        <v>18</v>
      </c>
      <c r="F30" s="40">
        <f>'MARCH 21'!H41</f>
        <v>-6962</v>
      </c>
      <c r="G30" s="28"/>
      <c r="H30" s="28"/>
      <c r="I30" s="36"/>
      <c r="K30" s="18"/>
      <c r="L30" s="13">
        <v>25</v>
      </c>
      <c r="M30" s="14"/>
      <c r="N30" s="15">
        <f>'MARCH 21'!R30:R61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'MARCH 21'!R31:R62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/>
      <c r="K32" s="12"/>
      <c r="L32" s="13">
        <v>27</v>
      </c>
      <c r="M32" s="14"/>
      <c r="N32" s="15">
        <f>'MARCH 21'!R32:R63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3230</v>
      </c>
      <c r="D33" s="28"/>
      <c r="E33" s="28" t="s">
        <v>20</v>
      </c>
      <c r="F33" s="41">
        <v>0.1</v>
      </c>
      <c r="G33" s="40">
        <f>F33*B29</f>
        <v>3230</v>
      </c>
      <c r="H33" s="28"/>
      <c r="I33" s="45"/>
      <c r="K33" s="22"/>
      <c r="L33" s="24">
        <v>28</v>
      </c>
      <c r="M33" s="14"/>
      <c r="N33" s="15">
        <f>'MARCH 21'!R33:R64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0</v>
      </c>
      <c r="K34" s="22" t="s">
        <v>92</v>
      </c>
      <c r="L34" s="13">
        <v>29</v>
      </c>
      <c r="M34" s="14"/>
      <c r="N34" s="15">
        <f>'MARCH 21'!R34:R65</f>
        <v>0</v>
      </c>
      <c r="O34" s="16">
        <v>5000</v>
      </c>
      <c r="P34" s="16">
        <f>M34+N34+O34</f>
        <v>5000</v>
      </c>
      <c r="Q34" s="16">
        <f>1000+2000</f>
        <v>3000</v>
      </c>
      <c r="R34" s="17">
        <f t="shared" si="3"/>
        <v>2000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'MARCH 21'!R35:R66</f>
        <v>30000</v>
      </c>
      <c r="O35" s="16"/>
      <c r="P35" s="16">
        <f t="shared" si="2"/>
        <v>30000</v>
      </c>
      <c r="Q35" s="16"/>
      <c r="R35" s="17">
        <f t="shared" si="3"/>
        <v>30000</v>
      </c>
      <c r="S35" s="15"/>
    </row>
    <row r="36" spans="1:19" x14ac:dyDescent="0.25">
      <c r="A36" s="42" t="s">
        <v>156</v>
      </c>
      <c r="C36">
        <v>10087</v>
      </c>
      <c r="D36" s="44"/>
      <c r="E36" s="42" t="s">
        <v>156</v>
      </c>
      <c r="G36">
        <v>10087</v>
      </c>
      <c r="H36" s="28"/>
      <c r="I36" s="3"/>
      <c r="K36" s="27" t="s">
        <v>24</v>
      </c>
      <c r="L36" s="28"/>
      <c r="M36" s="14">
        <f t="shared" ref="M36:S36" si="5">SUM(M6:M35)</f>
        <v>0</v>
      </c>
      <c r="N36" s="15">
        <f>'MARCH 21'!R36:R67</f>
        <v>30000</v>
      </c>
      <c r="O36" s="29">
        <f t="shared" si="5"/>
        <v>67000</v>
      </c>
      <c r="P36" s="16">
        <f>SUM(P6:P35)</f>
        <v>97000</v>
      </c>
      <c r="Q36" s="16">
        <f t="shared" si="5"/>
        <v>63500</v>
      </c>
      <c r="R36" s="16">
        <f t="shared" si="5"/>
        <v>33500</v>
      </c>
      <c r="S36" s="15">
        <f t="shared" si="5"/>
        <v>0</v>
      </c>
    </row>
    <row r="37" spans="1:19" x14ac:dyDescent="0.25">
      <c r="A37" s="42" t="s">
        <v>158</v>
      </c>
      <c r="B37" s="41"/>
      <c r="C37" s="28">
        <v>1500</v>
      </c>
      <c r="D37" s="28"/>
      <c r="E37" s="42" t="s">
        <v>158</v>
      </c>
      <c r="F37" s="41"/>
      <c r="G37" s="28">
        <v>1500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161</v>
      </c>
      <c r="B38" s="41"/>
      <c r="C38" s="28">
        <v>14000</v>
      </c>
      <c r="D38" s="28"/>
      <c r="E38" s="42" t="s">
        <v>161</v>
      </c>
      <c r="F38" s="41"/>
      <c r="G38" s="28">
        <v>14000</v>
      </c>
      <c r="H38" s="28"/>
      <c r="I38" s="45"/>
      <c r="J38" s="30"/>
    </row>
    <row r="39" spans="1:19" x14ac:dyDescent="0.25">
      <c r="A39" s="42" t="s">
        <v>162</v>
      </c>
      <c r="B39" s="28"/>
      <c r="C39" s="44">
        <v>2232</v>
      </c>
      <c r="D39" s="28"/>
      <c r="E39" s="42" t="s">
        <v>162</v>
      </c>
      <c r="F39" s="28"/>
      <c r="G39" s="44">
        <v>2232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27808</v>
      </c>
      <c r="C41" s="46">
        <f>SUM(C35:C40)</f>
        <v>27819</v>
      </c>
      <c r="D41" s="46">
        <f>B41-C41</f>
        <v>-11</v>
      </c>
      <c r="E41" s="39" t="s">
        <v>24</v>
      </c>
      <c r="F41" s="46">
        <f>F29+F30+F32-G33</f>
        <v>22908</v>
      </c>
      <c r="G41" s="46">
        <f>SUM(G35:G40)</f>
        <v>27819</v>
      </c>
      <c r="H41" s="46">
        <f>F41-G41</f>
        <v>-4911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153</v>
      </c>
      <c r="L42" s="40">
        <f>O36</f>
        <v>67000</v>
      </c>
      <c r="M42" s="28"/>
      <c r="N42" s="28"/>
      <c r="O42" s="28" t="s">
        <v>153</v>
      </c>
      <c r="P42" s="40">
        <f>Q36</f>
        <v>63500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'MARCH 21'!N56</f>
        <v>-15355</v>
      </c>
      <c r="M43" s="28"/>
      <c r="N43" s="28"/>
      <c r="O43" s="28" t="s">
        <v>18</v>
      </c>
      <c r="P43" s="40">
        <f>'MARCH 21'!R56</f>
        <v>-15355</v>
      </c>
      <c r="Q43" s="28"/>
      <c r="R43" s="28"/>
      <c r="S43" s="36"/>
    </row>
    <row r="44" spans="1:19" x14ac:dyDescent="0.25">
      <c r="K44" s="28" t="s">
        <v>151</v>
      </c>
      <c r="L44" s="40">
        <f>M36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6700</v>
      </c>
      <c r="N46" s="28"/>
      <c r="O46" s="28" t="s">
        <v>20</v>
      </c>
      <c r="P46" s="41">
        <v>0.1</v>
      </c>
      <c r="Q46" s="40">
        <f>P46*L42</f>
        <v>6700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</row>
    <row r="49" spans="9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</row>
    <row r="50" spans="9:19" x14ac:dyDescent="0.25">
      <c r="I50" s="51"/>
      <c r="K50" s="42" t="s">
        <v>143</v>
      </c>
      <c r="L50" s="28"/>
      <c r="M50" s="44"/>
      <c r="N50" s="28"/>
      <c r="O50" s="42"/>
      <c r="P50" s="28"/>
      <c r="Q50" s="44"/>
      <c r="R50" s="28"/>
      <c r="S50" s="45"/>
    </row>
    <row r="51" spans="9:19" x14ac:dyDescent="0.25">
      <c r="K51" s="42" t="s">
        <v>154</v>
      </c>
      <c r="L51" s="28"/>
      <c r="M51" s="44">
        <v>20102</v>
      </c>
      <c r="N51" s="28"/>
      <c r="O51" s="42" t="s">
        <v>154</v>
      </c>
      <c r="P51" s="28"/>
      <c r="Q51" s="44">
        <v>20102</v>
      </c>
      <c r="R51" s="28"/>
      <c r="S51" s="3"/>
    </row>
    <row r="52" spans="9:19" x14ac:dyDescent="0.25">
      <c r="K52" s="42" t="s">
        <v>158</v>
      </c>
      <c r="L52" s="28"/>
      <c r="M52" s="44">
        <v>2000</v>
      </c>
      <c r="N52" s="28"/>
      <c r="O52" s="42" t="s">
        <v>158</v>
      </c>
      <c r="P52" s="28"/>
      <c r="Q52" s="44">
        <v>2000</v>
      </c>
      <c r="R52" s="28"/>
      <c r="S52" s="3"/>
    </row>
    <row r="53" spans="9:19" x14ac:dyDescent="0.25">
      <c r="K53" s="42" t="s">
        <v>160</v>
      </c>
      <c r="L53" s="28"/>
      <c r="M53" s="44">
        <v>19845</v>
      </c>
      <c r="N53" s="28"/>
      <c r="O53" s="42" t="s">
        <v>160</v>
      </c>
      <c r="P53" s="28"/>
      <c r="Q53" s="44">
        <v>19845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44945</v>
      </c>
      <c r="M55" s="46">
        <f>SUM(M48:M54)</f>
        <v>45447</v>
      </c>
      <c r="N55" s="46">
        <f>L55-M55</f>
        <v>-502</v>
      </c>
      <c r="O55" s="39" t="s">
        <v>24</v>
      </c>
      <c r="P55" s="46">
        <f>P42+P43+P45-Q46</f>
        <v>41445</v>
      </c>
      <c r="Q55" s="46">
        <f>SUM(Q48:Q54)</f>
        <v>45447</v>
      </c>
      <c r="R55" s="46">
        <f>P55-Q55</f>
        <v>-4002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19" x14ac:dyDescent="0.25">
      <c r="O5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2021-01-30T11:22:44Z</cp:lastPrinted>
  <dcterms:created xsi:type="dcterms:W3CDTF">2020-08-04T13:26:33Z</dcterms:created>
  <dcterms:modified xsi:type="dcterms:W3CDTF">2021-12-16T06:49:40Z</dcterms:modified>
</cp:coreProperties>
</file>