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2795" windowHeight="8205" firstSheet="20" activeTab="23"/>
  </bookViews>
  <sheets>
    <sheet name="JANUARY 20" sheetId="1" r:id="rId1"/>
    <sheet name="FEBRUARY 20" sheetId="2" r:id="rId2"/>
    <sheet name="MARCH 20" sheetId="3" r:id="rId3"/>
    <sheet name="APRIL 20" sheetId="4" r:id="rId4"/>
    <sheet name="MAY 20" sheetId="5" r:id="rId5"/>
    <sheet name="JUNE 20" sheetId="6" r:id="rId6"/>
    <sheet name="JULY 20" sheetId="7" r:id="rId7"/>
    <sheet name="AUGUST 20" sheetId="8" r:id="rId8"/>
    <sheet name="SEPTEMBER20" sheetId="9" r:id="rId9"/>
    <sheet name="october20" sheetId="10" r:id="rId10"/>
    <sheet name="NOVEMBER20" sheetId="11" r:id="rId11"/>
    <sheet name="DECEMBER 20" sheetId="12" r:id="rId12"/>
    <sheet name="JANUARY 21" sheetId="13" r:id="rId13"/>
    <sheet name="FEBRUARY 21" sheetId="14" r:id="rId14"/>
    <sheet name="MARCH 21" sheetId="15" r:id="rId15"/>
    <sheet name="APRIL21" sheetId="16" r:id="rId16"/>
    <sheet name="MAY 21" sheetId="17" r:id="rId17"/>
    <sheet name="JUNE 21" sheetId="18" r:id="rId18"/>
    <sheet name="JULY 21" sheetId="19" r:id="rId19"/>
    <sheet name="AUGUST 21" sheetId="20" r:id="rId20"/>
    <sheet name="SEPTEMBER 21" sheetId="21" r:id="rId21"/>
    <sheet name="OCTOBER 21" sheetId="22" r:id="rId22"/>
    <sheet name="NOVEMBER" sheetId="23" r:id="rId23"/>
    <sheet name="DECEMBER 21" sheetId="24" r:id="rId24"/>
    <sheet name="Sheet1" sheetId="25" r:id="rId25"/>
  </sheets>
  <calcPr calcId="144525"/>
  <fileRecoveryPr repairLoad="1"/>
</workbook>
</file>

<file path=xl/calcChain.xml><?xml version="1.0" encoding="utf-8"?>
<calcChain xmlns="http://schemas.openxmlformats.org/spreadsheetml/2006/main">
  <c r="T44" i="24" l="1"/>
  <c r="P44" i="24"/>
  <c r="K50" i="24"/>
  <c r="N64" i="24"/>
  <c r="P64" i="24"/>
  <c r="P59" i="23"/>
  <c r="H7" i="24" l="1"/>
  <c r="J61" i="24" l="1"/>
  <c r="L57" i="24"/>
  <c r="F54" i="24"/>
  <c r="T50" i="24"/>
  <c r="P50" i="24"/>
  <c r="H45" i="24"/>
  <c r="D45" i="24"/>
  <c r="O40" i="24"/>
  <c r="S40" i="24" s="1"/>
  <c r="H36" i="24"/>
  <c r="R33" i="24"/>
  <c r="V32" i="24"/>
  <c r="O39" i="24" s="1"/>
  <c r="Q32" i="24"/>
  <c r="N58" i="24" s="1"/>
  <c r="P32" i="24"/>
  <c r="O38" i="24" s="1"/>
  <c r="O32" i="24"/>
  <c r="K27" i="24"/>
  <c r="C35" i="24" s="1"/>
  <c r="J27" i="24"/>
  <c r="C34" i="24" s="1"/>
  <c r="E27" i="24"/>
  <c r="D27" i="24"/>
  <c r="C27" i="24"/>
  <c r="H26" i="24"/>
  <c r="U18" i="24"/>
  <c r="H27" i="24"/>
  <c r="G31" i="24" s="1"/>
  <c r="T5" i="24"/>
  <c r="T32" i="24" s="1"/>
  <c r="S36" i="24" s="1"/>
  <c r="J61" i="23"/>
  <c r="N58" i="23"/>
  <c r="F54" i="23"/>
  <c r="T50" i="23"/>
  <c r="P50" i="23"/>
  <c r="H45" i="23"/>
  <c r="D45" i="23"/>
  <c r="O40" i="23"/>
  <c r="S40" i="23" s="1"/>
  <c r="O36" i="23"/>
  <c r="P41" i="23" s="1"/>
  <c r="H36" i="23"/>
  <c r="C34" i="23"/>
  <c r="R33" i="23"/>
  <c r="V32" i="23"/>
  <c r="O39" i="23" s="1"/>
  <c r="Q32" i="23"/>
  <c r="P32" i="23"/>
  <c r="O38" i="23" s="1"/>
  <c r="O32" i="23"/>
  <c r="T31" i="23"/>
  <c r="T28" i="23"/>
  <c r="T27" i="23"/>
  <c r="K27" i="23"/>
  <c r="C35" i="23" s="1"/>
  <c r="J27" i="23"/>
  <c r="E27" i="23"/>
  <c r="D27" i="23"/>
  <c r="C27" i="23"/>
  <c r="H26" i="23"/>
  <c r="T23" i="23"/>
  <c r="S18" i="23"/>
  <c r="U18" i="23" s="1"/>
  <c r="R18" i="24" s="1"/>
  <c r="S18" i="24" s="1"/>
  <c r="H17" i="23"/>
  <c r="H14" i="23"/>
  <c r="G13" i="23"/>
  <c r="I13" i="23" s="1"/>
  <c r="F13" i="24" s="1"/>
  <c r="G13" i="24" s="1"/>
  <c r="I13" i="24" s="1"/>
  <c r="H9" i="23"/>
  <c r="H7" i="23"/>
  <c r="H27" i="23" s="1"/>
  <c r="G31" i="23" s="1"/>
  <c r="G7" i="23"/>
  <c r="T5" i="23"/>
  <c r="T32" i="23" s="1"/>
  <c r="S36" i="23" s="1"/>
  <c r="R66" i="22"/>
  <c r="T67" i="22" s="1"/>
  <c r="T50" i="22"/>
  <c r="P50" i="22"/>
  <c r="H45" i="22"/>
  <c r="D45" i="22"/>
  <c r="O40" i="22"/>
  <c r="S40" i="22" s="1"/>
  <c r="O36" i="22"/>
  <c r="P41" i="22" s="1"/>
  <c r="H36" i="22"/>
  <c r="R33" i="22"/>
  <c r="V32" i="22"/>
  <c r="O39" i="22" s="1"/>
  <c r="R64" i="22" s="1"/>
  <c r="Q32" i="22"/>
  <c r="P32" i="22"/>
  <c r="O38" i="22" s="1"/>
  <c r="O32" i="22"/>
  <c r="T31" i="22"/>
  <c r="S29" i="22"/>
  <c r="U29" i="22" s="1"/>
  <c r="R29" i="23" s="1"/>
  <c r="S29" i="23" s="1"/>
  <c r="U29" i="23" s="1"/>
  <c r="R29" i="24" s="1"/>
  <c r="S29" i="24" s="1"/>
  <c r="U29" i="24" s="1"/>
  <c r="T27" i="22"/>
  <c r="S27" i="22"/>
  <c r="K27" i="22"/>
  <c r="C35" i="22" s="1"/>
  <c r="J27" i="22"/>
  <c r="C34" i="22" s="1"/>
  <c r="E27" i="22"/>
  <c r="C31" i="22" s="1"/>
  <c r="D37" i="22" s="1"/>
  <c r="H37" i="22" s="1"/>
  <c r="D27" i="22"/>
  <c r="C27" i="22"/>
  <c r="T24" i="22"/>
  <c r="T19" i="22"/>
  <c r="H17" i="22"/>
  <c r="T14" i="22"/>
  <c r="G13" i="22"/>
  <c r="I13" i="22" s="1"/>
  <c r="H9" i="22"/>
  <c r="G9" i="22"/>
  <c r="I7" i="22"/>
  <c r="G7" i="22"/>
  <c r="T5" i="22"/>
  <c r="P69" i="21"/>
  <c r="N64" i="21"/>
  <c r="Q60" i="21"/>
  <c r="T50" i="21"/>
  <c r="P50" i="21"/>
  <c r="H45" i="21"/>
  <c r="D45" i="21"/>
  <c r="O40" i="21"/>
  <c r="S40" i="21" s="1"/>
  <c r="H36" i="21"/>
  <c r="R33" i="21"/>
  <c r="V32" i="21"/>
  <c r="O39" i="21" s="1"/>
  <c r="Q32" i="21"/>
  <c r="P32" i="21"/>
  <c r="O38" i="21" s="1"/>
  <c r="O32" i="21"/>
  <c r="T31" i="21"/>
  <c r="T30" i="21"/>
  <c r="T29" i="21"/>
  <c r="T28" i="21"/>
  <c r="K27" i="21"/>
  <c r="C35" i="21" s="1"/>
  <c r="J27" i="21"/>
  <c r="C34" i="21" s="1"/>
  <c r="E27" i="21"/>
  <c r="C31" i="21" s="1"/>
  <c r="D37" i="21" s="1"/>
  <c r="H37" i="21" s="1"/>
  <c r="D27" i="21"/>
  <c r="C27" i="21"/>
  <c r="T26" i="21"/>
  <c r="H26" i="21"/>
  <c r="T25" i="21"/>
  <c r="H24" i="21"/>
  <c r="T23" i="21"/>
  <c r="T22" i="21"/>
  <c r="H22" i="21"/>
  <c r="T21" i="21"/>
  <c r="H21" i="21"/>
  <c r="H18" i="21"/>
  <c r="H17" i="21"/>
  <c r="T16" i="21"/>
  <c r="H16" i="21"/>
  <c r="T15" i="21"/>
  <c r="T13" i="21"/>
  <c r="I13" i="21"/>
  <c r="G13" i="21"/>
  <c r="H12" i="21"/>
  <c r="T11" i="21"/>
  <c r="T10" i="21"/>
  <c r="H10" i="21"/>
  <c r="T9" i="21"/>
  <c r="H9" i="21"/>
  <c r="H8" i="21"/>
  <c r="T7" i="21"/>
  <c r="H7" i="21"/>
  <c r="G7" i="21"/>
  <c r="H6" i="21"/>
  <c r="H5" i="21"/>
  <c r="X64" i="20"/>
  <c r="W64" i="20"/>
  <c r="W68" i="20" s="1"/>
  <c r="W70" i="20" s="1"/>
  <c r="M64" i="20"/>
  <c r="V63" i="20"/>
  <c r="V64" i="20" s="1"/>
  <c r="Q60" i="20"/>
  <c r="T50" i="20"/>
  <c r="P50" i="20"/>
  <c r="H45" i="20"/>
  <c r="D45" i="20"/>
  <c r="H36" i="20"/>
  <c r="C35" i="20"/>
  <c r="R33" i="20"/>
  <c r="W32" i="20"/>
  <c r="O40" i="20" s="1"/>
  <c r="S40" i="20" s="1"/>
  <c r="V32" i="20"/>
  <c r="O39" i="20" s="1"/>
  <c r="Q32" i="20"/>
  <c r="P32" i="20"/>
  <c r="O38" i="20" s="1"/>
  <c r="O32" i="20"/>
  <c r="T31" i="20"/>
  <c r="T30" i="20"/>
  <c r="T28" i="20"/>
  <c r="T27" i="20"/>
  <c r="K27" i="20"/>
  <c r="G35" i="20" s="1"/>
  <c r="J27" i="20"/>
  <c r="C34" i="20" s="1"/>
  <c r="E27" i="20"/>
  <c r="C31" i="20" s="1"/>
  <c r="D27" i="20"/>
  <c r="C27" i="20"/>
  <c r="H26" i="20"/>
  <c r="T25" i="20"/>
  <c r="T24" i="20"/>
  <c r="H24" i="20"/>
  <c r="T23" i="20"/>
  <c r="H23" i="20"/>
  <c r="T22" i="20"/>
  <c r="H22" i="20"/>
  <c r="T21" i="20"/>
  <c r="T20" i="20"/>
  <c r="H20" i="20"/>
  <c r="T19" i="20"/>
  <c r="H19" i="20"/>
  <c r="H18" i="20"/>
  <c r="H17" i="20"/>
  <c r="T16" i="20"/>
  <c r="H16" i="20"/>
  <c r="T14" i="20"/>
  <c r="H14" i="20"/>
  <c r="H13" i="20"/>
  <c r="G13" i="20"/>
  <c r="I13" i="20" s="1"/>
  <c r="H12" i="20"/>
  <c r="T11" i="20"/>
  <c r="T10" i="20"/>
  <c r="H10" i="20"/>
  <c r="T9" i="20"/>
  <c r="H9" i="20"/>
  <c r="T8" i="20"/>
  <c r="H8" i="20"/>
  <c r="G7" i="20"/>
  <c r="I7" i="20" s="1"/>
  <c r="H6" i="20"/>
  <c r="T5" i="20"/>
  <c r="T32" i="20" s="1"/>
  <c r="S36" i="20" s="1"/>
  <c r="H5" i="20"/>
  <c r="O62" i="19"/>
  <c r="T50" i="19"/>
  <c r="P50" i="19"/>
  <c r="H45" i="19"/>
  <c r="D45" i="19"/>
  <c r="H36" i="19"/>
  <c r="K34" i="19"/>
  <c r="R33" i="19"/>
  <c r="C33" i="19"/>
  <c r="W32" i="19"/>
  <c r="O40" i="19" s="1"/>
  <c r="S40" i="19" s="1"/>
  <c r="V32" i="19"/>
  <c r="O39" i="19" s="1"/>
  <c r="M62" i="19" s="1"/>
  <c r="Q32" i="19"/>
  <c r="P32" i="19"/>
  <c r="O38" i="19" s="1"/>
  <c r="O32" i="19"/>
  <c r="T31" i="19"/>
  <c r="T29" i="19"/>
  <c r="T27" i="19"/>
  <c r="K27" i="19"/>
  <c r="G35" i="19" s="1"/>
  <c r="J27" i="19"/>
  <c r="C34" i="19" s="1"/>
  <c r="E27" i="19"/>
  <c r="C31" i="19" s="1"/>
  <c r="D27" i="19"/>
  <c r="C27" i="19"/>
  <c r="T26" i="19"/>
  <c r="H26" i="19"/>
  <c r="T25" i="19"/>
  <c r="H24" i="19"/>
  <c r="T23" i="19"/>
  <c r="T22" i="19"/>
  <c r="T19" i="19"/>
  <c r="H17" i="19"/>
  <c r="H14" i="19"/>
  <c r="T13" i="19"/>
  <c r="H13" i="19"/>
  <c r="G13" i="19"/>
  <c r="H12" i="19"/>
  <c r="T10" i="19"/>
  <c r="H10" i="19"/>
  <c r="T9" i="19"/>
  <c r="H9" i="19"/>
  <c r="H8" i="19"/>
  <c r="H7" i="19"/>
  <c r="G7" i="19"/>
  <c r="T5" i="19"/>
  <c r="T32" i="19" s="1"/>
  <c r="S36" i="19" s="1"/>
  <c r="T61" i="18"/>
  <c r="H45" i="18"/>
  <c r="D45" i="18"/>
  <c r="P44" i="18"/>
  <c r="T44" i="18" s="1"/>
  <c r="T50" i="18" s="1"/>
  <c r="H41" i="18"/>
  <c r="H36" i="18"/>
  <c r="R33" i="18"/>
  <c r="C33" i="18"/>
  <c r="W32" i="18"/>
  <c r="O40" i="18" s="1"/>
  <c r="S40" i="18" s="1"/>
  <c r="V32" i="18"/>
  <c r="O39" i="18" s="1"/>
  <c r="Q32" i="18"/>
  <c r="O36" i="18" s="1"/>
  <c r="P32" i="18"/>
  <c r="O38" i="18" s="1"/>
  <c r="O32" i="18"/>
  <c r="T31" i="18"/>
  <c r="T30" i="18"/>
  <c r="T29" i="18"/>
  <c r="T28" i="18"/>
  <c r="T27" i="18"/>
  <c r="K27" i="18"/>
  <c r="G35" i="18" s="1"/>
  <c r="J27" i="18"/>
  <c r="C34" i="18" s="1"/>
  <c r="E27" i="18"/>
  <c r="D27" i="18"/>
  <c r="C27" i="18"/>
  <c r="H26" i="18"/>
  <c r="T21" i="18"/>
  <c r="T20" i="18"/>
  <c r="H20" i="18"/>
  <c r="H19" i="18"/>
  <c r="H17" i="18"/>
  <c r="H16" i="18"/>
  <c r="T14" i="18"/>
  <c r="H14" i="18"/>
  <c r="H13" i="18"/>
  <c r="H12" i="18"/>
  <c r="H11" i="18"/>
  <c r="T10" i="18"/>
  <c r="H10" i="18"/>
  <c r="T9" i="18"/>
  <c r="T8" i="18"/>
  <c r="T7" i="18"/>
  <c r="H7" i="18"/>
  <c r="H6" i="18"/>
  <c r="T5" i="18"/>
  <c r="T32" i="18" s="1"/>
  <c r="S36" i="18" s="1"/>
  <c r="T50" i="17"/>
  <c r="P50" i="17"/>
  <c r="H45" i="17"/>
  <c r="D45" i="17"/>
  <c r="H36" i="17"/>
  <c r="R33" i="17"/>
  <c r="C33" i="17"/>
  <c r="W32" i="17"/>
  <c r="O40" i="17" s="1"/>
  <c r="S40" i="17" s="1"/>
  <c r="V32" i="17"/>
  <c r="O39" i="17" s="1"/>
  <c r="Q32" i="17"/>
  <c r="O36" i="17" s="1"/>
  <c r="P41" i="17" s="1"/>
  <c r="P32" i="17"/>
  <c r="O38" i="17" s="1"/>
  <c r="O32" i="17"/>
  <c r="T31" i="17"/>
  <c r="T28" i="17"/>
  <c r="T27" i="17"/>
  <c r="K27" i="17"/>
  <c r="C35" i="17" s="1"/>
  <c r="J27" i="17"/>
  <c r="C34" i="17" s="1"/>
  <c r="E27" i="17"/>
  <c r="C31" i="17" s="1"/>
  <c r="D27" i="17"/>
  <c r="C27" i="17"/>
  <c r="T26" i="17"/>
  <c r="H26" i="17"/>
  <c r="H25" i="17"/>
  <c r="H24" i="17"/>
  <c r="H23" i="17"/>
  <c r="T21" i="17"/>
  <c r="T20" i="17"/>
  <c r="T19" i="17"/>
  <c r="H19" i="17"/>
  <c r="H17" i="17"/>
  <c r="T16" i="17"/>
  <c r="T15" i="17"/>
  <c r="T14" i="17"/>
  <c r="H13" i="17"/>
  <c r="G13" i="17"/>
  <c r="I13" i="17" s="1"/>
  <c r="F13" i="18" s="1"/>
  <c r="G13" i="18" s="1"/>
  <c r="H12" i="17"/>
  <c r="H11" i="17"/>
  <c r="T10" i="17"/>
  <c r="H10" i="17"/>
  <c r="T9" i="17"/>
  <c r="H9" i="17"/>
  <c r="T8" i="17"/>
  <c r="H8" i="17"/>
  <c r="T7" i="17"/>
  <c r="H7" i="17"/>
  <c r="G7" i="17"/>
  <c r="H6" i="17"/>
  <c r="T5" i="17"/>
  <c r="T50" i="16"/>
  <c r="P50" i="16"/>
  <c r="H45" i="16"/>
  <c r="D45" i="16"/>
  <c r="T41" i="16"/>
  <c r="H36" i="16"/>
  <c r="R33" i="16"/>
  <c r="C33" i="16"/>
  <c r="W32" i="16"/>
  <c r="O40" i="16" s="1"/>
  <c r="S40" i="16" s="1"/>
  <c r="V32" i="16"/>
  <c r="O39" i="16" s="1"/>
  <c r="Q32" i="16"/>
  <c r="O36" i="16" s="1"/>
  <c r="P41" i="16" s="1"/>
  <c r="P32" i="16"/>
  <c r="O38" i="16" s="1"/>
  <c r="O32" i="16"/>
  <c r="T31" i="16"/>
  <c r="T29" i="16"/>
  <c r="T28" i="16"/>
  <c r="K27" i="16"/>
  <c r="G35" i="16" s="1"/>
  <c r="J27" i="16"/>
  <c r="C34" i="16" s="1"/>
  <c r="E27" i="16"/>
  <c r="C31" i="16" s="1"/>
  <c r="D27" i="16"/>
  <c r="C27" i="16"/>
  <c r="T26" i="16"/>
  <c r="H26" i="16"/>
  <c r="T25" i="16"/>
  <c r="H25" i="16"/>
  <c r="T21" i="16"/>
  <c r="T20" i="16"/>
  <c r="H19" i="16"/>
  <c r="H17" i="16"/>
  <c r="T14" i="16"/>
  <c r="H14" i="16"/>
  <c r="G13" i="16"/>
  <c r="I13" i="16" s="1"/>
  <c r="T11" i="16"/>
  <c r="T10" i="16"/>
  <c r="T9" i="16"/>
  <c r="T8" i="16"/>
  <c r="T7" i="16"/>
  <c r="T32" i="16" s="1"/>
  <c r="S36" i="16" s="1"/>
  <c r="G7" i="16"/>
  <c r="I7" i="16" s="1"/>
  <c r="H6" i="16"/>
  <c r="H5" i="16"/>
  <c r="N56" i="15"/>
  <c r="W52" i="15"/>
  <c r="F52" i="15"/>
  <c r="T50" i="15"/>
  <c r="P50" i="15"/>
  <c r="H45" i="15"/>
  <c r="D45" i="15"/>
  <c r="H36" i="15"/>
  <c r="R33" i="15"/>
  <c r="C33" i="15"/>
  <c r="W32" i="15"/>
  <c r="O40" i="15" s="1"/>
  <c r="S40" i="15" s="1"/>
  <c r="V32" i="15"/>
  <c r="O39" i="15" s="1"/>
  <c r="Q32" i="15"/>
  <c r="O36" i="15" s="1"/>
  <c r="P32" i="15"/>
  <c r="O38" i="15" s="1"/>
  <c r="O32" i="15"/>
  <c r="T31" i="15"/>
  <c r="T30" i="15"/>
  <c r="T29" i="15"/>
  <c r="T27" i="15"/>
  <c r="K27" i="15"/>
  <c r="G35" i="15" s="1"/>
  <c r="J27" i="15"/>
  <c r="C34" i="15" s="1"/>
  <c r="E27" i="15"/>
  <c r="C31" i="15" s="1"/>
  <c r="D27" i="15"/>
  <c r="C27" i="15"/>
  <c r="H26" i="15"/>
  <c r="T25" i="15"/>
  <c r="H25" i="15"/>
  <c r="T24" i="15"/>
  <c r="H24" i="15"/>
  <c r="T21" i="15"/>
  <c r="T20" i="15"/>
  <c r="H20" i="15"/>
  <c r="H19" i="15"/>
  <c r="H17" i="15"/>
  <c r="H16" i="15"/>
  <c r="S15" i="15"/>
  <c r="U15" i="15" s="1"/>
  <c r="R15" i="16" s="1"/>
  <c r="S15" i="16" s="1"/>
  <c r="U15" i="16" s="1"/>
  <c r="R15" i="17" s="1"/>
  <c r="S15" i="17" s="1"/>
  <c r="U15" i="17" s="1"/>
  <c r="R15" i="18" s="1"/>
  <c r="S15" i="18" s="1"/>
  <c r="U15" i="18" s="1"/>
  <c r="R15" i="19" s="1"/>
  <c r="S15" i="19" s="1"/>
  <c r="U15" i="19" s="1"/>
  <c r="R15" i="20" s="1"/>
  <c r="S15" i="20" s="1"/>
  <c r="U15" i="20" s="1"/>
  <c r="R15" i="21" s="1"/>
  <c r="S15" i="21" s="1"/>
  <c r="T14" i="15"/>
  <c r="H14" i="15"/>
  <c r="H12" i="15"/>
  <c r="T11" i="15"/>
  <c r="H11" i="15"/>
  <c r="T10" i="15"/>
  <c r="H10" i="15"/>
  <c r="T9" i="15"/>
  <c r="H9" i="15"/>
  <c r="T7" i="15"/>
  <c r="H7" i="15"/>
  <c r="H6" i="15"/>
  <c r="T5" i="15"/>
  <c r="H5" i="15"/>
  <c r="U61" i="14"/>
  <c r="U62" i="14" s="1"/>
  <c r="T50" i="14"/>
  <c r="P50" i="14"/>
  <c r="H49" i="14"/>
  <c r="X46" i="14"/>
  <c r="H45" i="14"/>
  <c r="D45" i="14"/>
  <c r="I64" i="14" s="1"/>
  <c r="W38" i="14"/>
  <c r="W39" i="14" s="1"/>
  <c r="W40" i="14" s="1"/>
  <c r="H36" i="14"/>
  <c r="R33" i="14"/>
  <c r="C33" i="14"/>
  <c r="W32" i="14"/>
  <c r="O40" i="14" s="1"/>
  <c r="S40" i="14" s="1"/>
  <c r="V32" i="14"/>
  <c r="O39" i="14" s="1"/>
  <c r="V56" i="14" s="1"/>
  <c r="Q32" i="14"/>
  <c r="O36" i="14" s="1"/>
  <c r="P32" i="14"/>
  <c r="O38" i="14" s="1"/>
  <c r="O32" i="14"/>
  <c r="T31" i="14"/>
  <c r="X36" i="14" s="1"/>
  <c r="X43" i="14" s="1"/>
  <c r="T30" i="14"/>
  <c r="T29" i="14"/>
  <c r="T28" i="14"/>
  <c r="T27" i="14"/>
  <c r="K27" i="14"/>
  <c r="J27" i="14"/>
  <c r="C34" i="14" s="1"/>
  <c r="E27" i="14"/>
  <c r="C31" i="14" s="1"/>
  <c r="D27" i="14"/>
  <c r="C27" i="14"/>
  <c r="T26" i="14"/>
  <c r="T25" i="14"/>
  <c r="H25" i="14"/>
  <c r="T24" i="14"/>
  <c r="H24" i="14"/>
  <c r="U23" i="14"/>
  <c r="R23" i="15" s="1"/>
  <c r="S23" i="15" s="1"/>
  <c r="U23" i="15" s="1"/>
  <c r="R23" i="16" s="1"/>
  <c r="S23" i="16" s="1"/>
  <c r="U23" i="16" s="1"/>
  <c r="R23" i="17" s="1"/>
  <c r="S23" i="17" s="1"/>
  <c r="U23" i="17" s="1"/>
  <c r="R23" i="18" s="1"/>
  <c r="S23" i="18" s="1"/>
  <c r="U23" i="18" s="1"/>
  <c r="R23" i="19" s="1"/>
  <c r="S23" i="19" s="1"/>
  <c r="U23" i="19" s="1"/>
  <c r="R23" i="20" s="1"/>
  <c r="S23" i="20" s="1"/>
  <c r="U23" i="20" s="1"/>
  <c r="R23" i="21" s="1"/>
  <c r="S23" i="21" s="1"/>
  <c r="U23" i="21" s="1"/>
  <c r="R23" i="22" s="1"/>
  <c r="S23" i="22" s="1"/>
  <c r="U23" i="22" s="1"/>
  <c r="R23" i="23" s="1"/>
  <c r="S23" i="23" s="1"/>
  <c r="U23" i="23" s="1"/>
  <c r="R23" i="24" s="1"/>
  <c r="S23" i="24" s="1"/>
  <c r="U23" i="24" s="1"/>
  <c r="S23" i="14"/>
  <c r="T21" i="14"/>
  <c r="T20" i="14"/>
  <c r="S20" i="14"/>
  <c r="U20" i="14" s="1"/>
  <c r="R20" i="15" s="1"/>
  <c r="S20" i="15" s="1"/>
  <c r="U20" i="15" s="1"/>
  <c r="R20" i="16" s="1"/>
  <c r="S20" i="16" s="1"/>
  <c r="U20" i="16" s="1"/>
  <c r="R20" i="17" s="1"/>
  <c r="S20" i="17" s="1"/>
  <c r="U20" i="17" s="1"/>
  <c r="R20" i="18" s="1"/>
  <c r="S20" i="18" s="1"/>
  <c r="U20" i="18" s="1"/>
  <c r="R20" i="19" s="1"/>
  <c r="S20" i="19" s="1"/>
  <c r="U20" i="19" s="1"/>
  <c r="R20" i="20" s="1"/>
  <c r="S20" i="20" s="1"/>
  <c r="U20" i="20" s="1"/>
  <c r="R20" i="21" s="1"/>
  <c r="S20" i="21" s="1"/>
  <c r="U20" i="21" s="1"/>
  <c r="R20" i="22" s="1"/>
  <c r="S20" i="22" s="1"/>
  <c r="U20" i="22" s="1"/>
  <c r="R20" i="23" s="1"/>
  <c r="S20" i="23" s="1"/>
  <c r="U20" i="23" s="1"/>
  <c r="R20" i="24" s="1"/>
  <c r="S20" i="24" s="1"/>
  <c r="U20" i="24" s="1"/>
  <c r="H20" i="14"/>
  <c r="H19" i="14"/>
  <c r="T18" i="14"/>
  <c r="T16" i="14"/>
  <c r="T15" i="14"/>
  <c r="T14" i="14"/>
  <c r="H14" i="14"/>
  <c r="T13" i="14"/>
  <c r="H13" i="14"/>
  <c r="G13" i="14"/>
  <c r="I13" i="14" s="1"/>
  <c r="F13" i="15" s="1"/>
  <c r="G13" i="15" s="1"/>
  <c r="I13" i="15" s="1"/>
  <c r="H12" i="14"/>
  <c r="H11" i="14"/>
  <c r="T10" i="14"/>
  <c r="H10" i="14"/>
  <c r="T9" i="14"/>
  <c r="H9" i="14"/>
  <c r="T8" i="14"/>
  <c r="H8" i="14"/>
  <c r="T7" i="14"/>
  <c r="I7" i="14"/>
  <c r="F7" i="15" s="1"/>
  <c r="G7" i="15" s="1"/>
  <c r="I7" i="15" s="1"/>
  <c r="G7" i="14"/>
  <c r="H6" i="14"/>
  <c r="T5" i="14"/>
  <c r="H5" i="14"/>
  <c r="H27" i="14" s="1"/>
  <c r="G31" i="14" s="1"/>
  <c r="P46" i="13"/>
  <c r="P50" i="13" s="1"/>
  <c r="T45" i="13"/>
  <c r="T50" i="13" s="1"/>
  <c r="K45" i="13"/>
  <c r="H45" i="13"/>
  <c r="K55" i="13" s="1"/>
  <c r="D45" i="13"/>
  <c r="R44" i="13"/>
  <c r="O38" i="13"/>
  <c r="S37" i="13"/>
  <c r="O37" i="13"/>
  <c r="H36" i="13"/>
  <c r="R33" i="13"/>
  <c r="C33" i="13"/>
  <c r="W32" i="13"/>
  <c r="O40" i="13" s="1"/>
  <c r="S40" i="13" s="1"/>
  <c r="V32" i="13"/>
  <c r="O39" i="13" s="1"/>
  <c r="Q32" i="13"/>
  <c r="O36" i="13" s="1"/>
  <c r="P32" i="13"/>
  <c r="O32" i="13"/>
  <c r="T31" i="13"/>
  <c r="S31" i="13"/>
  <c r="U31" i="13" s="1"/>
  <c r="R31" i="14" s="1"/>
  <c r="S31" i="14" s="1"/>
  <c r="U31" i="14" s="1"/>
  <c r="R31" i="15" s="1"/>
  <c r="S31" i="15" s="1"/>
  <c r="U31" i="15" s="1"/>
  <c r="R31" i="16" s="1"/>
  <c r="S31" i="16" s="1"/>
  <c r="U31" i="16" s="1"/>
  <c r="R31" i="17" s="1"/>
  <c r="S31" i="17" s="1"/>
  <c r="U31" i="17" s="1"/>
  <c r="R31" i="18" s="1"/>
  <c r="S31" i="18" s="1"/>
  <c r="U31" i="18" s="1"/>
  <c r="R31" i="19" s="1"/>
  <c r="S31" i="19" s="1"/>
  <c r="U31" i="19" s="1"/>
  <c r="K31" i="13"/>
  <c r="S30" i="13"/>
  <c r="U30" i="13" s="1"/>
  <c r="R30" i="14" s="1"/>
  <c r="S30" i="14" s="1"/>
  <c r="T29" i="13"/>
  <c r="S29" i="13"/>
  <c r="U29" i="13" s="1"/>
  <c r="R29" i="14" s="1"/>
  <c r="S29" i="14" s="1"/>
  <c r="U29" i="14" s="1"/>
  <c r="R29" i="15" s="1"/>
  <c r="S29" i="15" s="1"/>
  <c r="U29" i="15" s="1"/>
  <c r="R29" i="16" s="1"/>
  <c r="S29" i="16" s="1"/>
  <c r="X28" i="13"/>
  <c r="T28" i="13"/>
  <c r="S28" i="13"/>
  <c r="T27" i="13"/>
  <c r="S27" i="13"/>
  <c r="K27" i="13"/>
  <c r="C35" i="13" s="1"/>
  <c r="J27" i="13"/>
  <c r="C34" i="13" s="1"/>
  <c r="E27" i="13"/>
  <c r="C31" i="13" s="1"/>
  <c r="D27" i="13"/>
  <c r="C27" i="13"/>
  <c r="S26" i="13"/>
  <c r="U26" i="13" s="1"/>
  <c r="R26" i="14" s="1"/>
  <c r="S26" i="14" s="1"/>
  <c r="U26" i="14" s="1"/>
  <c r="R26" i="15" s="1"/>
  <c r="S26" i="15" s="1"/>
  <c r="U26" i="15" s="1"/>
  <c r="R26" i="16" s="1"/>
  <c r="S26" i="16" s="1"/>
  <c r="U26" i="16" s="1"/>
  <c r="R26" i="17" s="1"/>
  <c r="S26" i="17" s="1"/>
  <c r="H26" i="13"/>
  <c r="T25" i="13"/>
  <c r="S25" i="13"/>
  <c r="U25" i="13" s="1"/>
  <c r="R25" i="14" s="1"/>
  <c r="S25" i="14" s="1"/>
  <c r="H25" i="13"/>
  <c r="T24" i="13"/>
  <c r="S24" i="13"/>
  <c r="U23" i="13"/>
  <c r="S23" i="13"/>
  <c r="H23" i="13"/>
  <c r="S22" i="13"/>
  <c r="U22" i="13" s="1"/>
  <c r="R22" i="14" s="1"/>
  <c r="S22" i="14" s="1"/>
  <c r="U22" i="14" s="1"/>
  <c r="R22" i="15" s="1"/>
  <c r="S22" i="15" s="1"/>
  <c r="U22" i="15" s="1"/>
  <c r="R22" i="16" s="1"/>
  <c r="S22" i="16" s="1"/>
  <c r="U22" i="16" s="1"/>
  <c r="R22" i="17" s="1"/>
  <c r="S22" i="17" s="1"/>
  <c r="U22" i="17" s="1"/>
  <c r="R22" i="18" s="1"/>
  <c r="S22" i="18" s="1"/>
  <c r="U22" i="18" s="1"/>
  <c r="R22" i="19" s="1"/>
  <c r="S22" i="19" s="1"/>
  <c r="U22" i="19" s="1"/>
  <c r="R22" i="20" s="1"/>
  <c r="S22" i="20" s="1"/>
  <c r="U22" i="20" s="1"/>
  <c r="R22" i="21" s="1"/>
  <c r="S22" i="21" s="1"/>
  <c r="U22" i="21" s="1"/>
  <c r="R22" i="22" s="1"/>
  <c r="S22" i="22" s="1"/>
  <c r="U22" i="22" s="1"/>
  <c r="R22" i="23" s="1"/>
  <c r="S22" i="23" s="1"/>
  <c r="U22" i="23" s="1"/>
  <c r="R22" i="24" s="1"/>
  <c r="S22" i="24" s="1"/>
  <c r="U22" i="24" s="1"/>
  <c r="T21" i="13"/>
  <c r="S21" i="13"/>
  <c r="U21" i="13" s="1"/>
  <c r="R21" i="14" s="1"/>
  <c r="S21" i="14" s="1"/>
  <c r="U21" i="14" s="1"/>
  <c r="R21" i="15" s="1"/>
  <c r="S21" i="15" s="1"/>
  <c r="U21" i="15" s="1"/>
  <c r="R21" i="16" s="1"/>
  <c r="S21" i="16" s="1"/>
  <c r="U21" i="16" s="1"/>
  <c r="R21" i="17" s="1"/>
  <c r="S21" i="17" s="1"/>
  <c r="U21" i="17" s="1"/>
  <c r="R21" i="18" s="1"/>
  <c r="S21" i="18" s="1"/>
  <c r="U21" i="18" s="1"/>
  <c r="R21" i="19" s="1"/>
  <c r="S21" i="19" s="1"/>
  <c r="U21" i="19" s="1"/>
  <c r="R21" i="20" s="1"/>
  <c r="S21" i="20" s="1"/>
  <c r="U21" i="20" s="1"/>
  <c r="R21" i="21" s="1"/>
  <c r="S21" i="21" s="1"/>
  <c r="U21" i="21" s="1"/>
  <c r="R21" i="22" s="1"/>
  <c r="S21" i="22" s="1"/>
  <c r="U21" i="22" s="1"/>
  <c r="R21" i="23" s="1"/>
  <c r="S21" i="23" s="1"/>
  <c r="U21" i="23" s="1"/>
  <c r="R21" i="24" s="1"/>
  <c r="S21" i="24" s="1"/>
  <c r="U21" i="24" s="1"/>
  <c r="H21" i="13"/>
  <c r="T20" i="13"/>
  <c r="R20" i="13"/>
  <c r="G20" i="13"/>
  <c r="I20" i="13" s="1"/>
  <c r="F20" i="14" s="1"/>
  <c r="G20" i="14" s="1"/>
  <c r="I20" i="14" s="1"/>
  <c r="F20" i="15" s="1"/>
  <c r="T19" i="13"/>
  <c r="S19" i="13"/>
  <c r="U19" i="13" s="1"/>
  <c r="R19" i="14" s="1"/>
  <c r="S19" i="14" s="1"/>
  <c r="U19" i="14" s="1"/>
  <c r="R19" i="15" s="1"/>
  <c r="S19" i="15" s="1"/>
  <c r="U19" i="15" s="1"/>
  <c r="R19" i="16" s="1"/>
  <c r="S19" i="16" s="1"/>
  <c r="U19" i="16" s="1"/>
  <c r="R19" i="17" s="1"/>
  <c r="S19" i="17" s="1"/>
  <c r="U19" i="17" s="1"/>
  <c r="R19" i="18" s="1"/>
  <c r="S19" i="18" s="1"/>
  <c r="U19" i="18" s="1"/>
  <c r="R19" i="19" s="1"/>
  <c r="S19" i="19" s="1"/>
  <c r="U19" i="19" s="1"/>
  <c r="R19" i="20" s="1"/>
  <c r="S19" i="20" s="1"/>
  <c r="U19" i="20" s="1"/>
  <c r="R19" i="21" s="1"/>
  <c r="S19" i="21" s="1"/>
  <c r="U19" i="21" s="1"/>
  <c r="R19" i="22" s="1"/>
  <c r="S19" i="22" s="1"/>
  <c r="U19" i="22" s="1"/>
  <c r="R19" i="23" s="1"/>
  <c r="S19" i="23" s="1"/>
  <c r="U19" i="23" s="1"/>
  <c r="R19" i="24" s="1"/>
  <c r="S19" i="24" s="1"/>
  <c r="U19" i="24" s="1"/>
  <c r="S18" i="13"/>
  <c r="U18" i="13" s="1"/>
  <c r="R18" i="14" s="1"/>
  <c r="S18" i="14" s="1"/>
  <c r="U18" i="14" s="1"/>
  <c r="R18" i="15" s="1"/>
  <c r="S18" i="15" s="1"/>
  <c r="U18" i="15" s="1"/>
  <c r="R18" i="16" s="1"/>
  <c r="S18" i="16" s="1"/>
  <c r="U18" i="16" s="1"/>
  <c r="S17" i="13"/>
  <c r="U17" i="13" s="1"/>
  <c r="R17" i="14" s="1"/>
  <c r="H17" i="13"/>
  <c r="G17" i="13"/>
  <c r="U16" i="13"/>
  <c r="R16" i="14" s="1"/>
  <c r="S16" i="14" s="1"/>
  <c r="S16" i="13"/>
  <c r="H16" i="13"/>
  <c r="S15" i="13"/>
  <c r="U15" i="13" s="1"/>
  <c r="R15" i="14" s="1"/>
  <c r="S15" i="14" s="1"/>
  <c r="U15" i="14" s="1"/>
  <c r="S14" i="13"/>
  <c r="U14" i="13" s="1"/>
  <c r="R14" i="14" s="1"/>
  <c r="S14" i="14" s="1"/>
  <c r="H14" i="13"/>
  <c r="S13" i="13"/>
  <c r="U13" i="13" s="1"/>
  <c r="R13" i="14" s="1"/>
  <c r="S13" i="14" s="1"/>
  <c r="G13" i="13"/>
  <c r="I13" i="13" s="1"/>
  <c r="S12" i="13"/>
  <c r="U12" i="13" s="1"/>
  <c r="R12" i="14" s="1"/>
  <c r="S12" i="14" s="1"/>
  <c r="U12" i="14" s="1"/>
  <c r="R12" i="15" s="1"/>
  <c r="S12" i="15" s="1"/>
  <c r="U12" i="15" s="1"/>
  <c r="R12" i="16" s="1"/>
  <c r="S12" i="16" s="1"/>
  <c r="U12" i="16" s="1"/>
  <c r="R12" i="17" s="1"/>
  <c r="S12" i="17" s="1"/>
  <c r="U12" i="17" s="1"/>
  <c r="R12" i="18" s="1"/>
  <c r="S12" i="18" s="1"/>
  <c r="U12" i="18" s="1"/>
  <c r="R12" i="19" s="1"/>
  <c r="S12" i="19" s="1"/>
  <c r="U12" i="19" s="1"/>
  <c r="R12" i="20" s="1"/>
  <c r="S12" i="20" s="1"/>
  <c r="U12" i="20" s="1"/>
  <c r="R12" i="21" s="1"/>
  <c r="S12" i="21" s="1"/>
  <c r="U12" i="21" s="1"/>
  <c r="R12" i="22" s="1"/>
  <c r="S12" i="22" s="1"/>
  <c r="U12" i="22" s="1"/>
  <c r="R12" i="23" s="1"/>
  <c r="S12" i="23" s="1"/>
  <c r="U12" i="23" s="1"/>
  <c r="R12" i="24" s="1"/>
  <c r="S12" i="24" s="1"/>
  <c r="U12" i="24" s="1"/>
  <c r="T11" i="13"/>
  <c r="S11" i="13"/>
  <c r="T10" i="13"/>
  <c r="S10" i="13"/>
  <c r="H10" i="13"/>
  <c r="T9" i="13"/>
  <c r="S9" i="13"/>
  <c r="T8" i="13"/>
  <c r="S8" i="13"/>
  <c r="H8" i="13"/>
  <c r="T7" i="13"/>
  <c r="T32" i="13" s="1"/>
  <c r="S36" i="13" s="1"/>
  <c r="S7" i="13"/>
  <c r="H7" i="13"/>
  <c r="G7" i="13"/>
  <c r="U6" i="13"/>
  <c r="R6" i="14" s="1"/>
  <c r="S6" i="14" s="1"/>
  <c r="U6" i="14" s="1"/>
  <c r="R6" i="15" s="1"/>
  <c r="S6" i="15" s="1"/>
  <c r="U6" i="15" s="1"/>
  <c r="R6" i="16" s="1"/>
  <c r="S6" i="16" s="1"/>
  <c r="U6" i="16" s="1"/>
  <c r="R6" i="17" s="1"/>
  <c r="S6" i="17" s="1"/>
  <c r="U6" i="17" s="1"/>
  <c r="R6" i="18" s="1"/>
  <c r="S6" i="18" s="1"/>
  <c r="U6" i="18" s="1"/>
  <c r="R6" i="19" s="1"/>
  <c r="S6" i="19" s="1"/>
  <c r="U6" i="19" s="1"/>
  <c r="R6" i="20" s="1"/>
  <c r="S6" i="20" s="1"/>
  <c r="U6" i="20" s="1"/>
  <c r="R6" i="21" s="1"/>
  <c r="S6" i="21" s="1"/>
  <c r="U6" i="21" s="1"/>
  <c r="R6" i="22" s="1"/>
  <c r="S6" i="22" s="1"/>
  <c r="U6" i="22" s="1"/>
  <c r="R6" i="23" s="1"/>
  <c r="S6" i="23" s="1"/>
  <c r="U6" i="23" s="1"/>
  <c r="R6" i="24" s="1"/>
  <c r="S6" i="24" s="1"/>
  <c r="U6" i="24" s="1"/>
  <c r="S6" i="13"/>
  <c r="H6" i="13"/>
  <c r="S5" i="13"/>
  <c r="U5" i="13" s="1"/>
  <c r="H5" i="13"/>
  <c r="H43" i="12"/>
  <c r="H46" i="12" s="1"/>
  <c r="D43" i="12"/>
  <c r="D46" i="12" s="1"/>
  <c r="C35" i="12"/>
  <c r="O28" i="12"/>
  <c r="K28" i="12"/>
  <c r="J28" i="12"/>
  <c r="E28" i="12"/>
  <c r="C32" i="12" s="1"/>
  <c r="D28" i="12"/>
  <c r="C28" i="12"/>
  <c r="F26" i="12"/>
  <c r="H23" i="12"/>
  <c r="H22" i="12"/>
  <c r="H21" i="12"/>
  <c r="G20" i="12"/>
  <c r="H19" i="12"/>
  <c r="H17" i="12"/>
  <c r="H16" i="12"/>
  <c r="H14" i="12"/>
  <c r="I13" i="12"/>
  <c r="G13" i="12"/>
  <c r="H12" i="12"/>
  <c r="H10" i="12"/>
  <c r="H8" i="12"/>
  <c r="H7" i="12"/>
  <c r="G7" i="12"/>
  <c r="I7" i="12" s="1"/>
  <c r="H5" i="12"/>
  <c r="H46" i="11"/>
  <c r="D46" i="11"/>
  <c r="C36" i="11"/>
  <c r="K28" i="11"/>
  <c r="G36" i="11" s="1"/>
  <c r="J28" i="11"/>
  <c r="C35" i="11" s="1"/>
  <c r="E28" i="11"/>
  <c r="C32" i="11" s="1"/>
  <c r="D28" i="11"/>
  <c r="C28" i="11"/>
  <c r="H27" i="11"/>
  <c r="F26" i="11"/>
  <c r="H25" i="11"/>
  <c r="H23" i="11"/>
  <c r="H21" i="11"/>
  <c r="H20" i="11"/>
  <c r="G20" i="11"/>
  <c r="I20" i="11" s="1"/>
  <c r="H17" i="11"/>
  <c r="H16" i="11"/>
  <c r="H14" i="11"/>
  <c r="H13" i="11"/>
  <c r="G13" i="11"/>
  <c r="H12" i="11"/>
  <c r="H10" i="11"/>
  <c r="H7" i="11"/>
  <c r="H28" i="11" s="1"/>
  <c r="G7" i="11"/>
  <c r="H46" i="10"/>
  <c r="D46" i="10"/>
  <c r="C36" i="10"/>
  <c r="K28" i="10"/>
  <c r="G36" i="10" s="1"/>
  <c r="J28" i="10"/>
  <c r="C35" i="10" s="1"/>
  <c r="E28" i="10"/>
  <c r="C32" i="10" s="1"/>
  <c r="D28" i="10"/>
  <c r="C28" i="10"/>
  <c r="H27" i="10"/>
  <c r="F26" i="10"/>
  <c r="H25" i="10"/>
  <c r="H23" i="10"/>
  <c r="G20" i="10"/>
  <c r="I20" i="10" s="1"/>
  <c r="H17" i="10"/>
  <c r="H15" i="10"/>
  <c r="H14" i="10"/>
  <c r="H13" i="10"/>
  <c r="H12" i="10"/>
  <c r="H10" i="10"/>
  <c r="H8" i="10"/>
  <c r="H6" i="10"/>
  <c r="H28" i="10" s="1"/>
  <c r="G32" i="10" s="1"/>
  <c r="H46" i="9"/>
  <c r="D46" i="9"/>
  <c r="C32" i="9"/>
  <c r="K28" i="9"/>
  <c r="C36" i="9" s="1"/>
  <c r="J28" i="9"/>
  <c r="C35" i="9" s="1"/>
  <c r="E28" i="9"/>
  <c r="D28" i="9"/>
  <c r="C28" i="9"/>
  <c r="H27" i="9"/>
  <c r="F26" i="9"/>
  <c r="H25" i="9"/>
  <c r="H23" i="9"/>
  <c r="H21" i="9"/>
  <c r="H19" i="9"/>
  <c r="H17" i="9"/>
  <c r="H15" i="9"/>
  <c r="H14" i="9"/>
  <c r="H13" i="9"/>
  <c r="G13" i="9"/>
  <c r="H12" i="9"/>
  <c r="H11" i="9"/>
  <c r="H10" i="9"/>
  <c r="H8" i="9"/>
  <c r="H7" i="9"/>
  <c r="G7" i="9"/>
  <c r="I7" i="9" s="1"/>
  <c r="F7" i="10" s="1"/>
  <c r="G7" i="10" s="1"/>
  <c r="I7" i="10" s="1"/>
  <c r="H6" i="9"/>
  <c r="H46" i="8"/>
  <c r="D46" i="8"/>
  <c r="K28" i="8"/>
  <c r="G36" i="8" s="1"/>
  <c r="J28" i="8"/>
  <c r="C35" i="8" s="1"/>
  <c r="E28" i="8"/>
  <c r="D28" i="8"/>
  <c r="C28" i="8"/>
  <c r="H27" i="8"/>
  <c r="F26" i="8"/>
  <c r="H23" i="8"/>
  <c r="H22" i="8"/>
  <c r="H19" i="8"/>
  <c r="H16" i="8"/>
  <c r="H15" i="8"/>
  <c r="H14" i="8"/>
  <c r="G13" i="8"/>
  <c r="I13" i="8" s="1"/>
  <c r="H10" i="8"/>
  <c r="H8" i="8"/>
  <c r="H7" i="8"/>
  <c r="G7" i="8"/>
  <c r="H5" i="8"/>
  <c r="H45" i="7"/>
  <c r="D45" i="7"/>
  <c r="K28" i="7"/>
  <c r="J28" i="7"/>
  <c r="C35" i="7" s="1"/>
  <c r="E28" i="7"/>
  <c r="D28" i="7"/>
  <c r="C28" i="7"/>
  <c r="H27" i="7"/>
  <c r="F26" i="7"/>
  <c r="H23" i="7"/>
  <c r="H17" i="7"/>
  <c r="H16" i="7"/>
  <c r="H14" i="7"/>
  <c r="H13" i="7"/>
  <c r="H10" i="7"/>
  <c r="G8" i="7"/>
  <c r="I8" i="7" s="1"/>
  <c r="F8" i="8" s="1"/>
  <c r="G8" i="8" s="1"/>
  <c r="H6" i="7"/>
  <c r="H45" i="6"/>
  <c r="D45" i="6"/>
  <c r="H37" i="6"/>
  <c r="D37" i="6"/>
  <c r="C35" i="6"/>
  <c r="C34" i="6"/>
  <c r="K28" i="6"/>
  <c r="C36" i="6" s="1"/>
  <c r="J28" i="6"/>
  <c r="E28" i="6"/>
  <c r="C32" i="6" s="1"/>
  <c r="D38" i="6" s="1"/>
  <c r="H38" i="6" s="1"/>
  <c r="D28" i="6"/>
  <c r="C28" i="6"/>
  <c r="H27" i="6"/>
  <c r="F26" i="6"/>
  <c r="H22" i="6"/>
  <c r="H13" i="6"/>
  <c r="H11" i="6"/>
  <c r="H10" i="6"/>
  <c r="H45" i="5"/>
  <c r="D45" i="5"/>
  <c r="C34" i="5"/>
  <c r="K28" i="5"/>
  <c r="C36" i="5" s="1"/>
  <c r="J28" i="5"/>
  <c r="C35" i="5" s="1"/>
  <c r="E28" i="5"/>
  <c r="C32" i="5" s="1"/>
  <c r="D38" i="5" s="1"/>
  <c r="H38" i="5" s="1"/>
  <c r="D28" i="5"/>
  <c r="C28" i="5"/>
  <c r="G23" i="5"/>
  <c r="I23" i="5" s="1"/>
  <c r="F23" i="6" s="1"/>
  <c r="G23" i="6" s="1"/>
  <c r="I23" i="6" s="1"/>
  <c r="F23" i="7" s="1"/>
  <c r="G23" i="7" s="1"/>
  <c r="I23" i="7" s="1"/>
  <c r="F23" i="8" s="1"/>
  <c r="G23" i="8" s="1"/>
  <c r="I23" i="8" s="1"/>
  <c r="F23" i="9" s="1"/>
  <c r="G23" i="9" s="1"/>
  <c r="I23" i="9" s="1"/>
  <c r="F23" i="10" s="1"/>
  <c r="G23" i="10" s="1"/>
  <c r="I23" i="10" s="1"/>
  <c r="F23" i="11" s="1"/>
  <c r="G23" i="11" s="1"/>
  <c r="I23" i="11" s="1"/>
  <c r="F23" i="12" s="1"/>
  <c r="G23" i="12" s="1"/>
  <c r="F23" i="5"/>
  <c r="H16" i="5"/>
  <c r="H13" i="5"/>
  <c r="H10" i="5"/>
  <c r="H28" i="5" s="1"/>
  <c r="G32" i="5" s="1"/>
  <c r="H7" i="5"/>
  <c r="I42" i="4"/>
  <c r="I45" i="4" s="1"/>
  <c r="E42" i="4"/>
  <c r="E45" i="4" s="1"/>
  <c r="I37" i="4"/>
  <c r="E37" i="4"/>
  <c r="L28" i="4"/>
  <c r="D36" i="4" s="1"/>
  <c r="K28" i="4"/>
  <c r="D35" i="4" s="1"/>
  <c r="F28" i="4"/>
  <c r="D32" i="4" s="1"/>
  <c r="E28" i="4"/>
  <c r="D28" i="4"/>
  <c r="H26" i="4"/>
  <c r="J26" i="4" s="1"/>
  <c r="I8" i="4"/>
  <c r="I28" i="4" s="1"/>
  <c r="H32" i="4" s="1"/>
  <c r="I44" i="3"/>
  <c r="E44" i="3"/>
  <c r="I36" i="3"/>
  <c r="E36" i="3"/>
  <c r="D33" i="3"/>
  <c r="L27" i="3"/>
  <c r="D35" i="3" s="1"/>
  <c r="F27" i="3"/>
  <c r="J28" i="3" s="1"/>
  <c r="E27" i="3"/>
  <c r="D27" i="3"/>
  <c r="H25" i="3"/>
  <c r="J25" i="3" s="1"/>
  <c r="G25" i="4" s="1"/>
  <c r="H25" i="4" s="1"/>
  <c r="J25" i="4" s="1"/>
  <c r="F25" i="5" s="1"/>
  <c r="G25" i="5" s="1"/>
  <c r="I25" i="5" s="1"/>
  <c r="F25" i="6" s="1"/>
  <c r="G25" i="6" s="1"/>
  <c r="I25" i="6" s="1"/>
  <c r="F25" i="7" s="1"/>
  <c r="G25" i="7" s="1"/>
  <c r="I25" i="7" s="1"/>
  <c r="F25" i="8" s="1"/>
  <c r="G25" i="8" s="1"/>
  <c r="I25" i="8" s="1"/>
  <c r="F25" i="9" s="1"/>
  <c r="G25" i="9" s="1"/>
  <c r="I25" i="9" s="1"/>
  <c r="F25" i="10" s="1"/>
  <c r="G25" i="10" s="1"/>
  <c r="K23" i="3"/>
  <c r="K27" i="3" s="1"/>
  <c r="D34" i="3" s="1"/>
  <c r="I23" i="3"/>
  <c r="I27" i="3" s="1"/>
  <c r="H31" i="3" s="1"/>
  <c r="H20" i="3"/>
  <c r="J20" i="3" s="1"/>
  <c r="G20" i="4" s="1"/>
  <c r="H20" i="4" s="1"/>
  <c r="J20" i="4" s="1"/>
  <c r="F20" i="5" s="1"/>
  <c r="G20" i="5" s="1"/>
  <c r="I20" i="5" s="1"/>
  <c r="F20" i="6" s="1"/>
  <c r="G20" i="6" s="1"/>
  <c r="I20" i="6" s="1"/>
  <c r="F20" i="7" s="1"/>
  <c r="G20" i="7" s="1"/>
  <c r="I20" i="7" s="1"/>
  <c r="F20" i="8" s="1"/>
  <c r="G20" i="8" s="1"/>
  <c r="I20" i="8" s="1"/>
  <c r="F20" i="9" s="1"/>
  <c r="G20" i="9" s="1"/>
  <c r="I20" i="9" s="1"/>
  <c r="H13" i="3"/>
  <c r="J13" i="3" s="1"/>
  <c r="G13" i="4" s="1"/>
  <c r="H13" i="4" s="1"/>
  <c r="J13" i="4" s="1"/>
  <c r="F13" i="5" s="1"/>
  <c r="G13" i="5" s="1"/>
  <c r="I13" i="5" s="1"/>
  <c r="F13" i="6" s="1"/>
  <c r="G13" i="6" s="1"/>
  <c r="I13" i="6" s="1"/>
  <c r="F13" i="7" s="1"/>
  <c r="G13" i="7" s="1"/>
  <c r="I13" i="7" s="1"/>
  <c r="I41" i="2"/>
  <c r="E41" i="2"/>
  <c r="I40" i="2"/>
  <c r="I45" i="2" s="1"/>
  <c r="E40" i="2"/>
  <c r="E45" i="2" s="1"/>
  <c r="L28" i="2"/>
  <c r="K28" i="2"/>
  <c r="D36" i="2" s="1"/>
  <c r="F28" i="2"/>
  <c r="D32" i="2" s="1"/>
  <c r="E28" i="2"/>
  <c r="D28" i="2"/>
  <c r="D34" i="2" s="1"/>
  <c r="H27" i="2"/>
  <c r="J27" i="2" s="1"/>
  <c r="G26" i="3" s="1"/>
  <c r="H26" i="3" s="1"/>
  <c r="J26" i="3" s="1"/>
  <c r="G27" i="4" s="1"/>
  <c r="H27" i="4" s="1"/>
  <c r="J27" i="4" s="1"/>
  <c r="F27" i="5" s="1"/>
  <c r="G27" i="5" s="1"/>
  <c r="I27" i="5" s="1"/>
  <c r="F27" i="6" s="1"/>
  <c r="G27" i="6" s="1"/>
  <c r="I27" i="6" s="1"/>
  <c r="F27" i="7" s="1"/>
  <c r="G27" i="7" s="1"/>
  <c r="I27" i="7" s="1"/>
  <c r="F27" i="8" s="1"/>
  <c r="G27" i="8" s="1"/>
  <c r="I27" i="8" s="1"/>
  <c r="F27" i="9" s="1"/>
  <c r="G27" i="9" s="1"/>
  <c r="I27" i="9" s="1"/>
  <c r="F27" i="10" s="1"/>
  <c r="G27" i="10" s="1"/>
  <c r="I27" i="10" s="1"/>
  <c r="F27" i="11" s="1"/>
  <c r="G27" i="11" s="1"/>
  <c r="I27" i="11" s="1"/>
  <c r="F27" i="12" s="1"/>
  <c r="G27" i="12" s="1"/>
  <c r="I27" i="12" s="1"/>
  <c r="F26" i="13" s="1"/>
  <c r="G26" i="13" s="1"/>
  <c r="I26" i="13" s="1"/>
  <c r="F26" i="14" s="1"/>
  <c r="G26" i="14" s="1"/>
  <c r="I26" i="14" s="1"/>
  <c r="F26" i="15" s="1"/>
  <c r="H26" i="2"/>
  <c r="J26" i="2" s="1"/>
  <c r="H25" i="2"/>
  <c r="J25" i="2" s="1"/>
  <c r="H22" i="2"/>
  <c r="J22" i="2" s="1"/>
  <c r="G22" i="3" s="1"/>
  <c r="H22" i="3" s="1"/>
  <c r="J22" i="3" s="1"/>
  <c r="G22" i="4" s="1"/>
  <c r="H22" i="4" s="1"/>
  <c r="J22" i="4" s="1"/>
  <c r="F22" i="5" s="1"/>
  <c r="G22" i="5" s="1"/>
  <c r="I22" i="5" s="1"/>
  <c r="F22" i="6" s="1"/>
  <c r="G22" i="6" s="1"/>
  <c r="I22" i="6" s="1"/>
  <c r="I17" i="2"/>
  <c r="I28" i="2" s="1"/>
  <c r="J29" i="2" s="1"/>
  <c r="J2" i="2"/>
  <c r="V43" i="1"/>
  <c r="R43" i="1"/>
  <c r="H43" i="1"/>
  <c r="D43" i="1"/>
  <c r="Z36" i="1"/>
  <c r="Z35" i="1"/>
  <c r="Z34" i="1"/>
  <c r="Z33" i="1"/>
  <c r="I27" i="1"/>
  <c r="J28" i="1" s="1"/>
  <c r="Y26" i="1"/>
  <c r="Q35" i="1" s="1"/>
  <c r="X26" i="1"/>
  <c r="Q34" i="1" s="1"/>
  <c r="T26" i="1"/>
  <c r="S26" i="1"/>
  <c r="X33" i="1" s="1"/>
  <c r="X28" i="1" s="1"/>
  <c r="Q30" i="1" s="1"/>
  <c r="R26" i="1"/>
  <c r="Q33" i="1" s="1"/>
  <c r="Q26" i="1"/>
  <c r="Q32" i="1" s="1"/>
  <c r="K26" i="1"/>
  <c r="C35" i="1" s="1"/>
  <c r="J26" i="1"/>
  <c r="C34" i="1" s="1"/>
  <c r="K32" i="1" s="1"/>
  <c r="F26" i="1"/>
  <c r="E26" i="1"/>
  <c r="C30" i="1" s="1"/>
  <c r="D26" i="1"/>
  <c r="C33" i="1" s="1"/>
  <c r="C26" i="1"/>
  <c r="C32" i="1" s="1"/>
  <c r="U25" i="1"/>
  <c r="W25" i="1" s="1"/>
  <c r="G25" i="1"/>
  <c r="I25" i="1" s="1"/>
  <c r="U24" i="1"/>
  <c r="W24" i="1" s="1"/>
  <c r="G24" i="2" s="1"/>
  <c r="H24" i="2" s="1"/>
  <c r="J24" i="2" s="1"/>
  <c r="G24" i="3" s="1"/>
  <c r="H24" i="3" s="1"/>
  <c r="J24" i="3" s="1"/>
  <c r="G24" i="4" s="1"/>
  <c r="H24" i="4" s="1"/>
  <c r="J24" i="4" s="1"/>
  <c r="F24" i="5" s="1"/>
  <c r="G24" i="5" s="1"/>
  <c r="I24" i="5" s="1"/>
  <c r="F24" i="6" s="1"/>
  <c r="G24" i="6" s="1"/>
  <c r="I24" i="6" s="1"/>
  <c r="F24" i="7" s="1"/>
  <c r="G24" i="7" s="1"/>
  <c r="I24" i="7" s="1"/>
  <c r="F24" i="8" s="1"/>
  <c r="G24" i="8" s="1"/>
  <c r="I24" i="8" s="1"/>
  <c r="F24" i="9" s="1"/>
  <c r="G24" i="9" s="1"/>
  <c r="I24" i="9" s="1"/>
  <c r="F24" i="10" s="1"/>
  <c r="G24" i="10" s="1"/>
  <c r="I24" i="10" s="1"/>
  <c r="F24" i="11" s="1"/>
  <c r="G24" i="11" s="1"/>
  <c r="I24" i="11" s="1"/>
  <c r="F24" i="12" s="1"/>
  <c r="G24" i="12" s="1"/>
  <c r="I24" i="12" s="1"/>
  <c r="F24" i="13" s="1"/>
  <c r="G24" i="13" s="1"/>
  <c r="I24" i="13" s="1"/>
  <c r="F24" i="14" s="1"/>
  <c r="G24" i="14" s="1"/>
  <c r="I24" i="14" s="1"/>
  <c r="F24" i="15" s="1"/>
  <c r="G24" i="1"/>
  <c r="I24" i="1" s="1"/>
  <c r="U23" i="1"/>
  <c r="W23" i="1" s="1"/>
  <c r="G23" i="2" s="1"/>
  <c r="H23" i="2" s="1"/>
  <c r="J23" i="2" s="1"/>
  <c r="G23" i="3" s="1"/>
  <c r="H23" i="3" s="1"/>
  <c r="J23" i="3" s="1"/>
  <c r="G23" i="4" s="1"/>
  <c r="H23" i="4" s="1"/>
  <c r="G23" i="1"/>
  <c r="I23" i="1" s="1"/>
  <c r="U22" i="1"/>
  <c r="W22" i="1" s="1"/>
  <c r="G22" i="1"/>
  <c r="I22" i="1" s="1"/>
  <c r="U21" i="1"/>
  <c r="W21" i="1" s="1"/>
  <c r="G21" i="2" s="1"/>
  <c r="H21" i="2" s="1"/>
  <c r="J21" i="2" s="1"/>
  <c r="G21" i="3" s="1"/>
  <c r="H21" i="3" s="1"/>
  <c r="J21" i="3" s="1"/>
  <c r="G21" i="4" s="1"/>
  <c r="H21" i="4" s="1"/>
  <c r="J21" i="4" s="1"/>
  <c r="F21" i="5" s="1"/>
  <c r="G21" i="5" s="1"/>
  <c r="I21" i="5" s="1"/>
  <c r="F21" i="6" s="1"/>
  <c r="G21" i="6" s="1"/>
  <c r="I21" i="6" s="1"/>
  <c r="F21" i="7" s="1"/>
  <c r="G21" i="7" s="1"/>
  <c r="I21" i="7" s="1"/>
  <c r="F21" i="8" s="1"/>
  <c r="G21" i="8" s="1"/>
  <c r="I21" i="8" s="1"/>
  <c r="F21" i="9" s="1"/>
  <c r="G21" i="9" s="1"/>
  <c r="I21" i="9" s="1"/>
  <c r="F21" i="10" s="1"/>
  <c r="G21" i="10" s="1"/>
  <c r="I21" i="10" s="1"/>
  <c r="F21" i="11" s="1"/>
  <c r="G21" i="11" s="1"/>
  <c r="I21" i="11" s="1"/>
  <c r="F21" i="12" s="1"/>
  <c r="G21" i="12" s="1"/>
  <c r="I21" i="12" s="1"/>
  <c r="F21" i="13" s="1"/>
  <c r="G21" i="13" s="1"/>
  <c r="I21" i="13" s="1"/>
  <c r="F21" i="14" s="1"/>
  <c r="G21" i="14" s="1"/>
  <c r="I21" i="14" s="1"/>
  <c r="F21" i="15" s="1"/>
  <c r="G21" i="1"/>
  <c r="I21" i="1" s="1"/>
  <c r="V20" i="1"/>
  <c r="U20" i="1"/>
  <c r="W20" i="1" s="1"/>
  <c r="G20" i="2" s="1"/>
  <c r="H20" i="2" s="1"/>
  <c r="J20" i="2" s="1"/>
  <c r="H20" i="1"/>
  <c r="G20" i="1"/>
  <c r="I20" i="1" s="1"/>
  <c r="U19" i="1"/>
  <c r="W19" i="1" s="1"/>
  <c r="G19" i="2" s="1"/>
  <c r="H19" i="2" s="1"/>
  <c r="J19" i="2" s="1"/>
  <c r="G19" i="3" s="1"/>
  <c r="H19" i="3" s="1"/>
  <c r="J19" i="3" s="1"/>
  <c r="G19" i="4" s="1"/>
  <c r="H19" i="4" s="1"/>
  <c r="J19" i="4" s="1"/>
  <c r="F19" i="5" s="1"/>
  <c r="G19" i="5" s="1"/>
  <c r="I19" i="5" s="1"/>
  <c r="F19" i="6" s="1"/>
  <c r="G19" i="6" s="1"/>
  <c r="I19" i="6" s="1"/>
  <c r="F19" i="7" s="1"/>
  <c r="G19" i="7" s="1"/>
  <c r="I19" i="7" s="1"/>
  <c r="F19" i="8" s="1"/>
  <c r="G19" i="8" s="1"/>
  <c r="I19" i="8" s="1"/>
  <c r="F19" i="9" s="1"/>
  <c r="G19" i="9" s="1"/>
  <c r="I19" i="9" s="1"/>
  <c r="F19" i="10" s="1"/>
  <c r="G19" i="10" s="1"/>
  <c r="I19" i="10" s="1"/>
  <c r="F19" i="11" s="1"/>
  <c r="G19" i="11" s="1"/>
  <c r="I19" i="11" s="1"/>
  <c r="F19" i="12" s="1"/>
  <c r="G19" i="12" s="1"/>
  <c r="I19" i="12" s="1"/>
  <c r="F19" i="13" s="1"/>
  <c r="G19" i="13" s="1"/>
  <c r="I19" i="13" s="1"/>
  <c r="F19" i="14" s="1"/>
  <c r="G19" i="14" s="1"/>
  <c r="I19" i="14" s="1"/>
  <c r="F19" i="15" s="1"/>
  <c r="G19" i="1"/>
  <c r="I19" i="1" s="1"/>
  <c r="U18" i="1"/>
  <c r="W18" i="1" s="1"/>
  <c r="G18" i="2" s="1"/>
  <c r="H18" i="2" s="1"/>
  <c r="J18" i="2" s="1"/>
  <c r="G18" i="3" s="1"/>
  <c r="H18" i="3" s="1"/>
  <c r="J18" i="3" s="1"/>
  <c r="G18" i="4" s="1"/>
  <c r="H18" i="4" s="1"/>
  <c r="J18" i="4" s="1"/>
  <c r="F18" i="5" s="1"/>
  <c r="G18" i="5" s="1"/>
  <c r="I18" i="5" s="1"/>
  <c r="F18" i="6" s="1"/>
  <c r="G18" i="6" s="1"/>
  <c r="I18" i="6" s="1"/>
  <c r="F18" i="7" s="1"/>
  <c r="G18" i="7" s="1"/>
  <c r="I18" i="7" s="1"/>
  <c r="F18" i="8" s="1"/>
  <c r="G18" i="8" s="1"/>
  <c r="I18" i="8" s="1"/>
  <c r="F18" i="9" s="1"/>
  <c r="G18" i="9" s="1"/>
  <c r="I18" i="9" s="1"/>
  <c r="F18" i="10" s="1"/>
  <c r="G18" i="10" s="1"/>
  <c r="I18" i="10" s="1"/>
  <c r="F18" i="11" s="1"/>
  <c r="G18" i="11" s="1"/>
  <c r="I18" i="11" s="1"/>
  <c r="F18" i="12" s="1"/>
  <c r="G18" i="12" s="1"/>
  <c r="I18" i="12" s="1"/>
  <c r="F18" i="13" s="1"/>
  <c r="G18" i="13" s="1"/>
  <c r="I18" i="13" s="1"/>
  <c r="F18" i="14" s="1"/>
  <c r="G18" i="14" s="1"/>
  <c r="I18" i="14" s="1"/>
  <c r="F18" i="15" s="1"/>
  <c r="G18" i="1"/>
  <c r="I18" i="1" s="1"/>
  <c r="U17" i="1"/>
  <c r="W17" i="1" s="1"/>
  <c r="G17" i="2" s="1"/>
  <c r="H17" i="2" s="1"/>
  <c r="J17" i="2" s="1"/>
  <c r="G17" i="3" s="1"/>
  <c r="H17" i="3" s="1"/>
  <c r="J17" i="3" s="1"/>
  <c r="G17" i="4" s="1"/>
  <c r="H17" i="4" s="1"/>
  <c r="J17" i="4" s="1"/>
  <c r="F17" i="5" s="1"/>
  <c r="G17" i="5" s="1"/>
  <c r="I17" i="5" s="1"/>
  <c r="F17" i="6" s="1"/>
  <c r="G17" i="6" s="1"/>
  <c r="I17" i="6" s="1"/>
  <c r="G17" i="1"/>
  <c r="I17" i="1" s="1"/>
  <c r="U16" i="1"/>
  <c r="W16" i="1" s="1"/>
  <c r="G16" i="2" s="1"/>
  <c r="H16" i="2" s="1"/>
  <c r="J16" i="2" s="1"/>
  <c r="G16" i="3" s="1"/>
  <c r="H16" i="3" s="1"/>
  <c r="J16" i="3" s="1"/>
  <c r="G16" i="4" s="1"/>
  <c r="H16" i="4" s="1"/>
  <c r="J16" i="4" s="1"/>
  <c r="F16" i="5" s="1"/>
  <c r="G16" i="5" s="1"/>
  <c r="I16" i="5" s="1"/>
  <c r="F16" i="6" s="1"/>
  <c r="G16" i="6" s="1"/>
  <c r="I16" i="6" s="1"/>
  <c r="F16" i="7" s="1"/>
  <c r="G16" i="7" s="1"/>
  <c r="I16" i="7" s="1"/>
  <c r="G16" i="1"/>
  <c r="I16" i="1" s="1"/>
  <c r="U15" i="1"/>
  <c r="W15" i="1" s="1"/>
  <c r="G15" i="2" s="1"/>
  <c r="H15" i="2" s="1"/>
  <c r="J15" i="2" s="1"/>
  <c r="G15" i="3" s="1"/>
  <c r="H15" i="3" s="1"/>
  <c r="J15" i="3" s="1"/>
  <c r="G15" i="4" s="1"/>
  <c r="H15" i="4" s="1"/>
  <c r="J15" i="4" s="1"/>
  <c r="F15" i="5" s="1"/>
  <c r="G15" i="5" s="1"/>
  <c r="I15" i="5" s="1"/>
  <c r="F15" i="6" s="1"/>
  <c r="G15" i="6" s="1"/>
  <c r="I15" i="6" s="1"/>
  <c r="F15" i="7" s="1"/>
  <c r="G15" i="7" s="1"/>
  <c r="I15" i="7" s="1"/>
  <c r="F15" i="8" s="1"/>
  <c r="G15" i="8" s="1"/>
  <c r="I15" i="8" s="1"/>
  <c r="F15" i="9" s="1"/>
  <c r="G15" i="9" s="1"/>
  <c r="I15" i="9" s="1"/>
  <c r="F15" i="10" s="1"/>
  <c r="G15" i="10" s="1"/>
  <c r="I15" i="10" s="1"/>
  <c r="F15" i="11" s="1"/>
  <c r="G15" i="11" s="1"/>
  <c r="I15" i="11" s="1"/>
  <c r="F15" i="12" s="1"/>
  <c r="G15" i="12" s="1"/>
  <c r="I15" i="12" s="1"/>
  <c r="F15" i="13" s="1"/>
  <c r="G15" i="13" s="1"/>
  <c r="I15" i="13" s="1"/>
  <c r="F15" i="14" s="1"/>
  <c r="G15" i="14" s="1"/>
  <c r="I15" i="14" s="1"/>
  <c r="F15" i="15" s="1"/>
  <c r="G15" i="1"/>
  <c r="I15" i="1" s="1"/>
  <c r="V14" i="1"/>
  <c r="U14" i="1"/>
  <c r="W14" i="1" s="1"/>
  <c r="G14" i="2" s="1"/>
  <c r="H14" i="2" s="1"/>
  <c r="J14" i="2" s="1"/>
  <c r="G14" i="3" s="1"/>
  <c r="H14" i="3" s="1"/>
  <c r="J14" i="3" s="1"/>
  <c r="G14" i="4" s="1"/>
  <c r="H14" i="4" s="1"/>
  <c r="J14" i="4" s="1"/>
  <c r="F14" i="5" s="1"/>
  <c r="G14" i="5" s="1"/>
  <c r="I14" i="5" s="1"/>
  <c r="F14" i="6" s="1"/>
  <c r="G14" i="6" s="1"/>
  <c r="I14" i="6" s="1"/>
  <c r="F14" i="7" s="1"/>
  <c r="G14" i="7" s="1"/>
  <c r="I14" i="7" s="1"/>
  <c r="F14" i="8" s="1"/>
  <c r="G14" i="8" s="1"/>
  <c r="I14" i="8" s="1"/>
  <c r="F14" i="9" s="1"/>
  <c r="G14" i="9" s="1"/>
  <c r="I14" i="9" s="1"/>
  <c r="F14" i="10" s="1"/>
  <c r="G14" i="10" s="1"/>
  <c r="I14" i="10" s="1"/>
  <c r="F14" i="11" s="1"/>
  <c r="G14" i="11" s="1"/>
  <c r="I14" i="11" s="1"/>
  <c r="F14" i="12" s="1"/>
  <c r="G14" i="12" s="1"/>
  <c r="I14" i="12" s="1"/>
  <c r="F14" i="13" s="1"/>
  <c r="G14" i="13" s="1"/>
  <c r="I14" i="13" s="1"/>
  <c r="F14" i="14" s="1"/>
  <c r="G14" i="14" s="1"/>
  <c r="I14" i="14" s="1"/>
  <c r="F14" i="15" s="1"/>
  <c r="H14" i="1"/>
  <c r="H26" i="1" s="1"/>
  <c r="G14" i="1"/>
  <c r="V13" i="1"/>
  <c r="V26" i="1" s="1"/>
  <c r="W27" i="1" s="1"/>
  <c r="U30" i="1" s="1"/>
  <c r="U13" i="1"/>
  <c r="W13" i="1" s="1"/>
  <c r="G13" i="2" s="1"/>
  <c r="H13" i="2" s="1"/>
  <c r="J13" i="2" s="1"/>
  <c r="G13" i="1"/>
  <c r="I13" i="1" s="1"/>
  <c r="U12" i="1"/>
  <c r="W12" i="1" s="1"/>
  <c r="G12" i="2" s="1"/>
  <c r="H12" i="2" s="1"/>
  <c r="J12" i="2" s="1"/>
  <c r="G12" i="3" s="1"/>
  <c r="H12" i="3" s="1"/>
  <c r="J12" i="3" s="1"/>
  <c r="G12" i="4" s="1"/>
  <c r="H12" i="4" s="1"/>
  <c r="J12" i="4" s="1"/>
  <c r="F12" i="5" s="1"/>
  <c r="G12" i="5" s="1"/>
  <c r="I12" i="5" s="1"/>
  <c r="F12" i="6" s="1"/>
  <c r="G12" i="6" s="1"/>
  <c r="I12" i="6" s="1"/>
  <c r="F12" i="7" s="1"/>
  <c r="G12" i="7" s="1"/>
  <c r="I12" i="7" s="1"/>
  <c r="F12" i="8" s="1"/>
  <c r="G12" i="8" s="1"/>
  <c r="I12" i="8" s="1"/>
  <c r="F12" i="9" s="1"/>
  <c r="G12" i="9" s="1"/>
  <c r="I12" i="9" s="1"/>
  <c r="F12" i="10" s="1"/>
  <c r="G12" i="10" s="1"/>
  <c r="I12" i="10" s="1"/>
  <c r="F12" i="11" s="1"/>
  <c r="G12" i="11" s="1"/>
  <c r="I12" i="11" s="1"/>
  <c r="F12" i="12" s="1"/>
  <c r="G12" i="12" s="1"/>
  <c r="I12" i="12" s="1"/>
  <c r="F12" i="13" s="1"/>
  <c r="G12" i="13" s="1"/>
  <c r="I12" i="13" s="1"/>
  <c r="F12" i="14" s="1"/>
  <c r="G12" i="14" s="1"/>
  <c r="I12" i="14" s="1"/>
  <c r="F12" i="15" s="1"/>
  <c r="G12" i="1"/>
  <c r="I12" i="1" s="1"/>
  <c r="U11" i="1"/>
  <c r="W11" i="1" s="1"/>
  <c r="G11" i="2" s="1"/>
  <c r="H11" i="2" s="1"/>
  <c r="J11" i="2" s="1"/>
  <c r="G11" i="3" s="1"/>
  <c r="H11" i="3" s="1"/>
  <c r="J11" i="3" s="1"/>
  <c r="G11" i="4" s="1"/>
  <c r="H11" i="4" s="1"/>
  <c r="J11" i="4" s="1"/>
  <c r="F11" i="5" s="1"/>
  <c r="G11" i="5" s="1"/>
  <c r="I11" i="5" s="1"/>
  <c r="F11" i="6" s="1"/>
  <c r="G11" i="6" s="1"/>
  <c r="I11" i="6" s="1"/>
  <c r="F11" i="7" s="1"/>
  <c r="G11" i="7" s="1"/>
  <c r="I11" i="7" s="1"/>
  <c r="F11" i="8" s="1"/>
  <c r="G11" i="8" s="1"/>
  <c r="I11" i="8" s="1"/>
  <c r="F11" i="9" s="1"/>
  <c r="G11" i="9" s="1"/>
  <c r="I11" i="9" s="1"/>
  <c r="F11" i="10" s="1"/>
  <c r="G11" i="10" s="1"/>
  <c r="I11" i="10" s="1"/>
  <c r="F11" i="11" s="1"/>
  <c r="G11" i="11" s="1"/>
  <c r="I11" i="11" s="1"/>
  <c r="F11" i="12" s="1"/>
  <c r="G11" i="12" s="1"/>
  <c r="I11" i="12" s="1"/>
  <c r="F11" i="13" s="1"/>
  <c r="G11" i="13" s="1"/>
  <c r="I11" i="13" s="1"/>
  <c r="F11" i="14" s="1"/>
  <c r="G11" i="14" s="1"/>
  <c r="I11" i="14" s="1"/>
  <c r="F11" i="15" s="1"/>
  <c r="G11" i="1"/>
  <c r="I11" i="1" s="1"/>
  <c r="U10" i="1"/>
  <c r="W10" i="1" s="1"/>
  <c r="G10" i="2" s="1"/>
  <c r="H10" i="2" s="1"/>
  <c r="J10" i="2" s="1"/>
  <c r="G10" i="3" s="1"/>
  <c r="H10" i="3" s="1"/>
  <c r="J10" i="3" s="1"/>
  <c r="G10" i="4" s="1"/>
  <c r="H10" i="4" s="1"/>
  <c r="J10" i="4" s="1"/>
  <c r="F10" i="5" s="1"/>
  <c r="G10" i="5" s="1"/>
  <c r="I10" i="5" s="1"/>
  <c r="F10" i="6" s="1"/>
  <c r="G10" i="6" s="1"/>
  <c r="I10" i="6" s="1"/>
  <c r="F10" i="7" s="1"/>
  <c r="G10" i="7" s="1"/>
  <c r="I10" i="7" s="1"/>
  <c r="G10" i="1"/>
  <c r="I10" i="1" s="1"/>
  <c r="U9" i="1"/>
  <c r="W9" i="1" s="1"/>
  <c r="G9" i="2" s="1"/>
  <c r="H9" i="2" s="1"/>
  <c r="J9" i="2" s="1"/>
  <c r="G9" i="3" s="1"/>
  <c r="H9" i="3" s="1"/>
  <c r="J9" i="3" s="1"/>
  <c r="G9" i="4" s="1"/>
  <c r="H9" i="4" s="1"/>
  <c r="J9" i="4" s="1"/>
  <c r="F9" i="5" s="1"/>
  <c r="G9" i="5" s="1"/>
  <c r="I9" i="5" s="1"/>
  <c r="F9" i="6" s="1"/>
  <c r="G9" i="6" s="1"/>
  <c r="I9" i="6" s="1"/>
  <c r="F9" i="7" s="1"/>
  <c r="G9" i="7" s="1"/>
  <c r="I9" i="7" s="1"/>
  <c r="F9" i="8" s="1"/>
  <c r="G9" i="8" s="1"/>
  <c r="I9" i="8" s="1"/>
  <c r="F9" i="9" s="1"/>
  <c r="G9" i="9" s="1"/>
  <c r="I9" i="9" s="1"/>
  <c r="F9" i="10" s="1"/>
  <c r="G9" i="10" s="1"/>
  <c r="I9" i="10" s="1"/>
  <c r="F9" i="11" s="1"/>
  <c r="G9" i="11" s="1"/>
  <c r="I9" i="11" s="1"/>
  <c r="F9" i="12" s="1"/>
  <c r="G9" i="12" s="1"/>
  <c r="I9" i="12" s="1"/>
  <c r="F9" i="13" s="1"/>
  <c r="G9" i="13" s="1"/>
  <c r="I9" i="13" s="1"/>
  <c r="F9" i="14" s="1"/>
  <c r="G9" i="14" s="1"/>
  <c r="I9" i="14" s="1"/>
  <c r="F9" i="15" s="1"/>
  <c r="G9" i="1"/>
  <c r="I9" i="1" s="1"/>
  <c r="U8" i="1"/>
  <c r="W8" i="1" s="1"/>
  <c r="G8" i="2" s="1"/>
  <c r="H8" i="2" s="1"/>
  <c r="J8" i="2" s="1"/>
  <c r="G8" i="3" s="1"/>
  <c r="H8" i="3" s="1"/>
  <c r="J8" i="3" s="1"/>
  <c r="G8" i="4" s="1"/>
  <c r="H8" i="4" s="1"/>
  <c r="J8" i="4" s="1"/>
  <c r="G8" i="1"/>
  <c r="I8" i="1" s="1"/>
  <c r="U7" i="1"/>
  <c r="W7" i="1" s="1"/>
  <c r="G7" i="2" s="1"/>
  <c r="H7" i="2" s="1"/>
  <c r="J7" i="2" s="1"/>
  <c r="G7" i="3" s="1"/>
  <c r="H7" i="3" s="1"/>
  <c r="J7" i="3" s="1"/>
  <c r="G7" i="4" s="1"/>
  <c r="H7" i="4" s="1"/>
  <c r="J7" i="4" s="1"/>
  <c r="F7" i="5" s="1"/>
  <c r="G7" i="5" s="1"/>
  <c r="I7" i="5" s="1"/>
  <c r="F7" i="6" s="1"/>
  <c r="G7" i="6" s="1"/>
  <c r="I7" i="6" s="1"/>
  <c r="F7" i="7" s="1"/>
  <c r="G7" i="7" s="1"/>
  <c r="I7" i="7" s="1"/>
  <c r="G7" i="1"/>
  <c r="I7" i="1" s="1"/>
  <c r="U6" i="1"/>
  <c r="W6" i="1" s="1"/>
  <c r="G6" i="2" s="1"/>
  <c r="H6" i="2" s="1"/>
  <c r="J6" i="2" s="1"/>
  <c r="G6" i="3" s="1"/>
  <c r="H6" i="3" s="1"/>
  <c r="J6" i="3" s="1"/>
  <c r="G6" i="4" s="1"/>
  <c r="H6" i="4" s="1"/>
  <c r="J6" i="4" s="1"/>
  <c r="F6" i="5" s="1"/>
  <c r="G6" i="5" s="1"/>
  <c r="I6" i="5" s="1"/>
  <c r="F6" i="6" s="1"/>
  <c r="G6" i="6" s="1"/>
  <c r="I6" i="6" s="1"/>
  <c r="F6" i="7" s="1"/>
  <c r="G6" i="7" s="1"/>
  <c r="I6" i="7" s="1"/>
  <c r="F6" i="8" s="1"/>
  <c r="G6" i="8" s="1"/>
  <c r="I6" i="8" s="1"/>
  <c r="F6" i="9" s="1"/>
  <c r="G6" i="9" s="1"/>
  <c r="I6" i="9" s="1"/>
  <c r="F6" i="10" s="1"/>
  <c r="G6" i="10" s="1"/>
  <c r="I6" i="10" s="1"/>
  <c r="F6" i="11" s="1"/>
  <c r="G6" i="11" s="1"/>
  <c r="I6" i="11" s="1"/>
  <c r="F6" i="12" s="1"/>
  <c r="G6" i="12" s="1"/>
  <c r="I6" i="12" s="1"/>
  <c r="F6" i="13" s="1"/>
  <c r="G6" i="13" s="1"/>
  <c r="I6" i="13" s="1"/>
  <c r="F6" i="14" s="1"/>
  <c r="G6" i="14" s="1"/>
  <c r="I6" i="14" s="1"/>
  <c r="F6" i="15" s="1"/>
  <c r="G6" i="1"/>
  <c r="I6" i="1" s="1"/>
  <c r="U5" i="1"/>
  <c r="W5" i="1" s="1"/>
  <c r="G5" i="2" s="1"/>
  <c r="G5" i="1"/>
  <c r="I5" i="1" s="1"/>
  <c r="O36" i="24" l="1"/>
  <c r="P41" i="24" s="1"/>
  <c r="G36" i="7"/>
  <c r="C36" i="7"/>
  <c r="C36" i="12"/>
  <c r="G36" i="12"/>
  <c r="C35" i="14"/>
  <c r="G35" i="14"/>
  <c r="K54" i="18"/>
  <c r="C31" i="18"/>
  <c r="D37" i="18" s="1"/>
  <c r="H37" i="18" s="1"/>
  <c r="N59" i="24"/>
  <c r="C31" i="24"/>
  <c r="D37" i="24" s="1"/>
  <c r="H37" i="24" s="1"/>
  <c r="G35" i="24"/>
  <c r="N60" i="24"/>
  <c r="I25" i="10"/>
  <c r="F25" i="11" s="1"/>
  <c r="G25" i="11" s="1"/>
  <c r="I25" i="11" s="1"/>
  <c r="F25" i="12" s="1"/>
  <c r="G25" i="12" s="1"/>
  <c r="I25" i="12" s="1"/>
  <c r="F25" i="13" s="1"/>
  <c r="G25" i="13" s="1"/>
  <c r="I25" i="13" s="1"/>
  <c r="F25" i="14" s="1"/>
  <c r="G25" i="14" s="1"/>
  <c r="I25" i="14" s="1"/>
  <c r="F25" i="15" s="1"/>
  <c r="I23" i="12"/>
  <c r="F23" i="13" s="1"/>
  <c r="G23" i="13" s="1"/>
  <c r="I23" i="13" s="1"/>
  <c r="F23" i="14" s="1"/>
  <c r="G23" i="14" s="1"/>
  <c r="I23" i="14" s="1"/>
  <c r="F23" i="15" s="1"/>
  <c r="I8" i="8"/>
  <c r="F8" i="9" s="1"/>
  <c r="G8" i="9" s="1"/>
  <c r="I8" i="9" s="1"/>
  <c r="F8" i="10" s="1"/>
  <c r="G8" i="10" s="1"/>
  <c r="I8" i="10" s="1"/>
  <c r="F8" i="11" s="1"/>
  <c r="G8" i="11" s="1"/>
  <c r="I8" i="11" s="1"/>
  <c r="F8" i="12" s="1"/>
  <c r="G8" i="12" s="1"/>
  <c r="I8" i="12" s="1"/>
  <c r="F8" i="13" s="1"/>
  <c r="G8" i="13" s="1"/>
  <c r="I8" i="13" s="1"/>
  <c r="F8" i="14" s="1"/>
  <c r="G8" i="14" s="1"/>
  <c r="I8" i="14" s="1"/>
  <c r="F8" i="15" s="1"/>
  <c r="H28" i="8"/>
  <c r="G32" i="8" s="1"/>
  <c r="U16" i="14"/>
  <c r="R16" i="15" s="1"/>
  <c r="S16" i="15" s="1"/>
  <c r="U16" i="15" s="1"/>
  <c r="R16" i="16" s="1"/>
  <c r="S16" i="16" s="1"/>
  <c r="U16" i="16" s="1"/>
  <c r="R16" i="17" s="1"/>
  <c r="S16" i="17" s="1"/>
  <c r="U16" i="17" s="1"/>
  <c r="R16" i="18" s="1"/>
  <c r="S16" i="18" s="1"/>
  <c r="U16" i="18" s="1"/>
  <c r="R16" i="19" s="1"/>
  <c r="S16" i="19" s="1"/>
  <c r="U16" i="19" s="1"/>
  <c r="R16" i="20" s="1"/>
  <c r="S16" i="20" s="1"/>
  <c r="U16" i="20" s="1"/>
  <c r="R16" i="21" s="1"/>
  <c r="S16" i="21" s="1"/>
  <c r="U16" i="21" s="1"/>
  <c r="R16" i="22" s="1"/>
  <c r="S16" i="22" s="1"/>
  <c r="U16" i="22" s="1"/>
  <c r="R16" i="23" s="1"/>
  <c r="S16" i="23" s="1"/>
  <c r="U16" i="23" s="1"/>
  <c r="R16" i="24" s="1"/>
  <c r="S16" i="24" s="1"/>
  <c r="U16" i="24" s="1"/>
  <c r="R32" i="13"/>
  <c r="S20" i="13"/>
  <c r="U20" i="13" s="1"/>
  <c r="U25" i="14"/>
  <c r="R25" i="15" s="1"/>
  <c r="S25" i="15" s="1"/>
  <c r="U25" i="15" s="1"/>
  <c r="R25" i="16" s="1"/>
  <c r="S25" i="16" s="1"/>
  <c r="U25" i="16" s="1"/>
  <c r="R25" i="17" s="1"/>
  <c r="S25" i="17" s="1"/>
  <c r="U25" i="17" s="1"/>
  <c r="R25" i="18" s="1"/>
  <c r="S25" i="18" s="1"/>
  <c r="U25" i="18" s="1"/>
  <c r="R25" i="19" s="1"/>
  <c r="S25" i="19" s="1"/>
  <c r="U25" i="19" s="1"/>
  <c r="R25" i="20" s="1"/>
  <c r="S25" i="20" s="1"/>
  <c r="U25" i="20" s="1"/>
  <c r="R25" i="21" s="1"/>
  <c r="S25" i="21" s="1"/>
  <c r="U25" i="21" s="1"/>
  <c r="R25" i="22" s="1"/>
  <c r="S25" i="22" s="1"/>
  <c r="U25" i="22" s="1"/>
  <c r="R25" i="23" s="1"/>
  <c r="S25" i="23" s="1"/>
  <c r="U25" i="23" s="1"/>
  <c r="R25" i="24" s="1"/>
  <c r="S25" i="24" s="1"/>
  <c r="U25" i="24" s="1"/>
  <c r="U29" i="16"/>
  <c r="R29" i="17" s="1"/>
  <c r="S29" i="17" s="1"/>
  <c r="U29" i="17" s="1"/>
  <c r="R29" i="18" s="1"/>
  <c r="S29" i="18" s="1"/>
  <c r="U29" i="18" s="1"/>
  <c r="R29" i="19" s="1"/>
  <c r="S29" i="19" s="1"/>
  <c r="U29" i="19" s="1"/>
  <c r="R29" i="20" s="1"/>
  <c r="S29" i="20" s="1"/>
  <c r="U29" i="20" s="1"/>
  <c r="R29" i="21" s="1"/>
  <c r="S29" i="21" s="1"/>
  <c r="U29" i="21" s="1"/>
  <c r="U30" i="14"/>
  <c r="R30" i="15" s="1"/>
  <c r="S30" i="15" s="1"/>
  <c r="U30" i="15" s="1"/>
  <c r="R30" i="16" s="1"/>
  <c r="S30" i="16" s="1"/>
  <c r="U30" i="16" s="1"/>
  <c r="R30" i="17" s="1"/>
  <c r="S30" i="17" s="1"/>
  <c r="U30" i="17" s="1"/>
  <c r="R30" i="18" s="1"/>
  <c r="S30" i="18" s="1"/>
  <c r="U30" i="18" s="1"/>
  <c r="R30" i="19" s="1"/>
  <c r="S30" i="19" s="1"/>
  <c r="U30" i="19" s="1"/>
  <c r="R30" i="20" s="1"/>
  <c r="S30" i="20" s="1"/>
  <c r="U30" i="20" s="1"/>
  <c r="R30" i="21" s="1"/>
  <c r="S30" i="21" s="1"/>
  <c r="U30" i="21" s="1"/>
  <c r="R30" i="22" s="1"/>
  <c r="S30" i="22" s="1"/>
  <c r="U30" i="22" s="1"/>
  <c r="R30" i="23" s="1"/>
  <c r="S30" i="23" s="1"/>
  <c r="U30" i="23" s="1"/>
  <c r="R30" i="24" s="1"/>
  <c r="S30" i="24" s="1"/>
  <c r="U30" i="24" s="1"/>
  <c r="V34" i="14"/>
  <c r="U15" i="21"/>
  <c r="R15" i="22" s="1"/>
  <c r="S15" i="22" s="1"/>
  <c r="U15" i="22" s="1"/>
  <c r="R15" i="23" s="1"/>
  <c r="S15" i="23" s="1"/>
  <c r="U15" i="23" s="1"/>
  <c r="R15" i="24" s="1"/>
  <c r="S15" i="24" s="1"/>
  <c r="U15" i="24" s="1"/>
  <c r="C35" i="15"/>
  <c r="C35" i="16"/>
  <c r="I13" i="18"/>
  <c r="C35" i="18"/>
  <c r="O36" i="20"/>
  <c r="M59" i="20"/>
  <c r="H27" i="21"/>
  <c r="G31" i="21" s="1"/>
  <c r="M59" i="21"/>
  <c r="O36" i="21"/>
  <c r="G35" i="22"/>
  <c r="R61" i="22"/>
  <c r="I7" i="8"/>
  <c r="H28" i="9"/>
  <c r="G32" i="9" s="1"/>
  <c r="H27" i="13"/>
  <c r="G31" i="13" s="1"/>
  <c r="U10" i="13"/>
  <c r="R10" i="14" s="1"/>
  <c r="S10" i="14" s="1"/>
  <c r="U10" i="14" s="1"/>
  <c r="R10" i="15" s="1"/>
  <c r="S10" i="15" s="1"/>
  <c r="U10" i="15" s="1"/>
  <c r="R10" i="16" s="1"/>
  <c r="S10" i="16" s="1"/>
  <c r="U10" i="16" s="1"/>
  <c r="R10" i="17" s="1"/>
  <c r="S10" i="17" s="1"/>
  <c r="U10" i="17" s="1"/>
  <c r="R10" i="18" s="1"/>
  <c r="S10" i="18" s="1"/>
  <c r="U10" i="18" s="1"/>
  <c r="R10" i="19" s="1"/>
  <c r="S10" i="19" s="1"/>
  <c r="U10" i="19" s="1"/>
  <c r="R10" i="20" s="1"/>
  <c r="S10" i="20" s="1"/>
  <c r="U10" i="20" s="1"/>
  <c r="R10" i="21" s="1"/>
  <c r="S10" i="21" s="1"/>
  <c r="U10" i="21" s="1"/>
  <c r="R10" i="22" s="1"/>
  <c r="S10" i="22" s="1"/>
  <c r="U10" i="22" s="1"/>
  <c r="R10" i="23" s="1"/>
  <c r="S10" i="23" s="1"/>
  <c r="U10" i="23" s="1"/>
  <c r="R10" i="24" s="1"/>
  <c r="S10" i="24" s="1"/>
  <c r="U10" i="24" s="1"/>
  <c r="U11" i="13"/>
  <c r="R11" i="14" s="1"/>
  <c r="S11" i="14" s="1"/>
  <c r="U11" i="14" s="1"/>
  <c r="R11" i="15" s="1"/>
  <c r="S11" i="15" s="1"/>
  <c r="U11" i="15" s="1"/>
  <c r="R11" i="16" s="1"/>
  <c r="S11" i="16" s="1"/>
  <c r="U11" i="16" s="1"/>
  <c r="R11" i="17" s="1"/>
  <c r="S11" i="17" s="1"/>
  <c r="U11" i="17" s="1"/>
  <c r="R11" i="18" s="1"/>
  <c r="S11" i="18" s="1"/>
  <c r="U11" i="18" s="1"/>
  <c r="R11" i="19" s="1"/>
  <c r="S11" i="19" s="1"/>
  <c r="U11" i="19" s="1"/>
  <c r="R11" i="20" s="1"/>
  <c r="S11" i="20" s="1"/>
  <c r="U11" i="20" s="1"/>
  <c r="R11" i="21" s="1"/>
  <c r="S11" i="21" s="1"/>
  <c r="U11" i="21" s="1"/>
  <c r="R11" i="22" s="1"/>
  <c r="S11" i="22" s="1"/>
  <c r="U11" i="22" s="1"/>
  <c r="R11" i="23" s="1"/>
  <c r="S11" i="23" s="1"/>
  <c r="U11" i="23" s="1"/>
  <c r="R11" i="24" s="1"/>
  <c r="S11" i="24" s="1"/>
  <c r="U11" i="24" s="1"/>
  <c r="U13" i="14"/>
  <c r="R13" i="15" s="1"/>
  <c r="S13" i="15" s="1"/>
  <c r="U13" i="15" s="1"/>
  <c r="R13" i="16" s="1"/>
  <c r="S13" i="16" s="1"/>
  <c r="U13" i="16" s="1"/>
  <c r="R13" i="17" s="1"/>
  <c r="S13" i="17" s="1"/>
  <c r="U13" i="17" s="1"/>
  <c r="R13" i="18" s="1"/>
  <c r="S13" i="18" s="1"/>
  <c r="U13" i="18" s="1"/>
  <c r="R13" i="19" s="1"/>
  <c r="S13" i="19" s="1"/>
  <c r="U13" i="19" s="1"/>
  <c r="R13" i="20" s="1"/>
  <c r="S13" i="20" s="1"/>
  <c r="U13" i="20" s="1"/>
  <c r="R13" i="21" s="1"/>
  <c r="S13" i="21" s="1"/>
  <c r="U13" i="21" s="1"/>
  <c r="R13" i="22" s="1"/>
  <c r="S13" i="22" s="1"/>
  <c r="U13" i="22" s="1"/>
  <c r="R13" i="23" s="1"/>
  <c r="S13" i="23" s="1"/>
  <c r="U13" i="23" s="1"/>
  <c r="R13" i="24" s="1"/>
  <c r="S13" i="24" s="1"/>
  <c r="U13" i="24" s="1"/>
  <c r="U14" i="14"/>
  <c r="R14" i="15" s="1"/>
  <c r="S14" i="15" s="1"/>
  <c r="U14" i="15" s="1"/>
  <c r="R14" i="16" s="1"/>
  <c r="S14" i="16" s="1"/>
  <c r="U14" i="16" s="1"/>
  <c r="R14" i="17" s="1"/>
  <c r="S14" i="17" s="1"/>
  <c r="U14" i="17" s="1"/>
  <c r="R14" i="18" s="1"/>
  <c r="S14" i="18" s="1"/>
  <c r="U14" i="18" s="1"/>
  <c r="R14" i="19" s="1"/>
  <c r="S14" i="19" s="1"/>
  <c r="U14" i="19" s="1"/>
  <c r="R14" i="20" s="1"/>
  <c r="S14" i="20" s="1"/>
  <c r="U14" i="20" s="1"/>
  <c r="R14" i="21" s="1"/>
  <c r="S14" i="21" s="1"/>
  <c r="U14" i="21" s="1"/>
  <c r="R14" i="22" s="1"/>
  <c r="S14" i="22" s="1"/>
  <c r="U14" i="22" s="1"/>
  <c r="R14" i="23" s="1"/>
  <c r="S14" i="23" s="1"/>
  <c r="U14" i="23" s="1"/>
  <c r="R14" i="24" s="1"/>
  <c r="S14" i="24" s="1"/>
  <c r="U14" i="24" s="1"/>
  <c r="I17" i="13"/>
  <c r="F17" i="14" s="1"/>
  <c r="G17" i="14" s="1"/>
  <c r="I17" i="14" s="1"/>
  <c r="F17" i="15" s="1"/>
  <c r="U24" i="13"/>
  <c r="R24" i="14" s="1"/>
  <c r="S24" i="14" s="1"/>
  <c r="U24" i="14" s="1"/>
  <c r="R24" i="15" s="1"/>
  <c r="S24" i="15" s="1"/>
  <c r="U24" i="15" s="1"/>
  <c r="R24" i="16" s="1"/>
  <c r="S24" i="16" s="1"/>
  <c r="U24" i="16" s="1"/>
  <c r="R24" i="17" s="1"/>
  <c r="S24" i="17" s="1"/>
  <c r="U24" i="17" s="1"/>
  <c r="R24" i="18" s="1"/>
  <c r="S24" i="18" s="1"/>
  <c r="U24" i="18" s="1"/>
  <c r="R24" i="19" s="1"/>
  <c r="S24" i="19" s="1"/>
  <c r="U24" i="19" s="1"/>
  <c r="R24" i="20" s="1"/>
  <c r="S24" i="20" s="1"/>
  <c r="U24" i="20" s="1"/>
  <c r="R24" i="21" s="1"/>
  <c r="S24" i="21" s="1"/>
  <c r="U24" i="21" s="1"/>
  <c r="R24" i="22" s="1"/>
  <c r="S24" i="22" s="1"/>
  <c r="U24" i="22" s="1"/>
  <c r="R24" i="23" s="1"/>
  <c r="S24" i="23" s="1"/>
  <c r="U24" i="23" s="1"/>
  <c r="R24" i="24" s="1"/>
  <c r="S24" i="24" s="1"/>
  <c r="U24" i="24" s="1"/>
  <c r="U26" i="17"/>
  <c r="R26" i="18" s="1"/>
  <c r="S26" i="18" s="1"/>
  <c r="U26" i="18" s="1"/>
  <c r="R26" i="19" s="1"/>
  <c r="S26" i="19" s="1"/>
  <c r="U26" i="19" s="1"/>
  <c r="R26" i="20" s="1"/>
  <c r="S26" i="20" s="1"/>
  <c r="U26" i="20" s="1"/>
  <c r="R26" i="21" s="1"/>
  <c r="S26" i="21" s="1"/>
  <c r="U26" i="21" s="1"/>
  <c r="R26" i="22" s="1"/>
  <c r="S26" i="22" s="1"/>
  <c r="U26" i="22" s="1"/>
  <c r="R26" i="23" s="1"/>
  <c r="S26" i="23" s="1"/>
  <c r="U26" i="23" s="1"/>
  <c r="R26" i="24" s="1"/>
  <c r="S26" i="24" s="1"/>
  <c r="U26" i="24" s="1"/>
  <c r="U27" i="13"/>
  <c r="R27" i="14" s="1"/>
  <c r="S27" i="14" s="1"/>
  <c r="U27" i="14" s="1"/>
  <c r="R27" i="15" s="1"/>
  <c r="S27" i="15" s="1"/>
  <c r="U27" i="15" s="1"/>
  <c r="R27" i="16" s="1"/>
  <c r="S27" i="16" s="1"/>
  <c r="U27" i="16" s="1"/>
  <c r="R27" i="17" s="1"/>
  <c r="S27" i="17" s="1"/>
  <c r="U27" i="17" s="1"/>
  <c r="R27" i="18" s="1"/>
  <c r="S27" i="18" s="1"/>
  <c r="U27" i="18" s="1"/>
  <c r="R27" i="19" s="1"/>
  <c r="S27" i="19" s="1"/>
  <c r="U27" i="19" s="1"/>
  <c r="R27" i="20" s="1"/>
  <c r="S27" i="20" s="1"/>
  <c r="U27" i="20" s="1"/>
  <c r="R27" i="21" s="1"/>
  <c r="S27" i="21" s="1"/>
  <c r="U27" i="21" s="1"/>
  <c r="U28" i="13"/>
  <c r="R28" i="14" s="1"/>
  <c r="S28" i="14" s="1"/>
  <c r="U28" i="14" s="1"/>
  <c r="R28" i="15" s="1"/>
  <c r="S28" i="15" s="1"/>
  <c r="U28" i="15" s="1"/>
  <c r="R28" i="16" s="1"/>
  <c r="S28" i="16" s="1"/>
  <c r="U28" i="16" s="1"/>
  <c r="R28" i="17" s="1"/>
  <c r="S28" i="17" s="1"/>
  <c r="U28" i="17" s="1"/>
  <c r="R28" i="18" s="1"/>
  <c r="S28" i="18" s="1"/>
  <c r="U28" i="18" s="1"/>
  <c r="R28" i="19" s="1"/>
  <c r="S28" i="19" s="1"/>
  <c r="U28" i="19" s="1"/>
  <c r="R28" i="20" s="1"/>
  <c r="S28" i="20" s="1"/>
  <c r="U28" i="20" s="1"/>
  <c r="R28" i="21" s="1"/>
  <c r="S28" i="21" s="1"/>
  <c r="U28" i="21" s="1"/>
  <c r="R28" i="22" s="1"/>
  <c r="S28" i="22" s="1"/>
  <c r="U28" i="22" s="1"/>
  <c r="R28" i="23" s="1"/>
  <c r="S28" i="23" s="1"/>
  <c r="U28" i="23" s="1"/>
  <c r="R28" i="24" s="1"/>
  <c r="S28" i="24" s="1"/>
  <c r="U28" i="24" s="1"/>
  <c r="T32" i="14"/>
  <c r="S36" i="14" s="1"/>
  <c r="T32" i="15"/>
  <c r="S36" i="15" s="1"/>
  <c r="H27" i="15"/>
  <c r="G31" i="15" s="1"/>
  <c r="H27" i="16"/>
  <c r="G31" i="16" s="1"/>
  <c r="T32" i="17"/>
  <c r="S36" i="17" s="1"/>
  <c r="I7" i="17"/>
  <c r="F7" i="18" s="1"/>
  <c r="G7" i="18" s="1"/>
  <c r="I7" i="18" s="1"/>
  <c r="T41" i="17"/>
  <c r="H27" i="18"/>
  <c r="G31" i="18" s="1"/>
  <c r="I7" i="19"/>
  <c r="I13" i="19"/>
  <c r="H27" i="20"/>
  <c r="G31" i="20" s="1"/>
  <c r="I7" i="21"/>
  <c r="T32" i="21"/>
  <c r="S36" i="21" s="1"/>
  <c r="G35" i="21"/>
  <c r="I9" i="22"/>
  <c r="F9" i="23" s="1"/>
  <c r="G9" i="23" s="1"/>
  <c r="I9" i="23" s="1"/>
  <c r="F9" i="24" s="1"/>
  <c r="G9" i="24" s="1"/>
  <c r="I9" i="24" s="1"/>
  <c r="U27" i="22"/>
  <c r="R27" i="23" s="1"/>
  <c r="S27" i="23" s="1"/>
  <c r="U27" i="23" s="1"/>
  <c r="R27" i="24" s="1"/>
  <c r="S27" i="24" s="1"/>
  <c r="U27" i="24" s="1"/>
  <c r="G30" i="1"/>
  <c r="L36" i="1"/>
  <c r="F15" i="16"/>
  <c r="G15" i="16" s="1"/>
  <c r="I15" i="16" s="1"/>
  <c r="F15" i="17" s="1"/>
  <c r="G15" i="17" s="1"/>
  <c r="I15" i="17" s="1"/>
  <c r="F15" i="18" s="1"/>
  <c r="G15" i="18" s="1"/>
  <c r="I15" i="18" s="1"/>
  <c r="F15" i="19" s="1"/>
  <c r="G15" i="19" s="1"/>
  <c r="I15" i="19" s="1"/>
  <c r="F15" i="20" s="1"/>
  <c r="G15" i="20" s="1"/>
  <c r="I15" i="20" s="1"/>
  <c r="F15" i="21" s="1"/>
  <c r="G15" i="21" s="1"/>
  <c r="I15" i="21" s="1"/>
  <c r="F15" i="22" s="1"/>
  <c r="G15" i="22" s="1"/>
  <c r="I15" i="22" s="1"/>
  <c r="F15" i="23" s="1"/>
  <c r="G15" i="23" s="1"/>
  <c r="I15" i="23" s="1"/>
  <c r="F15" i="24" s="1"/>
  <c r="G15" i="24" s="1"/>
  <c r="I15" i="24" s="1"/>
  <c r="G15" i="15"/>
  <c r="I15" i="15" s="1"/>
  <c r="G18" i="15"/>
  <c r="I18" i="15" s="1"/>
  <c r="F18" i="16"/>
  <c r="G18" i="16" s="1"/>
  <c r="I18" i="16" s="1"/>
  <c r="F18" i="17" s="1"/>
  <c r="G18" i="17" s="1"/>
  <c r="I18" i="17" s="1"/>
  <c r="F18" i="18" s="1"/>
  <c r="G18" i="18" s="1"/>
  <c r="I18" i="18" s="1"/>
  <c r="F18" i="19" s="1"/>
  <c r="G18" i="19" s="1"/>
  <c r="I18" i="19" s="1"/>
  <c r="F18" i="20" s="1"/>
  <c r="G18" i="20" s="1"/>
  <c r="I18" i="20" s="1"/>
  <c r="F18" i="21" s="1"/>
  <c r="G18" i="21" s="1"/>
  <c r="I18" i="21" s="1"/>
  <c r="F18" i="22" s="1"/>
  <c r="G18" i="22" s="1"/>
  <c r="I18" i="22" s="1"/>
  <c r="F18" i="23" s="1"/>
  <c r="G18" i="23" s="1"/>
  <c r="I18" i="23" s="1"/>
  <c r="F18" i="24" s="1"/>
  <c r="G18" i="24" s="1"/>
  <c r="I18" i="24" s="1"/>
  <c r="G21" i="15"/>
  <c r="I21" i="15" s="1"/>
  <c r="F21" i="16"/>
  <c r="G21" i="16" s="1"/>
  <c r="I21" i="16" s="1"/>
  <c r="F21" i="17" s="1"/>
  <c r="G21" i="17" s="1"/>
  <c r="I21" i="17" s="1"/>
  <c r="F21" i="18" s="1"/>
  <c r="G21" i="18" s="1"/>
  <c r="I21" i="18" s="1"/>
  <c r="F21" i="19" s="1"/>
  <c r="G21" i="19" s="1"/>
  <c r="I21" i="19" s="1"/>
  <c r="F21" i="20" s="1"/>
  <c r="G21" i="20" s="1"/>
  <c r="I21" i="20" s="1"/>
  <c r="F21" i="21" s="1"/>
  <c r="G21" i="21" s="1"/>
  <c r="I21" i="21" s="1"/>
  <c r="F21" i="22" s="1"/>
  <c r="G21" i="22" s="1"/>
  <c r="I21" i="22" s="1"/>
  <c r="F21" i="23" s="1"/>
  <c r="G21" i="23" s="1"/>
  <c r="I21" i="23" s="1"/>
  <c r="F21" i="24" s="1"/>
  <c r="G21" i="24" s="1"/>
  <c r="I21" i="24" s="1"/>
  <c r="F24" i="16"/>
  <c r="G24" i="16" s="1"/>
  <c r="I24" i="16" s="1"/>
  <c r="F24" i="17" s="1"/>
  <c r="G24" i="17" s="1"/>
  <c r="I24" i="17" s="1"/>
  <c r="F24" i="18" s="1"/>
  <c r="G24" i="18" s="1"/>
  <c r="I24" i="18" s="1"/>
  <c r="F24" i="19" s="1"/>
  <c r="G24" i="19" s="1"/>
  <c r="I24" i="19" s="1"/>
  <c r="F24" i="20" s="1"/>
  <c r="G24" i="20" s="1"/>
  <c r="I24" i="20" s="1"/>
  <c r="F24" i="21" s="1"/>
  <c r="G24" i="21" s="1"/>
  <c r="I24" i="21" s="1"/>
  <c r="F24" i="22" s="1"/>
  <c r="G24" i="22" s="1"/>
  <c r="I24" i="22" s="1"/>
  <c r="F24" i="23" s="1"/>
  <c r="G24" i="23" s="1"/>
  <c r="I24" i="23" s="1"/>
  <c r="F24" i="24" s="1"/>
  <c r="G24" i="24" s="1"/>
  <c r="I24" i="24" s="1"/>
  <c r="G24" i="15"/>
  <c r="I24" i="15" s="1"/>
  <c r="F17" i="7"/>
  <c r="G17" i="7" s="1"/>
  <c r="I17" i="7" s="1"/>
  <c r="L17" i="6"/>
  <c r="G19" i="15"/>
  <c r="I19" i="15" s="1"/>
  <c r="F19" i="16"/>
  <c r="G19" i="16" s="1"/>
  <c r="I19" i="16" s="1"/>
  <c r="F19" i="17" s="1"/>
  <c r="G19" i="17" s="1"/>
  <c r="I19" i="17" s="1"/>
  <c r="F19" i="18" s="1"/>
  <c r="G19" i="18" s="1"/>
  <c r="I19" i="18" s="1"/>
  <c r="F19" i="19" s="1"/>
  <c r="G19" i="19" s="1"/>
  <c r="I19" i="19" s="1"/>
  <c r="F19" i="20" s="1"/>
  <c r="G19" i="20" s="1"/>
  <c r="I19" i="20" s="1"/>
  <c r="F19" i="21" s="1"/>
  <c r="G19" i="21" s="1"/>
  <c r="I19" i="21" s="1"/>
  <c r="F19" i="22" s="1"/>
  <c r="G19" i="22" s="1"/>
  <c r="I19" i="22" s="1"/>
  <c r="F19" i="23" s="1"/>
  <c r="G19" i="23" s="1"/>
  <c r="I19" i="23" s="1"/>
  <c r="F19" i="24" s="1"/>
  <c r="G19" i="24" s="1"/>
  <c r="I19" i="24" s="1"/>
  <c r="F22" i="7"/>
  <c r="G22" i="7" s="1"/>
  <c r="I22" i="7" s="1"/>
  <c r="F26" i="16"/>
  <c r="G26" i="16" s="1"/>
  <c r="I26" i="16" s="1"/>
  <c r="F26" i="17" s="1"/>
  <c r="G26" i="17" s="1"/>
  <c r="I26" i="17" s="1"/>
  <c r="F26" i="18" s="1"/>
  <c r="G26" i="18" s="1"/>
  <c r="I26" i="18" s="1"/>
  <c r="F26" i="19" s="1"/>
  <c r="G26" i="19" s="1"/>
  <c r="I26" i="19" s="1"/>
  <c r="F26" i="20" s="1"/>
  <c r="G26" i="20" s="1"/>
  <c r="I26" i="20" s="1"/>
  <c r="F26" i="21" s="1"/>
  <c r="G26" i="21" s="1"/>
  <c r="I26" i="21" s="1"/>
  <c r="F26" i="22" s="1"/>
  <c r="G26" i="22" s="1"/>
  <c r="I26" i="22" s="1"/>
  <c r="F26" i="23" s="1"/>
  <c r="G26" i="23" s="1"/>
  <c r="I26" i="23" s="1"/>
  <c r="F26" i="24" s="1"/>
  <c r="G26" i="24" s="1"/>
  <c r="I26" i="24" s="1"/>
  <c r="G26" i="15"/>
  <c r="I26" i="15" s="1"/>
  <c r="F25" i="16"/>
  <c r="G25" i="16" s="1"/>
  <c r="I25" i="16" s="1"/>
  <c r="F25" i="17" s="1"/>
  <c r="G25" i="17" s="1"/>
  <c r="I25" i="17" s="1"/>
  <c r="F25" i="18" s="1"/>
  <c r="G25" i="18" s="1"/>
  <c r="I25" i="18" s="1"/>
  <c r="F25" i="19" s="1"/>
  <c r="G25" i="19" s="1"/>
  <c r="I25" i="19" s="1"/>
  <c r="F25" i="20" s="1"/>
  <c r="G25" i="20" s="1"/>
  <c r="I25" i="20" s="1"/>
  <c r="F25" i="21" s="1"/>
  <c r="G25" i="21" s="1"/>
  <c r="I25" i="21" s="1"/>
  <c r="F25" i="22" s="1"/>
  <c r="G25" i="22" s="1"/>
  <c r="I25" i="22" s="1"/>
  <c r="F25" i="23" s="1"/>
  <c r="G25" i="23" s="1"/>
  <c r="I25" i="23" s="1"/>
  <c r="F25" i="24" s="1"/>
  <c r="G25" i="24" s="1"/>
  <c r="I25" i="24" s="1"/>
  <c r="G25" i="15"/>
  <c r="I25" i="15" s="1"/>
  <c r="G8" i="15"/>
  <c r="I8" i="15" s="1"/>
  <c r="F8" i="16"/>
  <c r="G8" i="16" s="1"/>
  <c r="I8" i="16" s="1"/>
  <c r="F8" i="17" s="1"/>
  <c r="G8" i="17" s="1"/>
  <c r="I8" i="17" s="1"/>
  <c r="F8" i="18" s="1"/>
  <c r="G8" i="18" s="1"/>
  <c r="I8" i="18" s="1"/>
  <c r="F8" i="19" s="1"/>
  <c r="G8" i="19" s="1"/>
  <c r="I8" i="19" s="1"/>
  <c r="F8" i="20" s="1"/>
  <c r="G8" i="20" s="1"/>
  <c r="I8" i="20" s="1"/>
  <c r="F8" i="21" s="1"/>
  <c r="G8" i="21" s="1"/>
  <c r="I8" i="21" s="1"/>
  <c r="F8" i="22" s="1"/>
  <c r="G8" i="22" s="1"/>
  <c r="I8" i="22" s="1"/>
  <c r="F8" i="23" s="1"/>
  <c r="G8" i="23" s="1"/>
  <c r="I8" i="23" s="1"/>
  <c r="F8" i="24" s="1"/>
  <c r="G8" i="24" s="1"/>
  <c r="I8" i="24" s="1"/>
  <c r="G28" i="2"/>
  <c r="H28" i="2" s="1"/>
  <c r="F6" i="16"/>
  <c r="G6" i="16" s="1"/>
  <c r="I6" i="16" s="1"/>
  <c r="F6" i="17" s="1"/>
  <c r="G6" i="17" s="1"/>
  <c r="I6" i="17" s="1"/>
  <c r="F6" i="18" s="1"/>
  <c r="G6" i="18" s="1"/>
  <c r="I6" i="18" s="1"/>
  <c r="F6" i="19" s="1"/>
  <c r="G6" i="19" s="1"/>
  <c r="I6" i="19" s="1"/>
  <c r="F6" i="20" s="1"/>
  <c r="G6" i="20" s="1"/>
  <c r="I6" i="20" s="1"/>
  <c r="F6" i="21" s="1"/>
  <c r="G6" i="21" s="1"/>
  <c r="I6" i="21" s="1"/>
  <c r="F6" i="22" s="1"/>
  <c r="G6" i="22" s="1"/>
  <c r="I6" i="22" s="1"/>
  <c r="F6" i="23" s="1"/>
  <c r="G6" i="23" s="1"/>
  <c r="I6" i="23" s="1"/>
  <c r="F6" i="24" s="1"/>
  <c r="G6" i="24" s="1"/>
  <c r="I6" i="24" s="1"/>
  <c r="G6" i="15"/>
  <c r="I6" i="15" s="1"/>
  <c r="F8" i="5"/>
  <c r="G8" i="5" s="1"/>
  <c r="I8" i="5" s="1"/>
  <c r="F8" i="6" s="1"/>
  <c r="L32" i="4"/>
  <c r="F9" i="16"/>
  <c r="G9" i="16" s="1"/>
  <c r="I9" i="16" s="1"/>
  <c r="F9" i="17" s="1"/>
  <c r="G9" i="17" s="1"/>
  <c r="I9" i="17" s="1"/>
  <c r="F9" i="18" s="1"/>
  <c r="G9" i="18" s="1"/>
  <c r="I9" i="18" s="1"/>
  <c r="F9" i="19" s="1"/>
  <c r="G9" i="19" s="1"/>
  <c r="I9" i="19" s="1"/>
  <c r="F9" i="20" s="1"/>
  <c r="G9" i="20" s="1"/>
  <c r="I9" i="20" s="1"/>
  <c r="F9" i="21" s="1"/>
  <c r="G9" i="21" s="1"/>
  <c r="I9" i="21" s="1"/>
  <c r="G9" i="15"/>
  <c r="I9" i="15" s="1"/>
  <c r="F10" i="8"/>
  <c r="G10" i="8" s="1"/>
  <c r="I10" i="8" s="1"/>
  <c r="F10" i="9" s="1"/>
  <c r="G10" i="9" s="1"/>
  <c r="I10" i="9" s="1"/>
  <c r="F10" i="10" s="1"/>
  <c r="G10" i="10" s="1"/>
  <c r="I10" i="10" s="1"/>
  <c r="F10" i="11" s="1"/>
  <c r="G10" i="11" s="1"/>
  <c r="I10" i="11" s="1"/>
  <c r="F10" i="12" s="1"/>
  <c r="G10" i="12" s="1"/>
  <c r="I10" i="12" s="1"/>
  <c r="F10" i="13" s="1"/>
  <c r="G10" i="13" s="1"/>
  <c r="I10" i="13" s="1"/>
  <c r="F10" i="14" s="1"/>
  <c r="G10" i="14" s="1"/>
  <c r="I10" i="14" s="1"/>
  <c r="F10" i="15" s="1"/>
  <c r="I29" i="7"/>
  <c r="F29" i="8" s="1"/>
  <c r="E29" i="8" s="1"/>
  <c r="E30" i="8" s="1"/>
  <c r="M23" i="7"/>
  <c r="F11" i="16"/>
  <c r="G11" i="16" s="1"/>
  <c r="I11" i="16" s="1"/>
  <c r="F11" i="17" s="1"/>
  <c r="G11" i="17" s="1"/>
  <c r="I11" i="17" s="1"/>
  <c r="F11" i="18" s="1"/>
  <c r="G11" i="18" s="1"/>
  <c r="I11" i="18" s="1"/>
  <c r="F11" i="19" s="1"/>
  <c r="G11" i="19" s="1"/>
  <c r="I11" i="19" s="1"/>
  <c r="F11" i="20" s="1"/>
  <c r="G11" i="20" s="1"/>
  <c r="I11" i="20" s="1"/>
  <c r="F11" i="21" s="1"/>
  <c r="G11" i="21" s="1"/>
  <c r="I11" i="21" s="1"/>
  <c r="F11" i="22" s="1"/>
  <c r="G11" i="22" s="1"/>
  <c r="I11" i="22" s="1"/>
  <c r="F11" i="23" s="1"/>
  <c r="G11" i="23" s="1"/>
  <c r="I11" i="23" s="1"/>
  <c r="F11" i="24" s="1"/>
  <c r="G11" i="24" s="1"/>
  <c r="I11" i="24" s="1"/>
  <c r="G11" i="15"/>
  <c r="I11" i="15" s="1"/>
  <c r="G12" i="15"/>
  <c r="I12" i="15" s="1"/>
  <c r="F12" i="16"/>
  <c r="G12" i="16" s="1"/>
  <c r="I12" i="16" s="1"/>
  <c r="F12" i="17" s="1"/>
  <c r="G12" i="17" s="1"/>
  <c r="I12" i="17" s="1"/>
  <c r="F12" i="18" s="1"/>
  <c r="G12" i="18" s="1"/>
  <c r="I12" i="18" s="1"/>
  <c r="F12" i="19" s="1"/>
  <c r="G12" i="19" s="1"/>
  <c r="I12" i="19" s="1"/>
  <c r="F12" i="20" s="1"/>
  <c r="G12" i="20" s="1"/>
  <c r="I12" i="20" s="1"/>
  <c r="F12" i="21" s="1"/>
  <c r="G12" i="21" s="1"/>
  <c r="I12" i="21" s="1"/>
  <c r="F12" i="22" s="1"/>
  <c r="G12" i="22" s="1"/>
  <c r="I12" i="22" s="1"/>
  <c r="F12" i="23" s="1"/>
  <c r="G12" i="23" s="1"/>
  <c r="I12" i="23" s="1"/>
  <c r="F12" i="24" s="1"/>
  <c r="G12" i="24" s="1"/>
  <c r="I12" i="24" s="1"/>
  <c r="F14" i="16"/>
  <c r="G14" i="16" s="1"/>
  <c r="I14" i="16" s="1"/>
  <c r="F14" i="17" s="1"/>
  <c r="G14" i="17" s="1"/>
  <c r="I14" i="17" s="1"/>
  <c r="F14" i="18" s="1"/>
  <c r="G14" i="18" s="1"/>
  <c r="I14" i="18" s="1"/>
  <c r="F14" i="19" s="1"/>
  <c r="G14" i="19" s="1"/>
  <c r="I14" i="19" s="1"/>
  <c r="F14" i="20" s="1"/>
  <c r="G14" i="20" s="1"/>
  <c r="I14" i="20" s="1"/>
  <c r="F14" i="21" s="1"/>
  <c r="G14" i="21" s="1"/>
  <c r="I14" i="21" s="1"/>
  <c r="F14" i="22" s="1"/>
  <c r="G14" i="22" s="1"/>
  <c r="I14" i="22" s="1"/>
  <c r="F14" i="23" s="1"/>
  <c r="G14" i="23" s="1"/>
  <c r="I14" i="23" s="1"/>
  <c r="F14" i="24" s="1"/>
  <c r="G14" i="24" s="1"/>
  <c r="I14" i="24" s="1"/>
  <c r="G14" i="15"/>
  <c r="I14" i="15" s="1"/>
  <c r="R36" i="1"/>
  <c r="V36" i="1" s="1"/>
  <c r="U43" i="1" s="1"/>
  <c r="W43" i="1" s="1"/>
  <c r="Q43" i="1"/>
  <c r="S43" i="1" s="1"/>
  <c r="F16" i="8"/>
  <c r="G16" i="8" s="1"/>
  <c r="I16" i="8" s="1"/>
  <c r="F16" i="9" s="1"/>
  <c r="G16" i="9" s="1"/>
  <c r="I16" i="9" s="1"/>
  <c r="F16" i="10" s="1"/>
  <c r="G16" i="10" s="1"/>
  <c r="I16" i="10" s="1"/>
  <c r="F16" i="11" s="1"/>
  <c r="G16" i="11" s="1"/>
  <c r="I16" i="11" s="1"/>
  <c r="F16" i="12" s="1"/>
  <c r="G16" i="12" s="1"/>
  <c r="I16" i="12" s="1"/>
  <c r="F16" i="13" s="1"/>
  <c r="G16" i="13" s="1"/>
  <c r="I16" i="13" s="1"/>
  <c r="F16" i="14" s="1"/>
  <c r="G16" i="14" s="1"/>
  <c r="I16" i="14" s="1"/>
  <c r="F16" i="15" s="1"/>
  <c r="M22" i="7"/>
  <c r="F23" i="16"/>
  <c r="G23" i="16" s="1"/>
  <c r="I23" i="16" s="1"/>
  <c r="F23" i="17" s="1"/>
  <c r="G23" i="17" s="1"/>
  <c r="I23" i="17" s="1"/>
  <c r="F23" i="18" s="1"/>
  <c r="G23" i="18" s="1"/>
  <c r="I23" i="18" s="1"/>
  <c r="F23" i="19" s="1"/>
  <c r="G23" i="19" s="1"/>
  <c r="I23" i="19" s="1"/>
  <c r="F23" i="20" s="1"/>
  <c r="G23" i="20" s="1"/>
  <c r="I23" i="20" s="1"/>
  <c r="F23" i="21" s="1"/>
  <c r="G23" i="21" s="1"/>
  <c r="I23" i="21" s="1"/>
  <c r="F23" i="22" s="1"/>
  <c r="G23" i="22" s="1"/>
  <c r="I23" i="22" s="1"/>
  <c r="F23" i="23" s="1"/>
  <c r="G23" i="23" s="1"/>
  <c r="I23" i="23" s="1"/>
  <c r="F23" i="24" s="1"/>
  <c r="G23" i="24" s="1"/>
  <c r="I23" i="24" s="1"/>
  <c r="G23" i="15"/>
  <c r="I23" i="15" s="1"/>
  <c r="G32" i="11"/>
  <c r="E30" i="11"/>
  <c r="D38" i="12"/>
  <c r="H38" i="12" s="1"/>
  <c r="U26" i="1"/>
  <c r="H5" i="2"/>
  <c r="J5" i="2" s="1"/>
  <c r="E38" i="2"/>
  <c r="I38" i="2" s="1"/>
  <c r="H32" i="2"/>
  <c r="D31" i="3"/>
  <c r="J29" i="4"/>
  <c r="C32" i="8"/>
  <c r="D38" i="9"/>
  <c r="H38" i="9" s="1"/>
  <c r="D38" i="11"/>
  <c r="H38" i="11" s="1"/>
  <c r="F17" i="16"/>
  <c r="G17" i="16" s="1"/>
  <c r="I17" i="16" s="1"/>
  <c r="F17" i="17" s="1"/>
  <c r="G17" i="17" s="1"/>
  <c r="I17" i="17" s="1"/>
  <c r="F17" i="18" s="1"/>
  <c r="G17" i="18" s="1"/>
  <c r="I17" i="18" s="1"/>
  <c r="F17" i="19" s="1"/>
  <c r="G17" i="19" s="1"/>
  <c r="I17" i="19" s="1"/>
  <c r="F17" i="20" s="1"/>
  <c r="G17" i="20" s="1"/>
  <c r="I17" i="20" s="1"/>
  <c r="F17" i="21" s="1"/>
  <c r="G17" i="21" s="1"/>
  <c r="I17" i="21" s="1"/>
  <c r="F17" i="22" s="1"/>
  <c r="G17" i="22" s="1"/>
  <c r="I17" i="22" s="1"/>
  <c r="F17" i="23" s="1"/>
  <c r="G17" i="23" s="1"/>
  <c r="I17" i="23" s="1"/>
  <c r="F17" i="24" s="1"/>
  <c r="G17" i="24" s="1"/>
  <c r="I17" i="24" s="1"/>
  <c r="G17" i="15"/>
  <c r="I17" i="15" s="1"/>
  <c r="L30" i="14"/>
  <c r="S17" i="14"/>
  <c r="U17" i="14" s="1"/>
  <c r="R17" i="15" s="1"/>
  <c r="R18" i="17"/>
  <c r="S18" i="17" s="1"/>
  <c r="U18" i="17" s="1"/>
  <c r="U33" i="16"/>
  <c r="F20" i="16"/>
  <c r="G20" i="16" s="1"/>
  <c r="I20" i="16" s="1"/>
  <c r="F20" i="17" s="1"/>
  <c r="G20" i="17" s="1"/>
  <c r="I20" i="17" s="1"/>
  <c r="F20" i="18" s="1"/>
  <c r="G20" i="18" s="1"/>
  <c r="I20" i="18" s="1"/>
  <c r="F20" i="19" s="1"/>
  <c r="G20" i="19" s="1"/>
  <c r="I20" i="19" s="1"/>
  <c r="F20" i="20" s="1"/>
  <c r="G20" i="20" s="1"/>
  <c r="I20" i="20" s="1"/>
  <c r="F20" i="21" s="1"/>
  <c r="G20" i="21" s="1"/>
  <c r="I20" i="21" s="1"/>
  <c r="F20" i="22" s="1"/>
  <c r="G20" i="22" s="1"/>
  <c r="I20" i="22" s="1"/>
  <c r="F20" i="23" s="1"/>
  <c r="G20" i="23" s="1"/>
  <c r="I20" i="23" s="1"/>
  <c r="F20" i="24" s="1"/>
  <c r="G20" i="24" s="1"/>
  <c r="I20" i="24" s="1"/>
  <c r="G20" i="15"/>
  <c r="I20" i="15" s="1"/>
  <c r="T41" i="14"/>
  <c r="V52" i="14"/>
  <c r="V55" i="14" s="1"/>
  <c r="V57" i="14" s="1"/>
  <c r="V59" i="14" s="1"/>
  <c r="V62" i="14" s="1"/>
  <c r="P41" i="14"/>
  <c r="V54" i="14" s="1"/>
  <c r="I14" i="1"/>
  <c r="I26" i="1" s="1"/>
  <c r="W26" i="1"/>
  <c r="D36" i="1"/>
  <c r="H36" i="1" s="1"/>
  <c r="H35" i="3"/>
  <c r="E38" i="4"/>
  <c r="I38" i="4" s="1"/>
  <c r="K35" i="4"/>
  <c r="H28" i="6"/>
  <c r="G32" i="6" s="1"/>
  <c r="H28" i="7"/>
  <c r="G32" i="7" s="1"/>
  <c r="C32" i="7"/>
  <c r="C36" i="8"/>
  <c r="I13" i="9"/>
  <c r="F13" i="10" s="1"/>
  <c r="G13" i="10" s="1"/>
  <c r="I13" i="10" s="1"/>
  <c r="G36" i="9"/>
  <c r="D38" i="10"/>
  <c r="I7" i="11"/>
  <c r="I13" i="11"/>
  <c r="H28" i="12"/>
  <c r="R5" i="14"/>
  <c r="I7" i="13"/>
  <c r="S32" i="13"/>
  <c r="U7" i="13"/>
  <c r="R7" i="14" s="1"/>
  <c r="U8" i="13"/>
  <c r="R8" i="14" s="1"/>
  <c r="S8" i="14" s="1"/>
  <c r="U8" i="14" s="1"/>
  <c r="R8" i="15" s="1"/>
  <c r="S8" i="15" s="1"/>
  <c r="U8" i="15" s="1"/>
  <c r="R8" i="16" s="1"/>
  <c r="S8" i="16" s="1"/>
  <c r="U8" i="16" s="1"/>
  <c r="R8" i="17" s="1"/>
  <c r="S8" i="17" s="1"/>
  <c r="U8" i="17" s="1"/>
  <c r="R8" i="18" s="1"/>
  <c r="S8" i="18" s="1"/>
  <c r="U8" i="18" s="1"/>
  <c r="R8" i="19" s="1"/>
  <c r="S8" i="19" s="1"/>
  <c r="U8" i="19" s="1"/>
  <c r="R8" i="20" s="1"/>
  <c r="S8" i="20" s="1"/>
  <c r="U8" i="20" s="1"/>
  <c r="R8" i="21" s="1"/>
  <c r="S8" i="21" s="1"/>
  <c r="U8" i="21" s="1"/>
  <c r="R8" i="22" s="1"/>
  <c r="S8" i="22" s="1"/>
  <c r="U8" i="22" s="1"/>
  <c r="R8" i="23" s="1"/>
  <c r="S8" i="23" s="1"/>
  <c r="U8" i="23" s="1"/>
  <c r="R8" i="24" s="1"/>
  <c r="S8" i="24" s="1"/>
  <c r="U8" i="24" s="1"/>
  <c r="U9" i="13"/>
  <c r="R9" i="14" s="1"/>
  <c r="S9" i="14" s="1"/>
  <c r="U9" i="14" s="1"/>
  <c r="R9" i="15" s="1"/>
  <c r="S9" i="15" s="1"/>
  <c r="U9" i="15" s="1"/>
  <c r="R9" i="16" s="1"/>
  <c r="S9" i="16" s="1"/>
  <c r="U9" i="16" s="1"/>
  <c r="R9" i="17" s="1"/>
  <c r="S9" i="17" s="1"/>
  <c r="U9" i="17" s="1"/>
  <c r="R9" i="18" s="1"/>
  <c r="S9" i="18" s="1"/>
  <c r="U9" i="18" s="1"/>
  <c r="R9" i="19" s="1"/>
  <c r="S9" i="19" s="1"/>
  <c r="U9" i="19" s="1"/>
  <c r="R9" i="20" s="1"/>
  <c r="S9" i="20" s="1"/>
  <c r="U9" i="20" s="1"/>
  <c r="R9" i="21" s="1"/>
  <c r="S9" i="21" s="1"/>
  <c r="U9" i="21" s="1"/>
  <c r="R9" i="22" s="1"/>
  <c r="S9" i="22" s="1"/>
  <c r="U9" i="22" s="1"/>
  <c r="R9" i="23" s="1"/>
  <c r="S9" i="23" s="1"/>
  <c r="U9" i="23" s="1"/>
  <c r="R9" i="24" s="1"/>
  <c r="S9" i="24" s="1"/>
  <c r="U9" i="24" s="1"/>
  <c r="F53" i="13"/>
  <c r="D37" i="13"/>
  <c r="H37" i="13" s="1"/>
  <c r="J41" i="13" s="1"/>
  <c r="R31" i="21"/>
  <c r="S31" i="21" s="1"/>
  <c r="U31" i="21" s="1"/>
  <c r="R31" i="22" s="1"/>
  <c r="S31" i="22" s="1"/>
  <c r="U31" i="22" s="1"/>
  <c r="R31" i="23" s="1"/>
  <c r="S31" i="23" s="1"/>
  <c r="U31" i="23" s="1"/>
  <c r="R31" i="24" s="1"/>
  <c r="S31" i="24" s="1"/>
  <c r="U31" i="24" s="1"/>
  <c r="R31" i="20"/>
  <c r="S31" i="20" s="1"/>
  <c r="U31" i="20" s="1"/>
  <c r="P41" i="13"/>
  <c r="O50" i="13" s="1"/>
  <c r="Q50" i="13" s="1"/>
  <c r="O37" i="14" s="1"/>
  <c r="O50" i="14" s="1"/>
  <c r="Q50" i="14" s="1"/>
  <c r="O37" i="15" s="1"/>
  <c r="O50" i="15" s="1"/>
  <c r="Q50" i="15" s="1"/>
  <c r="T41" i="13"/>
  <c r="S50" i="13" s="1"/>
  <c r="U50" i="13" s="1"/>
  <c r="S37" i="14" s="1"/>
  <c r="S50" i="14" s="1"/>
  <c r="U50" i="14" s="1"/>
  <c r="D37" i="15"/>
  <c r="H37" i="15" s="1"/>
  <c r="T41" i="18"/>
  <c r="P50" i="18"/>
  <c r="D37" i="19"/>
  <c r="H37" i="19" s="1"/>
  <c r="C35" i="19"/>
  <c r="T41" i="21"/>
  <c r="P41" i="21"/>
  <c r="G26" i="1"/>
  <c r="L30" i="13"/>
  <c r="C45" i="14"/>
  <c r="E45" i="14" s="1"/>
  <c r="D37" i="14"/>
  <c r="H37" i="14" s="1"/>
  <c r="Q55" i="15"/>
  <c r="P41" i="15"/>
  <c r="T41" i="15"/>
  <c r="D37" i="16"/>
  <c r="H37" i="16" s="1"/>
  <c r="H27" i="17"/>
  <c r="G31" i="17" s="1"/>
  <c r="D37" i="17"/>
  <c r="H37" i="17" s="1"/>
  <c r="K35" i="17"/>
  <c r="G35" i="17"/>
  <c r="P41" i="18"/>
  <c r="K55" i="18"/>
  <c r="K56" i="18" s="1"/>
  <c r="K58" i="18" s="1"/>
  <c r="K60" i="18" s="1"/>
  <c r="K61" i="18"/>
  <c r="H27" i="19"/>
  <c r="G31" i="19" s="1"/>
  <c r="M59" i="19"/>
  <c r="M60" i="21"/>
  <c r="M61" i="21" s="1"/>
  <c r="M63" i="21" s="1"/>
  <c r="M65" i="21" s="1"/>
  <c r="O36" i="19"/>
  <c r="D37" i="20"/>
  <c r="H37" i="20" s="1"/>
  <c r="T32" i="22"/>
  <c r="S36" i="22" s="1"/>
  <c r="H27" i="22"/>
  <c r="G31" i="22" s="1"/>
  <c r="R62" i="22"/>
  <c r="R63" i="22"/>
  <c r="R65" i="22" s="1"/>
  <c r="R67" i="22" s="1"/>
  <c r="R69" i="22" s="1"/>
  <c r="R71" i="22" s="1"/>
  <c r="T41" i="22"/>
  <c r="I7" i="23"/>
  <c r="G7" i="24" s="1"/>
  <c r="I7" i="24" s="1"/>
  <c r="N59" i="23"/>
  <c r="N60" i="23" s="1"/>
  <c r="C31" i="23"/>
  <c r="G35" i="23"/>
  <c r="T41" i="23"/>
  <c r="N61" i="24"/>
  <c r="N62" i="24" s="1"/>
  <c r="T41" i="24"/>
  <c r="K62" i="18" l="1"/>
  <c r="P41" i="20"/>
  <c r="M60" i="20" s="1"/>
  <c r="M61" i="20" s="1"/>
  <c r="M63" i="20" s="1"/>
  <c r="M65" i="20" s="1"/>
  <c r="M67" i="20" s="1"/>
  <c r="M69" i="20" s="1"/>
  <c r="M71" i="20" s="1"/>
  <c r="T41" i="20"/>
  <c r="V49" i="14"/>
  <c r="V50" i="14" s="1"/>
  <c r="S37" i="15"/>
  <c r="S50" i="15" s="1"/>
  <c r="U50" i="15" s="1"/>
  <c r="S37" i="16" s="1"/>
  <c r="S50" i="16" s="1"/>
  <c r="U50" i="16" s="1"/>
  <c r="S37" i="17" s="1"/>
  <c r="S50" i="17" s="1"/>
  <c r="U50" i="17" s="1"/>
  <c r="S37" i="18" s="1"/>
  <c r="S50" i="18" s="1"/>
  <c r="U50" i="18" s="1"/>
  <c r="S37" i="19" s="1"/>
  <c r="O37" i="16"/>
  <c r="O50" i="16" s="1"/>
  <c r="Q50" i="16" s="1"/>
  <c r="O37" i="17" s="1"/>
  <c r="O50" i="17" s="1"/>
  <c r="Q50" i="17" s="1"/>
  <c r="O37" i="18" s="1"/>
  <c r="O50" i="18" s="1"/>
  <c r="Q50" i="18" s="1"/>
  <c r="O37" i="19" s="1"/>
  <c r="W49" i="15"/>
  <c r="D37" i="23"/>
  <c r="H37" i="23" s="1"/>
  <c r="P41" i="19"/>
  <c r="T41" i="19"/>
  <c r="O50" i="19"/>
  <c r="Q50" i="19" s="1"/>
  <c r="O37" i="20" s="1"/>
  <c r="O50" i="20" s="1"/>
  <c r="Q50" i="20" s="1"/>
  <c r="O37" i="21" s="1"/>
  <c r="O50" i="21" s="1"/>
  <c r="Q50" i="21" s="1"/>
  <c r="O37" i="22" s="1"/>
  <c r="O50" i="22" s="1"/>
  <c r="Q50" i="22" s="1"/>
  <c r="O37" i="23" s="1"/>
  <c r="O50" i="23" s="1"/>
  <c r="Q50" i="23" s="1"/>
  <c r="O37" i="24" s="1"/>
  <c r="O50" i="24" s="1"/>
  <c r="Q50" i="24" s="1"/>
  <c r="Q56" i="15"/>
  <c r="Q57" i="15" s="1"/>
  <c r="I56" i="14"/>
  <c r="E46" i="14"/>
  <c r="F50" i="14" s="1"/>
  <c r="C32" i="15"/>
  <c r="C45" i="15" s="1"/>
  <c r="E45" i="15" s="1"/>
  <c r="M60" i="19"/>
  <c r="M61" i="19" s="1"/>
  <c r="M63" i="19" s="1"/>
  <c r="M65" i="19" s="1"/>
  <c r="F54" i="13"/>
  <c r="K31" i="14"/>
  <c r="S7" i="14"/>
  <c r="U7" i="14" s="1"/>
  <c r="R7" i="15" s="1"/>
  <c r="R32" i="14"/>
  <c r="S5" i="14"/>
  <c r="H38" i="10"/>
  <c r="K40" i="10"/>
  <c r="K42" i="10" s="1"/>
  <c r="L30" i="15"/>
  <c r="S17" i="15"/>
  <c r="U17" i="15" s="1"/>
  <c r="R17" i="16" s="1"/>
  <c r="D38" i="8"/>
  <c r="H38" i="8" s="1"/>
  <c r="E37" i="3"/>
  <c r="I37" i="3" s="1"/>
  <c r="O31" i="3"/>
  <c r="G5" i="3"/>
  <c r="J28" i="2"/>
  <c r="C43" i="1"/>
  <c r="E43" i="1" s="1"/>
  <c r="D33" i="2" s="1"/>
  <c r="D45" i="2" s="1"/>
  <c r="F45" i="2" s="1"/>
  <c r="D32" i="3" s="1"/>
  <c r="D44" i="3" s="1"/>
  <c r="F44" i="3" s="1"/>
  <c r="D33" i="4" s="1"/>
  <c r="D45" i="4" s="1"/>
  <c r="F45" i="4" s="1"/>
  <c r="C33" i="5" s="1"/>
  <c r="C45" i="5" s="1"/>
  <c r="E45" i="5" s="1"/>
  <c r="F22" i="8"/>
  <c r="G22" i="8" s="1"/>
  <c r="I22" i="8" s="1"/>
  <c r="F22" i="9" s="1"/>
  <c r="G22" i="9" s="1"/>
  <c r="I22" i="9" s="1"/>
  <c r="F22" i="10" s="1"/>
  <c r="M21" i="7"/>
  <c r="F17" i="8"/>
  <c r="G17" i="8" s="1"/>
  <c r="I17" i="8" s="1"/>
  <c r="F17" i="9" s="1"/>
  <c r="G17" i="9" s="1"/>
  <c r="I17" i="9" s="1"/>
  <c r="F17" i="10" s="1"/>
  <c r="M20" i="7"/>
  <c r="M25" i="7" s="1"/>
  <c r="G43" i="1"/>
  <c r="I43" i="1" s="1"/>
  <c r="H33" i="2" s="1"/>
  <c r="N62" i="23"/>
  <c r="N65" i="23" s="1"/>
  <c r="N67" i="23" s="1"/>
  <c r="N61" i="23"/>
  <c r="T68" i="22"/>
  <c r="U32" i="13"/>
  <c r="G32" i="12"/>
  <c r="E30" i="12"/>
  <c r="D38" i="7"/>
  <c r="H38" i="7" s="1"/>
  <c r="R18" i="18"/>
  <c r="S18" i="18" s="1"/>
  <c r="U18" i="18" s="1"/>
  <c r="R18" i="19" s="1"/>
  <c r="S18" i="19" s="1"/>
  <c r="U18" i="19" s="1"/>
  <c r="R18" i="20" s="1"/>
  <c r="S18" i="20" s="1"/>
  <c r="U18" i="20" s="1"/>
  <c r="R18" i="21" s="1"/>
  <c r="S18" i="21" s="1"/>
  <c r="U18" i="21" s="1"/>
  <c r="R18" i="22" s="1"/>
  <c r="S18" i="22" s="1"/>
  <c r="U18" i="22" s="1"/>
  <c r="U33" i="17"/>
  <c r="H45" i="2"/>
  <c r="J45" i="2" s="1"/>
  <c r="H32" i="3" s="1"/>
  <c r="H44" i="3" s="1"/>
  <c r="J44" i="3" s="1"/>
  <c r="H33" i="4" s="1"/>
  <c r="H45" i="4" s="1"/>
  <c r="J45" i="4" s="1"/>
  <c r="G33" i="5" s="1"/>
  <c r="G45" i="5" s="1"/>
  <c r="I45" i="5" s="1"/>
  <c r="G33" i="6" s="1"/>
  <c r="G45" i="6" s="1"/>
  <c r="I45" i="6" s="1"/>
  <c r="F16" i="16"/>
  <c r="G16" i="16" s="1"/>
  <c r="I16" i="16" s="1"/>
  <c r="F16" i="17" s="1"/>
  <c r="G16" i="17" s="1"/>
  <c r="I16" i="17" s="1"/>
  <c r="F16" i="18" s="1"/>
  <c r="G16" i="18" s="1"/>
  <c r="I16" i="18" s="1"/>
  <c r="F16" i="19" s="1"/>
  <c r="G16" i="19" s="1"/>
  <c r="I16" i="19" s="1"/>
  <c r="F16" i="20" s="1"/>
  <c r="G16" i="20" s="1"/>
  <c r="I16" i="20" s="1"/>
  <c r="F16" i="21" s="1"/>
  <c r="G16" i="21" s="1"/>
  <c r="I16" i="21" s="1"/>
  <c r="F16" i="22" s="1"/>
  <c r="G16" i="22" s="1"/>
  <c r="I16" i="22" s="1"/>
  <c r="F16" i="23" s="1"/>
  <c r="G16" i="23" s="1"/>
  <c r="I16" i="23" s="1"/>
  <c r="F16" i="24" s="1"/>
  <c r="G16" i="24" s="1"/>
  <c r="I16" i="24" s="1"/>
  <c r="G16" i="15"/>
  <c r="I16" i="15" s="1"/>
  <c r="G10" i="15"/>
  <c r="I10" i="15" s="1"/>
  <c r="F10" i="16"/>
  <c r="G10" i="16" s="1"/>
  <c r="I10" i="16" s="1"/>
  <c r="F10" i="17" s="1"/>
  <c r="G10" i="17" s="1"/>
  <c r="I10" i="17" s="1"/>
  <c r="F10" i="18" s="1"/>
  <c r="G10" i="18" s="1"/>
  <c r="I10" i="18" s="1"/>
  <c r="F10" i="19" s="1"/>
  <c r="G10" i="19" s="1"/>
  <c r="I10" i="19" s="1"/>
  <c r="F10" i="20" s="1"/>
  <c r="G10" i="20" s="1"/>
  <c r="I10" i="20" s="1"/>
  <c r="F10" i="21" s="1"/>
  <c r="G10" i="21" s="1"/>
  <c r="I10" i="21" s="1"/>
  <c r="F10" i="22" s="1"/>
  <c r="G10" i="22" s="1"/>
  <c r="I10" i="22" s="1"/>
  <c r="F10" i="23" s="1"/>
  <c r="G10" i="23" s="1"/>
  <c r="I10" i="23" s="1"/>
  <c r="F10" i="24" s="1"/>
  <c r="G10" i="24" s="1"/>
  <c r="I10" i="24" s="1"/>
  <c r="F29" i="6"/>
  <c r="G8" i="6"/>
  <c r="I8" i="6" s="1"/>
  <c r="I29" i="6" s="1"/>
  <c r="F29" i="7" s="1"/>
  <c r="E29" i="7" s="1"/>
  <c r="E30" i="7" s="1"/>
  <c r="C33" i="6" l="1"/>
  <c r="C45" i="6" s="1"/>
  <c r="E45" i="6" s="1"/>
  <c r="C33" i="7" s="1"/>
  <c r="C45" i="7" s="1"/>
  <c r="E45" i="7" s="1"/>
  <c r="C33" i="8" s="1"/>
  <c r="C46" i="8" s="1"/>
  <c r="E46" i="8" s="1"/>
  <c r="C33" i="9" s="1"/>
  <c r="C46" i="9" s="1"/>
  <c r="E46" i="9" s="1"/>
  <c r="J45" i="5"/>
  <c r="G33" i="7"/>
  <c r="G45" i="7" s="1"/>
  <c r="I45" i="7" s="1"/>
  <c r="G33" i="8" s="1"/>
  <c r="G46" i="8" s="1"/>
  <c r="I46" i="8" s="1"/>
  <c r="G33" i="9" s="1"/>
  <c r="G46" i="9" s="1"/>
  <c r="I46" i="9" s="1"/>
  <c r="G33" i="10" s="1"/>
  <c r="G46" i="10" s="1"/>
  <c r="I46" i="10" s="1"/>
  <c r="G33" i="11" s="1"/>
  <c r="G46" i="11" s="1"/>
  <c r="I46" i="11" s="1"/>
  <c r="G33" i="12" s="1"/>
  <c r="G46" i="12" s="1"/>
  <c r="I46" i="12" s="1"/>
  <c r="G32" i="13" s="1"/>
  <c r="G45" i="13" s="1"/>
  <c r="I45" i="13" s="1"/>
  <c r="L28" i="10"/>
  <c r="L29" i="10" s="1"/>
  <c r="G17" i="10"/>
  <c r="I17" i="10" s="1"/>
  <c r="G22" i="10"/>
  <c r="I22" i="10" s="1"/>
  <c r="S32" i="14"/>
  <c r="U5" i="14"/>
  <c r="K31" i="15"/>
  <c r="S7" i="15"/>
  <c r="U7" i="15" s="1"/>
  <c r="R7" i="16" s="1"/>
  <c r="C32" i="16"/>
  <c r="C45" i="16" s="1"/>
  <c r="E45" i="16" s="1"/>
  <c r="E46" i="15"/>
  <c r="S59" i="15"/>
  <c r="S50" i="19"/>
  <c r="U50" i="19" s="1"/>
  <c r="S37" i="20" s="1"/>
  <c r="S50" i="20" s="1"/>
  <c r="U50" i="20" s="1"/>
  <c r="S37" i="21" s="1"/>
  <c r="S50" i="21" s="1"/>
  <c r="U50" i="21" s="1"/>
  <c r="G27" i="3"/>
  <c r="H27" i="3" s="1"/>
  <c r="H5" i="3"/>
  <c r="J5" i="3" s="1"/>
  <c r="L30" i="16"/>
  <c r="S17" i="16"/>
  <c r="U17" i="16" s="1"/>
  <c r="R17" i="17" s="1"/>
  <c r="G32" i="14" l="1"/>
  <c r="G45" i="14" s="1"/>
  <c r="I45" i="14" s="1"/>
  <c r="J50" i="13"/>
  <c r="L30" i="17"/>
  <c r="S17" i="17"/>
  <c r="U17" i="17" s="1"/>
  <c r="R17" i="18" s="1"/>
  <c r="S17" i="18" s="1"/>
  <c r="U17" i="18" s="1"/>
  <c r="R17" i="19" s="1"/>
  <c r="S17" i="19" s="1"/>
  <c r="U17" i="19" s="1"/>
  <c r="R17" i="20" s="1"/>
  <c r="S17" i="20" s="1"/>
  <c r="U17" i="20" s="1"/>
  <c r="R17" i="21" s="1"/>
  <c r="S17" i="21" s="1"/>
  <c r="U17" i="21" s="1"/>
  <c r="R17" i="22" s="1"/>
  <c r="S17" i="22" s="1"/>
  <c r="U17" i="22" s="1"/>
  <c r="R17" i="23" s="1"/>
  <c r="S17" i="23" s="1"/>
  <c r="U17" i="23" s="1"/>
  <c r="R17" i="24" s="1"/>
  <c r="S17" i="24" s="1"/>
  <c r="U17" i="24" s="1"/>
  <c r="G5" i="4"/>
  <c r="J27" i="3"/>
  <c r="S7" i="16"/>
  <c r="U7" i="16" s="1"/>
  <c r="R7" i="17" s="1"/>
  <c r="K31" i="16"/>
  <c r="F22" i="11"/>
  <c r="G22" i="11" s="1"/>
  <c r="I22" i="11" s="1"/>
  <c r="F22" i="12" s="1"/>
  <c r="G22" i="12" s="1"/>
  <c r="I22" i="12" s="1"/>
  <c r="F22" i="13" s="1"/>
  <c r="G22" i="13" s="1"/>
  <c r="I22" i="13" s="1"/>
  <c r="F22" i="14" s="1"/>
  <c r="G22" i="14" s="1"/>
  <c r="I22" i="14" s="1"/>
  <c r="F22" i="15" s="1"/>
  <c r="J30" i="10"/>
  <c r="F17" i="11"/>
  <c r="G17" i="11" s="1"/>
  <c r="I17" i="11" s="1"/>
  <c r="F17" i="12" s="1"/>
  <c r="G17" i="12" s="1"/>
  <c r="I17" i="12" s="1"/>
  <c r="L17" i="10"/>
  <c r="J32" i="10" s="1"/>
  <c r="E46" i="16"/>
  <c r="C32" i="17"/>
  <c r="C45" i="17" s="1"/>
  <c r="E45" i="17" s="1"/>
  <c r="J46" i="6"/>
  <c r="S37" i="22"/>
  <c r="S50" i="22" s="1"/>
  <c r="U50" i="22" s="1"/>
  <c r="S37" i="23" s="1"/>
  <c r="S50" i="23" s="1"/>
  <c r="U50" i="23" s="1"/>
  <c r="R5" i="15"/>
  <c r="U32" i="14"/>
  <c r="I51" i="9"/>
  <c r="C33" i="10"/>
  <c r="C46" i="10" s="1"/>
  <c r="E46" i="10" s="1"/>
  <c r="R32" i="15" l="1"/>
  <c r="S5" i="15"/>
  <c r="E46" i="17"/>
  <c r="C32" i="18"/>
  <c r="C45" i="18" s="1"/>
  <c r="E45" i="18" s="1"/>
  <c r="P59" i="17"/>
  <c r="S37" i="24"/>
  <c r="S50" i="24" s="1"/>
  <c r="U50" i="24" s="1"/>
  <c r="C33" i="11"/>
  <c r="C46" i="11" s="1"/>
  <c r="E46" i="11" s="1"/>
  <c r="J48" i="10"/>
  <c r="F22" i="16"/>
  <c r="G22" i="16" s="1"/>
  <c r="I22" i="16" s="1"/>
  <c r="F22" i="17" s="1"/>
  <c r="G22" i="17" s="1"/>
  <c r="I22" i="17" s="1"/>
  <c r="F22" i="18" s="1"/>
  <c r="G22" i="18" s="1"/>
  <c r="I22" i="18" s="1"/>
  <c r="F22" i="19" s="1"/>
  <c r="G22" i="19" s="1"/>
  <c r="I22" i="19" s="1"/>
  <c r="F22" i="20" s="1"/>
  <c r="G22" i="20" s="1"/>
  <c r="I22" i="20" s="1"/>
  <c r="F22" i="21" s="1"/>
  <c r="G22" i="21" s="1"/>
  <c r="I22" i="21" s="1"/>
  <c r="F22" i="22" s="1"/>
  <c r="G22" i="22" s="1"/>
  <c r="I22" i="22" s="1"/>
  <c r="F22" i="23" s="1"/>
  <c r="G22" i="23" s="1"/>
  <c r="I22" i="23" s="1"/>
  <c r="F22" i="24" s="1"/>
  <c r="G22" i="24" s="1"/>
  <c r="G22" i="15"/>
  <c r="I22" i="15" s="1"/>
  <c r="K31" i="17"/>
  <c r="S7" i="17"/>
  <c r="U7" i="17" s="1"/>
  <c r="R7" i="18" s="1"/>
  <c r="S7" i="18" s="1"/>
  <c r="U7" i="18" s="1"/>
  <c r="R7" i="19" s="1"/>
  <c r="S7" i="19" s="1"/>
  <c r="U7" i="19" s="1"/>
  <c r="R7" i="20" s="1"/>
  <c r="S7" i="20" s="1"/>
  <c r="U7" i="20" s="1"/>
  <c r="R7" i="21" s="1"/>
  <c r="S7" i="21" s="1"/>
  <c r="U7" i="21" s="1"/>
  <c r="R7" i="22" s="1"/>
  <c r="S7" i="22" s="1"/>
  <c r="U7" i="22" s="1"/>
  <c r="R7" i="23" s="1"/>
  <c r="S7" i="23" s="1"/>
  <c r="U7" i="23" s="1"/>
  <c r="R7" i="24" s="1"/>
  <c r="S7" i="24" s="1"/>
  <c r="U7" i="24" s="1"/>
  <c r="H5" i="4"/>
  <c r="J5" i="4" s="1"/>
  <c r="G28" i="4"/>
  <c r="H28" i="4" s="1"/>
  <c r="G32" i="15"/>
  <c r="G45" i="15" s="1"/>
  <c r="I45" i="15" s="1"/>
  <c r="G32" i="16" s="1"/>
  <c r="G45" i="16" s="1"/>
  <c r="I45" i="16" s="1"/>
  <c r="G32" i="17" s="1"/>
  <c r="G45" i="17" s="1"/>
  <c r="I45" i="17" s="1"/>
  <c r="G32" i="18" s="1"/>
  <c r="G45" i="18" s="1"/>
  <c r="I45" i="18" s="1"/>
  <c r="G32" i="19" s="1"/>
  <c r="G45" i="19" s="1"/>
  <c r="I45" i="19" s="1"/>
  <c r="J50" i="14"/>
  <c r="I51" i="11" l="1"/>
  <c r="C33" i="12"/>
  <c r="C46" i="12" s="1"/>
  <c r="E46" i="12" s="1"/>
  <c r="C32" i="13" s="1"/>
  <c r="C45" i="13" s="1"/>
  <c r="E45" i="13" s="1"/>
  <c r="E46" i="13" s="1"/>
  <c r="F50" i="13" s="1"/>
  <c r="I50" i="13" s="1"/>
  <c r="C32" i="19"/>
  <c r="C45" i="19" s="1"/>
  <c r="E45" i="19" s="1"/>
  <c r="E46" i="18"/>
  <c r="U5" i="15"/>
  <c r="S32" i="15"/>
  <c r="G32" i="20"/>
  <c r="G45" i="20" s="1"/>
  <c r="I45" i="20" s="1"/>
  <c r="G32" i="21" s="1"/>
  <c r="G45" i="21" s="1"/>
  <c r="I45" i="21" s="1"/>
  <c r="K56" i="19"/>
  <c r="F5" i="5"/>
  <c r="J28" i="4"/>
  <c r="G5" i="5" l="1"/>
  <c r="I5" i="5" s="1"/>
  <c r="F28" i="5"/>
  <c r="G28" i="5" s="1"/>
  <c r="G32" i="22"/>
  <c r="G45" i="22" s="1"/>
  <c r="I45" i="22" s="1"/>
  <c r="Q62" i="21"/>
  <c r="R5" i="16"/>
  <c r="S5" i="16" s="1"/>
  <c r="U32" i="15"/>
  <c r="R32" i="16" s="1"/>
  <c r="C32" i="20"/>
  <c r="C45" i="20" s="1"/>
  <c r="E45" i="20" s="1"/>
  <c r="E46" i="19"/>
  <c r="C32" i="21" l="1"/>
  <c r="C45" i="21" s="1"/>
  <c r="E45" i="21" s="1"/>
  <c r="E46" i="20"/>
  <c r="I63" i="20"/>
  <c r="S32" i="16"/>
  <c r="U5" i="16"/>
  <c r="Q68" i="22"/>
  <c r="G32" i="23"/>
  <c r="G45" i="23" s="1"/>
  <c r="I45" i="23" s="1"/>
  <c r="F5" i="6"/>
  <c r="I28" i="5"/>
  <c r="I29" i="5" s="1"/>
  <c r="F28" i="6" l="1"/>
  <c r="G28" i="6" s="1"/>
  <c r="G5" i="6"/>
  <c r="I5" i="6" s="1"/>
  <c r="G32" i="24"/>
  <c r="G45" i="24" s="1"/>
  <c r="I45" i="24" s="1"/>
  <c r="V53" i="23"/>
  <c r="R5" i="17"/>
  <c r="U32" i="16"/>
  <c r="C32" i="22"/>
  <c r="C45" i="22" s="1"/>
  <c r="E45" i="22" s="1"/>
  <c r="P63" i="21"/>
  <c r="R64" i="21" s="1"/>
  <c r="E46" i="21"/>
  <c r="F5" i="7" l="1"/>
  <c r="I28" i="6"/>
  <c r="C32" i="23"/>
  <c r="C45" i="23" s="1"/>
  <c r="E45" i="23" s="1"/>
  <c r="I56" i="22"/>
  <c r="E46" i="22"/>
  <c r="R32" i="17"/>
  <c r="S5" i="17"/>
  <c r="U5" i="17" l="1"/>
  <c r="S32" i="17"/>
  <c r="C32" i="24"/>
  <c r="C45" i="24" s="1"/>
  <c r="E45" i="24" s="1"/>
  <c r="G57" i="23"/>
  <c r="E46" i="23"/>
  <c r="F28" i="7"/>
  <c r="G28" i="7" s="1"/>
  <c r="G5" i="7"/>
  <c r="I5" i="7" s="1"/>
  <c r="I28" i="7" l="1"/>
  <c r="F5" i="8"/>
  <c r="G57" i="24"/>
  <c r="E46" i="24"/>
  <c r="R5" i="18"/>
  <c r="S5" i="18" s="1"/>
  <c r="U32" i="17"/>
  <c r="R32" i="18" s="1"/>
  <c r="F28" i="8" l="1"/>
  <c r="G28" i="8" s="1"/>
  <c r="G5" i="8"/>
  <c r="I5" i="8" s="1"/>
  <c r="U5" i="18"/>
  <c r="S32" i="18"/>
  <c r="F5" i="9" l="1"/>
  <c r="I28" i="8"/>
  <c r="I29" i="8" s="1"/>
  <c r="R5" i="19"/>
  <c r="U32" i="18"/>
  <c r="S5" i="19" l="1"/>
  <c r="R32" i="19"/>
  <c r="F28" i="9"/>
  <c r="G28" i="9" s="1"/>
  <c r="G5" i="9"/>
  <c r="I5" i="9" s="1"/>
  <c r="F5" i="10" l="1"/>
  <c r="I28" i="9"/>
  <c r="I29" i="9" s="1"/>
  <c r="S32" i="19"/>
  <c r="U5" i="19"/>
  <c r="U32" i="19" l="1"/>
  <c r="R5" i="20"/>
  <c r="F28" i="10"/>
  <c r="G5" i="10"/>
  <c r="I5" i="10" s="1"/>
  <c r="F5" i="11" l="1"/>
  <c r="I28" i="10"/>
  <c r="I29" i="10" s="1"/>
  <c r="S5" i="20"/>
  <c r="R32" i="20"/>
  <c r="F29" i="10"/>
  <c r="G28" i="10"/>
  <c r="F29" i="12" l="1"/>
  <c r="F29" i="11"/>
  <c r="H30" i="10"/>
  <c r="L33" i="10"/>
  <c r="S32" i="20"/>
  <c r="U5" i="20"/>
  <c r="F28" i="11"/>
  <c r="G28" i="11" s="1"/>
  <c r="G5" i="11"/>
  <c r="I5" i="11" s="1"/>
  <c r="F5" i="12" l="1"/>
  <c r="I28" i="11"/>
  <c r="I29" i="11" s="1"/>
  <c r="R5" i="21"/>
  <c r="U32" i="20"/>
  <c r="R32" i="21" l="1"/>
  <c r="S5" i="21"/>
  <c r="F28" i="12"/>
  <c r="G28" i="12" s="1"/>
  <c r="G5" i="12"/>
  <c r="I5" i="12" s="1"/>
  <c r="F5" i="13" l="1"/>
  <c r="I28" i="12"/>
  <c r="S32" i="21"/>
  <c r="U5" i="21"/>
  <c r="R5" i="22" l="1"/>
  <c r="S5" i="22" s="1"/>
  <c r="U32" i="21"/>
  <c r="J31" i="12"/>
  <c r="I29" i="12"/>
  <c r="F27" i="13"/>
  <c r="G5" i="13"/>
  <c r="I5" i="13" s="1"/>
  <c r="F5" i="14" l="1"/>
  <c r="I27" i="13"/>
  <c r="I28" i="13" s="1"/>
  <c r="R32" i="23"/>
  <c r="R32" i="22"/>
  <c r="F28" i="13"/>
  <c r="G27" i="13"/>
  <c r="S32" i="22"/>
  <c r="U5" i="22"/>
  <c r="R5" i="23" l="1"/>
  <c r="S5" i="23" s="1"/>
  <c r="U32" i="22"/>
  <c r="G5" i="14"/>
  <c r="I5" i="14" s="1"/>
  <c r="F27" i="14"/>
  <c r="G27" i="14" s="1"/>
  <c r="F5" i="15" l="1"/>
  <c r="I27" i="14"/>
  <c r="I28" i="14" s="1"/>
  <c r="S32" i="23"/>
  <c r="U5" i="23"/>
  <c r="R5" i="24" l="1"/>
  <c r="U32" i="23"/>
  <c r="F5" i="16"/>
  <c r="G5" i="16" s="1"/>
  <c r="I5" i="16" s="1"/>
  <c r="F27" i="15"/>
  <c r="G5" i="15"/>
  <c r="I5" i="15" s="1"/>
  <c r="I27" i="15" s="1"/>
  <c r="I28" i="15" s="1"/>
  <c r="F27" i="16" l="1"/>
  <c r="G27" i="16" s="1"/>
  <c r="G27" i="15"/>
  <c r="I27" i="16"/>
  <c r="I28" i="16" s="1"/>
  <c r="F5" i="17"/>
  <c r="R32" i="24"/>
  <c r="S5" i="24"/>
  <c r="S32" i="24" l="1"/>
  <c r="U5" i="24"/>
  <c r="U32" i="24" s="1"/>
  <c r="F27" i="17"/>
  <c r="G27" i="17" s="1"/>
  <c r="G5" i="17"/>
  <c r="I5" i="17" s="1"/>
  <c r="F5" i="18" l="1"/>
  <c r="G5" i="18" s="1"/>
  <c r="I5" i="18" s="1"/>
  <c r="I27" i="17"/>
  <c r="I28" i="17" l="1"/>
  <c r="F27" i="18"/>
  <c r="G27" i="18" s="1"/>
  <c r="F5" i="19"/>
  <c r="I27" i="18"/>
  <c r="I28" i="18" s="1"/>
  <c r="F27" i="19" l="1"/>
  <c r="G5" i="19"/>
  <c r="F28" i="21"/>
  <c r="F28" i="19"/>
  <c r="F28" i="20"/>
  <c r="F28" i="18"/>
  <c r="I5" i="19" l="1"/>
  <c r="G27" i="19"/>
  <c r="F5" i="20" l="1"/>
  <c r="I27" i="19"/>
  <c r="I28" i="19" s="1"/>
  <c r="G5" i="20" l="1"/>
  <c r="F27" i="20"/>
  <c r="G27" i="20" l="1"/>
  <c r="I5" i="20"/>
  <c r="F5" i="21" l="1"/>
  <c r="I27" i="20"/>
  <c r="I28" i="20" s="1"/>
  <c r="F27" i="21" l="1"/>
  <c r="G5" i="21"/>
  <c r="G27" i="21" l="1"/>
  <c r="I5" i="21"/>
  <c r="I27" i="21" l="1"/>
  <c r="F5" i="22"/>
  <c r="G5" i="22" s="1"/>
  <c r="G27" i="22" l="1"/>
  <c r="I5" i="22"/>
  <c r="F27" i="23"/>
  <c r="F27" i="22"/>
  <c r="I28" i="21"/>
  <c r="I27" i="22" l="1"/>
  <c r="I28" i="22" s="1"/>
  <c r="F5" i="23"/>
  <c r="G5" i="23" s="1"/>
  <c r="F28" i="24"/>
  <c r="F28" i="23"/>
  <c r="F28" i="22"/>
  <c r="G27" i="23" l="1"/>
  <c r="I5" i="23"/>
  <c r="I27" i="23" l="1"/>
  <c r="F5" i="24"/>
  <c r="G5" i="24" l="1"/>
  <c r="F27" i="24"/>
  <c r="I28" i="23"/>
  <c r="G27" i="24" l="1"/>
  <c r="I5" i="24"/>
  <c r="I27" i="24" s="1"/>
  <c r="I28" i="24" s="1"/>
</calcChain>
</file>

<file path=xl/sharedStrings.xml><?xml version="1.0" encoding="utf-8"?>
<sst xmlns="http://schemas.openxmlformats.org/spreadsheetml/2006/main" count="3594" uniqueCount="297">
  <si>
    <t>RENT STATEMENT</t>
  </si>
  <si>
    <t>FOR THE MONTH OF JANUARY  2020</t>
  </si>
  <si>
    <t>NO.</t>
  </si>
  <si>
    <t>NAME</t>
  </si>
  <si>
    <t>DEPOSIT</t>
  </si>
  <si>
    <t>RENT</t>
  </si>
  <si>
    <t>B/F</t>
  </si>
  <si>
    <t>TOTAL DUE</t>
  </si>
  <si>
    <t xml:space="preserve">PAID </t>
  </si>
  <si>
    <t>BALANCE</t>
  </si>
  <si>
    <t>ARREARS PAID</t>
  </si>
  <si>
    <t>WATER</t>
  </si>
  <si>
    <t>TOTAL</t>
  </si>
  <si>
    <t>SUMMARY</t>
  </si>
  <si>
    <t xml:space="preserve">DETAILS </t>
  </si>
  <si>
    <t xml:space="preserve">CR </t>
  </si>
  <si>
    <t>DR</t>
  </si>
  <si>
    <t>BAL</t>
  </si>
  <si>
    <t>DETAILS</t>
  </si>
  <si>
    <t>JANUARY</t>
  </si>
  <si>
    <t>BF</t>
  </si>
  <si>
    <t>ARREARS</t>
  </si>
  <si>
    <t>COMMISION</t>
  </si>
  <si>
    <t>PAYMENTS</t>
  </si>
  <si>
    <t>Prepared BY</t>
  </si>
  <si>
    <t>Approved By</t>
  </si>
  <si>
    <t>Received By</t>
  </si>
  <si>
    <t>FLORENCE</t>
  </si>
  <si>
    <t>GRACE</t>
  </si>
  <si>
    <t>PATRICK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</si>
  <si>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</si>
  <si>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</si>
  <si>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</si>
  <si>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</si>
  <si>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</si>
  <si>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</si>
  <si>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</si>
  <si>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</si>
  <si>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</si>
  <si>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</si>
  <si>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C1</t>
  </si>
  <si>
    <t>C2</t>
  </si>
  <si>
    <t>C3</t>
  </si>
  <si>
    <t>C4</t>
  </si>
  <si>
    <t>C5</t>
  </si>
  <si>
    <t>C6</t>
  </si>
  <si>
    <t>C7</t>
  </si>
  <si>
    <t>C8</t>
  </si>
  <si>
    <t>C10</t>
  </si>
  <si>
    <t>C11</t>
  </si>
  <si>
    <t>NICHOLAS GATAKA</t>
  </si>
  <si>
    <t>LOVIAN</t>
  </si>
  <si>
    <t>MORRIS ODHIAMBO</t>
  </si>
  <si>
    <t>NELSON KILEJI</t>
  </si>
  <si>
    <t>JAMES NDUNGU</t>
  </si>
  <si>
    <t>BENJAMIN MUTUNGA</t>
  </si>
  <si>
    <t>MARTIN WAMBUA</t>
  </si>
  <si>
    <t>ALOIS ALOSA</t>
  </si>
  <si>
    <t>JUSTUS MUTHUKU</t>
  </si>
  <si>
    <t>ANASTATIA SYOMBUA</t>
  </si>
  <si>
    <t>LL</t>
  </si>
  <si>
    <t>CYTHIA/DENNIS</t>
  </si>
  <si>
    <t>AMATOKE JUSTIN</t>
  </si>
  <si>
    <t>JOYCE WAITHERA</t>
  </si>
  <si>
    <t>GRACE OTIENO</t>
  </si>
  <si>
    <t>EPRAM NDETE</t>
  </si>
  <si>
    <t>C9</t>
  </si>
  <si>
    <t>EPHATUS NDWIGA</t>
  </si>
  <si>
    <t>PRAXIDE SINDANI</t>
  </si>
  <si>
    <t>CONSOLATA OKAL</t>
  </si>
  <si>
    <t>EVALYNE ANAMI</t>
  </si>
  <si>
    <t>VICTOR JOSEPH</t>
  </si>
  <si>
    <t>LL5000</t>
  </si>
  <si>
    <t>BENJAMINI</t>
  </si>
  <si>
    <t>VICTOR</t>
  </si>
  <si>
    <t>LL450</t>
  </si>
  <si>
    <t>VACCANT</t>
  </si>
  <si>
    <t>EVALYNNE</t>
  </si>
  <si>
    <t>JUSTIN</t>
  </si>
  <si>
    <t/>
  </si>
  <si>
    <t>PAID ON 15/1</t>
  </si>
  <si>
    <t>AMOKE JUSTIN</t>
  </si>
  <si>
    <t xml:space="preserve"> LL450</t>
  </si>
  <si>
    <t>LL 11650</t>
  </si>
  <si>
    <t>LOUIS ALOSA</t>
  </si>
  <si>
    <t>LL 9600</t>
  </si>
  <si>
    <t>FOR THE MONTH OF FEBRUARY  2020</t>
  </si>
  <si>
    <t>FEBRUARY</t>
  </si>
  <si>
    <t>A2</t>
  </si>
  <si>
    <t>JOSEPH KARUTI</t>
  </si>
  <si>
    <t xml:space="preserve">arrears paid </t>
  </si>
  <si>
    <t>LL7650</t>
  </si>
  <si>
    <t>PHILOMINA KAMATHI</t>
  </si>
  <si>
    <t>ON DEPOSIT</t>
  </si>
  <si>
    <t>VACATED</t>
  </si>
  <si>
    <t>DIRECT TO LL</t>
  </si>
  <si>
    <t>PAID ON 13/2</t>
  </si>
  <si>
    <t>LETTING FEE</t>
  </si>
  <si>
    <t>VINCENT</t>
  </si>
  <si>
    <t>PAID ON 23/1</t>
  </si>
  <si>
    <t>KENNEDY CHEGE</t>
  </si>
  <si>
    <t/>
  </si>
  <si>
    <t>WATER DEP</t>
  </si>
  <si>
    <t>LETTING FEE30%</t>
  </si>
  <si>
    <t>PAID ON 24/2</t>
  </si>
  <si>
    <t>PAUL/ISAAC</t>
  </si>
  <si>
    <t>LL3000</t>
  </si>
  <si>
    <t>LL10000</t>
  </si>
  <si>
    <t>FOR THE MONTH OF MARCH 2020</t>
  </si>
  <si>
    <t>PAID ON 13/3</t>
  </si>
  <si>
    <t>JOSEPH KIRUTI</t>
  </si>
  <si>
    <t>MARCH</t>
  </si>
  <si>
    <t>FOR THE MONTH OF APRIL 2020</t>
  </si>
  <si>
    <t>APRIL</t>
  </si>
  <si>
    <t>BASILI</t>
  </si>
  <si>
    <t>JOHN MATHEKA</t>
  </si>
  <si>
    <t>PAID ON 13/4</t>
  </si>
  <si>
    <t>PAID ON 16/4</t>
  </si>
  <si>
    <t>PENINA ATIENO</t>
  </si>
  <si>
    <t>FOR THE MONTH OF MAY  2020</t>
  </si>
  <si>
    <t>MAY</t>
  </si>
  <si>
    <t xml:space="preserve"> ON DEP VACCATED</t>
  </si>
  <si>
    <t>ERICK DIANGA</t>
  </si>
  <si>
    <t>D4</t>
  </si>
  <si>
    <t>PAID ON 4/5</t>
  </si>
  <si>
    <t>TALKED WITH LL</t>
  </si>
  <si>
    <t>TO PAY ON 5TH/05</t>
  </si>
  <si>
    <t>PAID ON 14/5</t>
  </si>
  <si>
    <t>PAID  ON 22/5</t>
  </si>
  <si>
    <t>FOR THE MONTH OF JUNE 2020</t>
  </si>
  <si>
    <t>JUNE</t>
  </si>
  <si>
    <t>PAID ON 28/5</t>
  </si>
  <si>
    <t>ANTONY WAITHAKA</t>
  </si>
  <si>
    <t>LL8000</t>
  </si>
  <si>
    <t>NELSON</t>
  </si>
  <si>
    <t>PAID ON 13/6</t>
  </si>
  <si>
    <t>PAID ON 24/6</t>
  </si>
  <si>
    <t>JULY</t>
  </si>
  <si>
    <t>FOR THE MONTH OF JULY 2020</t>
  </si>
  <si>
    <t>PAID ON 1/7</t>
  </si>
  <si>
    <t>nelson KILEJI vaccated</t>
  </si>
  <si>
    <t>PAID ON 16/7</t>
  </si>
  <si>
    <t>FOR THE MONTH OF AUGUST 2020</t>
  </si>
  <si>
    <t>AUGUST</t>
  </si>
  <si>
    <t>DEPOSIT B3</t>
  </si>
  <si>
    <t>PAID ON 15/8</t>
  </si>
  <si>
    <t>PAID ON 19/8</t>
  </si>
  <si>
    <t>NICHOLAS</t>
  </si>
  <si>
    <t>FILING $ ADVOCATE FEE</t>
  </si>
  <si>
    <t>PAID ON 221/8</t>
  </si>
  <si>
    <t>FOR THE MONTH OF SEPTEMBER 2020</t>
  </si>
  <si>
    <t>SEPTEMBER</t>
  </si>
  <si>
    <t>PAID ON 21/8</t>
  </si>
  <si>
    <t>MORRIS MWALIKI</t>
  </si>
  <si>
    <t>DEPOSIT C6</t>
  </si>
  <si>
    <t>PAID ON 17/9</t>
  </si>
  <si>
    <t>PAID ON 23/9</t>
  </si>
  <si>
    <t>PAID ON 8/9</t>
  </si>
  <si>
    <t>PAID ON 16/10</t>
  </si>
  <si>
    <t>FOR THE MONTH OF NOVEMBER 2020</t>
  </si>
  <si>
    <t>NOVEMBER</t>
  </si>
  <si>
    <t>FOR THE MONTH OF OCTOBER 2020</t>
  </si>
  <si>
    <t>OCTOBER</t>
  </si>
  <si>
    <t xml:space="preserve">DEPOSIT </t>
  </si>
  <si>
    <t>PAID ON 4/11</t>
  </si>
  <si>
    <t>PAID ON 16/11</t>
  </si>
  <si>
    <t>DECEMBER</t>
  </si>
  <si>
    <t>FOR THE MONTH OF DECEMBER 2020</t>
  </si>
  <si>
    <t>DEPOSIT REFUND LOUIS</t>
  </si>
  <si>
    <t>PAID ON 27/11</t>
  </si>
  <si>
    <t>PAID ON 3/12</t>
  </si>
  <si>
    <t>PAID ON 18/12</t>
  </si>
  <si>
    <t>MORRIS EVICTED</t>
  </si>
  <si>
    <t>PAID ON22/12</t>
  </si>
  <si>
    <t>MICHAEL NDENDE</t>
  </si>
  <si>
    <t>ABRAHAM KIPRUTO</t>
  </si>
  <si>
    <t>FOR THE MONTH OF JANUARY 2021</t>
  </si>
  <si>
    <t>A1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</si>
  <si>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</si>
  <si>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</si>
  <si>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</si>
  <si>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</si>
  <si>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</si>
  <si>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</si>
  <si>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</si>
  <si>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</si>
  <si>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</si>
  <si>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</si>
  <si>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D1</t>
  </si>
  <si>
    <t>D2</t>
  </si>
  <si>
    <t>D3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</si>
  <si>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</si>
  <si>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</si>
  <si>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</si>
  <si>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</si>
  <si>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</si>
  <si>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</si>
  <si>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</si>
  <si>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</si>
  <si>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</si>
  <si>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</si>
  <si>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</si>
  <si>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ANNACIA KAMENE</t>
  </si>
  <si>
    <t>JAMES OMONDI</t>
  </si>
  <si>
    <t>MARTIN</t>
  </si>
  <si>
    <t>FREDRICK OPIYO</t>
  </si>
  <si>
    <t>IRANZ KANGATU</t>
  </si>
  <si>
    <t>DAVID ODHIAMBO</t>
  </si>
  <si>
    <t>BILHA NGANGA</t>
  </si>
  <si>
    <t>PATRICK GESIMBA</t>
  </si>
  <si>
    <t>EDWARD OWUOR</t>
  </si>
  <si>
    <t>JAMES MWONGELA</t>
  </si>
  <si>
    <t>IRENE MULEE</t>
  </si>
  <si>
    <t>NAMELESS</t>
  </si>
  <si>
    <t>ANN MUMBI</t>
  </si>
  <si>
    <t>ISAWE ISADIA</t>
  </si>
  <si>
    <t>WALTER ODERA</t>
  </si>
  <si>
    <t>JOHN KIARIE</t>
  </si>
  <si>
    <t xml:space="preserve">GIBSON MWAGUHA </t>
  </si>
  <si>
    <t>CRISPLE IMBABAE</t>
  </si>
  <si>
    <t>JOHN MWILU</t>
  </si>
  <si>
    <t>EVERLINE AWUOR</t>
  </si>
  <si>
    <t>MARY ATEKA</t>
  </si>
  <si>
    <t>JOSPHINE MOSAMBA</t>
  </si>
  <si>
    <t>PAULINE THIONGO</t>
  </si>
  <si>
    <t>PAID TIL JAN</t>
  </si>
  <si>
    <t>CR</t>
  </si>
  <si>
    <t>EXPECTED</t>
  </si>
  <si>
    <t>PAID</t>
  </si>
  <si>
    <t>NICHOLAS GATAKA PLOT2</t>
  </si>
  <si>
    <t>NICHOLAS KIPNGETICH</t>
  </si>
  <si>
    <t>ERICK OMONDI</t>
  </si>
  <si>
    <t>LOVIAN OLOO</t>
  </si>
  <si>
    <t>JOHN KEMBOI</t>
  </si>
  <si>
    <t>PAID ON 19/1</t>
  </si>
  <si>
    <t>PAID ON 21/1</t>
  </si>
  <si>
    <t>PAID ON  25/1</t>
  </si>
  <si>
    <t>LOCKED</t>
  </si>
  <si>
    <t>FOR THE MONTH OF FEBRUARY 2021</t>
  </si>
  <si>
    <t>D1LOCKED</t>
  </si>
  <si>
    <t>PAID ON 5/2</t>
  </si>
  <si>
    <t>RONNY</t>
  </si>
  <si>
    <t>PAID ON 17/2</t>
  </si>
  <si>
    <t>PAID ON 23/2</t>
  </si>
  <si>
    <t>DI LOCKED</t>
  </si>
  <si>
    <t>EDWARD PAID LL</t>
  </si>
  <si>
    <t>FOR THE MONTH OF MARCH 2021</t>
  </si>
  <si>
    <t>PAID ON 15/3</t>
  </si>
  <si>
    <t>COMM</t>
  </si>
  <si>
    <t>FOR THE MONTH OF APRIL 2021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</si>
  <si>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</si>
  <si>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PAID ON 30/3</t>
  </si>
  <si>
    <t>NEW</t>
  </si>
  <si>
    <t>PAID ON 17/4</t>
  </si>
  <si>
    <t>PAID ON 26/4</t>
  </si>
  <si>
    <t>FOR THE MONTH OF MAY 2021</t>
  </si>
  <si>
    <t>Rawllings adhola</t>
  </si>
  <si>
    <t>THOMAS</t>
  </si>
  <si>
    <t>PAID ON 15/5</t>
  </si>
  <si>
    <t>PAID ON 24/5</t>
  </si>
  <si>
    <t>FOR THE MONTH OF JUNE 2021</t>
  </si>
  <si>
    <t>DEPOSIT REFUND CYTHIA C9</t>
  </si>
  <si>
    <t>PAID ON 17/6</t>
  </si>
  <si>
    <t>VACC</t>
  </si>
  <si>
    <t>FOR THE MONTH OF JULY 2021</t>
  </si>
  <si>
    <t>ALICE NJERI</t>
  </si>
  <si>
    <t>ARREARS +DEP</t>
  </si>
  <si>
    <t>PETER</t>
  </si>
  <si>
    <t>PAID ON 17/7</t>
  </si>
  <si>
    <t>PAID ON 15/7</t>
  </si>
  <si>
    <t>FOR THE MONTH OF AUGUST 2021</t>
  </si>
  <si>
    <t>PAID ON23/8</t>
  </si>
  <si>
    <t>PAID ON 23/7</t>
  </si>
  <si>
    <t>PAULINE AKINYI</t>
  </si>
  <si>
    <t>balance</t>
  </si>
  <si>
    <t>PAID ON 20/8</t>
  </si>
  <si>
    <t>FOR THE MONTH OF SEPTEMBER 2021</t>
  </si>
  <si>
    <t>SEPT</t>
  </si>
  <si>
    <t>A/C NO:1440180892781</t>
  </si>
  <si>
    <t>BYRON OCHIENG</t>
  </si>
  <si>
    <t>PAID ON 7/9</t>
  </si>
  <si>
    <t>PAID ON 20/9</t>
  </si>
  <si>
    <t>VACCATED</t>
  </si>
  <si>
    <t>ANNASTATIA KAMATU</t>
  </si>
  <si>
    <t>FOR THE MONTH OF NOVEMBER 2021</t>
  </si>
  <si>
    <t>FOR THE MONTH OF OCTOBER 2021</t>
  </si>
  <si>
    <t>NOV</t>
  </si>
  <si>
    <t>PAID ON 6/10</t>
  </si>
  <si>
    <t>PAID ON 15/10</t>
  </si>
  <si>
    <t>PAID ON 28/10</t>
  </si>
  <si>
    <t>D8 RAWLINGS ARREARS PAID LL</t>
  </si>
  <si>
    <t>PAID ON 8/11</t>
  </si>
  <si>
    <t>PAID ON 13/11</t>
  </si>
  <si>
    <t>HESBON</t>
  </si>
  <si>
    <t>SAMUEL OTIENO</t>
  </si>
  <si>
    <t>PAID ON 30/11</t>
  </si>
  <si>
    <t>PAID ON 10/12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</si>
</sst>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1A8600"/>
      <name val="Times New Roman"/>
      <family val="1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1" fillId="0" borderId="1" xfId="0" applyFont="1" applyBorder="1"/>
    <xf numFmtId="0" fontId="0" fillId="0" borderId="1" xfId="0" applyBorder="1"/>
    <xf numFmtId="0" fontId="0" fillId="0" borderId="2" xfId="0" applyFill="1" applyBorder="1"/>
    <xf numFmtId="0" fontId="5" fillId="0" borderId="1" xfId="0" applyFont="1" applyBorder="1"/>
    <xf numFmtId="0" fontId="1" fillId="0" borderId="1" xfId="0" applyFont="1" applyBorder="1" applyAlignment="1">
      <alignment horizontal="right"/>
    </xf>
    <xf numFmtId="0" fontId="0" fillId="0" borderId="0" xfId="0" applyBorder="1"/>
    <xf numFmtId="0" fontId="6" fillId="0" borderId="0" xfId="0" applyFont="1" applyBorder="1"/>
    <xf numFmtId="0" fontId="5" fillId="0" borderId="0" xfId="0" applyFont="1" applyBorder="1"/>
    <xf numFmtId="0" fontId="5" fillId="0" borderId="0" xfId="0" applyFont="1"/>
    <xf numFmtId="0" fontId="7" fillId="0" borderId="1" xfId="0" applyFont="1" applyBorder="1"/>
    <xf numFmtId="3" fontId="5" fillId="0" borderId="1" xfId="0" applyNumberFormat="1" applyFont="1" applyBorder="1"/>
    <xf numFmtId="9" fontId="5" fillId="0" borderId="1" xfId="0" applyNumberFormat="1" applyFont="1" applyBorder="1"/>
    <xf numFmtId="4" fontId="5" fillId="0" borderId="1" xfId="0" applyNumberFormat="1" applyFont="1" applyBorder="1"/>
    <xf numFmtId="0" fontId="8" fillId="0" borderId="1" xfId="0" applyFont="1" applyFill="1" applyBorder="1"/>
    <xf numFmtId="14" fontId="5" fillId="0" borderId="1" xfId="0" applyNumberFormat="1" applyFont="1" applyBorder="1"/>
    <xf numFmtId="9" fontId="0" fillId="0" borderId="1" xfId="0" applyNumberFormat="1" applyBorder="1"/>
    <xf numFmtId="0" fontId="8" fillId="0" borderId="1" xfId="0" applyFont="1" applyBorder="1"/>
    <xf numFmtId="3" fontId="8" fillId="0" borderId="1" xfId="0" applyNumberFormat="1" applyFont="1" applyBorder="1"/>
    <xf numFmtId="4" fontId="8" fillId="0" borderId="1" xfId="0" applyNumberFormat="1" applyFont="1" applyBorder="1"/>
    <xf numFmtId="0" fontId="7" fillId="0" borderId="3" xfId="0" applyFont="1" applyFill="1" applyBorder="1"/>
    <xf numFmtId="3" fontId="0" fillId="0" borderId="0" xfId="0" applyNumberFormat="1"/>
    <xf numFmtId="0" fontId="10" fillId="0" borderId="0" xfId="0" applyFont="1"/>
    <xf numFmtId="0" fontId="0" fillId="0" borderId="0" xfId="0" applyFont="1"/>
    <xf numFmtId="0" fontId="11" fillId="0" borderId="0" xfId="0" applyFont="1" applyAlignment="1">
      <alignment horizontal="left" vertical="center"/>
    </xf>
    <xf numFmtId="0" fontId="0" fillId="0" borderId="1" xfId="0" applyFont="1" applyBorder="1"/>
    <xf numFmtId="0" fontId="0" fillId="0" borderId="2" xfId="0" applyFont="1" applyFill="1" applyBorder="1"/>
    <xf numFmtId="0" fontId="0" fillId="0" borderId="0" xfId="0" applyFont="1" applyBorder="1"/>
    <xf numFmtId="0" fontId="12" fillId="0" borderId="0" xfId="0" applyFont="1" applyBorder="1"/>
    <xf numFmtId="0" fontId="9" fillId="0" borderId="1" xfId="0" applyFont="1" applyBorder="1"/>
    <xf numFmtId="0" fontId="9" fillId="0" borderId="3" xfId="0" applyFont="1" applyFill="1" applyBorder="1"/>
    <xf numFmtId="3" fontId="0" fillId="0" borderId="1" xfId="0" applyNumberFormat="1" applyFont="1" applyBorder="1"/>
    <xf numFmtId="9" fontId="0" fillId="0" borderId="1" xfId="0" applyNumberFormat="1" applyFont="1" applyBorder="1"/>
    <xf numFmtId="4" fontId="0" fillId="0" borderId="1" xfId="0" applyNumberFormat="1" applyFont="1" applyBorder="1"/>
    <xf numFmtId="0" fontId="1" fillId="0" borderId="1" xfId="0" applyFont="1" applyFill="1" applyBorder="1"/>
    <xf numFmtId="14" fontId="0" fillId="0" borderId="1" xfId="0" applyNumberFormat="1" applyFont="1" applyBorder="1"/>
    <xf numFmtId="3" fontId="1" fillId="0" borderId="1" xfId="0" applyNumberFormat="1" applyFont="1" applyBorder="1"/>
    <xf numFmtId="4" fontId="1" fillId="0" borderId="1" xfId="0" applyNumberFormat="1" applyFont="1" applyBorder="1"/>
    <xf numFmtId="0" fontId="1" fillId="0" borderId="2" xfId="0" applyFont="1" applyFill="1" applyBorder="1"/>
    <xf numFmtId="0" fontId="8" fillId="0" borderId="0" xfId="0" applyFont="1" applyBorder="1"/>
    <xf numFmtId="0" fontId="13" fillId="0" borderId="1" xfId="0" applyFont="1" applyBorder="1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6"/>
  <sheetViews>
    <sheetView topLeftCell="A13" workbookViewId="0"/>
  </sheetViews>
  <sheetFormatPr defaultRowHeight="15" x14ac:dyDescent="0.25"/>
  <sheetData>
    <row r="1" spans="1:26" ht="18.75" x14ac:dyDescent="0.25">
      <c r="E1" s="1" t="s">
        <v>50</v>
      </c>
      <c r="F1" s="2"/>
      <c r="G1" s="3"/>
      <c r="H1" s="4"/>
      <c r="S1" s="1" t="s">
        <v>50</v>
      </c>
      <c r="T1" s="2"/>
      <c r="U1" s="3"/>
      <c r="V1" s="4"/>
    </row>
    <row r="2" spans="1:26" ht="18.75" x14ac:dyDescent="0.25">
      <c r="E2" s="1" t="s">
        <v>0</v>
      </c>
      <c r="F2" s="1"/>
      <c r="G2" s="5"/>
      <c r="H2" s="5"/>
      <c r="S2" s="1" t="s">
        <v>0</v>
      </c>
      <c r="T2" s="1"/>
      <c r="U2" s="5"/>
      <c r="V2" s="5"/>
    </row>
    <row r="3" spans="1:26" ht="18.75" x14ac:dyDescent="0.25">
      <c r="E3" s="1" t="s">
        <v>1</v>
      </c>
      <c r="F3" s="1"/>
      <c r="G3" s="5"/>
      <c r="H3" s="5"/>
      <c r="S3" s="1" t="s">
        <v>1</v>
      </c>
      <c r="T3" s="1"/>
      <c r="U3" s="5"/>
      <c r="V3" s="5"/>
    </row>
    <row r="4" spans="1:26" x14ac:dyDescent="0.25">
      <c r="A4" s="6" t="s">
        <v>2</v>
      </c>
      <c r="B4" s="6" t="s">
        <v>3</v>
      </c>
      <c r="C4" s="6"/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  <c r="K4" s="6" t="s">
        <v>79</v>
      </c>
      <c r="O4" s="6" t="s">
        <v>2</v>
      </c>
      <c r="P4" s="6" t="s">
        <v>3</v>
      </c>
      <c r="Q4" s="6"/>
      <c r="R4" s="6" t="s">
        <v>4</v>
      </c>
      <c r="S4" s="6" t="s">
        <v>5</v>
      </c>
      <c r="T4" s="6" t="s">
        <v>6</v>
      </c>
      <c r="U4" s="6" t="s">
        <v>7</v>
      </c>
      <c r="V4" s="6" t="s">
        <v>8</v>
      </c>
      <c r="W4" s="6" t="s">
        <v>9</v>
      </c>
      <c r="X4" s="6" t="s">
        <v>10</v>
      </c>
      <c r="Y4" s="6" t="s">
        <v>79</v>
      </c>
    </row>
    <row r="5" spans="1:26" x14ac:dyDescent="0.25">
      <c r="A5" s="7" t="s">
        <v>30</v>
      </c>
      <c r="B5" s="7" t="s">
        <v>51</v>
      </c>
      <c r="C5" s="7"/>
      <c r="D5" s="7"/>
      <c r="E5" s="7">
        <v>4500</v>
      </c>
      <c r="F5" s="7">
        <v>1350</v>
      </c>
      <c r="G5" s="7">
        <f>C5+D5+E5+F5</f>
        <v>5850</v>
      </c>
      <c r="H5" s="7">
        <v>4950</v>
      </c>
      <c r="I5" s="7">
        <f>G5-H5</f>
        <v>900</v>
      </c>
      <c r="J5" s="7">
        <v>450</v>
      </c>
      <c r="K5" s="7"/>
      <c r="O5" s="7" t="s">
        <v>30</v>
      </c>
      <c r="P5" s="7" t="s">
        <v>51</v>
      </c>
      <c r="Q5" s="7"/>
      <c r="R5" s="7"/>
      <c r="S5" s="7">
        <v>4500</v>
      </c>
      <c r="T5" s="7">
        <v>1350</v>
      </c>
      <c r="U5" s="7">
        <f>Q5+R5+S5+T5</f>
        <v>5850</v>
      </c>
      <c r="V5" s="7">
        <v>4950</v>
      </c>
      <c r="W5" s="7">
        <f t="shared" ref="W5:W12" si="0">U5-V5</f>
        <v>900</v>
      </c>
      <c r="X5" s="7">
        <v>450</v>
      </c>
      <c r="Y5" s="7"/>
    </row>
    <row r="6" spans="1:26" x14ac:dyDescent="0.25">
      <c r="A6" s="7" t="s">
        <v>31</v>
      </c>
      <c r="B6" s="7" t="s">
        <v>52</v>
      </c>
      <c r="C6" s="7"/>
      <c r="D6" s="7"/>
      <c r="E6" s="7">
        <v>3000</v>
      </c>
      <c r="F6" s="7">
        <v>300</v>
      </c>
      <c r="G6" s="7">
        <f t="shared" ref="G6:G25" si="1">C6+D6+E6+F6</f>
        <v>3300</v>
      </c>
      <c r="H6" s="7">
        <v>3300</v>
      </c>
      <c r="I6" s="7">
        <f t="shared" ref="I6:I23" si="2">G6-H6</f>
        <v>0</v>
      </c>
      <c r="J6" s="7"/>
      <c r="K6" s="7">
        <v>300</v>
      </c>
      <c r="O6" s="7" t="s">
        <v>31</v>
      </c>
      <c r="P6" s="7" t="s">
        <v>52</v>
      </c>
      <c r="Q6" s="7"/>
      <c r="R6" s="7"/>
      <c r="S6" s="7">
        <v>3000</v>
      </c>
      <c r="T6" s="7">
        <v>300</v>
      </c>
      <c r="U6" s="7">
        <f>Q6+R6+S6+T6</f>
        <v>3300</v>
      </c>
      <c r="V6" s="7">
        <v>3300</v>
      </c>
      <c r="W6" s="7">
        <f t="shared" si="0"/>
        <v>0</v>
      </c>
      <c r="X6" s="7"/>
      <c r="Y6" s="7">
        <v>300</v>
      </c>
    </row>
    <row r="7" spans="1:26" x14ac:dyDescent="0.25">
      <c r="A7" s="7" t="s">
        <v>32</v>
      </c>
      <c r="B7" s="7" t="s">
        <v>76</v>
      </c>
      <c r="C7" s="7"/>
      <c r="D7" s="7"/>
      <c r="E7" s="7"/>
      <c r="F7" s="7"/>
      <c r="G7" s="7">
        <f t="shared" si="1"/>
        <v>0</v>
      </c>
      <c r="H7" s="7"/>
      <c r="I7" s="7">
        <f t="shared" si="2"/>
        <v>0</v>
      </c>
      <c r="J7" s="7"/>
      <c r="K7" s="7"/>
      <c r="O7" s="7" t="s">
        <v>32</v>
      </c>
      <c r="P7" s="7" t="s">
        <v>76</v>
      </c>
      <c r="Q7" s="7"/>
      <c r="R7" s="7"/>
      <c r="S7" s="7"/>
      <c r="T7" s="7"/>
      <c r="U7" s="7">
        <f>Q7+R7+S7+T7</f>
        <v>0</v>
      </c>
      <c r="V7" s="7"/>
      <c r="W7" s="7">
        <f t="shared" si="0"/>
        <v>0</v>
      </c>
      <c r="X7" s="7"/>
      <c r="Y7" s="7"/>
    </row>
    <row r="8" spans="1:26" x14ac:dyDescent="0.25">
      <c r="A8" s="7" t="s">
        <v>33</v>
      </c>
      <c r="B8" s="7" t="s">
        <v>53</v>
      </c>
      <c r="C8" s="7"/>
      <c r="D8" s="7"/>
      <c r="E8" s="7">
        <v>6500</v>
      </c>
      <c r="F8" s="7">
        <v>150</v>
      </c>
      <c r="G8" s="7">
        <f>C8+D8+E8+F8</f>
        <v>6650</v>
      </c>
      <c r="H8" s="7">
        <v>6650</v>
      </c>
      <c r="I8" s="7">
        <f t="shared" si="2"/>
        <v>0</v>
      </c>
      <c r="J8" s="7"/>
      <c r="K8" s="7">
        <v>150</v>
      </c>
      <c r="O8" s="7" t="s">
        <v>33</v>
      </c>
      <c r="P8" s="7" t="s">
        <v>53</v>
      </c>
      <c r="Q8" s="7"/>
      <c r="R8" s="7"/>
      <c r="S8" s="7">
        <v>6500</v>
      </c>
      <c r="T8" s="7">
        <v>150</v>
      </c>
      <c r="U8" s="7">
        <f>Q8+R8+S8+T8</f>
        <v>6650</v>
      </c>
      <c r="V8" s="7">
        <v>6650</v>
      </c>
      <c r="W8" s="7">
        <f t="shared" si="0"/>
        <v>0</v>
      </c>
      <c r="X8" s="7"/>
      <c r="Y8" s="7">
        <v>150</v>
      </c>
    </row>
    <row r="9" spans="1:26" x14ac:dyDescent="0.25">
      <c r="A9" s="7" t="s">
        <v>34</v>
      </c>
      <c r="B9" s="7" t="s">
        <v>54</v>
      </c>
      <c r="C9" s="7"/>
      <c r="D9" s="7"/>
      <c r="E9" s="7">
        <v>6500</v>
      </c>
      <c r="F9" s="7">
        <v>650</v>
      </c>
      <c r="G9" s="7">
        <f t="shared" si="1"/>
        <v>7150</v>
      </c>
      <c r="H9" s="7">
        <v>7150</v>
      </c>
      <c r="I9" s="7">
        <f t="shared" si="2"/>
        <v>0</v>
      </c>
      <c r="J9" s="7"/>
      <c r="K9" s="7">
        <v>650</v>
      </c>
      <c r="O9" s="7" t="s">
        <v>34</v>
      </c>
      <c r="P9" s="7" t="s">
        <v>54</v>
      </c>
      <c r="Q9" s="7"/>
      <c r="R9" s="7"/>
      <c r="S9" s="7">
        <v>6500</v>
      </c>
      <c r="T9" s="7">
        <v>650</v>
      </c>
      <c r="U9" s="7">
        <f t="shared" ref="U9:U25" si="3">Q9+R9+S9+T9</f>
        <v>7150</v>
      </c>
      <c r="V9" s="7">
        <v>7150</v>
      </c>
      <c r="W9" s="7">
        <f t="shared" si="0"/>
        <v>0</v>
      </c>
      <c r="X9" s="7"/>
      <c r="Y9" s="7">
        <v>650</v>
      </c>
    </row>
    <row r="10" spans="1:26" x14ac:dyDescent="0.25">
      <c r="A10" s="7" t="s">
        <v>35</v>
      </c>
      <c r="B10" s="7" t="s">
        <v>55</v>
      </c>
      <c r="C10" s="7"/>
      <c r="D10" s="7"/>
      <c r="E10" s="7"/>
      <c r="F10" s="7"/>
      <c r="G10" s="7">
        <f t="shared" si="1"/>
        <v>0</v>
      </c>
      <c r="H10" s="7"/>
      <c r="I10" s="7">
        <f>G10-H10</f>
        <v>0</v>
      </c>
      <c r="J10" s="7"/>
      <c r="K10" s="7"/>
      <c r="L10" t="s">
        <v>85</v>
      </c>
      <c r="O10" s="7" t="s">
        <v>35</v>
      </c>
      <c r="P10" s="7" t="s">
        <v>55</v>
      </c>
      <c r="Q10" s="7"/>
      <c r="R10" s="7"/>
      <c r="S10" s="7">
        <v>9000</v>
      </c>
      <c r="T10" s="7">
        <v>600</v>
      </c>
      <c r="U10" s="7">
        <f t="shared" si="3"/>
        <v>9600</v>
      </c>
      <c r="V10" s="7">
        <v>9600</v>
      </c>
      <c r="W10" s="7">
        <f t="shared" si="0"/>
        <v>0</v>
      </c>
      <c r="X10" s="7"/>
      <c r="Y10" s="7" t="s">
        <v>60</v>
      </c>
      <c r="Z10" t="s">
        <v>60</v>
      </c>
    </row>
    <row r="11" spans="1:26" x14ac:dyDescent="0.25">
      <c r="A11" s="7" t="s">
        <v>36</v>
      </c>
      <c r="B11" s="7" t="s">
        <v>56</v>
      </c>
      <c r="C11" s="7"/>
      <c r="D11" s="7"/>
      <c r="E11" s="7">
        <v>7000</v>
      </c>
      <c r="F11" s="7">
        <v>2050</v>
      </c>
      <c r="G11" s="7">
        <f t="shared" si="1"/>
        <v>9050</v>
      </c>
      <c r="H11" s="7">
        <v>9050</v>
      </c>
      <c r="I11" s="7">
        <f t="shared" si="2"/>
        <v>0</v>
      </c>
      <c r="J11" s="7">
        <v>2050</v>
      </c>
      <c r="K11" s="7"/>
      <c r="O11" s="7" t="s">
        <v>36</v>
      </c>
      <c r="P11" s="7" t="s">
        <v>56</v>
      </c>
      <c r="Q11" s="7"/>
      <c r="R11" s="7"/>
      <c r="S11" s="7">
        <v>7000</v>
      </c>
      <c r="T11" s="7">
        <v>2050</v>
      </c>
      <c r="U11" s="7">
        <f t="shared" si="3"/>
        <v>9050</v>
      </c>
      <c r="V11" s="7">
        <v>9050</v>
      </c>
      <c r="W11" s="7">
        <f t="shared" si="0"/>
        <v>0</v>
      </c>
      <c r="X11" s="7">
        <v>2050</v>
      </c>
      <c r="Y11" s="7"/>
    </row>
    <row r="12" spans="1:26" x14ac:dyDescent="0.25">
      <c r="A12" s="7" t="s">
        <v>37</v>
      </c>
      <c r="B12" s="8" t="s">
        <v>65</v>
      </c>
      <c r="C12" s="7"/>
      <c r="D12" s="7"/>
      <c r="E12" s="7">
        <v>4500</v>
      </c>
      <c r="F12" s="7">
        <v>600</v>
      </c>
      <c r="G12" s="7">
        <f t="shared" si="1"/>
        <v>5100</v>
      </c>
      <c r="H12" s="7">
        <v>5000</v>
      </c>
      <c r="I12" s="7">
        <f>G12-H12</f>
        <v>100</v>
      </c>
      <c r="J12" s="7">
        <v>500</v>
      </c>
      <c r="K12" s="7"/>
      <c r="O12" s="7" t="s">
        <v>37</v>
      </c>
      <c r="P12" s="8" t="s">
        <v>65</v>
      </c>
      <c r="Q12" s="7"/>
      <c r="R12" s="7"/>
      <c r="S12" s="7">
        <v>4500</v>
      </c>
      <c r="T12" s="7">
        <v>600</v>
      </c>
      <c r="U12" s="7">
        <f t="shared" si="3"/>
        <v>5100</v>
      </c>
      <c r="V12" s="7">
        <v>5000</v>
      </c>
      <c r="W12" s="7">
        <f t="shared" si="0"/>
        <v>100</v>
      </c>
      <c r="X12" s="7">
        <v>500</v>
      </c>
      <c r="Y12" s="7"/>
    </row>
    <row r="13" spans="1:26" x14ac:dyDescent="0.25">
      <c r="A13" s="7" t="s">
        <v>38</v>
      </c>
      <c r="B13" s="7" t="s">
        <v>68</v>
      </c>
      <c r="C13" s="7"/>
      <c r="D13" s="7"/>
      <c r="E13" s="7">
        <v>7500</v>
      </c>
      <c r="F13" s="7">
        <v>9600</v>
      </c>
      <c r="G13" s="7">
        <f t="shared" si="1"/>
        <v>17100</v>
      </c>
      <c r="H13" s="7">
        <v>9450</v>
      </c>
      <c r="I13" s="7">
        <f t="shared" si="2"/>
        <v>7650</v>
      </c>
      <c r="J13" s="7">
        <v>1950</v>
      </c>
      <c r="K13" s="7"/>
      <c r="L13" t="s">
        <v>90</v>
      </c>
      <c r="O13" s="7" t="s">
        <v>38</v>
      </c>
      <c r="P13" s="7" t="s">
        <v>68</v>
      </c>
      <c r="Q13" s="7"/>
      <c r="R13" s="7"/>
      <c r="S13" s="7">
        <v>7500</v>
      </c>
      <c r="T13" s="7">
        <v>9600</v>
      </c>
      <c r="U13" s="7">
        <f t="shared" si="3"/>
        <v>17100</v>
      </c>
      <c r="V13" s="7">
        <f>9450+7650</f>
        <v>17100</v>
      </c>
      <c r="W13" s="7">
        <f t="shared" ref="W13:W21" si="4">U13-V13</f>
        <v>0</v>
      </c>
      <c r="X13" s="7">
        <v>1950</v>
      </c>
      <c r="Y13" s="7"/>
      <c r="Z13" t="s">
        <v>91</v>
      </c>
    </row>
    <row r="14" spans="1:26" x14ac:dyDescent="0.25">
      <c r="A14" s="7" t="s">
        <v>39</v>
      </c>
      <c r="B14" s="7" t="s">
        <v>70</v>
      </c>
      <c r="C14" s="7"/>
      <c r="D14" s="7"/>
      <c r="E14" s="7">
        <v>4200</v>
      </c>
      <c r="F14" s="7">
        <v>9700</v>
      </c>
      <c r="G14" s="7">
        <f t="shared" si="1"/>
        <v>13900</v>
      </c>
      <c r="H14" s="7">
        <f>4200</f>
        <v>4200</v>
      </c>
      <c r="I14" s="7">
        <f>G14-H14</f>
        <v>9700</v>
      </c>
      <c r="J14" s="7"/>
      <c r="K14" s="7"/>
      <c r="L14" t="s">
        <v>83</v>
      </c>
      <c r="O14" s="7" t="s">
        <v>39</v>
      </c>
      <c r="P14" s="7" t="s">
        <v>70</v>
      </c>
      <c r="Q14" s="7"/>
      <c r="R14" s="7"/>
      <c r="S14" s="7">
        <v>6500</v>
      </c>
      <c r="T14" s="7">
        <v>9700</v>
      </c>
      <c r="U14" s="7">
        <f t="shared" si="3"/>
        <v>16200</v>
      </c>
      <c r="V14" s="7">
        <f>4200+11650</f>
        <v>15850</v>
      </c>
      <c r="W14" s="7">
        <f t="shared" si="4"/>
        <v>350</v>
      </c>
      <c r="X14" s="7"/>
      <c r="Y14" s="7"/>
      <c r="Z14" t="s">
        <v>83</v>
      </c>
    </row>
    <row r="15" spans="1:26" x14ac:dyDescent="0.25">
      <c r="A15" s="7" t="s">
        <v>40</v>
      </c>
      <c r="B15" s="7" t="s">
        <v>57</v>
      </c>
      <c r="C15" s="7"/>
      <c r="D15" s="7"/>
      <c r="E15" s="7">
        <v>6500</v>
      </c>
      <c r="F15" s="7"/>
      <c r="G15" s="7">
        <f t="shared" si="1"/>
        <v>6500</v>
      </c>
      <c r="H15" s="7">
        <v>6500</v>
      </c>
      <c r="I15" s="7">
        <f t="shared" si="2"/>
        <v>0</v>
      </c>
      <c r="J15" s="7"/>
      <c r="K15" s="7"/>
      <c r="O15" s="7" t="s">
        <v>40</v>
      </c>
      <c r="P15" s="7" t="s">
        <v>84</v>
      </c>
      <c r="Q15" s="7"/>
      <c r="R15" s="7"/>
      <c r="S15" s="7">
        <v>6500</v>
      </c>
      <c r="T15" s="7"/>
      <c r="U15" s="7">
        <f t="shared" si="3"/>
        <v>6500</v>
      </c>
      <c r="V15" s="7">
        <v>6500</v>
      </c>
      <c r="W15" s="7">
        <f t="shared" si="4"/>
        <v>0</v>
      </c>
      <c r="X15" s="7"/>
      <c r="Y15" s="7"/>
    </row>
    <row r="16" spans="1:26" x14ac:dyDescent="0.25">
      <c r="A16" s="7" t="s">
        <v>41</v>
      </c>
      <c r="B16" s="7" t="s">
        <v>58</v>
      </c>
      <c r="C16" s="7"/>
      <c r="D16" s="7"/>
      <c r="E16" s="7">
        <v>7000</v>
      </c>
      <c r="F16" s="7">
        <v>300</v>
      </c>
      <c r="G16" s="7">
        <f t="shared" si="1"/>
        <v>7300</v>
      </c>
      <c r="H16" s="7">
        <v>7300</v>
      </c>
      <c r="I16" s="7">
        <f t="shared" si="2"/>
        <v>0</v>
      </c>
      <c r="J16" s="7"/>
      <c r="K16" s="7">
        <v>300</v>
      </c>
      <c r="O16" s="7" t="s">
        <v>41</v>
      </c>
      <c r="P16" s="7" t="s">
        <v>58</v>
      </c>
      <c r="Q16" s="7"/>
      <c r="R16" s="7"/>
      <c r="S16" s="7">
        <v>7000</v>
      </c>
      <c r="T16" s="7">
        <v>300</v>
      </c>
      <c r="U16" s="7">
        <f t="shared" si="3"/>
        <v>7300</v>
      </c>
      <c r="V16" s="7">
        <v>7300</v>
      </c>
      <c r="W16" s="7">
        <f t="shared" si="4"/>
        <v>0</v>
      </c>
      <c r="X16" s="7"/>
      <c r="Y16" s="7">
        <v>300</v>
      </c>
    </row>
    <row r="17" spans="1:26" x14ac:dyDescent="0.25">
      <c r="A17" s="7" t="s">
        <v>42</v>
      </c>
      <c r="B17" s="7" t="s">
        <v>59</v>
      </c>
      <c r="C17" s="7"/>
      <c r="D17" s="7"/>
      <c r="E17" s="7">
        <v>7000</v>
      </c>
      <c r="F17" s="7">
        <v>5850</v>
      </c>
      <c r="G17" s="7">
        <f t="shared" si="1"/>
        <v>12850</v>
      </c>
      <c r="H17" s="7">
        <v>7000</v>
      </c>
      <c r="I17" s="7">
        <f t="shared" si="2"/>
        <v>5850</v>
      </c>
      <c r="J17" s="7"/>
      <c r="K17" s="7"/>
      <c r="O17" s="7" t="s">
        <v>42</v>
      </c>
      <c r="P17" s="7" t="s">
        <v>59</v>
      </c>
      <c r="Q17" s="7"/>
      <c r="R17" s="7"/>
      <c r="S17" s="7">
        <v>7000</v>
      </c>
      <c r="T17" s="7">
        <v>5850</v>
      </c>
      <c r="U17" s="7">
        <f t="shared" si="3"/>
        <v>12850</v>
      </c>
      <c r="V17" s="7">
        <v>7000</v>
      </c>
      <c r="W17" s="7">
        <f t="shared" si="4"/>
        <v>5850</v>
      </c>
      <c r="X17" s="7"/>
      <c r="Y17" s="7"/>
    </row>
    <row r="18" spans="1:26" x14ac:dyDescent="0.25">
      <c r="A18" s="7" t="s">
        <v>43</v>
      </c>
      <c r="B18" s="7" t="s">
        <v>60</v>
      </c>
      <c r="C18" s="7"/>
      <c r="D18" s="7"/>
      <c r="E18" s="7"/>
      <c r="F18" s="7"/>
      <c r="G18" s="7">
        <f t="shared" si="1"/>
        <v>0</v>
      </c>
      <c r="H18" s="7"/>
      <c r="I18" s="7">
        <f t="shared" si="2"/>
        <v>0</v>
      </c>
      <c r="J18" s="7"/>
      <c r="K18" s="7"/>
      <c r="O18" s="7" t="s">
        <v>43</v>
      </c>
      <c r="P18" s="7" t="s">
        <v>60</v>
      </c>
      <c r="Q18" s="7"/>
      <c r="R18" s="7"/>
      <c r="S18" s="7"/>
      <c r="T18" s="7"/>
      <c r="U18" s="7">
        <f t="shared" si="3"/>
        <v>0</v>
      </c>
      <c r="V18" s="7"/>
      <c r="W18" s="7">
        <f t="shared" si="4"/>
        <v>0</v>
      </c>
      <c r="X18" s="7"/>
      <c r="Y18" s="7"/>
    </row>
    <row r="19" spans="1:26" x14ac:dyDescent="0.25">
      <c r="A19" s="7" t="s">
        <v>44</v>
      </c>
      <c r="B19" s="9" t="s">
        <v>61</v>
      </c>
      <c r="C19" s="7"/>
      <c r="D19" s="7"/>
      <c r="E19" s="7">
        <v>7000</v>
      </c>
      <c r="F19" s="7">
        <v>300</v>
      </c>
      <c r="G19" s="7">
        <f t="shared" si="1"/>
        <v>7300</v>
      </c>
      <c r="H19" s="7">
        <v>7300</v>
      </c>
      <c r="I19" s="7">
        <f t="shared" si="2"/>
        <v>0</v>
      </c>
      <c r="J19" s="7"/>
      <c r="K19" s="7">
        <v>300</v>
      </c>
      <c r="O19" s="7" t="s">
        <v>44</v>
      </c>
      <c r="P19" s="9" t="s">
        <v>61</v>
      </c>
      <c r="Q19" s="7"/>
      <c r="R19" s="7"/>
      <c r="S19" s="7">
        <v>7000</v>
      </c>
      <c r="T19" s="7">
        <v>300</v>
      </c>
      <c r="U19" s="7">
        <f t="shared" si="3"/>
        <v>7300</v>
      </c>
      <c r="V19" s="7">
        <v>7300</v>
      </c>
      <c r="W19" s="7">
        <f t="shared" si="4"/>
        <v>0</v>
      </c>
      <c r="X19" s="7"/>
      <c r="Y19" s="7">
        <v>300</v>
      </c>
    </row>
    <row r="20" spans="1:26" x14ac:dyDescent="0.25">
      <c r="A20" s="7" t="s">
        <v>45</v>
      </c>
      <c r="B20" s="7" t="s">
        <v>81</v>
      </c>
      <c r="C20" s="7"/>
      <c r="D20" s="7"/>
      <c r="E20" s="7">
        <v>6500</v>
      </c>
      <c r="F20" s="7">
        <v>42700</v>
      </c>
      <c r="G20" s="7">
        <f t="shared" si="1"/>
        <v>49200</v>
      </c>
      <c r="H20" s="7">
        <f>3000+3500+3000</f>
        <v>9500</v>
      </c>
      <c r="I20" s="7">
        <f t="shared" si="2"/>
        <v>39700</v>
      </c>
      <c r="J20" s="7">
        <v>3000</v>
      </c>
      <c r="K20" s="7"/>
      <c r="O20" s="7" t="s">
        <v>45</v>
      </c>
      <c r="P20" s="7" t="s">
        <v>62</v>
      </c>
      <c r="Q20" s="7"/>
      <c r="R20" s="7"/>
      <c r="S20" s="7">
        <v>6500</v>
      </c>
      <c r="T20" s="7">
        <v>42700</v>
      </c>
      <c r="U20" s="7">
        <f t="shared" si="3"/>
        <v>49200</v>
      </c>
      <c r="V20" s="7">
        <f>3000+3500+3000</f>
        <v>9500</v>
      </c>
      <c r="W20" s="7">
        <f t="shared" si="4"/>
        <v>39700</v>
      </c>
      <c r="X20" s="7">
        <v>3000</v>
      </c>
      <c r="Y20" s="7"/>
    </row>
    <row r="21" spans="1:26" x14ac:dyDescent="0.25">
      <c r="A21" s="7" t="s">
        <v>46</v>
      </c>
      <c r="B21" s="7" t="s">
        <v>63</v>
      </c>
      <c r="C21" s="7"/>
      <c r="D21" s="7"/>
      <c r="E21" s="7">
        <v>6200</v>
      </c>
      <c r="F21" s="7"/>
      <c r="G21" s="7">
        <f t="shared" si="1"/>
        <v>6200</v>
      </c>
      <c r="H21" s="7">
        <v>6200</v>
      </c>
      <c r="I21" s="7">
        <f t="shared" si="2"/>
        <v>0</v>
      </c>
      <c r="J21" s="7"/>
      <c r="K21" s="7"/>
      <c r="O21" s="7" t="s">
        <v>46</v>
      </c>
      <c r="P21" s="7" t="s">
        <v>63</v>
      </c>
      <c r="Q21" s="7"/>
      <c r="R21" s="7"/>
      <c r="S21" s="7">
        <v>6200</v>
      </c>
      <c r="T21" s="7"/>
      <c r="U21" s="7">
        <f t="shared" si="3"/>
        <v>6200</v>
      </c>
      <c r="V21" s="7">
        <v>6200</v>
      </c>
      <c r="W21" s="7">
        <f t="shared" si="4"/>
        <v>0</v>
      </c>
      <c r="X21" s="7"/>
      <c r="Y21" s="7"/>
    </row>
    <row r="22" spans="1:26" x14ac:dyDescent="0.25">
      <c r="A22" s="7" t="s">
        <v>47</v>
      </c>
      <c r="B22" s="7" t="s">
        <v>64</v>
      </c>
      <c r="C22" s="7"/>
      <c r="D22" s="7"/>
      <c r="E22" s="7">
        <v>7000</v>
      </c>
      <c r="F22" s="7">
        <v>450</v>
      </c>
      <c r="G22" s="7">
        <f t="shared" si="1"/>
        <v>7450</v>
      </c>
      <c r="H22" s="7">
        <v>7000</v>
      </c>
      <c r="I22" s="7">
        <f>G22-H22</f>
        <v>450</v>
      </c>
      <c r="J22" s="7"/>
      <c r="K22" s="7"/>
      <c r="L22" t="s">
        <v>75</v>
      </c>
      <c r="O22" s="7" t="s">
        <v>47</v>
      </c>
      <c r="P22" s="7" t="s">
        <v>64</v>
      </c>
      <c r="Q22" s="7"/>
      <c r="R22" s="7"/>
      <c r="S22" s="7">
        <v>7000</v>
      </c>
      <c r="T22" s="7">
        <v>450</v>
      </c>
      <c r="U22" s="7">
        <f t="shared" si="3"/>
        <v>7450</v>
      </c>
      <c r="V22" s="7">
        <v>7000</v>
      </c>
      <c r="W22" s="7">
        <f>U22-V22</f>
        <v>450</v>
      </c>
      <c r="X22" s="7"/>
      <c r="Y22" s="7" t="s">
        <v>60</v>
      </c>
      <c r="Z22" t="s">
        <v>82</v>
      </c>
    </row>
    <row r="23" spans="1:26" x14ac:dyDescent="0.25">
      <c r="A23" s="7" t="s">
        <v>66</v>
      </c>
      <c r="B23" s="7" t="s">
        <v>67</v>
      </c>
      <c r="C23" s="7"/>
      <c r="D23" s="7"/>
      <c r="E23" s="7">
        <v>7000</v>
      </c>
      <c r="F23" s="7">
        <v>28450</v>
      </c>
      <c r="G23" s="7">
        <f t="shared" si="1"/>
        <v>35450</v>
      </c>
      <c r="H23" s="7">
        <v>7450</v>
      </c>
      <c r="I23" s="7">
        <f t="shared" si="2"/>
        <v>28000</v>
      </c>
      <c r="J23" s="7"/>
      <c r="K23" s="7">
        <v>450</v>
      </c>
      <c r="O23" s="7" t="s">
        <v>66</v>
      </c>
      <c r="P23" s="7" t="s">
        <v>67</v>
      </c>
      <c r="Q23" s="7"/>
      <c r="R23" s="7"/>
      <c r="S23" s="7">
        <v>7000</v>
      </c>
      <c r="T23" s="7">
        <v>28450</v>
      </c>
      <c r="U23" s="7">
        <f t="shared" si="3"/>
        <v>35450</v>
      </c>
      <c r="V23" s="7">
        <v>7450</v>
      </c>
      <c r="W23" s="7">
        <f>U23-V23</f>
        <v>28000</v>
      </c>
      <c r="X23" s="7"/>
      <c r="Y23" s="7">
        <v>450</v>
      </c>
    </row>
    <row r="24" spans="1:26" x14ac:dyDescent="0.25">
      <c r="A24" s="7" t="s">
        <v>48</v>
      </c>
      <c r="B24" s="7" t="s">
        <v>69</v>
      </c>
      <c r="C24" s="7"/>
      <c r="D24" s="7"/>
      <c r="E24" s="7">
        <v>4500</v>
      </c>
      <c r="F24" s="7">
        <v>300</v>
      </c>
      <c r="G24" s="7">
        <f t="shared" si="1"/>
        <v>4800</v>
      </c>
      <c r="H24" s="7">
        <v>4800</v>
      </c>
      <c r="I24" s="7">
        <f>G24-H24</f>
        <v>0</v>
      </c>
      <c r="J24" s="7"/>
      <c r="K24" s="7">
        <v>300</v>
      </c>
      <c r="O24" s="7" t="s">
        <v>48</v>
      </c>
      <c r="P24" s="7" t="s">
        <v>69</v>
      </c>
      <c r="Q24" s="7"/>
      <c r="R24" s="7"/>
      <c r="S24" s="7">
        <v>4500</v>
      </c>
      <c r="T24" s="7">
        <v>300</v>
      </c>
      <c r="U24" s="7">
        <f t="shared" si="3"/>
        <v>4800</v>
      </c>
      <c r="V24" s="7">
        <v>4800</v>
      </c>
      <c r="W24" s="7">
        <f>U24-V24</f>
        <v>0</v>
      </c>
      <c r="X24" s="7"/>
      <c r="Y24" s="7">
        <v>300</v>
      </c>
    </row>
    <row r="25" spans="1:26" x14ac:dyDescent="0.25">
      <c r="A25" s="7" t="s">
        <v>49</v>
      </c>
      <c r="B25" s="7" t="s">
        <v>71</v>
      </c>
      <c r="C25" s="7"/>
      <c r="D25" s="7"/>
      <c r="E25" s="7">
        <v>3000</v>
      </c>
      <c r="F25" s="7">
        <v>150</v>
      </c>
      <c r="G25" s="7">
        <f t="shared" si="1"/>
        <v>3150</v>
      </c>
      <c r="H25" s="7"/>
      <c r="I25" s="7">
        <f>G25-H25</f>
        <v>3150</v>
      </c>
      <c r="J25" s="7"/>
      <c r="K25" s="7"/>
      <c r="L25" t="s">
        <v>72</v>
      </c>
      <c r="O25" s="7" t="s">
        <v>49</v>
      </c>
      <c r="P25" s="7" t="s">
        <v>71</v>
      </c>
      <c r="Q25" s="7"/>
      <c r="R25" s="7"/>
      <c r="S25" s="7">
        <v>8000</v>
      </c>
      <c r="T25" s="7">
        <v>150</v>
      </c>
      <c r="U25" s="7">
        <f t="shared" si="3"/>
        <v>8150</v>
      </c>
      <c r="V25" s="7">
        <v>5000</v>
      </c>
      <c r="W25" s="7">
        <f>U25-V25</f>
        <v>3150</v>
      </c>
      <c r="X25" s="7"/>
      <c r="Y25" s="7"/>
      <c r="Z25" t="s">
        <v>72</v>
      </c>
    </row>
    <row r="26" spans="1:26" x14ac:dyDescent="0.25">
      <c r="A26" s="6"/>
      <c r="B26" s="10" t="s">
        <v>12</v>
      </c>
      <c r="C26" s="10">
        <f>SUM(C4:C5)</f>
        <v>0</v>
      </c>
      <c r="D26" s="10">
        <f>SUM(D5:D25)</f>
        <v>0</v>
      </c>
      <c r="E26" s="6">
        <f>SUM(E5:E25)</f>
        <v>105400</v>
      </c>
      <c r="F26" s="7">
        <f>SUM(F5:F25)</f>
        <v>102900</v>
      </c>
      <c r="G26" s="7">
        <f>C26+D26+E26+F26</f>
        <v>208300</v>
      </c>
      <c r="H26" s="6">
        <f>SUM(H5:H25)</f>
        <v>112800</v>
      </c>
      <c r="I26" s="6">
        <f>SUM(I5:I25)</f>
        <v>95500</v>
      </c>
      <c r="J26" s="6">
        <f>SUM(J5:J25)</f>
        <v>7950</v>
      </c>
      <c r="K26" s="6">
        <f>SUM(K5:K25)</f>
        <v>2450</v>
      </c>
      <c r="O26" s="6"/>
      <c r="P26" s="10" t="s">
        <v>12</v>
      </c>
      <c r="Q26" s="10">
        <f>SUM(Q4:Q5)</f>
        <v>0</v>
      </c>
      <c r="R26" s="10">
        <f>SUM(R5:R25)</f>
        <v>0</v>
      </c>
      <c r="S26" s="6">
        <f>SUM(S5:S25)</f>
        <v>121700</v>
      </c>
      <c r="T26" s="7">
        <f>SUM(T5:T25)</f>
        <v>103500</v>
      </c>
      <c r="U26" s="7">
        <f>Q26+R26+S26+T26</f>
        <v>225200</v>
      </c>
      <c r="V26" s="6">
        <f>SUM(V5:V25)</f>
        <v>146700</v>
      </c>
      <c r="W26" s="6">
        <f>SUM(W5:W25)</f>
        <v>78500</v>
      </c>
      <c r="X26" s="6">
        <f>SUM(X5:X25)</f>
        <v>7950</v>
      </c>
      <c r="Y26" s="6">
        <f>SUM(Y5:Y25)</f>
        <v>2450</v>
      </c>
    </row>
    <row r="27" spans="1:26" x14ac:dyDescent="0.25">
      <c r="A27" s="11"/>
      <c r="I27" s="8">
        <f>E25+E13+E12+E5</f>
        <v>19500</v>
      </c>
      <c r="O27" s="11"/>
      <c r="W27" s="8">
        <f>V26-V10-V25-11650-7650</f>
        <v>112800</v>
      </c>
    </row>
    <row r="28" spans="1:26" ht="18.75" x14ac:dyDescent="0.3">
      <c r="B28" s="12" t="s">
        <v>13</v>
      </c>
      <c r="C28" s="13"/>
      <c r="D28" s="13"/>
      <c r="E28" s="13"/>
      <c r="F28" s="13"/>
      <c r="G28" s="13"/>
      <c r="H28" s="14"/>
      <c r="I28" s="14"/>
      <c r="J28">
        <f>I27-4500-4500-7500</f>
        <v>3000</v>
      </c>
      <c r="P28" s="12" t="s">
        <v>13</v>
      </c>
      <c r="Q28" s="13"/>
      <c r="R28" s="13"/>
      <c r="S28" s="13"/>
      <c r="T28" s="13"/>
      <c r="U28" s="13"/>
      <c r="V28" s="14"/>
      <c r="W28" s="14"/>
      <c r="X28">
        <f>X33+3000+3000+4200+3500</f>
        <v>105400</v>
      </c>
      <c r="Y28" t="s">
        <v>74</v>
      </c>
      <c r="Z28">
        <v>3150</v>
      </c>
    </row>
    <row r="29" spans="1:26" ht="15.75" x14ac:dyDescent="0.25">
      <c r="B29" s="15" t="s">
        <v>14</v>
      </c>
      <c r="C29" s="15" t="s">
        <v>15</v>
      </c>
      <c r="D29" s="15" t="s">
        <v>16</v>
      </c>
      <c r="E29" s="15" t="s">
        <v>17</v>
      </c>
      <c r="F29" s="15" t="s">
        <v>18</v>
      </c>
      <c r="G29" s="15" t="s">
        <v>15</v>
      </c>
      <c r="H29" s="15" t="s">
        <v>16</v>
      </c>
      <c r="I29" s="15" t="s">
        <v>17</v>
      </c>
      <c r="P29" s="15" t="s">
        <v>14</v>
      </c>
      <c r="Q29" s="15" t="s">
        <v>15</v>
      </c>
      <c r="R29" s="15" t="s">
        <v>16</v>
      </c>
      <c r="S29" s="15" t="s">
        <v>17</v>
      </c>
      <c r="T29" s="15" t="s">
        <v>18</v>
      </c>
      <c r="U29" s="15" t="s">
        <v>15</v>
      </c>
      <c r="V29" s="15" t="s">
        <v>16</v>
      </c>
      <c r="W29" s="15" t="s">
        <v>17</v>
      </c>
      <c r="Y29" s="25" t="s">
        <v>78</v>
      </c>
      <c r="Z29">
        <v>3000</v>
      </c>
    </row>
    <row r="30" spans="1:26" x14ac:dyDescent="0.25">
      <c r="B30" s="9" t="s">
        <v>19</v>
      </c>
      <c r="C30" s="16">
        <f>E26</f>
        <v>105400</v>
      </c>
      <c r="D30" s="17">
        <v>0.1</v>
      </c>
      <c r="E30" s="16"/>
      <c r="F30" s="18" t="s">
        <v>19</v>
      </c>
      <c r="G30" s="16">
        <f>H26</f>
        <v>112800</v>
      </c>
      <c r="H30" s="17">
        <v>0.1</v>
      </c>
      <c r="I30" s="9"/>
      <c r="P30" s="9" t="s">
        <v>19</v>
      </c>
      <c r="Q30" s="16">
        <f>X28</f>
        <v>105400</v>
      </c>
      <c r="R30" s="17">
        <v>0.1</v>
      </c>
      <c r="S30" s="16"/>
      <c r="T30" s="18" t="s">
        <v>19</v>
      </c>
      <c r="U30" s="16">
        <f>W27</f>
        <v>112800</v>
      </c>
      <c r="V30" s="17">
        <v>0.1</v>
      </c>
      <c r="W30" s="9"/>
    </row>
    <row r="31" spans="1:26" x14ac:dyDescent="0.25">
      <c r="B31" s="9" t="s">
        <v>20</v>
      </c>
      <c r="C31" s="16"/>
      <c r="D31" s="9"/>
      <c r="E31" s="9"/>
      <c r="F31" s="9" t="s">
        <v>20</v>
      </c>
      <c r="G31" s="16"/>
      <c r="H31" s="9"/>
      <c r="I31" s="9"/>
      <c r="P31" s="9" t="s">
        <v>20</v>
      </c>
      <c r="Q31" s="16"/>
      <c r="R31" s="9"/>
      <c r="S31" s="9"/>
      <c r="T31" s="9" t="s">
        <v>20</v>
      </c>
      <c r="U31" s="16"/>
      <c r="V31" s="9"/>
      <c r="W31" s="9"/>
    </row>
    <row r="32" spans="1:26" x14ac:dyDescent="0.25">
      <c r="B32" s="9"/>
      <c r="C32" s="16">
        <f>C26</f>
        <v>0</v>
      </c>
      <c r="D32" s="9"/>
      <c r="E32" s="9"/>
      <c r="F32" s="9"/>
      <c r="G32" s="16"/>
      <c r="H32" s="16"/>
      <c r="I32" s="9"/>
      <c r="K32" s="26">
        <f>C34+C35</f>
        <v>10400</v>
      </c>
      <c r="P32" s="9"/>
      <c r="Q32" s="16">
        <f>Q26</f>
        <v>0</v>
      </c>
      <c r="R32" s="9"/>
      <c r="S32" s="9"/>
      <c r="T32" s="9"/>
      <c r="U32" s="16"/>
      <c r="V32" s="16"/>
      <c r="W32" s="9"/>
    </row>
    <row r="33" spans="2:26" x14ac:dyDescent="0.25">
      <c r="B33" s="9"/>
      <c r="C33" s="16">
        <f>D26</f>
        <v>0</v>
      </c>
      <c r="D33" s="9"/>
      <c r="E33" s="9"/>
      <c r="F33" s="9"/>
      <c r="G33" s="16"/>
      <c r="H33" s="16"/>
      <c r="I33" s="9"/>
      <c r="P33" s="9" t="s">
        <v>4</v>
      </c>
      <c r="Q33" s="16">
        <f>R26</f>
        <v>0</v>
      </c>
      <c r="R33" s="9"/>
      <c r="S33" s="9"/>
      <c r="T33" s="9"/>
      <c r="U33" s="16"/>
      <c r="V33" s="16"/>
      <c r="W33" s="9"/>
      <c r="X33">
        <f>S26-S10-S25-S14-S20</f>
        <v>91700</v>
      </c>
      <c r="Y33" t="s">
        <v>74</v>
      </c>
      <c r="Z33">
        <f>S25</f>
        <v>8000</v>
      </c>
    </row>
    <row r="34" spans="2:26" x14ac:dyDescent="0.25">
      <c r="B34" s="9" t="s">
        <v>21</v>
      </c>
      <c r="C34" s="16">
        <f>J26</f>
        <v>7950</v>
      </c>
      <c r="D34" s="9"/>
      <c r="E34" s="9"/>
      <c r="F34" s="9"/>
      <c r="G34" s="16"/>
      <c r="H34" s="16"/>
      <c r="I34" s="9"/>
      <c r="P34" s="9" t="s">
        <v>21</v>
      </c>
      <c r="Q34" s="16">
        <f>X26</f>
        <v>7950</v>
      </c>
      <c r="R34" s="9"/>
      <c r="S34" s="9"/>
      <c r="T34" s="9"/>
      <c r="U34" s="16"/>
      <c r="V34" s="16"/>
      <c r="W34" s="9"/>
      <c r="Y34" t="s">
        <v>73</v>
      </c>
      <c r="Z34">
        <f>S10</f>
        <v>9000</v>
      </c>
    </row>
    <row r="35" spans="2:26" x14ac:dyDescent="0.25">
      <c r="B35" s="9" t="s">
        <v>11</v>
      </c>
      <c r="C35" s="16">
        <f>K26</f>
        <v>2450</v>
      </c>
      <c r="D35" s="9"/>
      <c r="E35" s="9"/>
      <c r="F35" s="9"/>
      <c r="G35" s="16"/>
      <c r="H35" s="16"/>
      <c r="I35" s="9"/>
      <c r="P35" s="9" t="s">
        <v>11</v>
      </c>
      <c r="Q35" s="16">
        <f>Y26</f>
        <v>2450</v>
      </c>
      <c r="R35" s="9"/>
      <c r="S35" s="9"/>
      <c r="T35" s="9"/>
      <c r="U35" s="16"/>
      <c r="V35" s="16"/>
      <c r="W35" s="9"/>
      <c r="Y35" t="s">
        <v>77</v>
      </c>
      <c r="Z35">
        <f>S14</f>
        <v>6500</v>
      </c>
    </row>
    <row r="36" spans="2:26" x14ac:dyDescent="0.25">
      <c r="B36" s="9" t="s">
        <v>22</v>
      </c>
      <c r="C36" s="18"/>
      <c r="D36" s="9">
        <f>C30*D30</f>
        <v>10540</v>
      </c>
      <c r="E36" s="9"/>
      <c r="F36" s="9"/>
      <c r="G36" s="18"/>
      <c r="H36" s="9">
        <f>D36</f>
        <v>10540</v>
      </c>
      <c r="I36" s="9"/>
      <c r="L36">
        <f>H26-E26</f>
        <v>7400</v>
      </c>
      <c r="P36" s="9" t="s">
        <v>22</v>
      </c>
      <c r="Q36" s="18"/>
      <c r="R36" s="9">
        <f>Q30*R30</f>
        <v>10540</v>
      </c>
      <c r="S36" s="9"/>
      <c r="T36" s="9" t="s">
        <v>22</v>
      </c>
      <c r="U36" s="18"/>
      <c r="V36" s="9">
        <f>R36</f>
        <v>10540</v>
      </c>
      <c r="W36" s="9"/>
      <c r="Y36" t="s">
        <v>78</v>
      </c>
      <c r="Z36">
        <f>6500</f>
        <v>6500</v>
      </c>
    </row>
    <row r="37" spans="2:26" x14ac:dyDescent="0.25">
      <c r="B37" s="19" t="s">
        <v>23</v>
      </c>
      <c r="C37" s="9"/>
      <c r="D37" s="9"/>
      <c r="E37" s="9"/>
      <c r="F37" s="19" t="s">
        <v>23</v>
      </c>
      <c r="G37" s="9"/>
      <c r="H37" s="9"/>
      <c r="I37" s="9"/>
      <c r="P37" s="19" t="s">
        <v>23</v>
      </c>
      <c r="Q37" s="9"/>
      <c r="R37" s="9"/>
      <c r="S37" s="9"/>
      <c r="T37" s="19" t="s">
        <v>23</v>
      </c>
      <c r="U37" s="9"/>
      <c r="V37" s="9"/>
      <c r="W37" s="9"/>
    </row>
    <row r="38" spans="2:26" x14ac:dyDescent="0.25">
      <c r="B38" s="20" t="s">
        <v>80</v>
      </c>
      <c r="C38" s="9"/>
      <c r="D38" s="9">
        <v>90000</v>
      </c>
      <c r="E38" s="9"/>
      <c r="F38" s="20" t="s">
        <v>80</v>
      </c>
      <c r="G38" s="9"/>
      <c r="H38" s="9">
        <v>90000</v>
      </c>
      <c r="I38" s="9"/>
      <c r="P38" s="20" t="s">
        <v>80</v>
      </c>
      <c r="Q38" s="9"/>
      <c r="R38" s="9">
        <v>90000</v>
      </c>
      <c r="S38" s="9"/>
      <c r="T38" s="20" t="s">
        <v>80</v>
      </c>
      <c r="U38" s="9"/>
      <c r="V38" s="9">
        <v>90000</v>
      </c>
      <c r="W38" s="9"/>
    </row>
    <row r="39" spans="2:26" x14ac:dyDescent="0.25">
      <c r="B39" s="7" t="s">
        <v>99</v>
      </c>
      <c r="D39" s="7">
        <v>15260</v>
      </c>
      <c r="E39" s="7"/>
      <c r="F39" s="7" t="s">
        <v>99</v>
      </c>
      <c r="H39" s="7">
        <v>15260</v>
      </c>
      <c r="I39" s="9"/>
      <c r="P39" s="7"/>
      <c r="Q39" s="21"/>
      <c r="R39" s="7"/>
      <c r="S39" s="7"/>
      <c r="T39" s="7"/>
      <c r="U39" s="21"/>
      <c r="V39" s="7"/>
      <c r="W39" s="9"/>
    </row>
    <row r="40" spans="2:26" x14ac:dyDescent="0.25">
      <c r="B40" s="20"/>
      <c r="C40" s="9"/>
      <c r="D40" s="21"/>
      <c r="E40" s="9"/>
      <c r="F40" s="20"/>
      <c r="G40" s="9"/>
      <c r="H40" s="9"/>
      <c r="I40" s="9"/>
      <c r="P40" s="20"/>
      <c r="Q40" s="9"/>
      <c r="R40" s="9"/>
      <c r="S40" s="9"/>
      <c r="T40" s="20"/>
      <c r="U40" s="9"/>
      <c r="V40" s="9"/>
      <c r="W40" s="9"/>
    </row>
    <row r="41" spans="2:26" x14ac:dyDescent="0.25">
      <c r="B41" s="20"/>
      <c r="C41" s="9"/>
      <c r="D41" s="9"/>
      <c r="E41" s="9"/>
      <c r="F41" s="20"/>
      <c r="G41" s="9"/>
      <c r="H41" s="9"/>
      <c r="I41" s="9"/>
      <c r="P41" s="20"/>
      <c r="Q41" s="9"/>
      <c r="R41" s="9"/>
      <c r="S41" s="9"/>
      <c r="T41" s="20"/>
      <c r="U41" s="9"/>
      <c r="V41" s="9"/>
      <c r="W41" s="9"/>
    </row>
    <row r="42" spans="2:26" x14ac:dyDescent="0.25">
      <c r="B42" s="20"/>
      <c r="C42" s="16"/>
      <c r="D42" s="16"/>
      <c r="E42" s="16"/>
      <c r="F42" s="20"/>
      <c r="G42" s="9"/>
      <c r="H42" s="16"/>
      <c r="I42" s="9"/>
      <c r="P42" s="20"/>
      <c r="Q42" s="16"/>
      <c r="R42" s="16"/>
      <c r="S42" s="16"/>
      <c r="T42" s="20"/>
      <c r="U42" s="9"/>
      <c r="V42" s="16"/>
      <c r="W42" s="9"/>
    </row>
    <row r="43" spans="2:26" x14ac:dyDescent="0.25">
      <c r="B43" s="22" t="s">
        <v>12</v>
      </c>
      <c r="C43" s="23">
        <f>C30+C31+C32+C33+C34+C35-D36</f>
        <v>105260</v>
      </c>
      <c r="D43" s="22">
        <f>SUM(D38:D42)</f>
        <v>105260</v>
      </c>
      <c r="E43" s="23">
        <f>C43-D43</f>
        <v>0</v>
      </c>
      <c r="F43" s="24"/>
      <c r="G43" s="23">
        <f>G30+G31+G35+G32+G34-H36</f>
        <v>102260</v>
      </c>
      <c r="H43" s="23">
        <f>SUM(H38:H42)</f>
        <v>105260</v>
      </c>
      <c r="I43" s="23">
        <f>G43-H43</f>
        <v>-3000</v>
      </c>
      <c r="P43" s="22" t="s">
        <v>12</v>
      </c>
      <c r="Q43" s="23">
        <f>Q30+Q31+Q32+Q33+Q34+Q35-R36</f>
        <v>105260</v>
      </c>
      <c r="R43" s="22">
        <f>SUM(R38:R42)</f>
        <v>90000</v>
      </c>
      <c r="S43" s="23">
        <f>Q43-R43</f>
        <v>15260</v>
      </c>
      <c r="T43" s="24"/>
      <c r="U43" s="23">
        <f>U30+U31+U35+U32+U34-V36</f>
        <v>102260</v>
      </c>
      <c r="V43" s="23">
        <f>SUM(V38:V42)</f>
        <v>90000</v>
      </c>
      <c r="W43" s="23">
        <f>U43-V43</f>
        <v>12260</v>
      </c>
    </row>
    <row r="45" spans="2:26" x14ac:dyDescent="0.25">
      <c r="B45" s="11" t="s">
        <v>24</v>
      </c>
      <c r="D45" s="11" t="s">
        <v>25</v>
      </c>
      <c r="F45" s="11"/>
      <c r="G45" s="11" t="s">
        <v>26</v>
      </c>
      <c r="P45" s="11" t="s">
        <v>24</v>
      </c>
      <c r="R45" s="11" t="s">
        <v>25</v>
      </c>
      <c r="T45" s="11"/>
      <c r="U45" s="11" t="s">
        <v>26</v>
      </c>
    </row>
    <row r="46" spans="2:26" x14ac:dyDescent="0.25">
      <c r="B46" t="s">
        <v>27</v>
      </c>
      <c r="D46" s="11" t="s">
        <v>28</v>
      </c>
      <c r="F46" s="11"/>
      <c r="G46" s="11" t="s">
        <v>29</v>
      </c>
      <c r="P46" t="s">
        <v>27</v>
      </c>
      <c r="R46" s="11" t="s">
        <v>28</v>
      </c>
      <c r="T46" s="11"/>
      <c r="U46" s="11" t="s">
        <v>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/>
  </sheetViews>
  <sheetFormatPr defaultRowHeight="15" x14ac:dyDescent="0.25"/>
  <sheetData>
    <row r="1" spans="1:11" ht="18.75" x14ac:dyDescent="0.25">
      <c r="E1" s="1" t="s">
        <v>50</v>
      </c>
      <c r="F1" s="2"/>
      <c r="G1" s="3"/>
      <c r="H1" s="4"/>
    </row>
    <row r="2" spans="1:11" ht="18.75" x14ac:dyDescent="0.25">
      <c r="E2" s="1" t="s">
        <v>0</v>
      </c>
      <c r="F2" s="1"/>
      <c r="G2" s="5"/>
      <c r="H2" s="5"/>
    </row>
    <row r="3" spans="1:11" ht="18.75" x14ac:dyDescent="0.25">
      <c r="E3" s="1" t="s">
        <v>161</v>
      </c>
      <c r="F3" s="1"/>
      <c r="G3" s="5"/>
      <c r="H3" s="5"/>
    </row>
    <row r="4" spans="1:11" x14ac:dyDescent="0.25">
      <c r="A4" s="6" t="s">
        <v>2</v>
      </c>
      <c r="B4" s="6" t="s">
        <v>3</v>
      </c>
      <c r="C4" s="6"/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  <c r="K4" s="6" t="s">
        <v>101</v>
      </c>
    </row>
    <row r="5" spans="1:11" x14ac:dyDescent="0.25">
      <c r="A5" s="7" t="s">
        <v>30</v>
      </c>
      <c r="B5" s="7" t="s">
        <v>51</v>
      </c>
      <c r="C5" s="7"/>
      <c r="D5" s="7"/>
      <c r="E5" s="7">
        <v>4500</v>
      </c>
      <c r="F5" s="7">
        <f>SEPTEMBER20!I5:I27</f>
        <v>900</v>
      </c>
      <c r="G5" s="7">
        <f>C5+D5+E5+F5</f>
        <v>5400</v>
      </c>
      <c r="H5" s="7">
        <v>4500</v>
      </c>
      <c r="I5" s="7">
        <f t="shared" ref="I5:I12" si="0">G5-H5</f>
        <v>900</v>
      </c>
      <c r="J5" s="7"/>
      <c r="K5" s="7"/>
    </row>
    <row r="6" spans="1:11" x14ac:dyDescent="0.25">
      <c r="A6" s="7" t="s">
        <v>31</v>
      </c>
      <c r="B6" s="7" t="s">
        <v>52</v>
      </c>
      <c r="C6" s="7"/>
      <c r="D6" s="7"/>
      <c r="E6" s="7">
        <v>3000</v>
      </c>
      <c r="F6" s="7">
        <f>SEPTEMBER20!I6:I28</f>
        <v>0</v>
      </c>
      <c r="G6" s="7">
        <f>C6+D6+E6+F6</f>
        <v>3000</v>
      </c>
      <c r="H6" s="7">
        <f>3000</f>
        <v>3000</v>
      </c>
      <c r="I6" s="7">
        <f t="shared" si="0"/>
        <v>0</v>
      </c>
      <c r="J6" s="7"/>
      <c r="K6" s="7"/>
    </row>
    <row r="7" spans="1:11" x14ac:dyDescent="0.25">
      <c r="A7" s="7" t="s">
        <v>32</v>
      </c>
      <c r="B7" s="7" t="s">
        <v>115</v>
      </c>
      <c r="C7" s="7"/>
      <c r="D7" s="7">
        <v>2500</v>
      </c>
      <c r="E7" s="7">
        <v>7500</v>
      </c>
      <c r="F7" s="7">
        <f>SEPTEMBER20!I7:I29</f>
        <v>3000</v>
      </c>
      <c r="G7" s="7">
        <f>C7+D7+E7+F7</f>
        <v>13000</v>
      </c>
      <c r="H7" s="7">
        <v>7500</v>
      </c>
      <c r="I7" s="7">
        <f t="shared" si="0"/>
        <v>5500</v>
      </c>
      <c r="J7" s="7"/>
      <c r="K7" s="7"/>
    </row>
    <row r="8" spans="1:11" x14ac:dyDescent="0.25">
      <c r="A8" s="7" t="s">
        <v>33</v>
      </c>
      <c r="B8" s="7" t="s">
        <v>54</v>
      </c>
      <c r="C8" s="7"/>
      <c r="D8" s="7"/>
      <c r="E8" s="7">
        <v>6500</v>
      </c>
      <c r="F8" s="7">
        <f>SEPTEMBER20!I8:I30</f>
        <v>0</v>
      </c>
      <c r="G8" s="7">
        <f>C8+D8+E8+F8</f>
        <v>6500</v>
      </c>
      <c r="H8" s="7">
        <f>6500</f>
        <v>6500</v>
      </c>
      <c r="I8" s="7">
        <f t="shared" si="0"/>
        <v>0</v>
      </c>
      <c r="J8" s="7"/>
      <c r="K8" s="7"/>
    </row>
    <row r="9" spans="1:11" x14ac:dyDescent="0.25">
      <c r="A9" s="7" t="s">
        <v>34</v>
      </c>
      <c r="B9" s="7" t="s">
        <v>76</v>
      </c>
      <c r="C9" s="7"/>
      <c r="D9" s="7"/>
      <c r="E9" s="7"/>
      <c r="F9" s="7">
        <f>SEPTEMBER20!I9:I31</f>
        <v>0</v>
      </c>
      <c r="G9" s="7">
        <f t="shared" ref="G9:G27" si="1">C9+D9+E9+F9</f>
        <v>0</v>
      </c>
      <c r="H9" s="7"/>
      <c r="I9" s="7">
        <f t="shared" si="0"/>
        <v>0</v>
      </c>
      <c r="J9" s="7"/>
      <c r="K9" s="7"/>
    </row>
    <row r="10" spans="1:11" x14ac:dyDescent="0.25">
      <c r="A10" s="7" t="s">
        <v>35</v>
      </c>
      <c r="B10" s="7" t="s">
        <v>55</v>
      </c>
      <c r="C10" s="7"/>
      <c r="D10" s="7"/>
      <c r="E10" s="7">
        <v>7000</v>
      </c>
      <c r="F10" s="7">
        <f>SEPTEMBER20!I10:I32</f>
        <v>1000</v>
      </c>
      <c r="G10" s="7">
        <f t="shared" si="1"/>
        <v>8000</v>
      </c>
      <c r="H10" s="7">
        <f>7000</f>
        <v>7000</v>
      </c>
      <c r="I10" s="7">
        <f t="shared" si="0"/>
        <v>1000</v>
      </c>
      <c r="J10" s="7"/>
      <c r="K10" s="7"/>
    </row>
    <row r="11" spans="1:11" x14ac:dyDescent="0.25">
      <c r="A11" s="7" t="s">
        <v>36</v>
      </c>
      <c r="B11" s="7" t="s">
        <v>56</v>
      </c>
      <c r="C11" s="7"/>
      <c r="D11" s="7"/>
      <c r="E11" s="7">
        <v>7000</v>
      </c>
      <c r="F11" s="7">
        <f>SEPTEMBER20!I11:I33</f>
        <v>0</v>
      </c>
      <c r="G11" s="7">
        <f t="shared" si="1"/>
        <v>7000</v>
      </c>
      <c r="H11" s="7">
        <v>7000</v>
      </c>
      <c r="I11" s="7">
        <f t="shared" si="0"/>
        <v>0</v>
      </c>
      <c r="J11" s="7"/>
      <c r="K11" s="7"/>
    </row>
    <row r="12" spans="1:11" x14ac:dyDescent="0.25">
      <c r="A12" s="7" t="s">
        <v>37</v>
      </c>
      <c r="B12" s="8" t="s">
        <v>65</v>
      </c>
      <c r="C12" s="7"/>
      <c r="D12" s="7"/>
      <c r="E12" s="7">
        <v>4500</v>
      </c>
      <c r="F12" s="7">
        <f>SEPTEMBER20!I12:I34</f>
        <v>100</v>
      </c>
      <c r="G12" s="7">
        <f t="shared" si="1"/>
        <v>4600</v>
      </c>
      <c r="H12" s="7">
        <f>4500</f>
        <v>4500</v>
      </c>
      <c r="I12" s="7">
        <f t="shared" si="0"/>
        <v>100</v>
      </c>
      <c r="J12" s="7"/>
      <c r="K12" s="7"/>
    </row>
    <row r="13" spans="1:11" x14ac:dyDescent="0.25">
      <c r="A13" s="7" t="s">
        <v>38</v>
      </c>
      <c r="B13" s="7" t="s">
        <v>92</v>
      </c>
      <c r="C13" s="7"/>
      <c r="D13" s="7">
        <v>5000</v>
      </c>
      <c r="E13" s="7">
        <v>8000</v>
      </c>
      <c r="F13" s="7">
        <f>SEPTEMBER20!I13:I35</f>
        <v>5000</v>
      </c>
      <c r="G13" s="7">
        <f t="shared" si="1"/>
        <v>18000</v>
      </c>
      <c r="H13" s="7">
        <f>8000</f>
        <v>8000</v>
      </c>
      <c r="I13" s="7">
        <f t="shared" ref="I13:I21" si="2">G13-H13</f>
        <v>10000</v>
      </c>
      <c r="J13" s="7"/>
      <c r="K13" s="7"/>
    </row>
    <row r="14" spans="1:11" x14ac:dyDescent="0.25">
      <c r="A14" s="7" t="s">
        <v>39</v>
      </c>
      <c r="B14" s="7" t="s">
        <v>70</v>
      </c>
      <c r="C14" s="7"/>
      <c r="D14" s="7"/>
      <c r="E14" s="7">
        <v>6500</v>
      </c>
      <c r="F14" s="7">
        <f>SEPTEMBER20!I14:I36</f>
        <v>0</v>
      </c>
      <c r="G14" s="7">
        <f t="shared" si="1"/>
        <v>6500</v>
      </c>
      <c r="H14" s="7">
        <f>6000</f>
        <v>6000</v>
      </c>
      <c r="I14" s="7">
        <f t="shared" si="2"/>
        <v>500</v>
      </c>
      <c r="J14" s="7"/>
      <c r="K14" s="7"/>
    </row>
    <row r="15" spans="1:11" x14ac:dyDescent="0.25">
      <c r="A15" s="7" t="s">
        <v>40</v>
      </c>
      <c r="B15" s="7" t="s">
        <v>84</v>
      </c>
      <c r="C15" s="7"/>
      <c r="D15" s="7"/>
      <c r="E15" s="7">
        <v>6500</v>
      </c>
      <c r="F15" s="7">
        <f>SEPTEMBER20!I15:I37</f>
        <v>0</v>
      </c>
      <c r="G15" s="7">
        <f t="shared" si="1"/>
        <v>6500</v>
      </c>
      <c r="H15" s="7">
        <f>6000+500</f>
        <v>6500</v>
      </c>
      <c r="I15" s="7">
        <f t="shared" si="2"/>
        <v>0</v>
      </c>
      <c r="J15" s="7"/>
      <c r="K15" s="7"/>
    </row>
    <row r="16" spans="1:11" x14ac:dyDescent="0.25">
      <c r="A16" s="7" t="s">
        <v>41</v>
      </c>
      <c r="B16" s="7" t="s">
        <v>58</v>
      </c>
      <c r="C16" s="7"/>
      <c r="D16" s="7"/>
      <c r="E16" s="7">
        <v>7000</v>
      </c>
      <c r="F16" s="7">
        <f>SEPTEMBER20!I16:I38</f>
        <v>1500</v>
      </c>
      <c r="G16" s="7">
        <f t="shared" si="1"/>
        <v>8500</v>
      </c>
      <c r="H16" s="7">
        <v>7000</v>
      </c>
      <c r="I16" s="7">
        <f t="shared" si="2"/>
        <v>1500</v>
      </c>
      <c r="J16" s="7"/>
      <c r="K16" s="7"/>
    </row>
    <row r="17" spans="1:12" x14ac:dyDescent="0.25">
      <c r="A17" s="7" t="s">
        <v>42</v>
      </c>
      <c r="B17" s="7" t="s">
        <v>59</v>
      </c>
      <c r="C17" s="7"/>
      <c r="D17" s="7"/>
      <c r="E17" s="7">
        <v>7000</v>
      </c>
      <c r="F17" s="7">
        <f>SEPTEMBER20!I17:I39</f>
        <v>23850</v>
      </c>
      <c r="G17" s="7">
        <f t="shared" si="1"/>
        <v>30850</v>
      </c>
      <c r="H17" s="7">
        <f>7000+2350</f>
        <v>9350</v>
      </c>
      <c r="I17" s="7">
        <f t="shared" si="2"/>
        <v>21500</v>
      </c>
      <c r="J17" s="7"/>
      <c r="K17" s="7"/>
      <c r="L17">
        <f>I17-5850</f>
        <v>15650</v>
      </c>
    </row>
    <row r="18" spans="1:12" x14ac:dyDescent="0.25">
      <c r="A18" s="7" t="s">
        <v>43</v>
      </c>
      <c r="B18" s="7" t="s">
        <v>60</v>
      </c>
      <c r="C18" s="7"/>
      <c r="D18" s="7"/>
      <c r="E18" s="7"/>
      <c r="F18" s="7">
        <f>SEPTEMBER20!I18:I40</f>
        <v>0</v>
      </c>
      <c r="G18" s="7">
        <f t="shared" si="1"/>
        <v>0</v>
      </c>
      <c r="H18" s="7"/>
      <c r="I18" s="7">
        <f t="shared" si="2"/>
        <v>0</v>
      </c>
      <c r="J18" s="7"/>
      <c r="K18" s="7"/>
    </row>
    <row r="19" spans="1:12" x14ac:dyDescent="0.25">
      <c r="A19" s="7" t="s">
        <v>44</v>
      </c>
      <c r="B19" s="9" t="s">
        <v>118</v>
      </c>
      <c r="C19" s="7"/>
      <c r="D19" s="7"/>
      <c r="E19" s="7">
        <v>8000</v>
      </c>
      <c r="F19" s="7">
        <f>SEPTEMBER20!I19:I41</f>
        <v>0</v>
      </c>
      <c r="G19" s="7">
        <f t="shared" si="1"/>
        <v>8000</v>
      </c>
      <c r="H19" s="7">
        <v>8000</v>
      </c>
      <c r="I19" s="7">
        <f t="shared" si="2"/>
        <v>0</v>
      </c>
      <c r="J19" s="7"/>
      <c r="K19" s="7"/>
    </row>
    <row r="20" spans="1:12" x14ac:dyDescent="0.25">
      <c r="A20" s="7" t="s">
        <v>45</v>
      </c>
      <c r="B20" s="7" t="s">
        <v>153</v>
      </c>
      <c r="C20" s="7"/>
      <c r="D20" s="7">
        <v>4000</v>
      </c>
      <c r="E20" s="7">
        <v>7000</v>
      </c>
      <c r="F20" s="7"/>
      <c r="G20" s="7">
        <f t="shared" si="1"/>
        <v>11000</v>
      </c>
      <c r="H20" s="7">
        <v>5000</v>
      </c>
      <c r="I20" s="7">
        <f t="shared" si="2"/>
        <v>6000</v>
      </c>
      <c r="J20" s="7"/>
      <c r="K20" s="7"/>
    </row>
    <row r="21" spans="1:12" x14ac:dyDescent="0.25">
      <c r="A21" s="7" t="s">
        <v>46</v>
      </c>
      <c r="B21" s="7" t="s">
        <v>132</v>
      </c>
      <c r="C21" s="7"/>
      <c r="D21" s="7"/>
      <c r="E21" s="7">
        <v>6500</v>
      </c>
      <c r="F21" s="7">
        <f>SEPTEMBER20!I21:I43</f>
        <v>500</v>
      </c>
      <c r="G21" s="7">
        <f t="shared" si="1"/>
        <v>7000</v>
      </c>
      <c r="H21" s="7">
        <v>6500</v>
      </c>
      <c r="I21" s="7">
        <f t="shared" si="2"/>
        <v>500</v>
      </c>
      <c r="J21" s="7"/>
      <c r="K21" s="7"/>
    </row>
    <row r="22" spans="1:12" x14ac:dyDescent="0.25">
      <c r="A22" s="7" t="s">
        <v>47</v>
      </c>
      <c r="B22" s="7" t="s">
        <v>64</v>
      </c>
      <c r="C22" s="7"/>
      <c r="D22" s="7"/>
      <c r="E22" s="7">
        <v>7000</v>
      </c>
      <c r="F22" s="7">
        <f>SEPTEMBER20!I22:I44</f>
        <v>1000</v>
      </c>
      <c r="G22" s="7">
        <f t="shared" si="1"/>
        <v>8000</v>
      </c>
      <c r="H22" s="7">
        <v>7000</v>
      </c>
      <c r="I22" s="7">
        <f>G22-H22</f>
        <v>1000</v>
      </c>
      <c r="J22" s="7"/>
      <c r="K22" s="7"/>
    </row>
    <row r="23" spans="1:12" x14ac:dyDescent="0.25">
      <c r="A23" s="7" t="s">
        <v>66</v>
      </c>
      <c r="B23" s="7" t="s">
        <v>61</v>
      </c>
      <c r="C23" s="7"/>
      <c r="D23" s="7"/>
      <c r="E23" s="7">
        <v>8000</v>
      </c>
      <c r="F23" s="7">
        <f>SEPTEMBER20!I23:I45</f>
        <v>0</v>
      </c>
      <c r="G23" s="7">
        <f t="shared" si="1"/>
        <v>8000</v>
      </c>
      <c r="H23" s="7">
        <f>8000</f>
        <v>8000</v>
      </c>
      <c r="I23" s="7">
        <f>G23-H23</f>
        <v>0</v>
      </c>
      <c r="J23" s="7"/>
      <c r="K23" s="7"/>
    </row>
    <row r="24" spans="1:12" x14ac:dyDescent="0.25">
      <c r="A24" s="7" t="s">
        <v>48</v>
      </c>
      <c r="B24" s="7" t="s">
        <v>69</v>
      </c>
      <c r="C24" s="7"/>
      <c r="D24" s="7"/>
      <c r="E24" s="7">
        <v>4500</v>
      </c>
      <c r="F24" s="7">
        <f>SEPTEMBER20!I24:I46</f>
        <v>0</v>
      </c>
      <c r="G24" s="7">
        <f t="shared" si="1"/>
        <v>4500</v>
      </c>
      <c r="H24" s="7">
        <v>4500</v>
      </c>
      <c r="I24" s="7">
        <f>G24-H24</f>
        <v>0</v>
      </c>
      <c r="J24" s="7"/>
      <c r="K24" s="7"/>
    </row>
    <row r="25" spans="1:12" x14ac:dyDescent="0.25">
      <c r="A25" s="7" t="s">
        <v>49</v>
      </c>
      <c r="B25" s="7" t="s">
        <v>100</v>
      </c>
      <c r="C25" s="7"/>
      <c r="D25" s="7"/>
      <c r="E25" s="7">
        <v>8000</v>
      </c>
      <c r="F25" s="7">
        <f>SEPTEMBER20!I25:I47</f>
        <v>0</v>
      </c>
      <c r="G25" s="7">
        <f t="shared" si="1"/>
        <v>8000</v>
      </c>
      <c r="H25" s="7">
        <f>8000</f>
        <v>8000</v>
      </c>
      <c r="I25" s="7">
        <f>G25-H25</f>
        <v>0</v>
      </c>
      <c r="J25" s="7"/>
      <c r="K25" s="7"/>
    </row>
    <row r="26" spans="1:12" x14ac:dyDescent="0.25">
      <c r="A26" s="7"/>
      <c r="B26" s="7"/>
      <c r="C26" s="7"/>
      <c r="D26" s="7"/>
      <c r="E26" s="7"/>
      <c r="F26" s="7">
        <f>SEPTEMBER20!I26:I48</f>
        <v>0</v>
      </c>
      <c r="G26" s="7"/>
      <c r="H26" s="7"/>
      <c r="I26" s="7"/>
      <c r="J26" s="7"/>
      <c r="K26" s="7"/>
    </row>
    <row r="27" spans="1:12" x14ac:dyDescent="0.25">
      <c r="A27" s="7" t="s">
        <v>88</v>
      </c>
      <c r="B27" s="7" t="s">
        <v>110</v>
      </c>
      <c r="C27" s="7"/>
      <c r="D27" s="7"/>
      <c r="E27" s="7">
        <v>7000</v>
      </c>
      <c r="F27" s="7">
        <f>SEPTEMBER20!I27:I49</f>
        <v>46100</v>
      </c>
      <c r="G27" s="7">
        <f t="shared" si="1"/>
        <v>53100</v>
      </c>
      <c r="H27" s="7">
        <f>5000+2000</f>
        <v>7000</v>
      </c>
      <c r="I27" s="7">
        <f>G27-H27</f>
        <v>46100</v>
      </c>
      <c r="J27" s="7"/>
      <c r="K27" s="7"/>
    </row>
    <row r="28" spans="1:12" x14ac:dyDescent="0.25">
      <c r="A28" s="6"/>
      <c r="B28" s="10" t="s">
        <v>12</v>
      </c>
      <c r="C28" s="10">
        <f>SUM(C4:C5)</f>
        <v>0</v>
      </c>
      <c r="D28" s="10">
        <f>SUM(D5:D27)</f>
        <v>11500</v>
      </c>
      <c r="E28" s="6">
        <f>SUM(E5:E27)</f>
        <v>131000</v>
      </c>
      <c r="F28" s="7">
        <f>SUM(F5:F27)</f>
        <v>82950</v>
      </c>
      <c r="G28" s="7">
        <f>C28+D28+E28+F28</f>
        <v>225450</v>
      </c>
      <c r="H28" s="6">
        <f>SUM(H5:H27)</f>
        <v>130850</v>
      </c>
      <c r="I28" s="6">
        <f>SUM(I5:I27)</f>
        <v>94600</v>
      </c>
      <c r="J28" s="6">
        <f>SUM(J5:J27)</f>
        <v>0</v>
      </c>
      <c r="K28" s="6">
        <f>SUM(K5:K27)</f>
        <v>0</v>
      </c>
      <c r="L28" s="43">
        <f>F17-5850</f>
        <v>18000</v>
      </c>
    </row>
    <row r="29" spans="1:12" x14ac:dyDescent="0.25">
      <c r="A29" s="11"/>
      <c r="F29" s="7">
        <f>F28-F27-D20-D13-D7-F5-F12-5850</f>
        <v>18500</v>
      </c>
      <c r="I29" s="8">
        <f>I28-F27-5850-900-D20-D13-D7-100</f>
        <v>30150</v>
      </c>
      <c r="L29">
        <f>L28-2350</f>
        <v>15650</v>
      </c>
    </row>
    <row r="30" spans="1:12" ht="18.75" x14ac:dyDescent="0.3">
      <c r="B30" s="12" t="s">
        <v>13</v>
      </c>
      <c r="C30" s="13"/>
      <c r="D30" s="13"/>
      <c r="E30" s="13"/>
      <c r="F30" s="13"/>
      <c r="G30" s="13"/>
      <c r="H30" s="14">
        <f>F29-I29</f>
        <v>-11650</v>
      </c>
      <c r="I30" s="14"/>
      <c r="J30">
        <f>I22+I21+2000+I16+I14+I10+F7+I17-5850</f>
        <v>25150</v>
      </c>
    </row>
    <row r="31" spans="1:12" ht="15.75" x14ac:dyDescent="0.25">
      <c r="B31" s="15" t="s">
        <v>14</v>
      </c>
      <c r="C31" s="15" t="s">
        <v>15</v>
      </c>
      <c r="D31" s="15" t="s">
        <v>16</v>
      </c>
      <c r="E31" s="15" t="s">
        <v>17</v>
      </c>
      <c r="F31" s="15" t="s">
        <v>18</v>
      </c>
      <c r="G31" s="15" t="s">
        <v>15</v>
      </c>
      <c r="H31" s="15" t="s">
        <v>16</v>
      </c>
      <c r="I31" s="15" t="s">
        <v>17</v>
      </c>
      <c r="K31" s="25"/>
    </row>
    <row r="32" spans="1:12" x14ac:dyDescent="0.25">
      <c r="B32" s="9" t="s">
        <v>162</v>
      </c>
      <c r="C32" s="16">
        <f>E28</f>
        <v>131000</v>
      </c>
      <c r="D32" s="17">
        <v>0.1</v>
      </c>
      <c r="E32" s="16"/>
      <c r="F32" s="18" t="s">
        <v>162</v>
      </c>
      <c r="G32" s="16">
        <f>H28</f>
        <v>130850</v>
      </c>
      <c r="H32" s="17">
        <v>0.1</v>
      </c>
      <c r="I32" s="9"/>
      <c r="J32">
        <f>F22+F21+2000+F16+I14+I10+F7+L17</f>
        <v>25150</v>
      </c>
    </row>
    <row r="33" spans="2:12" x14ac:dyDescent="0.25">
      <c r="B33" s="9" t="s">
        <v>20</v>
      </c>
      <c r="C33" s="16">
        <f>SEPTEMBER20!E46</f>
        <v>67550</v>
      </c>
      <c r="D33" s="9"/>
      <c r="E33" s="9"/>
      <c r="F33" s="9" t="s">
        <v>20</v>
      </c>
      <c r="G33" s="16">
        <f>SEPTEMBER20!I46</f>
        <v>44050</v>
      </c>
      <c r="H33" s="9"/>
      <c r="I33" s="9"/>
      <c r="K33" s="26"/>
      <c r="L33">
        <f>F29-2350+2000</f>
        <v>18150</v>
      </c>
    </row>
    <row r="34" spans="2:12" x14ac:dyDescent="0.25">
      <c r="B34" s="9" t="s">
        <v>163</v>
      </c>
      <c r="C34" s="16"/>
      <c r="D34" s="9"/>
      <c r="E34" s="9"/>
      <c r="F34" s="9"/>
      <c r="G34" s="16"/>
      <c r="H34" s="16"/>
      <c r="I34" s="9"/>
      <c r="K34" s="26"/>
    </row>
    <row r="35" spans="2:12" x14ac:dyDescent="0.25">
      <c r="B35" s="9" t="s">
        <v>21</v>
      </c>
      <c r="C35" s="16">
        <f>J28</f>
        <v>0</v>
      </c>
      <c r="D35" s="9"/>
      <c r="E35" s="9"/>
      <c r="F35" s="9"/>
      <c r="G35" s="16"/>
      <c r="H35" s="16"/>
      <c r="I35" s="9"/>
      <c r="K35" s="26"/>
    </row>
    <row r="36" spans="2:12" x14ac:dyDescent="0.25">
      <c r="B36" s="9" t="s">
        <v>102</v>
      </c>
      <c r="C36" s="16">
        <f>K28</f>
        <v>0</v>
      </c>
      <c r="D36" s="9"/>
      <c r="E36" s="9"/>
      <c r="F36" s="9" t="s">
        <v>102</v>
      </c>
      <c r="G36" s="16">
        <f>K28</f>
        <v>0</v>
      </c>
      <c r="H36" s="9"/>
      <c r="I36" s="9"/>
    </row>
    <row r="37" spans="2:12" x14ac:dyDescent="0.25">
      <c r="B37" s="9" t="s">
        <v>97</v>
      </c>
      <c r="C37" s="16">
        <v>0.3</v>
      </c>
      <c r="D37" s="9"/>
      <c r="E37" s="9"/>
      <c r="F37" s="9" t="s">
        <v>97</v>
      </c>
      <c r="G37" s="16">
        <v>0.3</v>
      </c>
      <c r="H37" s="9"/>
      <c r="I37" s="9"/>
      <c r="K37" s="26"/>
    </row>
    <row r="38" spans="2:12" x14ac:dyDescent="0.25">
      <c r="B38" s="9" t="s">
        <v>22</v>
      </c>
      <c r="C38" s="18"/>
      <c r="D38" s="9">
        <f>C32*D32</f>
        <v>13100</v>
      </c>
      <c r="E38" s="9"/>
      <c r="F38" s="9" t="s">
        <v>22</v>
      </c>
      <c r="G38" s="18"/>
      <c r="H38" s="9">
        <f>D38</f>
        <v>13100</v>
      </c>
      <c r="I38" s="9"/>
    </row>
    <row r="39" spans="2:12" x14ac:dyDescent="0.25">
      <c r="B39" s="19" t="s">
        <v>23</v>
      </c>
      <c r="C39" s="9"/>
      <c r="D39" s="9"/>
      <c r="E39" s="9"/>
      <c r="F39" s="19" t="s">
        <v>23</v>
      </c>
      <c r="G39" s="9"/>
      <c r="H39" s="9"/>
      <c r="I39" s="9"/>
    </row>
    <row r="40" spans="2:12" x14ac:dyDescent="0.25">
      <c r="B40" s="20" t="s">
        <v>157</v>
      </c>
      <c r="C40" s="9"/>
      <c r="D40" s="9">
        <v>30000</v>
      </c>
      <c r="E40" s="9"/>
      <c r="F40" s="20" t="s">
        <v>157</v>
      </c>
      <c r="G40" s="9"/>
      <c r="H40" s="9">
        <v>30000</v>
      </c>
      <c r="I40" s="9"/>
      <c r="J40" s="26"/>
      <c r="K40" s="26">
        <f>C32-D38</f>
        <v>117900</v>
      </c>
    </row>
    <row r="41" spans="2:12" x14ac:dyDescent="0.25">
      <c r="B41" s="7" t="s">
        <v>158</v>
      </c>
      <c r="C41" s="21"/>
      <c r="D41" s="7">
        <v>83000</v>
      </c>
      <c r="E41" s="7"/>
      <c r="F41" s="7" t="s">
        <v>158</v>
      </c>
      <c r="G41" s="21"/>
      <c r="H41" s="7">
        <v>83000</v>
      </c>
      <c r="I41" s="9"/>
      <c r="K41">
        <v>14050</v>
      </c>
    </row>
    <row r="42" spans="2:12" x14ac:dyDescent="0.25">
      <c r="B42" s="20"/>
      <c r="C42" s="9"/>
      <c r="D42" s="9"/>
      <c r="E42" s="9"/>
      <c r="F42" s="20"/>
      <c r="G42" s="9"/>
      <c r="H42" s="9"/>
      <c r="I42" s="9"/>
      <c r="K42" s="26">
        <f>SUM(K40:K41)</f>
        <v>131950</v>
      </c>
    </row>
    <row r="43" spans="2:12" x14ac:dyDescent="0.25">
      <c r="B43" s="20"/>
      <c r="C43" s="9"/>
      <c r="D43" s="9"/>
      <c r="E43" s="9"/>
      <c r="F43" s="20"/>
      <c r="G43" s="9"/>
      <c r="H43" s="9"/>
      <c r="I43" s="9"/>
      <c r="K43" s="26"/>
    </row>
    <row r="44" spans="2:12" x14ac:dyDescent="0.25">
      <c r="B44" s="20"/>
      <c r="C44" s="9"/>
      <c r="D44" s="9"/>
      <c r="E44" s="9"/>
      <c r="F44" s="20"/>
      <c r="G44" s="9"/>
      <c r="H44" s="9"/>
      <c r="I44" s="9"/>
      <c r="K44" s="26"/>
    </row>
    <row r="45" spans="2:12" x14ac:dyDescent="0.25">
      <c r="B45" s="20"/>
      <c r="C45" s="16"/>
      <c r="D45" s="16"/>
      <c r="E45" s="16"/>
      <c r="F45" s="20"/>
      <c r="G45" s="9"/>
      <c r="H45" s="16"/>
      <c r="I45" s="9"/>
    </row>
    <row r="46" spans="2:12" x14ac:dyDescent="0.25">
      <c r="B46" s="22" t="s">
        <v>12</v>
      </c>
      <c r="C46" s="23">
        <f>C32+C33+C34+C35+C36-D38-D37</f>
        <v>185450</v>
      </c>
      <c r="D46" s="22">
        <f>SUM(D40:D45)</f>
        <v>113000</v>
      </c>
      <c r="E46" s="23">
        <f>C46-D46</f>
        <v>72450</v>
      </c>
      <c r="F46" s="24"/>
      <c r="G46" s="23">
        <f>G32+G33+G36-H37-H38</f>
        <v>161800</v>
      </c>
      <c r="H46" s="23">
        <f>SUM(H40:H45)</f>
        <v>113000</v>
      </c>
      <c r="I46" s="23">
        <f>G46-H46</f>
        <v>48800</v>
      </c>
      <c r="J46" s="26"/>
    </row>
    <row r="47" spans="2:12" x14ac:dyDescent="0.25">
      <c r="K47" s="26"/>
    </row>
    <row r="48" spans="2:12" x14ac:dyDescent="0.25">
      <c r="B48" s="11" t="s">
        <v>24</v>
      </c>
      <c r="D48" s="11" t="s">
        <v>25</v>
      </c>
      <c r="F48" s="11"/>
      <c r="G48" s="11" t="s">
        <v>26</v>
      </c>
      <c r="J48" s="26">
        <f>E46-I46</f>
        <v>23650</v>
      </c>
      <c r="K48" s="26"/>
    </row>
    <row r="49" spans="2:9" x14ac:dyDescent="0.25">
      <c r="B49" t="s">
        <v>27</v>
      </c>
      <c r="D49" s="11" t="s">
        <v>28</v>
      </c>
      <c r="F49" s="11"/>
      <c r="G49" s="11" t="s">
        <v>147</v>
      </c>
      <c r="I49" s="2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/>
  </sheetViews>
  <sheetFormatPr defaultRowHeight="15" x14ac:dyDescent="0.25"/>
  <sheetData>
    <row r="1" spans="1:11" ht="18.75" x14ac:dyDescent="0.25">
      <c r="E1" s="1" t="s">
        <v>50</v>
      </c>
      <c r="F1" s="2"/>
      <c r="G1" s="3"/>
      <c r="H1" s="4"/>
    </row>
    <row r="2" spans="1:11" ht="18.75" x14ac:dyDescent="0.25">
      <c r="E2" s="1" t="s">
        <v>0</v>
      </c>
      <c r="F2" s="1"/>
      <c r="G2" s="5"/>
      <c r="H2" s="5"/>
    </row>
    <row r="3" spans="1:11" ht="18.75" x14ac:dyDescent="0.25">
      <c r="E3" s="1" t="s">
        <v>159</v>
      </c>
      <c r="F3" s="1"/>
      <c r="G3" s="5"/>
      <c r="H3" s="5"/>
    </row>
    <row r="4" spans="1:11" x14ac:dyDescent="0.25">
      <c r="A4" s="6" t="s">
        <v>2</v>
      </c>
      <c r="B4" s="6" t="s">
        <v>3</v>
      </c>
      <c r="C4" s="6"/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  <c r="K4" s="6" t="s">
        <v>101</v>
      </c>
    </row>
    <row r="5" spans="1:11" x14ac:dyDescent="0.25">
      <c r="A5" s="7" t="s">
        <v>30</v>
      </c>
      <c r="B5" s="7" t="s">
        <v>51</v>
      </c>
      <c r="C5" s="7"/>
      <c r="D5" s="7"/>
      <c r="E5" s="7">
        <v>4500</v>
      </c>
      <c r="F5" s="7">
        <f>october20!I5:I27</f>
        <v>900</v>
      </c>
      <c r="G5" s="7">
        <f>C5+D5+E5+F5</f>
        <v>5400</v>
      </c>
      <c r="H5" s="7">
        <v>4500</v>
      </c>
      <c r="I5" s="7">
        <f t="shared" ref="I5:I12" si="0">G5-H5</f>
        <v>900</v>
      </c>
      <c r="J5" s="7"/>
      <c r="K5" s="7"/>
    </row>
    <row r="6" spans="1:11" x14ac:dyDescent="0.25">
      <c r="A6" s="7" t="s">
        <v>31</v>
      </c>
      <c r="B6" s="7" t="s">
        <v>52</v>
      </c>
      <c r="C6" s="7"/>
      <c r="D6" s="7"/>
      <c r="E6" s="7">
        <v>3000</v>
      </c>
      <c r="F6" s="7">
        <f>october20!I6:I28</f>
        <v>0</v>
      </c>
      <c r="G6" s="7">
        <f>C6+D6+E6+F6</f>
        <v>3000</v>
      </c>
      <c r="H6" s="7">
        <v>3000</v>
      </c>
      <c r="I6" s="7">
        <f t="shared" si="0"/>
        <v>0</v>
      </c>
      <c r="J6" s="7"/>
      <c r="K6" s="7"/>
    </row>
    <row r="7" spans="1:11" x14ac:dyDescent="0.25">
      <c r="A7" s="7" t="s">
        <v>32</v>
      </c>
      <c r="B7" s="7" t="s">
        <v>115</v>
      </c>
      <c r="C7" s="7"/>
      <c r="D7" s="7">
        <v>2500</v>
      </c>
      <c r="E7" s="7">
        <v>7500</v>
      </c>
      <c r="F7" s="7">
        <v>500</v>
      </c>
      <c r="G7" s="7">
        <f>C7+D7+E7+F7</f>
        <v>10500</v>
      </c>
      <c r="H7" s="7">
        <f>7500</f>
        <v>7500</v>
      </c>
      <c r="I7" s="7">
        <f t="shared" si="0"/>
        <v>3000</v>
      </c>
      <c r="J7" s="7"/>
      <c r="K7" s="7"/>
    </row>
    <row r="8" spans="1:11" x14ac:dyDescent="0.25">
      <c r="A8" s="7" t="s">
        <v>33</v>
      </c>
      <c r="B8" s="7" t="s">
        <v>54</v>
      </c>
      <c r="C8" s="7"/>
      <c r="D8" s="7"/>
      <c r="E8" s="7">
        <v>6500</v>
      </c>
      <c r="F8" s="7">
        <f>october20!I8:I30</f>
        <v>0</v>
      </c>
      <c r="G8" s="7">
        <f>C8+D8+E8+F8</f>
        <v>6500</v>
      </c>
      <c r="H8" s="7">
        <v>6500</v>
      </c>
      <c r="I8" s="7">
        <f t="shared" si="0"/>
        <v>0</v>
      </c>
      <c r="J8" s="7"/>
      <c r="K8" s="7"/>
    </row>
    <row r="9" spans="1:11" x14ac:dyDescent="0.25">
      <c r="A9" s="7" t="s">
        <v>34</v>
      </c>
      <c r="B9" s="7" t="s">
        <v>76</v>
      </c>
      <c r="C9" s="7"/>
      <c r="D9" s="7"/>
      <c r="E9" s="7"/>
      <c r="F9" s="7">
        <f>october20!I9:I31</f>
        <v>0</v>
      </c>
      <c r="G9" s="7">
        <f t="shared" ref="G9:G27" si="1">C9+D9+E9+F9</f>
        <v>0</v>
      </c>
      <c r="H9" s="7"/>
      <c r="I9" s="7">
        <f t="shared" si="0"/>
        <v>0</v>
      </c>
      <c r="J9" s="7"/>
      <c r="K9" s="7"/>
    </row>
    <row r="10" spans="1:11" x14ac:dyDescent="0.25">
      <c r="A10" s="7" t="s">
        <v>35</v>
      </c>
      <c r="B10" s="7" t="s">
        <v>55</v>
      </c>
      <c r="C10" s="7"/>
      <c r="D10" s="7"/>
      <c r="E10" s="7">
        <v>7000</v>
      </c>
      <c r="F10" s="7">
        <f>october20!I10:I32</f>
        <v>1000</v>
      </c>
      <c r="G10" s="7">
        <f t="shared" si="1"/>
        <v>8000</v>
      </c>
      <c r="H10" s="7">
        <f>7000</f>
        <v>7000</v>
      </c>
      <c r="I10" s="7">
        <f t="shared" si="0"/>
        <v>1000</v>
      </c>
      <c r="J10" s="7"/>
      <c r="K10" s="7"/>
    </row>
    <row r="11" spans="1:11" x14ac:dyDescent="0.25">
      <c r="A11" s="7" t="s">
        <v>36</v>
      </c>
      <c r="B11" s="7" t="s">
        <v>56</v>
      </c>
      <c r="C11" s="7"/>
      <c r="D11" s="7"/>
      <c r="E11" s="7">
        <v>7000</v>
      </c>
      <c r="F11" s="7">
        <f>october20!I11:I33</f>
        <v>0</v>
      </c>
      <c r="G11" s="7">
        <f t="shared" si="1"/>
        <v>7000</v>
      </c>
      <c r="H11" s="7">
        <v>7000</v>
      </c>
      <c r="I11" s="7">
        <f t="shared" si="0"/>
        <v>0</v>
      </c>
      <c r="J11" s="7"/>
      <c r="K11" s="7"/>
    </row>
    <row r="12" spans="1:11" x14ac:dyDescent="0.25">
      <c r="A12" s="7" t="s">
        <v>37</v>
      </c>
      <c r="B12" s="8" t="s">
        <v>65</v>
      </c>
      <c r="C12" s="7"/>
      <c r="D12" s="7"/>
      <c r="E12" s="7">
        <v>4500</v>
      </c>
      <c r="F12" s="7">
        <f>october20!I12:I34</f>
        <v>100</v>
      </c>
      <c r="G12" s="7">
        <f t="shared" si="1"/>
        <v>4600</v>
      </c>
      <c r="H12" s="7">
        <f>4500</f>
        <v>4500</v>
      </c>
      <c r="I12" s="7">
        <f t="shared" si="0"/>
        <v>100</v>
      </c>
      <c r="J12" s="7"/>
      <c r="K12" s="7"/>
    </row>
    <row r="13" spans="1:11" x14ac:dyDescent="0.25">
      <c r="A13" s="7" t="s">
        <v>38</v>
      </c>
      <c r="B13" s="7" t="s">
        <v>92</v>
      </c>
      <c r="C13" s="7"/>
      <c r="D13" s="7">
        <v>5000</v>
      </c>
      <c r="E13" s="7">
        <v>8000</v>
      </c>
      <c r="F13" s="7"/>
      <c r="G13" s="7">
        <f t="shared" si="1"/>
        <v>13000</v>
      </c>
      <c r="H13" s="7">
        <f>7000+1000</f>
        <v>8000</v>
      </c>
      <c r="I13" s="7">
        <f t="shared" ref="I13:I21" si="2">G13-H13</f>
        <v>5000</v>
      </c>
      <c r="J13" s="7"/>
      <c r="K13" s="7"/>
    </row>
    <row r="14" spans="1:11" x14ac:dyDescent="0.25">
      <c r="A14" s="7" t="s">
        <v>39</v>
      </c>
      <c r="B14" s="7" t="s">
        <v>70</v>
      </c>
      <c r="C14" s="7"/>
      <c r="D14" s="7"/>
      <c r="E14" s="7">
        <v>6500</v>
      </c>
      <c r="F14" s="7">
        <f>october20!I14:I36</f>
        <v>500</v>
      </c>
      <c r="G14" s="7">
        <f t="shared" si="1"/>
        <v>7000</v>
      </c>
      <c r="H14" s="7">
        <f>6000</f>
        <v>6000</v>
      </c>
      <c r="I14" s="7">
        <f t="shared" si="2"/>
        <v>1000</v>
      </c>
      <c r="J14" s="7"/>
      <c r="K14" s="7"/>
    </row>
    <row r="15" spans="1:11" x14ac:dyDescent="0.25">
      <c r="A15" s="7" t="s">
        <v>40</v>
      </c>
      <c r="B15" s="7" t="s">
        <v>84</v>
      </c>
      <c r="C15" s="7"/>
      <c r="D15" s="7"/>
      <c r="E15" s="7"/>
      <c r="F15" s="7">
        <f>october20!I15:I37</f>
        <v>0</v>
      </c>
      <c r="G15" s="7">
        <f t="shared" si="1"/>
        <v>0</v>
      </c>
      <c r="H15" s="7"/>
      <c r="I15" s="7">
        <f t="shared" si="2"/>
        <v>0</v>
      </c>
      <c r="J15" s="7"/>
      <c r="K15" s="7"/>
    </row>
    <row r="16" spans="1:11" x14ac:dyDescent="0.25">
      <c r="A16" s="7" t="s">
        <v>41</v>
      </c>
      <c r="B16" s="7" t="s">
        <v>58</v>
      </c>
      <c r="C16" s="7"/>
      <c r="D16" s="7"/>
      <c r="E16" s="7">
        <v>7000</v>
      </c>
      <c r="F16" s="7">
        <f>october20!I16:I38</f>
        <v>1500</v>
      </c>
      <c r="G16" s="7">
        <f t="shared" si="1"/>
        <v>8500</v>
      </c>
      <c r="H16" s="7">
        <f>7000</f>
        <v>7000</v>
      </c>
      <c r="I16" s="7">
        <f t="shared" si="2"/>
        <v>1500</v>
      </c>
      <c r="J16" s="7"/>
      <c r="K16" s="7"/>
    </row>
    <row r="17" spans="1:11" x14ac:dyDescent="0.25">
      <c r="A17" s="7" t="s">
        <v>42</v>
      </c>
      <c r="B17" s="7" t="s">
        <v>59</v>
      </c>
      <c r="C17" s="7"/>
      <c r="D17" s="7"/>
      <c r="E17" s="7">
        <v>7000</v>
      </c>
      <c r="F17" s="7">
        <f>october20!I17:I39</f>
        <v>21500</v>
      </c>
      <c r="G17" s="7">
        <f t="shared" si="1"/>
        <v>28500</v>
      </c>
      <c r="H17" s="7">
        <f>9000+5000</f>
        <v>14000</v>
      </c>
      <c r="I17" s="7">
        <f t="shared" si="2"/>
        <v>14500</v>
      </c>
      <c r="J17" s="7"/>
      <c r="K17" s="7"/>
    </row>
    <row r="18" spans="1:11" x14ac:dyDescent="0.25">
      <c r="A18" s="7" t="s">
        <v>43</v>
      </c>
      <c r="B18" s="7" t="s">
        <v>60</v>
      </c>
      <c r="C18" s="7"/>
      <c r="D18" s="7"/>
      <c r="E18" s="7"/>
      <c r="F18" s="7">
        <f>october20!I18:I40</f>
        <v>0</v>
      </c>
      <c r="G18" s="7">
        <f t="shared" si="1"/>
        <v>0</v>
      </c>
      <c r="H18" s="7"/>
      <c r="I18" s="7">
        <f t="shared" si="2"/>
        <v>0</v>
      </c>
      <c r="J18" s="7"/>
      <c r="K18" s="7"/>
    </row>
    <row r="19" spans="1:11" x14ac:dyDescent="0.25">
      <c r="A19" s="7" t="s">
        <v>44</v>
      </c>
      <c r="B19" s="9" t="s">
        <v>118</v>
      </c>
      <c r="C19" s="7"/>
      <c r="D19" s="7"/>
      <c r="E19" s="7">
        <v>8000</v>
      </c>
      <c r="F19" s="7">
        <f>october20!I19:I41</f>
        <v>0</v>
      </c>
      <c r="G19" s="7">
        <f t="shared" si="1"/>
        <v>8000</v>
      </c>
      <c r="H19" s="7">
        <v>8000</v>
      </c>
      <c r="I19" s="7">
        <f t="shared" si="2"/>
        <v>0</v>
      </c>
      <c r="J19" s="7"/>
      <c r="K19" s="7"/>
    </row>
    <row r="20" spans="1:11" x14ac:dyDescent="0.25">
      <c r="A20" s="7" t="s">
        <v>45</v>
      </c>
      <c r="B20" s="7" t="s">
        <v>153</v>
      </c>
      <c r="C20" s="7"/>
      <c r="D20" s="7">
        <v>4000</v>
      </c>
      <c r="E20" s="7">
        <v>7000</v>
      </c>
      <c r="F20" s="7">
        <v>2000</v>
      </c>
      <c r="G20" s="7">
        <f t="shared" si="1"/>
        <v>13000</v>
      </c>
      <c r="H20" s="7">
        <f>4000</f>
        <v>4000</v>
      </c>
      <c r="I20" s="7">
        <f t="shared" si="2"/>
        <v>9000</v>
      </c>
      <c r="J20" s="7"/>
      <c r="K20" s="7"/>
    </row>
    <row r="21" spans="1:11" x14ac:dyDescent="0.25">
      <c r="A21" s="7" t="s">
        <v>46</v>
      </c>
      <c r="B21" s="7" t="s">
        <v>132</v>
      </c>
      <c r="C21" s="7"/>
      <c r="D21" s="7"/>
      <c r="E21" s="7">
        <v>6500</v>
      </c>
      <c r="F21" s="7">
        <f>october20!I21:I43</f>
        <v>500</v>
      </c>
      <c r="G21" s="7">
        <f t="shared" si="1"/>
        <v>7000</v>
      </c>
      <c r="H21" s="7">
        <f>6500</f>
        <v>6500</v>
      </c>
      <c r="I21" s="7">
        <f t="shared" si="2"/>
        <v>500</v>
      </c>
      <c r="J21" s="7"/>
      <c r="K21" s="7"/>
    </row>
    <row r="22" spans="1:11" x14ac:dyDescent="0.25">
      <c r="A22" s="7" t="s">
        <v>47</v>
      </c>
      <c r="B22" s="7" t="s">
        <v>64</v>
      </c>
      <c r="C22" s="7"/>
      <c r="D22" s="7"/>
      <c r="E22" s="7">
        <v>7000</v>
      </c>
      <c r="F22" s="7">
        <f>october20!I22:I44</f>
        <v>1000</v>
      </c>
      <c r="G22" s="7">
        <f t="shared" si="1"/>
        <v>8000</v>
      </c>
      <c r="H22" s="7">
        <v>7000</v>
      </c>
      <c r="I22" s="7">
        <f>G22-H22</f>
        <v>1000</v>
      </c>
      <c r="J22" s="7"/>
      <c r="K22" s="7"/>
    </row>
    <row r="23" spans="1:11" x14ac:dyDescent="0.25">
      <c r="A23" s="7" t="s">
        <v>66</v>
      </c>
      <c r="B23" s="7" t="s">
        <v>61</v>
      </c>
      <c r="C23" s="7"/>
      <c r="D23" s="7"/>
      <c r="E23" s="7">
        <v>8000</v>
      </c>
      <c r="F23" s="7">
        <f>october20!I23:I45</f>
        <v>0</v>
      </c>
      <c r="G23" s="7">
        <f t="shared" si="1"/>
        <v>8000</v>
      </c>
      <c r="H23" s="7">
        <f>8000</f>
        <v>8000</v>
      </c>
      <c r="I23" s="7">
        <f>G23-H23</f>
        <v>0</v>
      </c>
      <c r="J23" s="7"/>
      <c r="K23" s="7"/>
    </row>
    <row r="24" spans="1:11" x14ac:dyDescent="0.25">
      <c r="A24" s="7" t="s">
        <v>48</v>
      </c>
      <c r="B24" s="7" t="s">
        <v>69</v>
      </c>
      <c r="C24" s="7"/>
      <c r="D24" s="7"/>
      <c r="E24" s="7">
        <v>4500</v>
      </c>
      <c r="F24" s="7">
        <f>october20!I24:I46</f>
        <v>0</v>
      </c>
      <c r="G24" s="7">
        <f t="shared" si="1"/>
        <v>4500</v>
      </c>
      <c r="H24" s="7">
        <v>4500</v>
      </c>
      <c r="I24" s="7">
        <f>G24-H24</f>
        <v>0</v>
      </c>
      <c r="J24" s="7"/>
      <c r="K24" s="7"/>
    </row>
    <row r="25" spans="1:11" x14ac:dyDescent="0.25">
      <c r="A25" s="7" t="s">
        <v>49</v>
      </c>
      <c r="B25" s="7" t="s">
        <v>100</v>
      </c>
      <c r="C25" s="7"/>
      <c r="D25" s="7"/>
      <c r="E25" s="7">
        <v>8000</v>
      </c>
      <c r="F25" s="7">
        <f>october20!I25:I47</f>
        <v>0</v>
      </c>
      <c r="G25" s="7">
        <f t="shared" si="1"/>
        <v>8000</v>
      </c>
      <c r="H25" s="7">
        <f>8000</f>
        <v>8000</v>
      </c>
      <c r="I25" s="7">
        <f>G25-H25</f>
        <v>0</v>
      </c>
      <c r="J25" s="7"/>
      <c r="K25" s="7"/>
    </row>
    <row r="26" spans="1:11" x14ac:dyDescent="0.25">
      <c r="A26" s="7"/>
      <c r="B26" s="7"/>
      <c r="C26" s="7"/>
      <c r="D26" s="7"/>
      <c r="E26" s="7"/>
      <c r="F26" s="7">
        <f>october20!I26:I48</f>
        <v>0</v>
      </c>
      <c r="G26" s="7"/>
      <c r="H26" s="7"/>
      <c r="I26" s="7"/>
      <c r="J26" s="7"/>
      <c r="K26" s="7"/>
    </row>
    <row r="27" spans="1:11" x14ac:dyDescent="0.25">
      <c r="A27" s="7" t="s">
        <v>88</v>
      </c>
      <c r="B27" s="7" t="s">
        <v>110</v>
      </c>
      <c r="C27" s="7"/>
      <c r="D27" s="7"/>
      <c r="E27" s="7">
        <v>7000</v>
      </c>
      <c r="F27" s="7">
        <f>october20!I27:I49</f>
        <v>46100</v>
      </c>
      <c r="G27" s="7">
        <f t="shared" si="1"/>
        <v>53100</v>
      </c>
      <c r="H27" s="7">
        <f>4000+3000</f>
        <v>7000</v>
      </c>
      <c r="I27" s="7">
        <f>G27-H27</f>
        <v>46100</v>
      </c>
      <c r="J27" s="7"/>
      <c r="K27" s="7"/>
    </row>
    <row r="28" spans="1:11" x14ac:dyDescent="0.25">
      <c r="A28" s="6"/>
      <c r="B28" s="10" t="s">
        <v>12</v>
      </c>
      <c r="C28" s="10">
        <f>SUM(C4:C5)</f>
        <v>0</v>
      </c>
      <c r="D28" s="10">
        <f>SUM(D5:D27)</f>
        <v>11500</v>
      </c>
      <c r="E28" s="6">
        <f>SUM(E5:E27)</f>
        <v>124500</v>
      </c>
      <c r="F28" s="7">
        <f>SUM(F5:F27)</f>
        <v>75600</v>
      </c>
      <c r="G28" s="7">
        <f>C28+D28+E28+F28</f>
        <v>211600</v>
      </c>
      <c r="H28" s="6">
        <f>SUM(H5:H27)</f>
        <v>128000</v>
      </c>
      <c r="I28" s="6">
        <f>SUM(I5:I27)</f>
        <v>83600</v>
      </c>
      <c r="J28" s="6">
        <f>SUM(J5:J27)</f>
        <v>0</v>
      </c>
      <c r="K28" s="6">
        <f>SUM(K5:K27)</f>
        <v>0</v>
      </c>
    </row>
    <row r="29" spans="1:11" x14ac:dyDescent="0.25">
      <c r="A29" s="11"/>
      <c r="F29" s="7">
        <f>october20!I29:I52</f>
        <v>30150</v>
      </c>
      <c r="I29" s="8">
        <f>I28-F27-D7-D13-D20-I5-5850</f>
        <v>19250</v>
      </c>
    </row>
    <row r="30" spans="1:11" ht="18.75" x14ac:dyDescent="0.3">
      <c r="B30" s="12" t="s">
        <v>13</v>
      </c>
      <c r="C30" s="13"/>
      <c r="D30" s="13"/>
      <c r="E30" s="13">
        <f>E29-H28</f>
        <v>-128000</v>
      </c>
      <c r="F30" s="13"/>
      <c r="G30" s="13"/>
      <c r="H30" s="14"/>
      <c r="I30" s="14"/>
      <c r="J30" s="26"/>
    </row>
    <row r="31" spans="1:11" ht="15.75" x14ac:dyDescent="0.25">
      <c r="B31" s="15" t="s">
        <v>14</v>
      </c>
      <c r="C31" s="15" t="s">
        <v>15</v>
      </c>
      <c r="D31" s="15" t="s">
        <v>16</v>
      </c>
      <c r="E31" s="15" t="s">
        <v>17</v>
      </c>
      <c r="F31" s="15" t="s">
        <v>18</v>
      </c>
      <c r="G31" s="15" t="s">
        <v>15</v>
      </c>
      <c r="H31" s="15" t="s">
        <v>16</v>
      </c>
      <c r="I31" s="15" t="s">
        <v>17</v>
      </c>
      <c r="K31" s="25"/>
    </row>
    <row r="32" spans="1:11" x14ac:dyDescent="0.25">
      <c r="B32" s="9" t="s">
        <v>160</v>
      </c>
      <c r="C32" s="16">
        <f>E28</f>
        <v>124500</v>
      </c>
      <c r="D32" s="17">
        <v>0.1</v>
      </c>
      <c r="E32" s="16"/>
      <c r="F32" s="18" t="s">
        <v>160</v>
      </c>
      <c r="G32" s="16">
        <f>H28</f>
        <v>128000</v>
      </c>
      <c r="H32" s="17">
        <v>0.1</v>
      </c>
      <c r="I32" s="9"/>
    </row>
    <row r="33" spans="2:12" x14ac:dyDescent="0.25">
      <c r="B33" s="9" t="s">
        <v>20</v>
      </c>
      <c r="C33" s="16">
        <f>october20!E46</f>
        <v>72450</v>
      </c>
      <c r="D33" s="9"/>
      <c r="E33" s="9"/>
      <c r="F33" s="9" t="s">
        <v>20</v>
      </c>
      <c r="G33" s="16">
        <f>october20!I46</f>
        <v>48800</v>
      </c>
      <c r="H33" s="9"/>
      <c r="I33" s="9"/>
      <c r="K33" s="26"/>
    </row>
    <row r="34" spans="2:12" x14ac:dyDescent="0.25">
      <c r="B34" s="9" t="s">
        <v>154</v>
      </c>
      <c r="C34" s="16"/>
      <c r="D34" s="9"/>
      <c r="E34" s="9"/>
      <c r="F34" s="9"/>
      <c r="G34" s="16"/>
      <c r="H34" s="16"/>
      <c r="I34" s="9"/>
      <c r="K34" s="26"/>
    </row>
    <row r="35" spans="2:12" x14ac:dyDescent="0.25">
      <c r="B35" s="9" t="s">
        <v>21</v>
      </c>
      <c r="C35" s="16">
        <f>J28</f>
        <v>0</v>
      </c>
      <c r="D35" s="9"/>
      <c r="E35" s="9"/>
      <c r="F35" s="9"/>
      <c r="G35" s="16"/>
      <c r="H35" s="16"/>
      <c r="I35" s="9"/>
      <c r="K35" s="26"/>
    </row>
    <row r="36" spans="2:12" x14ac:dyDescent="0.25">
      <c r="B36" s="9" t="s">
        <v>102</v>
      </c>
      <c r="C36" s="16">
        <f>K28</f>
        <v>0</v>
      </c>
      <c r="D36" s="9"/>
      <c r="E36" s="9"/>
      <c r="F36" s="9" t="s">
        <v>102</v>
      </c>
      <c r="G36" s="16">
        <f>K28</f>
        <v>0</v>
      </c>
      <c r="H36" s="9"/>
      <c r="I36" s="9"/>
    </row>
    <row r="37" spans="2:12" x14ac:dyDescent="0.25">
      <c r="B37" s="9" t="s">
        <v>97</v>
      </c>
      <c r="C37" s="16">
        <v>0.3</v>
      </c>
      <c r="D37" s="9"/>
      <c r="E37" s="9"/>
      <c r="F37" s="9" t="s">
        <v>97</v>
      </c>
      <c r="G37" s="16">
        <v>0.3</v>
      </c>
      <c r="H37" s="9"/>
      <c r="I37" s="9"/>
    </row>
    <row r="38" spans="2:12" x14ac:dyDescent="0.25">
      <c r="B38" s="9" t="s">
        <v>22</v>
      </c>
      <c r="C38" s="18"/>
      <c r="D38" s="9">
        <f>C32*D32</f>
        <v>12450</v>
      </c>
      <c r="E38" s="9"/>
      <c r="F38" s="9" t="s">
        <v>22</v>
      </c>
      <c r="G38" s="18"/>
      <c r="H38" s="9">
        <f>D38</f>
        <v>12450</v>
      </c>
      <c r="I38" s="9"/>
    </row>
    <row r="39" spans="2:12" x14ac:dyDescent="0.25">
      <c r="B39" s="19" t="s">
        <v>23</v>
      </c>
      <c r="C39" s="9"/>
      <c r="D39" s="9"/>
      <c r="E39" s="9"/>
      <c r="F39" s="19" t="s">
        <v>23</v>
      </c>
      <c r="G39" s="9"/>
      <c r="H39" s="9"/>
      <c r="I39" s="9"/>
    </row>
    <row r="40" spans="2:12" x14ac:dyDescent="0.25">
      <c r="B40" s="20" t="s">
        <v>164</v>
      </c>
      <c r="C40" s="9"/>
      <c r="D40" s="9">
        <v>48000</v>
      </c>
      <c r="E40" s="9"/>
      <c r="F40" s="20" t="s">
        <v>164</v>
      </c>
      <c r="G40" s="9"/>
      <c r="H40" s="9">
        <v>48000</v>
      </c>
      <c r="I40" s="9"/>
      <c r="J40" s="26"/>
    </row>
    <row r="41" spans="2:12" x14ac:dyDescent="0.25">
      <c r="B41" s="7" t="s">
        <v>165</v>
      </c>
      <c r="C41" s="21"/>
      <c r="D41" s="7">
        <v>39000</v>
      </c>
      <c r="E41" s="7"/>
      <c r="F41" s="7" t="s">
        <v>165</v>
      </c>
      <c r="G41" s="21"/>
      <c r="H41" s="7">
        <v>39000</v>
      </c>
      <c r="I41" s="9"/>
      <c r="K41" s="26"/>
    </row>
    <row r="42" spans="2:12" x14ac:dyDescent="0.25">
      <c r="B42" s="20" t="s">
        <v>168</v>
      </c>
      <c r="C42" s="9"/>
      <c r="D42" s="9">
        <v>6500</v>
      </c>
      <c r="E42" s="9"/>
      <c r="F42" s="20" t="s">
        <v>168</v>
      </c>
      <c r="G42" s="9"/>
      <c r="H42" s="9">
        <v>6500</v>
      </c>
      <c r="I42" s="9"/>
      <c r="K42" s="26"/>
    </row>
    <row r="43" spans="2:12" x14ac:dyDescent="0.25">
      <c r="B43" s="20" t="s">
        <v>169</v>
      </c>
      <c r="C43" s="9"/>
      <c r="D43" s="9">
        <v>65000</v>
      </c>
      <c r="E43" s="9"/>
      <c r="F43" s="20" t="s">
        <v>169</v>
      </c>
      <c r="G43" s="9"/>
      <c r="H43" s="9">
        <v>65000</v>
      </c>
      <c r="I43" s="9"/>
      <c r="K43" s="26"/>
      <c r="L43" s="26"/>
    </row>
    <row r="44" spans="2:12" x14ac:dyDescent="0.25">
      <c r="B44" s="20"/>
      <c r="C44" s="9"/>
      <c r="D44" s="9"/>
      <c r="E44" s="9"/>
      <c r="F44" s="20"/>
      <c r="G44" s="9"/>
      <c r="H44" s="9"/>
      <c r="I44" s="9"/>
      <c r="K44" s="26"/>
    </row>
    <row r="45" spans="2:12" x14ac:dyDescent="0.25">
      <c r="B45" s="20"/>
      <c r="C45" s="16"/>
      <c r="D45" s="16"/>
      <c r="E45" s="16"/>
      <c r="F45" s="20"/>
      <c r="G45" s="9"/>
      <c r="H45" s="16"/>
      <c r="I45" s="9"/>
    </row>
    <row r="46" spans="2:12" x14ac:dyDescent="0.25">
      <c r="B46" s="22" t="s">
        <v>12</v>
      </c>
      <c r="C46" s="23">
        <f>C32+C33+C34+C35+C36-D38-D37</f>
        <v>184500</v>
      </c>
      <c r="D46" s="22">
        <f>SUM(D40:D45)</f>
        <v>158500</v>
      </c>
      <c r="E46" s="23">
        <f>C46-D46</f>
        <v>26000</v>
      </c>
      <c r="F46" s="24"/>
      <c r="G46" s="23">
        <f>G32+G33+G36-H37-H38</f>
        <v>164350</v>
      </c>
      <c r="H46" s="23">
        <f>SUM(H40:H45)</f>
        <v>158500</v>
      </c>
      <c r="I46" s="23">
        <f>G46-H46</f>
        <v>5850</v>
      </c>
    </row>
    <row r="47" spans="2:12" x14ac:dyDescent="0.25">
      <c r="K47" s="26"/>
    </row>
    <row r="48" spans="2:12" x14ac:dyDescent="0.25">
      <c r="B48" s="11" t="s">
        <v>24</v>
      </c>
      <c r="D48" s="11" t="s">
        <v>25</v>
      </c>
      <c r="F48" s="11"/>
      <c r="G48" s="11" t="s">
        <v>26</v>
      </c>
      <c r="K48" s="26"/>
    </row>
    <row r="49" spans="2:10" x14ac:dyDescent="0.25">
      <c r="B49" t="s">
        <v>27</v>
      </c>
      <c r="D49" s="11" t="s">
        <v>28</v>
      </c>
      <c r="F49" s="11"/>
      <c r="G49" s="11" t="s">
        <v>147</v>
      </c>
      <c r="I49" s="26"/>
    </row>
    <row r="50" spans="2:10" x14ac:dyDescent="0.25">
      <c r="J50" s="26"/>
    </row>
    <row r="51" spans="2:10" x14ac:dyDescent="0.25">
      <c r="I51" s="26">
        <f>E46-I46</f>
        <v>20150</v>
      </c>
      <c r="J51" s="26"/>
    </row>
    <row r="52" spans="2:10" x14ac:dyDescent="0.25">
      <c r="J52" s="2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workbookViewId="0"/>
  </sheetViews>
  <sheetFormatPr defaultRowHeight="15" x14ac:dyDescent="0.25"/>
  <sheetData>
    <row r="1" spans="1:11" ht="18.75" x14ac:dyDescent="0.25">
      <c r="E1" s="1" t="s">
        <v>50</v>
      </c>
      <c r="F1" s="2"/>
      <c r="G1" s="3"/>
      <c r="H1" s="4"/>
    </row>
    <row r="2" spans="1:11" ht="18.75" x14ac:dyDescent="0.25">
      <c r="E2" s="1" t="s">
        <v>0</v>
      </c>
      <c r="F2" s="1"/>
      <c r="G2" s="5"/>
      <c r="H2" s="5"/>
    </row>
    <row r="3" spans="1:11" ht="18.75" x14ac:dyDescent="0.25">
      <c r="E3" s="1" t="s">
        <v>167</v>
      </c>
      <c r="F3" s="1"/>
      <c r="G3" s="5"/>
      <c r="H3" s="5"/>
    </row>
    <row r="4" spans="1:11" x14ac:dyDescent="0.25">
      <c r="A4" s="6" t="s">
        <v>2</v>
      </c>
      <c r="B4" s="6" t="s">
        <v>3</v>
      </c>
      <c r="C4" s="6"/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  <c r="K4" s="6" t="s">
        <v>101</v>
      </c>
    </row>
    <row r="5" spans="1:11" x14ac:dyDescent="0.25">
      <c r="A5" s="7" t="s">
        <v>30</v>
      </c>
      <c r="B5" s="7" t="s">
        <v>51</v>
      </c>
      <c r="C5" s="7"/>
      <c r="D5" s="7"/>
      <c r="E5" s="7">
        <v>4500</v>
      </c>
      <c r="F5" s="7">
        <f>NOVEMBER20!I5:I27</f>
        <v>900</v>
      </c>
      <c r="G5" s="7">
        <f>C5+D5+E5+F5</f>
        <v>5400</v>
      </c>
      <c r="H5" s="7">
        <f>4500</f>
        <v>4500</v>
      </c>
      <c r="I5" s="7">
        <f t="shared" ref="I5:I13" si="0">G5-H5</f>
        <v>900</v>
      </c>
      <c r="J5" s="7"/>
      <c r="K5" s="7"/>
    </row>
    <row r="6" spans="1:11" x14ac:dyDescent="0.25">
      <c r="A6" s="7" t="s">
        <v>31</v>
      </c>
      <c r="B6" s="7" t="s">
        <v>52</v>
      </c>
      <c r="C6" s="7"/>
      <c r="D6" s="7"/>
      <c r="E6" s="7">
        <v>3000</v>
      </c>
      <c r="F6" s="7">
        <f>NOVEMBER20!I6:I28</f>
        <v>0</v>
      </c>
      <c r="G6" s="7">
        <f>C6+D6+E6+F6</f>
        <v>3000</v>
      </c>
      <c r="H6" s="7">
        <v>3000</v>
      </c>
      <c r="I6" s="7">
        <f t="shared" si="0"/>
        <v>0</v>
      </c>
      <c r="J6" s="7"/>
      <c r="K6" s="7"/>
    </row>
    <row r="7" spans="1:11" x14ac:dyDescent="0.25">
      <c r="A7" s="7" t="s">
        <v>32</v>
      </c>
      <c r="B7" s="7" t="s">
        <v>115</v>
      </c>
      <c r="C7" s="7"/>
      <c r="D7" s="7">
        <v>2500</v>
      </c>
      <c r="E7" s="7">
        <v>7500</v>
      </c>
      <c r="F7" s="7">
        <v>500</v>
      </c>
      <c r="G7" s="7">
        <f>C7+D7+E7+F7</f>
        <v>10500</v>
      </c>
      <c r="H7" s="7">
        <f>7500</f>
        <v>7500</v>
      </c>
      <c r="I7" s="7">
        <f t="shared" si="0"/>
        <v>3000</v>
      </c>
      <c r="J7" s="7"/>
      <c r="K7" s="7"/>
    </row>
    <row r="8" spans="1:11" x14ac:dyDescent="0.25">
      <c r="A8" s="7" t="s">
        <v>33</v>
      </c>
      <c r="B8" s="7" t="s">
        <v>54</v>
      </c>
      <c r="C8" s="7"/>
      <c r="D8" s="7"/>
      <c r="E8" s="7">
        <v>6500</v>
      </c>
      <c r="F8" s="7">
        <f>NOVEMBER20!I8:I30</f>
        <v>0</v>
      </c>
      <c r="G8" s="7">
        <f>C8+D8+E8+F8</f>
        <v>6500</v>
      </c>
      <c r="H8" s="7">
        <f>6500</f>
        <v>6500</v>
      </c>
      <c r="I8" s="7">
        <f t="shared" si="0"/>
        <v>0</v>
      </c>
      <c r="J8" s="7"/>
      <c r="K8" s="7"/>
    </row>
    <row r="9" spans="1:11" x14ac:dyDescent="0.25">
      <c r="A9" s="7" t="s">
        <v>34</v>
      </c>
      <c r="B9" s="7" t="s">
        <v>76</v>
      </c>
      <c r="C9" s="7"/>
      <c r="D9" s="7"/>
      <c r="E9" s="7"/>
      <c r="F9" s="7">
        <f>NOVEMBER20!I9:I31</f>
        <v>0</v>
      </c>
      <c r="G9" s="7">
        <f t="shared" ref="G9:G27" si="1">C9+D9+E9+F9</f>
        <v>0</v>
      </c>
      <c r="H9" s="7"/>
      <c r="I9" s="7">
        <f t="shared" si="0"/>
        <v>0</v>
      </c>
      <c r="J9" s="7"/>
      <c r="K9" s="7"/>
    </row>
    <row r="10" spans="1:11" x14ac:dyDescent="0.25">
      <c r="A10" s="7" t="s">
        <v>35</v>
      </c>
      <c r="B10" s="7" t="s">
        <v>55</v>
      </c>
      <c r="C10" s="7"/>
      <c r="D10" s="7"/>
      <c r="E10" s="7">
        <v>7000</v>
      </c>
      <c r="F10" s="7">
        <f>NOVEMBER20!I10:I32</f>
        <v>1000</v>
      </c>
      <c r="G10" s="7">
        <f t="shared" si="1"/>
        <v>8000</v>
      </c>
      <c r="H10" s="7">
        <f>7000</f>
        <v>7000</v>
      </c>
      <c r="I10" s="7">
        <f t="shared" si="0"/>
        <v>1000</v>
      </c>
      <c r="J10" s="7"/>
      <c r="K10" s="7"/>
    </row>
    <row r="11" spans="1:11" x14ac:dyDescent="0.25">
      <c r="A11" s="7" t="s">
        <v>36</v>
      </c>
      <c r="B11" s="7" t="s">
        <v>56</v>
      </c>
      <c r="C11" s="7"/>
      <c r="D11" s="7"/>
      <c r="E11" s="7">
        <v>7000</v>
      </c>
      <c r="F11" s="7">
        <f>NOVEMBER20!I11:I33</f>
        <v>0</v>
      </c>
      <c r="G11" s="7">
        <f t="shared" si="1"/>
        <v>7000</v>
      </c>
      <c r="H11" s="7">
        <v>7000</v>
      </c>
      <c r="I11" s="7">
        <f t="shared" si="0"/>
        <v>0</v>
      </c>
      <c r="J11" s="7"/>
      <c r="K11" s="7"/>
    </row>
    <row r="12" spans="1:11" x14ac:dyDescent="0.25">
      <c r="A12" s="7" t="s">
        <v>37</v>
      </c>
      <c r="B12" s="8" t="s">
        <v>65</v>
      </c>
      <c r="C12" s="7"/>
      <c r="D12" s="7"/>
      <c r="E12" s="7">
        <v>4500</v>
      </c>
      <c r="F12" s="7">
        <f>NOVEMBER20!I12:I34</f>
        <v>100</v>
      </c>
      <c r="G12" s="7">
        <f t="shared" si="1"/>
        <v>4600</v>
      </c>
      <c r="H12" s="7">
        <f>4500</f>
        <v>4500</v>
      </c>
      <c r="I12" s="7">
        <f t="shared" si="0"/>
        <v>100</v>
      </c>
      <c r="J12" s="7"/>
      <c r="K12" s="7"/>
    </row>
    <row r="13" spans="1:11" x14ac:dyDescent="0.25">
      <c r="A13" s="7" t="s">
        <v>38</v>
      </c>
      <c r="B13" s="7" t="s">
        <v>92</v>
      </c>
      <c r="C13" s="7"/>
      <c r="D13" s="7">
        <v>5000</v>
      </c>
      <c r="E13" s="7">
        <v>8000</v>
      </c>
      <c r="F13" s="7"/>
      <c r="G13" s="7">
        <f t="shared" si="1"/>
        <v>13000</v>
      </c>
      <c r="H13" s="7">
        <v>8000</v>
      </c>
      <c r="I13" s="7">
        <f t="shared" si="0"/>
        <v>5000</v>
      </c>
      <c r="J13" s="7"/>
      <c r="K13" s="7"/>
    </row>
    <row r="14" spans="1:11" x14ac:dyDescent="0.25">
      <c r="A14" s="7" t="s">
        <v>39</v>
      </c>
      <c r="B14" s="7" t="s">
        <v>70</v>
      </c>
      <c r="C14" s="7"/>
      <c r="D14" s="7"/>
      <c r="E14" s="7">
        <v>6500</v>
      </c>
      <c r="F14" s="7">
        <f>NOVEMBER20!I14:I36</f>
        <v>1000</v>
      </c>
      <c r="G14" s="7">
        <f t="shared" si="1"/>
        <v>7500</v>
      </c>
      <c r="H14" s="7">
        <f>6500</f>
        <v>6500</v>
      </c>
      <c r="I14" s="7">
        <f t="shared" ref="I14:I19" si="2">G14-H14</f>
        <v>1000</v>
      </c>
      <c r="J14" s="7"/>
      <c r="K14" s="7"/>
    </row>
    <row r="15" spans="1:11" x14ac:dyDescent="0.25">
      <c r="A15" s="7" t="s">
        <v>40</v>
      </c>
      <c r="B15" s="7"/>
      <c r="C15" s="7"/>
      <c r="D15" s="7"/>
      <c r="E15" s="7"/>
      <c r="F15" s="7">
        <f>NOVEMBER20!I15:I37</f>
        <v>0</v>
      </c>
      <c r="G15" s="7">
        <f t="shared" si="1"/>
        <v>0</v>
      </c>
      <c r="H15" s="7"/>
      <c r="I15" s="7">
        <f t="shared" si="2"/>
        <v>0</v>
      </c>
      <c r="J15" s="7"/>
      <c r="K15" s="7"/>
    </row>
    <row r="16" spans="1:11" x14ac:dyDescent="0.25">
      <c r="A16" s="7" t="s">
        <v>41</v>
      </c>
      <c r="B16" s="7" t="s">
        <v>58</v>
      </c>
      <c r="C16" s="7"/>
      <c r="D16" s="7"/>
      <c r="E16" s="7">
        <v>7000</v>
      </c>
      <c r="F16" s="7">
        <f>NOVEMBER20!I16:I38</f>
        <v>1500</v>
      </c>
      <c r="G16" s="7">
        <f t="shared" si="1"/>
        <v>8500</v>
      </c>
      <c r="H16" s="7">
        <f>7000</f>
        <v>7000</v>
      </c>
      <c r="I16" s="7">
        <f t="shared" si="2"/>
        <v>1500</v>
      </c>
      <c r="J16" s="7"/>
      <c r="K16" s="7"/>
    </row>
    <row r="17" spans="1:15" x14ac:dyDescent="0.25">
      <c r="A17" s="7" t="s">
        <v>42</v>
      </c>
      <c r="B17" s="7" t="s">
        <v>59</v>
      </c>
      <c r="C17" s="7"/>
      <c r="D17" s="7"/>
      <c r="E17" s="7">
        <v>7000</v>
      </c>
      <c r="F17" s="7">
        <f>NOVEMBER20!I17:I39</f>
        <v>14500</v>
      </c>
      <c r="G17" s="7">
        <f t="shared" si="1"/>
        <v>21500</v>
      </c>
      <c r="H17" s="7">
        <f>5400+15650</f>
        <v>21050</v>
      </c>
      <c r="I17" s="7">
        <f t="shared" si="2"/>
        <v>450</v>
      </c>
      <c r="J17" s="7">
        <v>5400</v>
      </c>
      <c r="K17" s="7"/>
    </row>
    <row r="18" spans="1:15" x14ac:dyDescent="0.25">
      <c r="A18" s="7" t="s">
        <v>43</v>
      </c>
      <c r="B18" s="7" t="s">
        <v>60</v>
      </c>
      <c r="C18" s="7"/>
      <c r="D18" s="7"/>
      <c r="E18" s="7"/>
      <c r="F18" s="7">
        <f>NOVEMBER20!I18:I40</f>
        <v>0</v>
      </c>
      <c r="G18" s="7">
        <f t="shared" si="1"/>
        <v>0</v>
      </c>
      <c r="H18" s="7"/>
      <c r="I18" s="7">
        <f t="shared" si="2"/>
        <v>0</v>
      </c>
      <c r="J18" s="7"/>
      <c r="K18" s="7"/>
    </row>
    <row r="19" spans="1:15" x14ac:dyDescent="0.25">
      <c r="A19" s="7" t="s">
        <v>44</v>
      </c>
      <c r="B19" s="9" t="s">
        <v>118</v>
      </c>
      <c r="C19" s="7"/>
      <c r="D19" s="7"/>
      <c r="E19" s="7">
        <v>8000</v>
      </c>
      <c r="F19" s="7">
        <f>NOVEMBER20!I19:I41</f>
        <v>0</v>
      </c>
      <c r="G19" s="7">
        <f t="shared" si="1"/>
        <v>8000</v>
      </c>
      <c r="H19" s="7">
        <f>8000</f>
        <v>8000</v>
      </c>
      <c r="I19" s="7">
        <f t="shared" si="2"/>
        <v>0</v>
      </c>
      <c r="J19" s="7"/>
      <c r="K19" s="7"/>
    </row>
    <row r="20" spans="1:15" x14ac:dyDescent="0.25">
      <c r="A20" s="7" t="s">
        <v>45</v>
      </c>
      <c r="B20" s="7" t="s">
        <v>153</v>
      </c>
      <c r="C20" s="7"/>
      <c r="D20" s="7">
        <v>4000</v>
      </c>
      <c r="E20" s="7"/>
      <c r="F20" s="7">
        <v>5000</v>
      </c>
      <c r="G20" s="7">
        <f t="shared" si="1"/>
        <v>9000</v>
      </c>
      <c r="H20" s="7"/>
      <c r="I20" s="7"/>
      <c r="J20" s="7"/>
      <c r="K20" s="7"/>
    </row>
    <row r="21" spans="1:15" x14ac:dyDescent="0.25">
      <c r="A21" s="7" t="s">
        <v>46</v>
      </c>
      <c r="B21" s="7" t="s">
        <v>132</v>
      </c>
      <c r="C21" s="7"/>
      <c r="D21" s="7"/>
      <c r="E21" s="7">
        <v>6500</v>
      </c>
      <c r="F21" s="7">
        <f>NOVEMBER20!I21:I43</f>
        <v>500</v>
      </c>
      <c r="G21" s="7">
        <f t="shared" si="1"/>
        <v>7000</v>
      </c>
      <c r="H21" s="7">
        <f>6500</f>
        <v>6500</v>
      </c>
      <c r="I21" s="7">
        <f>G21-H21</f>
        <v>500</v>
      </c>
      <c r="J21" s="7"/>
      <c r="K21" s="7"/>
    </row>
    <row r="22" spans="1:15" x14ac:dyDescent="0.25">
      <c r="A22" s="7" t="s">
        <v>47</v>
      </c>
      <c r="B22" s="7" t="s">
        <v>64</v>
      </c>
      <c r="C22" s="7"/>
      <c r="D22" s="7"/>
      <c r="E22" s="7">
        <v>7000</v>
      </c>
      <c r="F22" s="7">
        <f>NOVEMBER20!I22:I44</f>
        <v>1000</v>
      </c>
      <c r="G22" s="7">
        <f t="shared" si="1"/>
        <v>8000</v>
      </c>
      <c r="H22">
        <f>7000</f>
        <v>7000</v>
      </c>
      <c r="I22" s="7">
        <f>G22-H22</f>
        <v>1000</v>
      </c>
      <c r="J22" s="7"/>
      <c r="K22" s="7"/>
    </row>
    <row r="23" spans="1:15" x14ac:dyDescent="0.25">
      <c r="A23" s="7" t="s">
        <v>66</v>
      </c>
      <c r="B23" s="7" t="s">
        <v>61</v>
      </c>
      <c r="C23" s="7"/>
      <c r="D23" s="7"/>
      <c r="E23" s="7">
        <v>8000</v>
      </c>
      <c r="F23" s="7">
        <f>NOVEMBER20!I23:I45</f>
        <v>0</v>
      </c>
      <c r="G23" s="7">
        <f t="shared" si="1"/>
        <v>8000</v>
      </c>
      <c r="H23" s="7">
        <f>8000</f>
        <v>8000</v>
      </c>
      <c r="I23" s="7">
        <f>G23-H23</f>
        <v>0</v>
      </c>
      <c r="J23" s="7"/>
      <c r="K23" s="7"/>
    </row>
    <row r="24" spans="1:15" x14ac:dyDescent="0.25">
      <c r="A24" s="7" t="s">
        <v>48</v>
      </c>
      <c r="B24" s="7" t="s">
        <v>69</v>
      </c>
      <c r="C24" s="7"/>
      <c r="D24" s="7"/>
      <c r="E24" s="7">
        <v>4500</v>
      </c>
      <c r="F24" s="7">
        <f>NOVEMBER20!I24:I46</f>
        <v>0</v>
      </c>
      <c r="G24" s="7">
        <f t="shared" si="1"/>
        <v>4500</v>
      </c>
      <c r="H24" s="7">
        <v>4500</v>
      </c>
      <c r="I24" s="7">
        <f>G24-H24</f>
        <v>0</v>
      </c>
      <c r="J24" s="7"/>
      <c r="K24" s="7"/>
    </row>
    <row r="25" spans="1:15" x14ac:dyDescent="0.25">
      <c r="A25" s="7" t="s">
        <v>49</v>
      </c>
      <c r="B25" s="7" t="s">
        <v>100</v>
      </c>
      <c r="C25" s="7"/>
      <c r="D25" s="7"/>
      <c r="E25" s="7">
        <v>8000</v>
      </c>
      <c r="F25" s="7">
        <f>NOVEMBER20!I25:I47</f>
        <v>0</v>
      </c>
      <c r="G25" s="7">
        <f t="shared" si="1"/>
        <v>8000</v>
      </c>
      <c r="H25" s="7">
        <v>8000</v>
      </c>
      <c r="I25" s="7">
        <f>G25-H25</f>
        <v>0</v>
      </c>
      <c r="J25" s="7"/>
      <c r="K25" s="7"/>
    </row>
    <row r="26" spans="1:15" x14ac:dyDescent="0.25">
      <c r="A26" s="7"/>
      <c r="B26" s="7"/>
      <c r="C26" s="7"/>
      <c r="D26" s="7"/>
      <c r="E26" s="7"/>
      <c r="F26" s="7">
        <f>NOVEMBER20!I26:I48</f>
        <v>0</v>
      </c>
      <c r="G26" s="7"/>
      <c r="H26" s="7"/>
      <c r="I26" s="7"/>
      <c r="J26" s="7"/>
      <c r="K26" s="7"/>
    </row>
    <row r="27" spans="1:15" x14ac:dyDescent="0.25">
      <c r="A27" s="7" t="s">
        <v>88</v>
      </c>
      <c r="B27" s="7" t="s">
        <v>110</v>
      </c>
      <c r="C27" s="7"/>
      <c r="D27" s="7"/>
      <c r="E27" s="7">
        <v>7000</v>
      </c>
      <c r="F27" s="7">
        <f>NOVEMBER20!I27:I49</f>
        <v>46100</v>
      </c>
      <c r="G27" s="7">
        <f t="shared" si="1"/>
        <v>53100</v>
      </c>
      <c r="H27" s="7">
        <v>5000</v>
      </c>
      <c r="I27" s="7">
        <f>G27-H27</f>
        <v>48100</v>
      </c>
      <c r="J27" s="7"/>
      <c r="K27" s="7"/>
    </row>
    <row r="28" spans="1:15" x14ac:dyDescent="0.25">
      <c r="A28" s="6"/>
      <c r="B28" s="10" t="s">
        <v>12</v>
      </c>
      <c r="C28" s="10">
        <f>SUM(C4:C5)</f>
        <v>0</v>
      </c>
      <c r="D28" s="10">
        <f>SUM(D5:D27)</f>
        <v>11500</v>
      </c>
      <c r="E28" s="6">
        <f>SUM(E5:E27)</f>
        <v>117500</v>
      </c>
      <c r="F28" s="7">
        <f>SUM(F5:F27)</f>
        <v>72100</v>
      </c>
      <c r="G28" s="7">
        <f>C28+D28+E28+F28</f>
        <v>201100</v>
      </c>
      <c r="H28" s="6">
        <f>SUM(H5:H27)</f>
        <v>129550</v>
      </c>
      <c r="I28" s="6">
        <f>SUM(I5:I27)</f>
        <v>62550</v>
      </c>
      <c r="J28" s="6">
        <f>SUM(J5:J27)</f>
        <v>5400</v>
      </c>
      <c r="K28" s="6">
        <f>SUM(K5:K27)</f>
        <v>0</v>
      </c>
      <c r="O28">
        <f>7500+7500+1000</f>
        <v>16000</v>
      </c>
    </row>
    <row r="29" spans="1:15" x14ac:dyDescent="0.25">
      <c r="A29" s="11"/>
      <c r="F29" s="7">
        <f>october20!I29:I52</f>
        <v>30150</v>
      </c>
      <c r="I29" s="8">
        <f>I28-I27-I17-I13-D7-I5</f>
        <v>5600</v>
      </c>
    </row>
    <row r="30" spans="1:15" ht="18.75" x14ac:dyDescent="0.3">
      <c r="B30" s="12" t="s">
        <v>13</v>
      </c>
      <c r="C30" s="13"/>
      <c r="D30" s="13"/>
      <c r="E30" s="13">
        <f>E29-H28</f>
        <v>-129550</v>
      </c>
      <c r="F30" s="13"/>
      <c r="G30" s="13"/>
      <c r="H30" s="14"/>
      <c r="I30" s="14"/>
    </row>
    <row r="31" spans="1:15" ht="15.75" x14ac:dyDescent="0.25">
      <c r="B31" s="15" t="s">
        <v>14</v>
      </c>
      <c r="C31" s="15" t="s">
        <v>15</v>
      </c>
      <c r="D31" s="15" t="s">
        <v>16</v>
      </c>
      <c r="E31" s="15" t="s">
        <v>17</v>
      </c>
      <c r="F31" s="15" t="s">
        <v>18</v>
      </c>
      <c r="G31" s="15" t="s">
        <v>15</v>
      </c>
      <c r="H31" s="15" t="s">
        <v>16</v>
      </c>
      <c r="I31" s="15" t="s">
        <v>17</v>
      </c>
      <c r="J31">
        <f>I28-D13-D7-450</f>
        <v>54600</v>
      </c>
      <c r="K31" s="25"/>
    </row>
    <row r="32" spans="1:15" x14ac:dyDescent="0.25">
      <c r="B32" s="9" t="s">
        <v>166</v>
      </c>
      <c r="C32" s="16">
        <f>E28</f>
        <v>117500</v>
      </c>
      <c r="D32" s="17">
        <v>0.1</v>
      </c>
      <c r="E32" s="16"/>
      <c r="F32" s="18" t="s">
        <v>166</v>
      </c>
      <c r="G32" s="16">
        <f>H28</f>
        <v>129550</v>
      </c>
      <c r="H32" s="17">
        <v>0.1</v>
      </c>
      <c r="I32" s="9"/>
    </row>
    <row r="33" spans="2:12" x14ac:dyDescent="0.25">
      <c r="B33" s="9" t="s">
        <v>20</v>
      </c>
      <c r="C33" s="16">
        <f>NOVEMBER20!E46</f>
        <v>26000</v>
      </c>
      <c r="D33" s="9"/>
      <c r="E33" s="9"/>
      <c r="F33" s="9" t="s">
        <v>20</v>
      </c>
      <c r="G33" s="16">
        <f>NOVEMBER20!I46</f>
        <v>5850</v>
      </c>
      <c r="H33" s="9"/>
      <c r="I33" s="9"/>
      <c r="K33" s="26"/>
    </row>
    <row r="34" spans="2:12" x14ac:dyDescent="0.25">
      <c r="B34" s="9" t="s">
        <v>154</v>
      </c>
      <c r="C34" s="16"/>
      <c r="D34" s="9"/>
      <c r="E34" s="9"/>
      <c r="F34" s="9"/>
      <c r="G34" s="16"/>
      <c r="H34" s="16"/>
      <c r="I34" s="9"/>
      <c r="K34" s="26"/>
    </row>
    <row r="35" spans="2:12" x14ac:dyDescent="0.25">
      <c r="B35" s="9" t="s">
        <v>21</v>
      </c>
      <c r="C35" s="16">
        <f>J28</f>
        <v>5400</v>
      </c>
      <c r="D35" s="9"/>
      <c r="E35" s="9"/>
      <c r="F35" s="9"/>
      <c r="G35" s="16"/>
      <c r="H35" s="16"/>
      <c r="I35" s="9"/>
      <c r="K35" s="26"/>
    </row>
    <row r="36" spans="2:12" x14ac:dyDescent="0.25">
      <c r="B36" s="9" t="s">
        <v>102</v>
      </c>
      <c r="C36" s="16">
        <f>K28</f>
        <v>0</v>
      </c>
      <c r="D36" s="9"/>
      <c r="E36" s="9"/>
      <c r="F36" s="9" t="s">
        <v>102</v>
      </c>
      <c r="G36" s="16">
        <f>K28</f>
        <v>0</v>
      </c>
      <c r="H36" s="9"/>
      <c r="I36" s="9"/>
    </row>
    <row r="37" spans="2:12" x14ac:dyDescent="0.25">
      <c r="B37" s="9" t="s">
        <v>97</v>
      </c>
      <c r="C37" s="16">
        <v>0.3</v>
      </c>
      <c r="D37" s="9"/>
      <c r="E37" s="9"/>
      <c r="F37" s="9" t="s">
        <v>97</v>
      </c>
      <c r="G37" s="16">
        <v>0.3</v>
      </c>
      <c r="H37" s="9"/>
      <c r="I37" s="9"/>
    </row>
    <row r="38" spans="2:12" x14ac:dyDescent="0.25">
      <c r="B38" s="9" t="s">
        <v>22</v>
      </c>
      <c r="C38" s="18"/>
      <c r="D38" s="9">
        <f>C32*D32</f>
        <v>11750</v>
      </c>
      <c r="E38" s="9"/>
      <c r="F38" s="9" t="s">
        <v>22</v>
      </c>
      <c r="G38" s="18"/>
      <c r="H38" s="9">
        <f>D38</f>
        <v>11750</v>
      </c>
      <c r="I38" s="9"/>
    </row>
    <row r="39" spans="2:12" x14ac:dyDescent="0.25">
      <c r="B39" s="19" t="s">
        <v>23</v>
      </c>
      <c r="C39" s="9"/>
      <c r="D39" s="9"/>
      <c r="E39" s="9"/>
      <c r="F39" s="19" t="s">
        <v>23</v>
      </c>
      <c r="G39" s="9"/>
      <c r="H39" s="9"/>
      <c r="I39" s="9"/>
    </row>
    <row r="40" spans="2:12" x14ac:dyDescent="0.25">
      <c r="B40" s="20" t="s">
        <v>170</v>
      </c>
      <c r="C40" s="9"/>
      <c r="D40" s="9">
        <v>5850</v>
      </c>
      <c r="E40" s="9"/>
      <c r="F40" s="20" t="s">
        <v>170</v>
      </c>
      <c r="G40" s="9"/>
      <c r="H40" s="9">
        <v>5850</v>
      </c>
      <c r="I40" s="9"/>
      <c r="J40" s="26"/>
    </row>
    <row r="41" spans="2:12" x14ac:dyDescent="0.25">
      <c r="B41" s="7" t="s">
        <v>171</v>
      </c>
      <c r="C41" s="21"/>
      <c r="D41" s="7">
        <v>76000</v>
      </c>
      <c r="E41" s="7"/>
      <c r="F41" s="7" t="s">
        <v>171</v>
      </c>
      <c r="G41" s="21"/>
      <c r="H41" s="7">
        <v>76000</v>
      </c>
      <c r="I41" s="9"/>
      <c r="K41" s="26"/>
    </row>
    <row r="42" spans="2:12" x14ac:dyDescent="0.25">
      <c r="B42" s="20" t="s">
        <v>172</v>
      </c>
      <c r="C42" s="9"/>
      <c r="D42" s="9">
        <v>5000</v>
      </c>
      <c r="E42" s="9"/>
      <c r="F42" s="20"/>
      <c r="G42" s="9"/>
      <c r="H42" s="9"/>
      <c r="I42" s="9"/>
      <c r="K42" s="26"/>
    </row>
    <row r="43" spans="2:12" x14ac:dyDescent="0.25">
      <c r="B43" s="20" t="s">
        <v>173</v>
      </c>
      <c r="C43" s="9"/>
      <c r="D43" s="9">
        <f>37000+6800</f>
        <v>43800</v>
      </c>
      <c r="E43" s="9"/>
      <c r="F43" s="20" t="s">
        <v>173</v>
      </c>
      <c r="G43" s="9"/>
      <c r="H43" s="9">
        <f>37000+6800</f>
        <v>43800</v>
      </c>
      <c r="I43" s="9"/>
      <c r="K43" s="26"/>
      <c r="L43" s="26"/>
    </row>
    <row r="44" spans="2:12" x14ac:dyDescent="0.25">
      <c r="B44" s="20"/>
      <c r="C44" s="9"/>
      <c r="D44" s="9"/>
      <c r="E44" s="9"/>
      <c r="F44" s="20"/>
      <c r="G44" s="9"/>
      <c r="H44" s="9"/>
      <c r="I44" s="9"/>
      <c r="K44" s="26"/>
    </row>
    <row r="45" spans="2:12" x14ac:dyDescent="0.25">
      <c r="B45" s="20"/>
      <c r="C45" s="16"/>
      <c r="D45" s="16"/>
      <c r="E45" s="16"/>
      <c r="F45" s="20"/>
      <c r="G45" s="9"/>
      <c r="H45" s="16"/>
      <c r="I45" s="9"/>
    </row>
    <row r="46" spans="2:12" x14ac:dyDescent="0.25">
      <c r="B46" s="22" t="s">
        <v>12</v>
      </c>
      <c r="C46" s="23">
        <f>C32+C33+C34+C35+C36-D38-D37</f>
        <v>137150</v>
      </c>
      <c r="D46" s="22">
        <f>SUM(D40:D45)</f>
        <v>130650</v>
      </c>
      <c r="E46" s="23">
        <f>C46-D46</f>
        <v>6500</v>
      </c>
      <c r="F46" s="24"/>
      <c r="G46" s="23">
        <f>G32+G33+G36-H37-H38</f>
        <v>123650</v>
      </c>
      <c r="H46" s="23">
        <f>SUM(H40:H45)</f>
        <v>125650</v>
      </c>
      <c r="I46" s="23">
        <f>G46-H46</f>
        <v>-2000</v>
      </c>
    </row>
    <row r="47" spans="2:12" x14ac:dyDescent="0.25">
      <c r="K47" s="26"/>
    </row>
    <row r="48" spans="2:12" x14ac:dyDescent="0.25">
      <c r="B48" s="11" t="s">
        <v>24</v>
      </c>
      <c r="D48" s="11" t="s">
        <v>25</v>
      </c>
      <c r="F48" s="11"/>
      <c r="G48" s="11" t="s">
        <v>26</v>
      </c>
      <c r="K48" s="26"/>
    </row>
    <row r="49" spans="2:10" x14ac:dyDescent="0.25">
      <c r="B49" t="s">
        <v>27</v>
      </c>
      <c r="D49" s="11" t="s">
        <v>28</v>
      </c>
      <c r="F49" s="11"/>
      <c r="G49" s="11" t="s">
        <v>147</v>
      </c>
      <c r="I49" s="26"/>
    </row>
    <row r="51" spans="2:10" x14ac:dyDescent="0.25">
      <c r="J51" s="2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"/>
  <sheetViews>
    <sheetView workbookViewId="0"/>
  </sheetViews>
  <sheetFormatPr defaultRowHeight="15" x14ac:dyDescent="0.25"/>
  <sheetData>
    <row r="1" spans="1:24" ht="18.75" x14ac:dyDescent="0.25">
      <c r="E1" s="1" t="s">
        <v>50</v>
      </c>
      <c r="F1" s="2"/>
      <c r="G1" s="3"/>
      <c r="H1" s="4"/>
      <c r="Q1" s="1" t="s">
        <v>229</v>
      </c>
      <c r="R1" s="2"/>
      <c r="S1" s="3"/>
      <c r="T1" s="4"/>
    </row>
    <row r="2" spans="1:24" ht="18.75" x14ac:dyDescent="0.25">
      <c r="E2" s="1" t="s">
        <v>0</v>
      </c>
      <c r="F2" s="1"/>
      <c r="G2" s="5"/>
      <c r="H2" s="5"/>
      <c r="Q2" s="1" t="s">
        <v>0</v>
      </c>
      <c r="R2" s="1"/>
      <c r="S2" s="5"/>
      <c r="T2" s="5"/>
    </row>
    <row r="3" spans="1:24" ht="18.75" x14ac:dyDescent="0.25">
      <c r="E3" s="1" t="s">
        <v>176</v>
      </c>
      <c r="F3" s="1"/>
      <c r="G3" s="5"/>
      <c r="H3" s="5"/>
      <c r="Q3" s="1" t="s">
        <v>176</v>
      </c>
      <c r="R3" s="1"/>
      <c r="S3" s="5"/>
      <c r="T3" s="5"/>
    </row>
    <row r="4" spans="1:24" x14ac:dyDescent="0.25">
      <c r="A4" s="6" t="s">
        <v>2</v>
      </c>
      <c r="B4" s="6" t="s">
        <v>3</v>
      </c>
      <c r="C4" s="6"/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  <c r="K4" s="6" t="s">
        <v>101</v>
      </c>
      <c r="M4" s="6" t="s">
        <v>2</v>
      </c>
      <c r="N4" s="6" t="s">
        <v>3</v>
      </c>
      <c r="O4" s="6"/>
      <c r="P4" s="6" t="s">
        <v>4</v>
      </c>
      <c r="Q4" s="6" t="s">
        <v>5</v>
      </c>
      <c r="R4" s="6" t="s">
        <v>6</v>
      </c>
      <c r="S4" s="6" t="s">
        <v>7</v>
      </c>
      <c r="T4" s="6" t="s">
        <v>8</v>
      </c>
      <c r="U4" s="6" t="s">
        <v>9</v>
      </c>
      <c r="V4" s="6" t="s">
        <v>10</v>
      </c>
      <c r="W4" s="6" t="s">
        <v>101</v>
      </c>
    </row>
    <row r="5" spans="1:24" x14ac:dyDescent="0.25">
      <c r="A5" s="7" t="s">
        <v>30</v>
      </c>
      <c r="B5" s="7" t="s">
        <v>232</v>
      </c>
      <c r="C5" s="7"/>
      <c r="D5" s="7"/>
      <c r="E5" s="7">
        <v>4500</v>
      </c>
      <c r="F5" s="7">
        <f>'DECEMBER 20'!I5:I27</f>
        <v>900</v>
      </c>
      <c r="G5" s="7">
        <f>C5+D5+E5+F5</f>
        <v>5400</v>
      </c>
      <c r="H5" s="7">
        <f>4500</f>
        <v>4500</v>
      </c>
      <c r="I5" s="7">
        <f t="shared" ref="I5:I12" si="0">G5-H5</f>
        <v>900</v>
      </c>
      <c r="J5" s="7"/>
      <c r="K5" s="7"/>
      <c r="M5" s="7" t="s">
        <v>177</v>
      </c>
      <c r="N5" s="45" t="s">
        <v>202</v>
      </c>
      <c r="O5" s="7"/>
      <c r="P5" s="7"/>
      <c r="Q5" s="7"/>
      <c r="R5" s="7">
        <v>0</v>
      </c>
      <c r="S5" s="7">
        <f>O5+P5+Q5+R5</f>
        <v>0</v>
      </c>
      <c r="T5" s="7"/>
      <c r="U5" s="7">
        <f t="shared" ref="U5:U12" si="1">S5-T5</f>
        <v>0</v>
      </c>
      <c r="V5" s="7"/>
      <c r="W5" s="7"/>
      <c r="X5" t="s">
        <v>225</v>
      </c>
    </row>
    <row r="6" spans="1:24" x14ac:dyDescent="0.25">
      <c r="A6" s="7" t="s">
        <v>31</v>
      </c>
      <c r="B6" s="7" t="s">
        <v>52</v>
      </c>
      <c r="C6" s="7"/>
      <c r="D6" s="7"/>
      <c r="E6" s="7">
        <v>3000</v>
      </c>
      <c r="F6" s="7">
        <f>'DECEMBER 20'!I6:I28</f>
        <v>0</v>
      </c>
      <c r="G6" s="7">
        <f>C6+D6+E6+F6</f>
        <v>3000</v>
      </c>
      <c r="H6" s="7">
        <f>3000</f>
        <v>3000</v>
      </c>
      <c r="I6" s="7">
        <f t="shared" si="0"/>
        <v>0</v>
      </c>
      <c r="J6" s="7"/>
      <c r="K6" s="7"/>
      <c r="M6" s="7" t="s">
        <v>88</v>
      </c>
      <c r="N6" s="7"/>
      <c r="O6" s="7"/>
      <c r="P6" s="7"/>
      <c r="Q6" s="7"/>
      <c r="R6" s="7"/>
      <c r="S6" s="7">
        <f>O6+P6+Q6+R6</f>
        <v>0</v>
      </c>
      <c r="T6" s="7"/>
      <c r="U6" s="7">
        <f t="shared" si="1"/>
        <v>0</v>
      </c>
      <c r="V6" s="7"/>
      <c r="W6" s="7"/>
    </row>
    <row r="7" spans="1:24" x14ac:dyDescent="0.25">
      <c r="A7" s="7" t="s">
        <v>32</v>
      </c>
      <c r="B7" s="7" t="s">
        <v>115</v>
      </c>
      <c r="C7" s="7"/>
      <c r="D7" s="7">
        <v>2500</v>
      </c>
      <c r="E7" s="7">
        <v>7500</v>
      </c>
      <c r="F7" s="7">
        <v>500</v>
      </c>
      <c r="G7" s="7">
        <f>C7+D7+E7+F7</f>
        <v>10500</v>
      </c>
      <c r="H7" s="7">
        <f>7500</f>
        <v>7500</v>
      </c>
      <c r="I7" s="7">
        <f t="shared" si="0"/>
        <v>3000</v>
      </c>
      <c r="J7" s="7"/>
      <c r="K7" s="7"/>
      <c r="M7" s="7" t="s">
        <v>178</v>
      </c>
      <c r="N7" s="7" t="s">
        <v>203</v>
      </c>
      <c r="O7" s="7"/>
      <c r="P7" s="7"/>
      <c r="Q7" s="7">
        <v>8500</v>
      </c>
      <c r="R7" s="7">
        <v>1000</v>
      </c>
      <c r="S7" s="7">
        <f>O7+P7+Q7+R7</f>
        <v>9500</v>
      </c>
      <c r="T7" s="7">
        <f>8000+500</f>
        <v>8500</v>
      </c>
      <c r="U7" s="7">
        <f t="shared" si="1"/>
        <v>1000</v>
      </c>
      <c r="V7" s="7"/>
      <c r="W7" s="7"/>
    </row>
    <row r="8" spans="1:24" x14ac:dyDescent="0.25">
      <c r="A8" s="7" t="s">
        <v>33</v>
      </c>
      <c r="B8" s="7" t="s">
        <v>54</v>
      </c>
      <c r="C8" s="7"/>
      <c r="D8" s="7"/>
      <c r="E8" s="7">
        <v>6500</v>
      </c>
      <c r="F8" s="7">
        <f>'DECEMBER 20'!I8:I30</f>
        <v>0</v>
      </c>
      <c r="G8" s="7">
        <f>C8+D8+E8+F8</f>
        <v>6500</v>
      </c>
      <c r="H8" s="7">
        <f>6500</f>
        <v>6500</v>
      </c>
      <c r="I8" s="7">
        <f t="shared" si="0"/>
        <v>0</v>
      </c>
      <c r="J8" s="7"/>
      <c r="K8" s="7"/>
      <c r="M8" s="7" t="s">
        <v>179</v>
      </c>
      <c r="N8" s="7" t="s">
        <v>204</v>
      </c>
      <c r="O8" s="7"/>
      <c r="P8" s="7"/>
      <c r="Q8" s="7">
        <v>9000</v>
      </c>
      <c r="R8" s="7">
        <v>0</v>
      </c>
      <c r="S8" s="7">
        <f>O8+P8+Q8+R8</f>
        <v>9000</v>
      </c>
      <c r="T8" s="7">
        <f>9000</f>
        <v>9000</v>
      </c>
      <c r="U8" s="7">
        <f t="shared" si="1"/>
        <v>0</v>
      </c>
      <c r="V8" s="7"/>
      <c r="W8" s="7"/>
    </row>
    <row r="9" spans="1:24" x14ac:dyDescent="0.25">
      <c r="A9" s="7" t="s">
        <v>34</v>
      </c>
      <c r="B9" s="7" t="s">
        <v>230</v>
      </c>
      <c r="C9" s="7"/>
      <c r="D9" s="7">
        <v>7000</v>
      </c>
      <c r="E9" s="7">
        <v>7000</v>
      </c>
      <c r="F9" s="7">
        <f>'DECEMBER 20'!I9:I31</f>
        <v>0</v>
      </c>
      <c r="G9" s="7">
        <f t="shared" ref="G9:G26" si="2">C9+D9+E9+F9</f>
        <v>14000</v>
      </c>
      <c r="H9" s="7">
        <v>14000</v>
      </c>
      <c r="I9" s="7">
        <f t="shared" si="0"/>
        <v>0</v>
      </c>
      <c r="J9" s="7"/>
      <c r="K9" s="7">
        <v>1000</v>
      </c>
      <c r="M9" s="7" t="s">
        <v>180</v>
      </c>
      <c r="N9" s="7" t="s">
        <v>205</v>
      </c>
      <c r="O9" s="7"/>
      <c r="P9" s="7"/>
      <c r="Q9" s="7">
        <v>8000</v>
      </c>
      <c r="R9" s="7">
        <v>57300</v>
      </c>
      <c r="S9" s="7">
        <f t="shared" ref="S9:S31" si="3">O9+P9+Q9+R9</f>
        <v>65300</v>
      </c>
      <c r="T9" s="7">
        <f>12000</f>
        <v>12000</v>
      </c>
      <c r="U9" s="7">
        <f t="shared" si="1"/>
        <v>53300</v>
      </c>
      <c r="V9" s="7">
        <v>4000</v>
      </c>
      <c r="W9" s="7"/>
    </row>
    <row r="10" spans="1:24" x14ac:dyDescent="0.25">
      <c r="A10" s="7" t="s">
        <v>35</v>
      </c>
      <c r="B10" s="7" t="s">
        <v>55</v>
      </c>
      <c r="C10" s="7"/>
      <c r="D10" s="7"/>
      <c r="E10" s="7">
        <v>7000</v>
      </c>
      <c r="F10" s="7">
        <f>'DECEMBER 20'!I10:I32</f>
        <v>1000</v>
      </c>
      <c r="G10" s="7">
        <f t="shared" si="2"/>
        <v>8000</v>
      </c>
      <c r="H10" s="7">
        <f>7000</f>
        <v>7000</v>
      </c>
      <c r="I10" s="7">
        <f t="shared" si="0"/>
        <v>1000</v>
      </c>
      <c r="J10" s="7"/>
      <c r="K10" s="7"/>
      <c r="M10" s="7" t="s">
        <v>181</v>
      </c>
      <c r="N10" s="7" t="s">
        <v>206</v>
      </c>
      <c r="O10" s="7"/>
      <c r="P10" s="7"/>
      <c r="Q10" s="7">
        <v>8500</v>
      </c>
      <c r="R10" s="7">
        <v>13600</v>
      </c>
      <c r="S10" s="7">
        <f t="shared" si="3"/>
        <v>22100</v>
      </c>
      <c r="T10" s="7">
        <f>8500+1000</f>
        <v>9500</v>
      </c>
      <c r="U10" s="7">
        <f t="shared" si="1"/>
        <v>12600</v>
      </c>
      <c r="V10" s="7">
        <v>1000</v>
      </c>
      <c r="W10" s="7"/>
    </row>
    <row r="11" spans="1:24" x14ac:dyDescent="0.25">
      <c r="A11" s="7" t="s">
        <v>36</v>
      </c>
      <c r="B11" s="7" t="s">
        <v>56</v>
      </c>
      <c r="C11" s="7"/>
      <c r="D11" s="7"/>
      <c r="E11" s="7">
        <v>7000</v>
      </c>
      <c r="F11" s="7">
        <f>'DECEMBER 20'!I11:I33</f>
        <v>0</v>
      </c>
      <c r="G11" s="7">
        <f t="shared" si="2"/>
        <v>7000</v>
      </c>
      <c r="H11" s="7">
        <v>7000</v>
      </c>
      <c r="I11" s="7">
        <f t="shared" si="0"/>
        <v>0</v>
      </c>
      <c r="J11" s="7"/>
      <c r="K11" s="7"/>
      <c r="M11" s="7" t="s">
        <v>182</v>
      </c>
      <c r="N11" s="7" t="s">
        <v>207</v>
      </c>
      <c r="O11" s="7"/>
      <c r="P11" s="7"/>
      <c r="Q11" s="7">
        <v>8000</v>
      </c>
      <c r="R11" s="7">
        <v>6500</v>
      </c>
      <c r="S11" s="7">
        <f t="shared" si="3"/>
        <v>14500</v>
      </c>
      <c r="T11" s="7">
        <f>7000</f>
        <v>7000</v>
      </c>
      <c r="U11" s="7">
        <f t="shared" si="1"/>
        <v>7500</v>
      </c>
      <c r="V11" s="7"/>
      <c r="W11" s="7"/>
    </row>
    <row r="12" spans="1:24" x14ac:dyDescent="0.25">
      <c r="A12" s="7" t="s">
        <v>37</v>
      </c>
      <c r="B12" s="8" t="s">
        <v>65</v>
      </c>
      <c r="C12" s="7"/>
      <c r="D12" s="7"/>
      <c r="E12" s="7">
        <v>4500</v>
      </c>
      <c r="F12" s="7">
        <f>'DECEMBER 20'!I12:I34</f>
        <v>100</v>
      </c>
      <c r="G12" s="7">
        <f t="shared" si="2"/>
        <v>4600</v>
      </c>
      <c r="H12" s="7">
        <v>4500</v>
      </c>
      <c r="I12" s="7">
        <f t="shared" si="0"/>
        <v>100</v>
      </c>
      <c r="J12" s="7"/>
      <c r="K12" s="7"/>
      <c r="M12" s="7" t="s">
        <v>183</v>
      </c>
      <c r="N12" s="8" t="s">
        <v>208</v>
      </c>
      <c r="O12" s="7"/>
      <c r="P12" s="7"/>
      <c r="Q12" s="7">
        <v>8500</v>
      </c>
      <c r="R12" s="7">
        <v>0</v>
      </c>
      <c r="S12" s="7">
        <f t="shared" si="3"/>
        <v>8500</v>
      </c>
      <c r="T12" s="7">
        <v>8500</v>
      </c>
      <c r="U12" s="7">
        <f t="shared" si="1"/>
        <v>0</v>
      </c>
      <c r="V12" s="7"/>
      <c r="W12" s="7"/>
    </row>
    <row r="13" spans="1:24" x14ac:dyDescent="0.25">
      <c r="A13" s="7" t="s">
        <v>38</v>
      </c>
      <c r="B13" s="7" t="s">
        <v>92</v>
      </c>
      <c r="C13" s="7"/>
      <c r="D13" s="7">
        <v>5000</v>
      </c>
      <c r="E13" s="7">
        <v>8000</v>
      </c>
      <c r="F13" s="7"/>
      <c r="G13" s="7">
        <f t="shared" si="2"/>
        <v>13000</v>
      </c>
      <c r="H13" s="7">
        <v>8000</v>
      </c>
      <c r="I13" s="7">
        <f t="shared" ref="I13:I21" si="4">G13-H13</f>
        <v>5000</v>
      </c>
      <c r="J13" s="7"/>
      <c r="K13" s="7"/>
      <c r="M13" s="7" t="s">
        <v>184</v>
      </c>
      <c r="N13" s="7" t="s">
        <v>209</v>
      </c>
      <c r="O13" s="7"/>
      <c r="P13" s="7">
        <v>3500</v>
      </c>
      <c r="Q13" s="7">
        <v>3500</v>
      </c>
      <c r="R13" s="7">
        <v>0</v>
      </c>
      <c r="S13" s="7">
        <f t="shared" si="3"/>
        <v>7000</v>
      </c>
      <c r="T13" s="7">
        <v>7000</v>
      </c>
      <c r="U13" s="7">
        <f t="shared" ref="U13:U21" si="5">S13-T13</f>
        <v>0</v>
      </c>
      <c r="V13" s="7"/>
      <c r="W13" s="7">
        <v>1000</v>
      </c>
    </row>
    <row r="14" spans="1:24" x14ac:dyDescent="0.25">
      <c r="A14" s="7" t="s">
        <v>39</v>
      </c>
      <c r="B14" s="7" t="s">
        <v>70</v>
      </c>
      <c r="C14" s="7"/>
      <c r="D14" s="7"/>
      <c r="E14" s="7">
        <v>6500</v>
      </c>
      <c r="F14" s="7">
        <f>'DECEMBER 20'!I14:I36</f>
        <v>1000</v>
      </c>
      <c r="G14" s="7">
        <f t="shared" si="2"/>
        <v>7500</v>
      </c>
      <c r="H14" s="7">
        <f>5000+1500</f>
        <v>6500</v>
      </c>
      <c r="I14" s="7">
        <f t="shared" si="4"/>
        <v>1000</v>
      </c>
      <c r="J14" s="7"/>
      <c r="K14" s="7"/>
      <c r="M14" s="7" t="s">
        <v>185</v>
      </c>
      <c r="N14" s="7" t="s">
        <v>210</v>
      </c>
      <c r="O14" s="7"/>
      <c r="P14" s="7"/>
      <c r="Q14" s="7">
        <v>5000</v>
      </c>
      <c r="R14" s="7">
        <v>250</v>
      </c>
      <c r="S14" s="7">
        <f t="shared" si="3"/>
        <v>5250</v>
      </c>
      <c r="T14" s="7"/>
      <c r="U14" s="7">
        <f t="shared" si="5"/>
        <v>5250</v>
      </c>
      <c r="V14" s="7"/>
      <c r="W14" s="7"/>
    </row>
    <row r="15" spans="1:24" x14ac:dyDescent="0.25">
      <c r="A15" s="7" t="s">
        <v>40</v>
      </c>
      <c r="B15" s="7" t="s">
        <v>174</v>
      </c>
      <c r="C15" s="7"/>
      <c r="D15" s="7">
        <v>7500</v>
      </c>
      <c r="E15" s="7">
        <v>7500</v>
      </c>
      <c r="F15" s="7">
        <f>'DECEMBER 20'!I15:I37</f>
        <v>0</v>
      </c>
      <c r="G15" s="7">
        <f t="shared" si="2"/>
        <v>15000</v>
      </c>
      <c r="H15" s="7">
        <v>15000</v>
      </c>
      <c r="I15" s="7">
        <f t="shared" si="4"/>
        <v>0</v>
      </c>
      <c r="J15" s="7"/>
      <c r="K15" s="7"/>
      <c r="M15" s="7" t="s">
        <v>186</v>
      </c>
      <c r="N15" s="7" t="s">
        <v>211</v>
      </c>
      <c r="O15" s="7"/>
      <c r="P15" s="7"/>
      <c r="Q15" s="7">
        <v>4000</v>
      </c>
      <c r="R15" s="7">
        <v>450</v>
      </c>
      <c r="S15" s="7">
        <f t="shared" si="3"/>
        <v>4450</v>
      </c>
      <c r="T15" s="7">
        <v>4000</v>
      </c>
      <c r="U15" s="7">
        <f t="shared" si="5"/>
        <v>450</v>
      </c>
      <c r="V15" s="7"/>
      <c r="W15" s="7"/>
    </row>
    <row r="16" spans="1:24" x14ac:dyDescent="0.25">
      <c r="A16" s="7" t="s">
        <v>41</v>
      </c>
      <c r="B16" s="7" t="s">
        <v>58</v>
      </c>
      <c r="C16" s="7"/>
      <c r="D16" s="7"/>
      <c r="E16" s="7">
        <v>7000</v>
      </c>
      <c r="F16" s="7">
        <f>'DECEMBER 20'!I16:I38</f>
        <v>1500</v>
      </c>
      <c r="G16" s="7">
        <f t="shared" si="2"/>
        <v>8500</v>
      </c>
      <c r="H16" s="7">
        <f>7000</f>
        <v>7000</v>
      </c>
      <c r="I16" s="7">
        <f t="shared" si="4"/>
        <v>1500</v>
      </c>
      <c r="J16" s="7"/>
      <c r="K16" s="7"/>
      <c r="M16" s="7" t="s">
        <v>187</v>
      </c>
      <c r="N16" s="7" t="s">
        <v>212</v>
      </c>
      <c r="O16" s="7"/>
      <c r="P16" s="7"/>
      <c r="Q16" s="7">
        <v>4500</v>
      </c>
      <c r="R16" s="7">
        <v>600</v>
      </c>
      <c r="S16" s="7">
        <f t="shared" si="3"/>
        <v>5100</v>
      </c>
      <c r="T16" s="7">
        <v>5100</v>
      </c>
      <c r="U16" s="7">
        <f t="shared" si="5"/>
        <v>0</v>
      </c>
      <c r="V16" s="7">
        <v>600</v>
      </c>
      <c r="W16" s="7">
        <v>300</v>
      </c>
    </row>
    <row r="17" spans="1:24" x14ac:dyDescent="0.25">
      <c r="A17" s="7" t="s">
        <v>42</v>
      </c>
      <c r="B17" s="7" t="s">
        <v>59</v>
      </c>
      <c r="C17" s="7"/>
      <c r="D17" s="7"/>
      <c r="E17" s="7">
        <v>7000</v>
      </c>
      <c r="F17" s="7"/>
      <c r="G17" s="7">
        <f t="shared" si="2"/>
        <v>7000</v>
      </c>
      <c r="H17" s="7">
        <f>3000+4000</f>
        <v>7000</v>
      </c>
      <c r="I17" s="7">
        <f t="shared" si="4"/>
        <v>0</v>
      </c>
      <c r="J17" s="7"/>
      <c r="K17" s="7"/>
      <c r="M17" s="7" t="s">
        <v>188</v>
      </c>
      <c r="N17" s="7" t="s">
        <v>213</v>
      </c>
      <c r="O17" s="7"/>
      <c r="P17" s="7"/>
      <c r="Q17" s="7">
        <v>4000</v>
      </c>
      <c r="R17" s="7">
        <v>12000</v>
      </c>
      <c r="S17" s="7">
        <f t="shared" si="3"/>
        <v>16000</v>
      </c>
      <c r="T17" s="7"/>
      <c r="U17" s="7">
        <f t="shared" si="5"/>
        <v>16000</v>
      </c>
      <c r="V17" s="7"/>
      <c r="W17" s="7"/>
      <c r="X17" t="s">
        <v>237</v>
      </c>
    </row>
    <row r="18" spans="1:24" x14ac:dyDescent="0.25">
      <c r="A18" s="7" t="s">
        <v>43</v>
      </c>
      <c r="B18" s="7" t="s">
        <v>60</v>
      </c>
      <c r="C18" s="7"/>
      <c r="D18" s="7"/>
      <c r="E18" s="7"/>
      <c r="F18" s="7">
        <f>'DECEMBER 20'!I18:I40</f>
        <v>0</v>
      </c>
      <c r="G18" s="7">
        <f t="shared" si="2"/>
        <v>0</v>
      </c>
      <c r="H18" s="7"/>
      <c r="I18" s="7">
        <f t="shared" si="4"/>
        <v>0</v>
      </c>
      <c r="J18" s="7"/>
      <c r="K18" s="7"/>
      <c r="M18" s="7" t="s">
        <v>189</v>
      </c>
      <c r="N18" s="45" t="s">
        <v>233</v>
      </c>
      <c r="O18" s="7"/>
      <c r="P18" s="7">
        <v>4000</v>
      </c>
      <c r="Q18" s="7">
        <v>2000</v>
      </c>
      <c r="R18" s="7">
        <v>0</v>
      </c>
      <c r="S18" s="7">
        <f t="shared" si="3"/>
        <v>6000</v>
      </c>
      <c r="T18" s="7">
        <v>6000</v>
      </c>
      <c r="U18" s="7">
        <f t="shared" si="5"/>
        <v>0</v>
      </c>
      <c r="V18" s="7"/>
      <c r="W18" s="7">
        <v>1000</v>
      </c>
    </row>
    <row r="19" spans="1:24" x14ac:dyDescent="0.25">
      <c r="A19" s="7" t="s">
        <v>44</v>
      </c>
      <c r="B19" s="9" t="s">
        <v>118</v>
      </c>
      <c r="C19" s="7"/>
      <c r="D19" s="7"/>
      <c r="E19" s="7">
        <v>8000</v>
      </c>
      <c r="F19" s="7">
        <f>'DECEMBER 20'!I19:I41</f>
        <v>0</v>
      </c>
      <c r="G19" s="7">
        <f t="shared" si="2"/>
        <v>8000</v>
      </c>
      <c r="H19" s="7">
        <v>8000</v>
      </c>
      <c r="I19" s="7">
        <f t="shared" si="4"/>
        <v>0</v>
      </c>
      <c r="J19" s="7"/>
      <c r="K19" s="7"/>
      <c r="M19" s="7" t="s">
        <v>190</v>
      </c>
      <c r="N19" s="9" t="s">
        <v>215</v>
      </c>
      <c r="O19" s="7"/>
      <c r="P19" s="7"/>
      <c r="Q19" s="7">
        <v>4000</v>
      </c>
      <c r="R19" s="7">
        <v>2950</v>
      </c>
      <c r="S19" s="7">
        <f t="shared" si="3"/>
        <v>6950</v>
      </c>
      <c r="T19" s="7">
        <f>3000</f>
        <v>3000</v>
      </c>
      <c r="U19" s="7">
        <f t="shared" si="5"/>
        <v>3950</v>
      </c>
      <c r="V19" s="7"/>
      <c r="W19" s="7"/>
    </row>
    <row r="20" spans="1:24" x14ac:dyDescent="0.25">
      <c r="A20" s="7" t="s">
        <v>45</v>
      </c>
      <c r="B20" s="7" t="s">
        <v>175</v>
      </c>
      <c r="C20" s="7"/>
      <c r="D20" s="7">
        <v>7500</v>
      </c>
      <c r="E20" s="7">
        <v>7500</v>
      </c>
      <c r="F20" s="7"/>
      <c r="G20" s="7">
        <f t="shared" si="2"/>
        <v>15000</v>
      </c>
      <c r="H20" s="7">
        <v>15000</v>
      </c>
      <c r="I20" s="7">
        <f t="shared" si="4"/>
        <v>0</v>
      </c>
      <c r="J20" s="7"/>
      <c r="K20" s="7">
        <v>1000</v>
      </c>
      <c r="M20" s="7" t="s">
        <v>123</v>
      </c>
      <c r="N20" s="7" t="s">
        <v>231</v>
      </c>
      <c r="O20" s="7"/>
      <c r="P20" s="7"/>
      <c r="Q20" s="7">
        <v>4500</v>
      </c>
      <c r="R20" s="7">
        <f>7950-4000</f>
        <v>3950</v>
      </c>
      <c r="S20" s="7">
        <f t="shared" si="3"/>
        <v>8450</v>
      </c>
      <c r="T20" s="7">
        <f>4500</f>
        <v>4500</v>
      </c>
      <c r="U20" s="7">
        <f t="shared" si="5"/>
        <v>3950</v>
      </c>
      <c r="V20" s="7"/>
      <c r="W20" s="7"/>
    </row>
    <row r="21" spans="1:24" x14ac:dyDescent="0.25">
      <c r="A21" s="7" t="s">
        <v>46</v>
      </c>
      <c r="B21" s="7" t="s">
        <v>132</v>
      </c>
      <c r="C21" s="7"/>
      <c r="D21" s="7"/>
      <c r="E21" s="7">
        <v>6500</v>
      </c>
      <c r="F21" s="7">
        <f>'DECEMBER 20'!I21:I43</f>
        <v>500</v>
      </c>
      <c r="G21" s="7">
        <f t="shared" si="2"/>
        <v>7000</v>
      </c>
      <c r="H21" s="7">
        <f>6500</f>
        <v>6500</v>
      </c>
      <c r="I21" s="7">
        <f t="shared" si="4"/>
        <v>500</v>
      </c>
      <c r="J21" s="7"/>
      <c r="K21" s="7"/>
      <c r="M21" s="7" t="s">
        <v>191</v>
      </c>
      <c r="N21" s="7" t="s">
        <v>216</v>
      </c>
      <c r="O21" s="7"/>
      <c r="P21" s="7"/>
      <c r="Q21" s="7">
        <v>4500</v>
      </c>
      <c r="R21" s="7">
        <v>12000</v>
      </c>
      <c r="S21" s="7">
        <f t="shared" si="3"/>
        <v>16500</v>
      </c>
      <c r="T21" s="7">
        <f>2000+2000</f>
        <v>4000</v>
      </c>
      <c r="U21" s="7">
        <f t="shared" si="5"/>
        <v>12500</v>
      </c>
      <c r="V21" s="7"/>
      <c r="W21" s="7"/>
    </row>
    <row r="22" spans="1:24" x14ac:dyDescent="0.25">
      <c r="A22" s="7" t="s">
        <v>47</v>
      </c>
      <c r="B22" s="7" t="s">
        <v>64</v>
      </c>
      <c r="C22" s="7"/>
      <c r="D22" s="7"/>
      <c r="E22" s="7">
        <v>7000</v>
      </c>
      <c r="F22" s="7">
        <f>'DECEMBER 20'!I22:I44</f>
        <v>1000</v>
      </c>
      <c r="G22" s="7">
        <f t="shared" si="2"/>
        <v>8000</v>
      </c>
      <c r="H22">
        <v>8000</v>
      </c>
      <c r="I22" s="7">
        <f>G22-H22</f>
        <v>0</v>
      </c>
      <c r="J22" s="7"/>
      <c r="K22" s="7"/>
      <c r="M22" s="7" t="s">
        <v>192</v>
      </c>
      <c r="N22" s="7" t="s">
        <v>214</v>
      </c>
      <c r="O22" s="7"/>
      <c r="P22" s="7"/>
      <c r="Q22" s="7">
        <v>4000</v>
      </c>
      <c r="R22" s="7">
        <v>0</v>
      </c>
      <c r="S22" s="7">
        <f t="shared" si="3"/>
        <v>4000</v>
      </c>
      <c r="T22">
        <v>4000</v>
      </c>
      <c r="U22" s="7">
        <f>S22-T22</f>
        <v>0</v>
      </c>
      <c r="V22" s="7"/>
      <c r="W22" s="7"/>
    </row>
    <row r="23" spans="1:24" x14ac:dyDescent="0.25">
      <c r="A23" s="7" t="s">
        <v>66</v>
      </c>
      <c r="B23" s="7" t="s">
        <v>61</v>
      </c>
      <c r="C23" s="7"/>
      <c r="D23" s="7"/>
      <c r="E23" s="7">
        <v>8000</v>
      </c>
      <c r="F23" s="7">
        <f>'DECEMBER 20'!I23:I45</f>
        <v>0</v>
      </c>
      <c r="G23" s="7">
        <f t="shared" si="2"/>
        <v>8000</v>
      </c>
      <c r="H23" s="7">
        <f>8000</f>
        <v>8000</v>
      </c>
      <c r="I23" s="7">
        <f>G23-H23</f>
        <v>0</v>
      </c>
      <c r="J23" s="7"/>
      <c r="K23" s="7"/>
      <c r="M23" s="7" t="s">
        <v>193</v>
      </c>
      <c r="N23" s="7" t="s">
        <v>217</v>
      </c>
      <c r="O23" s="7"/>
      <c r="P23" s="7"/>
      <c r="Q23" s="7">
        <v>4500</v>
      </c>
      <c r="R23" s="7">
        <v>8800</v>
      </c>
      <c r="S23" s="7">
        <f t="shared" si="3"/>
        <v>13300</v>
      </c>
      <c r="T23" s="7">
        <v>5000</v>
      </c>
      <c r="U23" s="7">
        <f>S23-T23</f>
        <v>8300</v>
      </c>
      <c r="V23" s="7">
        <v>500</v>
      </c>
      <c r="W23" s="7"/>
    </row>
    <row r="24" spans="1:24" x14ac:dyDescent="0.25">
      <c r="A24" s="7" t="s">
        <v>48</v>
      </c>
      <c r="B24" s="7" t="s">
        <v>69</v>
      </c>
      <c r="C24" s="7"/>
      <c r="D24" s="7"/>
      <c r="E24" s="7">
        <v>4500</v>
      </c>
      <c r="F24" s="7">
        <f>'DECEMBER 20'!I24:I46</f>
        <v>0</v>
      </c>
      <c r="G24" s="7">
        <f t="shared" si="2"/>
        <v>4500</v>
      </c>
      <c r="H24" s="7">
        <v>4500</v>
      </c>
      <c r="I24" s="7">
        <f>G24-H24</f>
        <v>0</v>
      </c>
      <c r="J24" s="7"/>
      <c r="K24" s="7"/>
      <c r="M24" s="7" t="s">
        <v>194</v>
      </c>
      <c r="N24" s="7" t="s">
        <v>213</v>
      </c>
      <c r="O24" s="7"/>
      <c r="P24" s="7"/>
      <c r="Q24" s="7">
        <v>4000</v>
      </c>
      <c r="R24" s="7">
        <v>2300</v>
      </c>
      <c r="S24" s="7">
        <f t="shared" si="3"/>
        <v>6300</v>
      </c>
      <c r="T24" s="7">
        <f>4000</f>
        <v>4000</v>
      </c>
      <c r="U24" s="7">
        <f>S24-T24</f>
        <v>2300</v>
      </c>
      <c r="V24" s="7"/>
      <c r="W24" s="7"/>
    </row>
    <row r="25" spans="1:24" x14ac:dyDescent="0.25">
      <c r="A25" s="7" t="s">
        <v>49</v>
      </c>
      <c r="B25" s="7" t="s">
        <v>100</v>
      </c>
      <c r="C25" s="7"/>
      <c r="D25" s="7"/>
      <c r="E25" s="7">
        <v>8000</v>
      </c>
      <c r="F25" s="7">
        <f>'DECEMBER 20'!I25:I47</f>
        <v>0</v>
      </c>
      <c r="G25" s="7">
        <f t="shared" si="2"/>
        <v>8000</v>
      </c>
      <c r="H25" s="7">
        <f>8000</f>
        <v>8000</v>
      </c>
      <c r="I25" s="7">
        <f>G25-H25</f>
        <v>0</v>
      </c>
      <c r="J25" s="7"/>
      <c r="K25" s="7"/>
      <c r="M25" s="7" t="s">
        <v>195</v>
      </c>
      <c r="N25" s="7" t="s">
        <v>218</v>
      </c>
      <c r="O25" s="7"/>
      <c r="P25" s="7"/>
      <c r="Q25" s="7">
        <v>4000</v>
      </c>
      <c r="R25" s="7">
        <v>0</v>
      </c>
      <c r="S25" s="7">
        <f t="shared" si="3"/>
        <v>4000</v>
      </c>
      <c r="T25" s="7">
        <f>4000</f>
        <v>4000</v>
      </c>
      <c r="U25" s="7">
        <f>S25-T25</f>
        <v>0</v>
      </c>
      <c r="V25" s="7"/>
      <c r="W25" s="7"/>
    </row>
    <row r="26" spans="1:24" x14ac:dyDescent="0.25">
      <c r="A26" s="7" t="s">
        <v>88</v>
      </c>
      <c r="B26" s="7" t="s">
        <v>110</v>
      </c>
      <c r="C26" s="7"/>
      <c r="D26" s="7"/>
      <c r="E26" s="7">
        <v>7000</v>
      </c>
      <c r="F26" s="7">
        <f>'DECEMBER 20'!I27</f>
        <v>48100</v>
      </c>
      <c r="G26" s="7">
        <f t="shared" si="2"/>
        <v>55100</v>
      </c>
      <c r="H26" s="7">
        <f>5000+1000</f>
        <v>6000</v>
      </c>
      <c r="I26" s="7">
        <f>G26-H26</f>
        <v>49100</v>
      </c>
      <c r="J26" s="7"/>
      <c r="K26" s="7"/>
      <c r="M26" s="7" t="s">
        <v>196</v>
      </c>
      <c r="N26" s="7" t="s">
        <v>219</v>
      </c>
      <c r="O26" s="7"/>
      <c r="P26" s="7"/>
      <c r="Q26" s="7">
        <v>4000</v>
      </c>
      <c r="R26" s="7">
        <v>4000</v>
      </c>
      <c r="S26" s="7">
        <f t="shared" si="3"/>
        <v>8000</v>
      </c>
      <c r="T26" s="7"/>
      <c r="U26" s="7">
        <f t="shared" ref="U26:U31" si="6">S26-T26</f>
        <v>8000</v>
      </c>
      <c r="V26" s="7"/>
      <c r="W26" s="7"/>
    </row>
    <row r="27" spans="1:24" x14ac:dyDescent="0.25">
      <c r="A27" s="6"/>
      <c r="B27" s="10" t="s">
        <v>12</v>
      </c>
      <c r="C27" s="10">
        <f>SUM(C4:C5)</f>
        <v>0</v>
      </c>
      <c r="D27" s="10">
        <f>SUM(D5:D26)</f>
        <v>29500</v>
      </c>
      <c r="E27" s="6">
        <f>SUM(E5:E26)</f>
        <v>139500</v>
      </c>
      <c r="F27" s="7">
        <f>SUM(F5:F26)</f>
        <v>54600</v>
      </c>
      <c r="G27" s="7">
        <f>C27+D27+E27+F27</f>
        <v>223600</v>
      </c>
      <c r="H27" s="6">
        <f>SUM(H5:H26)</f>
        <v>161500</v>
      </c>
      <c r="I27" s="6">
        <f>SUM(I5:I26)</f>
        <v>62100</v>
      </c>
      <c r="J27" s="6">
        <f>SUM(J5:J26)</f>
        <v>0</v>
      </c>
      <c r="K27" s="6">
        <f>SUM(K5:K26)</f>
        <v>2000</v>
      </c>
      <c r="M27" s="7" t="s">
        <v>197</v>
      </c>
      <c r="N27" s="7" t="s">
        <v>220</v>
      </c>
      <c r="O27" s="7"/>
      <c r="P27" s="7"/>
      <c r="Q27" s="7">
        <v>10000</v>
      </c>
      <c r="R27" s="7">
        <v>0</v>
      </c>
      <c r="S27" s="7">
        <f t="shared" si="3"/>
        <v>10000</v>
      </c>
      <c r="T27" s="7">
        <f>10000</f>
        <v>10000</v>
      </c>
      <c r="U27" s="7">
        <f t="shared" si="6"/>
        <v>0</v>
      </c>
      <c r="V27" s="7"/>
      <c r="W27" s="7"/>
    </row>
    <row r="28" spans="1:24" x14ac:dyDescent="0.25">
      <c r="A28" s="11"/>
      <c r="F28" s="7">
        <f>F27-F26-F5</f>
        <v>5600</v>
      </c>
      <c r="I28" s="8">
        <f>I27-F26-D13-D7</f>
        <v>6500</v>
      </c>
      <c r="M28" s="7" t="s">
        <v>198</v>
      </c>
      <c r="N28" s="7" t="s">
        <v>221</v>
      </c>
      <c r="O28" s="7"/>
      <c r="P28" s="7"/>
      <c r="Q28" s="7">
        <v>8000</v>
      </c>
      <c r="R28" s="7">
        <v>15900</v>
      </c>
      <c r="S28" s="7">
        <f t="shared" si="3"/>
        <v>23900</v>
      </c>
      <c r="T28" s="7">
        <f>8000+1500</f>
        <v>9500</v>
      </c>
      <c r="U28" s="7">
        <f t="shared" si="6"/>
        <v>14400</v>
      </c>
      <c r="V28" s="7"/>
      <c r="W28" s="7"/>
      <c r="X28">
        <f>R26-4000</f>
        <v>0</v>
      </c>
    </row>
    <row r="29" spans="1:24" ht="18.75" x14ac:dyDescent="0.3">
      <c r="B29" s="12" t="s">
        <v>13</v>
      </c>
      <c r="C29" s="44" t="s">
        <v>227</v>
      </c>
      <c r="D29" s="13"/>
      <c r="E29" s="13"/>
      <c r="F29" s="44" t="s">
        <v>228</v>
      </c>
      <c r="G29" s="13"/>
      <c r="H29" s="14"/>
      <c r="I29" s="14"/>
      <c r="M29" s="7" t="s">
        <v>199</v>
      </c>
      <c r="N29" s="7" t="s">
        <v>222</v>
      </c>
      <c r="O29" s="7"/>
      <c r="P29" s="7"/>
      <c r="Q29" s="7">
        <v>8000</v>
      </c>
      <c r="R29" s="7">
        <v>18300</v>
      </c>
      <c r="S29" s="7">
        <f t="shared" si="3"/>
        <v>26300</v>
      </c>
      <c r="T29" s="7">
        <f>16500</f>
        <v>16500</v>
      </c>
      <c r="U29" s="7">
        <f t="shared" si="6"/>
        <v>9800</v>
      </c>
      <c r="V29" s="7">
        <v>8500</v>
      </c>
      <c r="W29" s="7"/>
    </row>
    <row r="30" spans="1:24" ht="15.75" x14ac:dyDescent="0.25">
      <c r="B30" s="15" t="s">
        <v>14</v>
      </c>
      <c r="C30" s="15" t="s">
        <v>15</v>
      </c>
      <c r="D30" s="15" t="s">
        <v>16</v>
      </c>
      <c r="E30" s="15" t="s">
        <v>17</v>
      </c>
      <c r="F30" s="15" t="s">
        <v>18</v>
      </c>
      <c r="G30" s="15" t="s">
        <v>15</v>
      </c>
      <c r="H30" s="15" t="s">
        <v>16</v>
      </c>
      <c r="I30" s="15" t="s">
        <v>17</v>
      </c>
      <c r="K30" s="25"/>
      <c r="L30">
        <f>R17+R19+R20+R21+R23+R24+R26+R28+R29</f>
        <v>80200</v>
      </c>
      <c r="M30" s="7" t="s">
        <v>200</v>
      </c>
      <c r="N30" s="7" t="s">
        <v>223</v>
      </c>
      <c r="O30" s="7"/>
      <c r="P30" s="7"/>
      <c r="Q30" s="7">
        <v>5000</v>
      </c>
      <c r="R30" s="7">
        <v>0</v>
      </c>
      <c r="S30" s="7">
        <f t="shared" si="3"/>
        <v>5000</v>
      </c>
      <c r="T30" s="7">
        <v>5000</v>
      </c>
      <c r="U30" s="7">
        <f t="shared" si="6"/>
        <v>0</v>
      </c>
      <c r="V30" s="7"/>
      <c r="W30" s="7"/>
    </row>
    <row r="31" spans="1:24" x14ac:dyDescent="0.25">
      <c r="B31" s="9" t="s">
        <v>19</v>
      </c>
      <c r="C31" s="16">
        <f>E27</f>
        <v>139500</v>
      </c>
      <c r="D31" s="17">
        <v>0.1</v>
      </c>
      <c r="E31" s="16"/>
      <c r="F31" s="18" t="s">
        <v>19</v>
      </c>
      <c r="G31" s="16">
        <f>H27</f>
        <v>161500</v>
      </c>
      <c r="H31" s="17">
        <v>0.1</v>
      </c>
      <c r="I31" s="9"/>
      <c r="K31">
        <f>R7+R9+R10+R11+R14+R15+R16</f>
        <v>79700</v>
      </c>
      <c r="M31" s="7" t="s">
        <v>201</v>
      </c>
      <c r="N31" s="7" t="s">
        <v>224</v>
      </c>
      <c r="O31" s="7"/>
      <c r="P31" s="7"/>
      <c r="Q31" s="7">
        <v>7500</v>
      </c>
      <c r="R31" s="7">
        <v>47300</v>
      </c>
      <c r="S31" s="7">
        <f t="shared" si="3"/>
        <v>54800</v>
      </c>
      <c r="T31" s="7">
        <f>6300</f>
        <v>6300</v>
      </c>
      <c r="U31" s="7">
        <f t="shared" si="6"/>
        <v>48500</v>
      </c>
      <c r="V31" s="7"/>
      <c r="W31" s="7"/>
    </row>
    <row r="32" spans="1:24" x14ac:dyDescent="0.25">
      <c r="B32" s="9" t="s">
        <v>20</v>
      </c>
      <c r="C32" s="16">
        <f>'DECEMBER 20'!E46</f>
        <v>6500</v>
      </c>
      <c r="D32" s="9"/>
      <c r="E32" s="9"/>
      <c r="F32" s="9" t="s">
        <v>20</v>
      </c>
      <c r="G32" s="16">
        <f>'DECEMBER 20'!I46</f>
        <v>-2000</v>
      </c>
      <c r="H32" s="9"/>
      <c r="I32" s="9"/>
      <c r="K32" s="26"/>
      <c r="M32" s="6"/>
      <c r="N32" s="10" t="s">
        <v>12</v>
      </c>
      <c r="O32" s="10">
        <f>SUM(O4:O5)</f>
        <v>0</v>
      </c>
      <c r="P32" s="10">
        <f t="shared" ref="P32:W32" si="7">SUM(P5:P31)</f>
        <v>7500</v>
      </c>
      <c r="Q32" s="6">
        <f t="shared" si="7"/>
        <v>145500</v>
      </c>
      <c r="R32" s="7">
        <f t="shared" si="7"/>
        <v>207200</v>
      </c>
      <c r="S32" s="7">
        <f t="shared" si="7"/>
        <v>360200</v>
      </c>
      <c r="T32" s="6">
        <f t="shared" si="7"/>
        <v>152400</v>
      </c>
      <c r="U32" s="6">
        <f t="shared" si="7"/>
        <v>207800</v>
      </c>
      <c r="V32" s="6">
        <f t="shared" si="7"/>
        <v>14600</v>
      </c>
      <c r="W32" s="6">
        <f t="shared" si="7"/>
        <v>2300</v>
      </c>
    </row>
    <row r="33" spans="2:24" x14ac:dyDescent="0.25">
      <c r="B33" s="9" t="s">
        <v>154</v>
      </c>
      <c r="C33" s="16">
        <f>D20+D15+D9</f>
        <v>22000</v>
      </c>
      <c r="D33" s="9"/>
      <c r="E33" s="9"/>
      <c r="F33" s="9"/>
      <c r="G33" s="16"/>
      <c r="H33" s="16"/>
      <c r="I33" s="9"/>
      <c r="K33" s="26"/>
      <c r="M33" s="11"/>
      <c r="R33" s="7">
        <f>october20!U29:U52</f>
        <v>0</v>
      </c>
      <c r="U33" s="8"/>
    </row>
    <row r="34" spans="2:24" ht="18.75" x14ac:dyDescent="0.3">
      <c r="B34" s="9" t="s">
        <v>21</v>
      </c>
      <c r="C34" s="16">
        <f>J27</f>
        <v>0</v>
      </c>
      <c r="D34" s="9"/>
      <c r="E34" s="9"/>
      <c r="F34" s="9"/>
      <c r="G34" s="16"/>
      <c r="H34" s="16"/>
      <c r="I34" s="9"/>
      <c r="K34" s="26"/>
      <c r="N34" s="12" t="s">
        <v>13</v>
      </c>
      <c r="O34" s="44" t="s">
        <v>227</v>
      </c>
      <c r="P34" s="13"/>
      <c r="Q34" s="13"/>
      <c r="R34" s="44" t="s">
        <v>228</v>
      </c>
      <c r="S34" s="13"/>
      <c r="T34" s="14"/>
      <c r="U34" s="14"/>
    </row>
    <row r="35" spans="2:24" ht="15.75" x14ac:dyDescent="0.25">
      <c r="B35" s="9" t="s">
        <v>102</v>
      </c>
      <c r="C35" s="16">
        <f>K27</f>
        <v>2000</v>
      </c>
      <c r="D35" s="9"/>
      <c r="E35" s="9"/>
      <c r="F35" s="9" t="s">
        <v>102</v>
      </c>
      <c r="G35" s="16">
        <v>2000</v>
      </c>
      <c r="H35" s="9"/>
      <c r="I35" s="9"/>
      <c r="N35" s="15" t="s">
        <v>14</v>
      </c>
      <c r="O35" s="15" t="s">
        <v>226</v>
      </c>
      <c r="P35" s="15" t="s">
        <v>16</v>
      </c>
      <c r="Q35" s="15" t="s">
        <v>17</v>
      </c>
      <c r="R35" s="15" t="s">
        <v>18</v>
      </c>
      <c r="S35" s="15" t="s">
        <v>15</v>
      </c>
      <c r="T35" s="15" t="s">
        <v>16</v>
      </c>
      <c r="U35" s="15" t="s">
        <v>17</v>
      </c>
      <c r="W35" s="25"/>
    </row>
    <row r="36" spans="2:24" x14ac:dyDescent="0.25">
      <c r="B36" s="9" t="s">
        <v>97</v>
      </c>
      <c r="C36" s="16">
        <v>0.3</v>
      </c>
      <c r="D36" s="9"/>
      <c r="E36" s="9"/>
      <c r="F36" s="9" t="s">
        <v>97</v>
      </c>
      <c r="G36" s="16">
        <v>0.3</v>
      </c>
      <c r="H36" s="9">
        <f>D36</f>
        <v>0</v>
      </c>
      <c r="I36" s="9"/>
      <c r="N36" s="9" t="s">
        <v>19</v>
      </c>
      <c r="O36" s="16">
        <f>Q32</f>
        <v>145500</v>
      </c>
      <c r="P36" s="17">
        <v>0.1</v>
      </c>
      <c r="Q36" s="16"/>
      <c r="R36" s="18" t="s">
        <v>19</v>
      </c>
      <c r="S36" s="16">
        <f>T32</f>
        <v>152400</v>
      </c>
      <c r="T36" s="17">
        <v>0.1</v>
      </c>
      <c r="U36" s="9"/>
    </row>
    <row r="37" spans="2:24" x14ac:dyDescent="0.25">
      <c r="B37" s="9" t="s">
        <v>22</v>
      </c>
      <c r="C37" s="18"/>
      <c r="D37" s="9">
        <f>C31*D31</f>
        <v>13950</v>
      </c>
      <c r="E37" s="9"/>
      <c r="F37" s="9" t="s">
        <v>22</v>
      </c>
      <c r="G37" s="18"/>
      <c r="H37" s="9">
        <f>D37</f>
        <v>13950</v>
      </c>
      <c r="I37" s="9"/>
      <c r="N37" s="9" t="s">
        <v>20</v>
      </c>
      <c r="O37" s="16">
        <f>'DECEMBER 20'!Q46</f>
        <v>0</v>
      </c>
      <c r="P37" s="9"/>
      <c r="Q37" s="9"/>
      <c r="R37" s="9" t="s">
        <v>20</v>
      </c>
      <c r="S37" s="16">
        <f>'DECEMBER 20'!U46</f>
        <v>0</v>
      </c>
      <c r="T37" s="9"/>
      <c r="U37" s="9"/>
      <c r="W37" s="26"/>
    </row>
    <row r="38" spans="2:24" x14ac:dyDescent="0.25">
      <c r="B38" s="19" t="s">
        <v>23</v>
      </c>
      <c r="C38" s="9"/>
      <c r="D38" s="9"/>
      <c r="E38" s="9"/>
      <c r="F38" s="19" t="s">
        <v>23</v>
      </c>
      <c r="G38" s="9"/>
      <c r="H38" s="9"/>
      <c r="I38" s="9"/>
      <c r="N38" s="9" t="s">
        <v>163</v>
      </c>
      <c r="O38" s="16">
        <f>P32</f>
        <v>7500</v>
      </c>
      <c r="P38" s="9"/>
      <c r="Q38" s="9"/>
      <c r="R38" s="9"/>
      <c r="S38" s="16"/>
      <c r="T38" s="16"/>
      <c r="U38" s="9"/>
      <c r="W38" s="26"/>
    </row>
    <row r="39" spans="2:24" x14ac:dyDescent="0.25">
      <c r="B39" s="20" t="s">
        <v>234</v>
      </c>
      <c r="C39" s="9"/>
      <c r="D39" s="9">
        <v>149550</v>
      </c>
      <c r="E39" s="9"/>
      <c r="F39" s="20" t="s">
        <v>234</v>
      </c>
      <c r="G39" s="9"/>
      <c r="H39" s="9">
        <v>149550</v>
      </c>
      <c r="I39" s="9"/>
      <c r="J39" s="26"/>
      <c r="N39" s="9" t="s">
        <v>21</v>
      </c>
      <c r="O39" s="16">
        <f>V32</f>
        <v>14600</v>
      </c>
      <c r="P39" s="9"/>
      <c r="Q39" s="9"/>
      <c r="R39" s="9"/>
      <c r="S39" s="16"/>
      <c r="T39" s="16"/>
      <c r="U39" s="9"/>
      <c r="W39" s="26"/>
    </row>
    <row r="40" spans="2:24" x14ac:dyDescent="0.25">
      <c r="B40" s="7"/>
      <c r="C40" s="21"/>
      <c r="D40" s="7"/>
      <c r="E40" s="7"/>
      <c r="F40" s="7"/>
      <c r="G40" s="21"/>
      <c r="H40" s="7"/>
      <c r="I40" s="9"/>
      <c r="K40" s="26"/>
      <c r="N40" s="9" t="s">
        <v>102</v>
      </c>
      <c r="O40" s="16">
        <f>W32</f>
        <v>2300</v>
      </c>
      <c r="P40" s="9"/>
      <c r="Q40" s="9"/>
      <c r="R40" s="9" t="s">
        <v>102</v>
      </c>
      <c r="S40" s="16">
        <f>O40</f>
        <v>2300</v>
      </c>
      <c r="T40" s="9"/>
      <c r="U40" s="9"/>
      <c r="W40" s="26"/>
    </row>
    <row r="41" spans="2:24" x14ac:dyDescent="0.25">
      <c r="B41" s="20"/>
      <c r="C41" s="9"/>
      <c r="D41" s="9"/>
      <c r="E41" s="9"/>
      <c r="F41" s="20"/>
      <c r="G41" s="9"/>
      <c r="H41" s="9"/>
      <c r="I41" s="9"/>
      <c r="J41" s="26">
        <f>G31+G35-H37</f>
        <v>149550</v>
      </c>
      <c r="K41" s="26"/>
      <c r="N41" s="9" t="s">
        <v>22</v>
      </c>
      <c r="O41" s="18"/>
      <c r="P41" s="9">
        <f>P36*O36</f>
        <v>14550</v>
      </c>
      <c r="Q41" s="9"/>
      <c r="R41" s="9" t="s">
        <v>22</v>
      </c>
      <c r="S41" s="18"/>
      <c r="T41" s="9">
        <f>T36*O36</f>
        <v>14550</v>
      </c>
      <c r="U41" s="9"/>
    </row>
    <row r="42" spans="2:24" x14ac:dyDescent="0.25">
      <c r="B42" s="20"/>
      <c r="C42" s="9"/>
      <c r="D42" s="9"/>
      <c r="E42" s="9"/>
      <c r="F42" s="20"/>
      <c r="G42" s="9"/>
      <c r="H42" s="9"/>
      <c r="I42" s="9"/>
      <c r="K42" s="26"/>
      <c r="N42" s="9"/>
      <c r="O42" s="18"/>
      <c r="P42" s="9"/>
      <c r="Q42" s="9"/>
      <c r="R42" s="9"/>
      <c r="S42" s="18"/>
      <c r="T42" s="9"/>
      <c r="U42" s="9"/>
    </row>
    <row r="43" spans="2:24" x14ac:dyDescent="0.25">
      <c r="B43" s="20"/>
      <c r="C43" s="9"/>
      <c r="D43" s="9"/>
      <c r="E43" s="9"/>
      <c r="F43" s="20"/>
      <c r="G43" s="9"/>
      <c r="H43" s="9"/>
      <c r="I43" s="9"/>
      <c r="K43" s="26"/>
      <c r="N43" s="19" t="s">
        <v>23</v>
      </c>
      <c r="O43" s="9"/>
      <c r="P43" s="9"/>
      <c r="Q43" s="9"/>
      <c r="R43" s="19" t="s">
        <v>23</v>
      </c>
      <c r="S43" s="9"/>
      <c r="T43" s="9"/>
      <c r="U43" s="9"/>
    </row>
    <row r="44" spans="2:24" x14ac:dyDescent="0.25">
      <c r="B44" s="20"/>
      <c r="C44" s="16"/>
      <c r="D44" s="16"/>
      <c r="E44" s="16"/>
      <c r="F44" s="20"/>
      <c r="G44" s="9"/>
      <c r="H44" s="16"/>
      <c r="I44" s="9"/>
      <c r="N44" s="20" t="s">
        <v>234</v>
      </c>
      <c r="O44" s="9"/>
      <c r="P44" s="9">
        <v>1950</v>
      </c>
      <c r="Q44" s="9"/>
      <c r="R44" s="20" t="str">
        <f>N44</f>
        <v>PAID ON 19/1</v>
      </c>
      <c r="S44" s="9"/>
      <c r="T44" s="9">
        <v>1950</v>
      </c>
      <c r="U44" s="9"/>
      <c r="V44" s="26"/>
      <c r="W44" s="26"/>
      <c r="X44" s="26"/>
    </row>
    <row r="45" spans="2:24" x14ac:dyDescent="0.25">
      <c r="B45" s="22" t="s">
        <v>12</v>
      </c>
      <c r="C45" s="23">
        <f>C31+C32+C33+C34+C35-D37-D36</f>
        <v>156050</v>
      </c>
      <c r="D45" s="22">
        <f>SUM(D39:D44)</f>
        <v>149550</v>
      </c>
      <c r="E45" s="23">
        <f>C45-D45</f>
        <v>6500</v>
      </c>
      <c r="F45" s="24"/>
      <c r="G45" s="23">
        <f>G31+G32+G35-H36-H37</f>
        <v>147550</v>
      </c>
      <c r="H45" s="23">
        <f>SUM(H39:H44)</f>
        <v>149550</v>
      </c>
      <c r="I45" s="23">
        <f>G45-H45</f>
        <v>-2000</v>
      </c>
      <c r="K45">
        <f>2000+1500</f>
        <v>3500</v>
      </c>
      <c r="N45" s="7" t="s">
        <v>235</v>
      </c>
      <c r="O45" s="21"/>
      <c r="P45" s="7">
        <v>59900</v>
      </c>
      <c r="Q45" s="7"/>
      <c r="R45" s="7" t="s">
        <v>235</v>
      </c>
      <c r="S45" s="21"/>
      <c r="T45" s="7">
        <f>P45</f>
        <v>59900</v>
      </c>
      <c r="U45" s="9"/>
      <c r="W45" s="26"/>
    </row>
    <row r="46" spans="2:24" x14ac:dyDescent="0.25">
      <c r="E46" s="26">
        <f>E45-C32</f>
        <v>0</v>
      </c>
      <c r="I46" s="26"/>
      <c r="K46" s="26"/>
      <c r="N46" s="20" t="s">
        <v>236</v>
      </c>
      <c r="O46" s="9"/>
      <c r="P46" s="9">
        <f>25000+43500</f>
        <v>68500</v>
      </c>
      <c r="Q46" s="9"/>
      <c r="R46" s="20" t="s">
        <v>236</v>
      </c>
      <c r="S46" s="9"/>
      <c r="T46" s="9">
        <v>68500</v>
      </c>
      <c r="U46" s="9"/>
      <c r="W46" s="26"/>
    </row>
    <row r="47" spans="2:24" x14ac:dyDescent="0.25">
      <c r="B47" s="11" t="s">
        <v>24</v>
      </c>
      <c r="D47" s="11" t="s">
        <v>25</v>
      </c>
      <c r="F47" s="11"/>
      <c r="G47" s="11" t="s">
        <v>26</v>
      </c>
      <c r="I47" s="26"/>
      <c r="K47" s="26"/>
      <c r="L47" s="26"/>
      <c r="N47" s="20" t="s">
        <v>239</v>
      </c>
      <c r="O47" s="9"/>
      <c r="P47" s="9">
        <v>4000</v>
      </c>
      <c r="Q47" s="9"/>
      <c r="R47" s="20"/>
      <c r="S47" s="9"/>
      <c r="T47" s="9"/>
      <c r="U47" s="9"/>
      <c r="W47" s="26"/>
    </row>
    <row r="48" spans="2:24" x14ac:dyDescent="0.25">
      <c r="B48" t="s">
        <v>27</v>
      </c>
      <c r="D48" s="11" t="s">
        <v>28</v>
      </c>
      <c r="F48" s="11"/>
      <c r="G48" s="11" t="s">
        <v>147</v>
      </c>
      <c r="I48" s="26"/>
      <c r="N48" s="20"/>
      <c r="O48" s="9"/>
      <c r="P48" s="9"/>
      <c r="Q48" s="9"/>
      <c r="R48" s="20"/>
      <c r="S48" s="9"/>
      <c r="T48" s="9"/>
      <c r="U48" s="9"/>
      <c r="W48" s="26"/>
    </row>
    <row r="49" spans="6:23" x14ac:dyDescent="0.25">
      <c r="N49" s="20"/>
      <c r="O49" s="16"/>
      <c r="P49" s="16"/>
      <c r="Q49" s="16"/>
      <c r="R49" s="20"/>
      <c r="S49" s="9"/>
      <c r="T49" s="16"/>
      <c r="U49" s="9"/>
      <c r="W49" s="26"/>
    </row>
    <row r="50" spans="6:23" x14ac:dyDescent="0.25">
      <c r="F50" s="26">
        <f>E46+Q50</f>
        <v>21000</v>
      </c>
      <c r="I50" s="26">
        <f>F50-J50</f>
        <v>13200</v>
      </c>
      <c r="J50" s="26">
        <f>I45+U50</f>
        <v>7800</v>
      </c>
      <c r="N50" s="22" t="s">
        <v>12</v>
      </c>
      <c r="O50" s="23">
        <f>O36+O37+O38+O39+O40-P42-P41</f>
        <v>155350</v>
      </c>
      <c r="P50" s="22">
        <f>SUM(P44:P49)</f>
        <v>134350</v>
      </c>
      <c r="Q50" s="23">
        <f>O50-P50</f>
        <v>21000</v>
      </c>
      <c r="R50" s="24"/>
      <c r="S50" s="23">
        <f>S36+S37+S40-T41-T42</f>
        <v>140150</v>
      </c>
      <c r="T50" s="23">
        <f>SUM(T44:T49)</f>
        <v>130350</v>
      </c>
      <c r="U50" s="23">
        <f>S50-T50</f>
        <v>9800</v>
      </c>
      <c r="W50" s="26"/>
    </row>
    <row r="51" spans="6:23" x14ac:dyDescent="0.25">
      <c r="N51" s="11" t="s">
        <v>24</v>
      </c>
      <c r="P51" s="11" t="s">
        <v>25</v>
      </c>
      <c r="R51" s="11"/>
      <c r="S51" s="11" t="s">
        <v>26</v>
      </c>
      <c r="W51" s="26"/>
    </row>
    <row r="52" spans="6:23" x14ac:dyDescent="0.25">
      <c r="N52" t="s">
        <v>27</v>
      </c>
      <c r="P52" s="11" t="s">
        <v>28</v>
      </c>
      <c r="R52" s="11"/>
      <c r="S52" s="11" t="s">
        <v>147</v>
      </c>
      <c r="W52" s="26"/>
    </row>
    <row r="53" spans="6:23" x14ac:dyDescent="0.25">
      <c r="F53" s="26">
        <f>C31+C33+C35</f>
        <v>163500</v>
      </c>
      <c r="U53" s="26"/>
    </row>
    <row r="54" spans="6:23" x14ac:dyDescent="0.25">
      <c r="F54" s="26">
        <f>F53-D37</f>
        <v>149550</v>
      </c>
    </row>
    <row r="55" spans="6:23" x14ac:dyDescent="0.25">
      <c r="K55" s="26">
        <f>H45-151500</f>
        <v>-1950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4"/>
  <sheetViews>
    <sheetView workbookViewId="0"/>
  </sheetViews>
  <sheetFormatPr defaultRowHeight="15" x14ac:dyDescent="0.25"/>
  <sheetData>
    <row r="1" spans="1:23" ht="18.75" x14ac:dyDescent="0.25">
      <c r="E1" s="1" t="s">
        <v>50</v>
      </c>
      <c r="F1" s="2"/>
      <c r="G1" s="3"/>
      <c r="H1" s="4"/>
      <c r="Q1" s="1" t="s">
        <v>229</v>
      </c>
      <c r="R1" s="2"/>
      <c r="S1" s="3"/>
      <c r="T1" s="4"/>
    </row>
    <row r="2" spans="1:23" ht="18.75" x14ac:dyDescent="0.25">
      <c r="E2" s="1" t="s">
        <v>0</v>
      </c>
      <c r="F2" s="1"/>
      <c r="G2" s="5"/>
      <c r="H2" s="5"/>
      <c r="Q2" s="1" t="s">
        <v>0</v>
      </c>
      <c r="R2" s="1"/>
      <c r="S2" s="5"/>
      <c r="T2" s="5"/>
    </row>
    <row r="3" spans="1:23" ht="18.75" x14ac:dyDescent="0.25">
      <c r="E3" s="1" t="s">
        <v>238</v>
      </c>
      <c r="F3" s="1"/>
      <c r="G3" s="5"/>
      <c r="H3" s="5"/>
      <c r="Q3" s="1" t="s">
        <v>238</v>
      </c>
      <c r="R3" s="1"/>
      <c r="S3" s="5"/>
      <c r="T3" s="5"/>
    </row>
    <row r="4" spans="1:23" x14ac:dyDescent="0.25">
      <c r="A4" s="6" t="s">
        <v>2</v>
      </c>
      <c r="B4" s="6" t="s">
        <v>3</v>
      </c>
      <c r="C4" s="6"/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  <c r="K4" s="6" t="s">
        <v>101</v>
      </c>
      <c r="M4" s="6" t="s">
        <v>2</v>
      </c>
      <c r="N4" s="6" t="s">
        <v>3</v>
      </c>
      <c r="O4" s="6"/>
      <c r="P4" s="6" t="s">
        <v>4</v>
      </c>
      <c r="Q4" s="6" t="s">
        <v>5</v>
      </c>
      <c r="R4" s="6" t="s">
        <v>6</v>
      </c>
      <c r="S4" s="6" t="s">
        <v>7</v>
      </c>
      <c r="T4" s="6" t="s">
        <v>8</v>
      </c>
      <c r="U4" s="6" t="s">
        <v>9</v>
      </c>
      <c r="V4" s="6" t="s">
        <v>10</v>
      </c>
      <c r="W4" s="6" t="s">
        <v>101</v>
      </c>
    </row>
    <row r="5" spans="1:23" x14ac:dyDescent="0.25">
      <c r="A5" s="7" t="s">
        <v>30</v>
      </c>
      <c r="B5" s="7" t="s">
        <v>232</v>
      </c>
      <c r="C5" s="7"/>
      <c r="D5" s="7"/>
      <c r="E5" s="7">
        <v>4500</v>
      </c>
      <c r="F5" s="7">
        <f>'JANUARY 21'!I5:I26</f>
        <v>900</v>
      </c>
      <c r="G5" s="7">
        <f>C5+D5+E5+F5</f>
        <v>5400</v>
      </c>
      <c r="H5" s="7">
        <f>3000+1500</f>
        <v>4500</v>
      </c>
      <c r="I5" s="7">
        <f t="shared" ref="I5:I12" si="0">G5-H5</f>
        <v>900</v>
      </c>
      <c r="J5" s="7"/>
      <c r="K5" s="7"/>
      <c r="M5" s="7" t="s">
        <v>177</v>
      </c>
      <c r="N5" s="45" t="s">
        <v>202</v>
      </c>
      <c r="O5" s="7"/>
      <c r="P5" s="7"/>
      <c r="Q5" s="7">
        <v>7000</v>
      </c>
      <c r="R5" s="7">
        <f>'JANUARY 21'!U5:U31</f>
        <v>0</v>
      </c>
      <c r="S5" s="7">
        <f>O5+P5+Q5+R5</f>
        <v>7000</v>
      </c>
      <c r="T5" s="7">
        <f>7000</f>
        <v>7000</v>
      </c>
      <c r="U5" s="7">
        <f t="shared" ref="U5:U12" si="1">S5-T5</f>
        <v>0</v>
      </c>
      <c r="V5" s="7"/>
      <c r="W5" s="7"/>
    </row>
    <row r="6" spans="1:23" x14ac:dyDescent="0.25">
      <c r="A6" s="7" t="s">
        <v>31</v>
      </c>
      <c r="B6" s="7" t="s">
        <v>52</v>
      </c>
      <c r="C6" s="7"/>
      <c r="D6" s="7"/>
      <c r="E6" s="7">
        <v>3000</v>
      </c>
      <c r="F6" s="7">
        <f>'JANUARY 21'!I6:I27</f>
        <v>0</v>
      </c>
      <c r="G6" s="7">
        <f>C6+D6+E6+F6</f>
        <v>3000</v>
      </c>
      <c r="H6" s="7">
        <f>3000</f>
        <v>3000</v>
      </c>
      <c r="I6" s="7">
        <f t="shared" si="0"/>
        <v>0</v>
      </c>
      <c r="J6" s="7"/>
      <c r="K6" s="7"/>
      <c r="M6" s="7" t="s">
        <v>88</v>
      </c>
      <c r="N6" s="7"/>
      <c r="O6" s="7"/>
      <c r="P6" s="7"/>
      <c r="Q6" s="7"/>
      <c r="R6" s="7">
        <f>'JANUARY 21'!U6:U32</f>
        <v>0</v>
      </c>
      <c r="S6" s="7">
        <f>O6+P6+Q6+R6</f>
        <v>0</v>
      </c>
      <c r="T6" s="7"/>
      <c r="U6" s="7">
        <f t="shared" si="1"/>
        <v>0</v>
      </c>
      <c r="V6" s="7"/>
      <c r="W6" s="7"/>
    </row>
    <row r="7" spans="1:23" x14ac:dyDescent="0.25">
      <c r="A7" s="7" t="s">
        <v>32</v>
      </c>
      <c r="B7" s="7" t="s">
        <v>115</v>
      </c>
      <c r="C7" s="7"/>
      <c r="D7" s="7">
        <v>2500</v>
      </c>
      <c r="E7" s="7">
        <v>7500</v>
      </c>
      <c r="F7" s="7"/>
      <c r="G7" s="7">
        <f>C7+D7+E7+F7</f>
        <v>10000</v>
      </c>
      <c r="H7" s="7">
        <v>7500</v>
      </c>
      <c r="I7" s="7">
        <f t="shared" si="0"/>
        <v>2500</v>
      </c>
      <c r="J7" s="7"/>
      <c r="K7" s="7"/>
      <c r="M7" s="7" t="s">
        <v>178</v>
      </c>
      <c r="N7" s="7" t="s">
        <v>203</v>
      </c>
      <c r="O7" s="7"/>
      <c r="P7" s="7"/>
      <c r="Q7" s="7">
        <v>8500</v>
      </c>
      <c r="R7" s="7">
        <f>'JANUARY 21'!U7:U33</f>
        <v>1000</v>
      </c>
      <c r="S7" s="7">
        <f>O7+P7+Q7+R7</f>
        <v>9500</v>
      </c>
      <c r="T7" s="7">
        <f>8500</f>
        <v>8500</v>
      </c>
      <c r="U7" s="7">
        <f t="shared" si="1"/>
        <v>1000</v>
      </c>
      <c r="V7" s="7"/>
      <c r="W7" s="7"/>
    </row>
    <row r="8" spans="1:23" x14ac:dyDescent="0.25">
      <c r="A8" s="7" t="s">
        <v>33</v>
      </c>
      <c r="B8" s="7" t="s">
        <v>54</v>
      </c>
      <c r="C8" s="7"/>
      <c r="D8" s="7"/>
      <c r="E8" s="7">
        <v>6500</v>
      </c>
      <c r="F8" s="7">
        <f>'JANUARY 21'!I8:I29</f>
        <v>0</v>
      </c>
      <c r="G8" s="7">
        <f>C8+D8+E8+F8</f>
        <v>6500</v>
      </c>
      <c r="H8" s="7">
        <f>6500</f>
        <v>6500</v>
      </c>
      <c r="I8" s="7">
        <f t="shared" si="0"/>
        <v>0</v>
      </c>
      <c r="J8" s="7"/>
      <c r="K8" s="7"/>
      <c r="M8" s="7" t="s">
        <v>179</v>
      </c>
      <c r="N8" s="7" t="s">
        <v>204</v>
      </c>
      <c r="O8" s="7"/>
      <c r="P8" s="7"/>
      <c r="Q8" s="7">
        <v>9000</v>
      </c>
      <c r="R8" s="7">
        <f>'JANUARY 21'!U8:U34</f>
        <v>0</v>
      </c>
      <c r="S8" s="7">
        <f>O8+P8+Q8+R8</f>
        <v>9000</v>
      </c>
      <c r="T8" s="7">
        <f>9000</f>
        <v>9000</v>
      </c>
      <c r="U8" s="7">
        <f t="shared" si="1"/>
        <v>0</v>
      </c>
      <c r="V8" s="7"/>
      <c r="W8" s="7"/>
    </row>
    <row r="9" spans="1:23" x14ac:dyDescent="0.25">
      <c r="A9" s="7" t="s">
        <v>34</v>
      </c>
      <c r="B9" s="7" t="s">
        <v>230</v>
      </c>
      <c r="C9" s="7"/>
      <c r="D9" s="7"/>
      <c r="E9" s="7">
        <v>7000</v>
      </c>
      <c r="F9" s="7">
        <f>'JANUARY 21'!I9:I30</f>
        <v>0</v>
      </c>
      <c r="G9" s="7">
        <f t="shared" ref="G9:G26" si="2">C9+D9+E9+F9</f>
        <v>7000</v>
      </c>
      <c r="H9" s="7">
        <f>7000</f>
        <v>7000</v>
      </c>
      <c r="I9" s="7">
        <f t="shared" si="0"/>
        <v>0</v>
      </c>
      <c r="J9" s="7"/>
      <c r="K9" s="7"/>
      <c r="M9" s="7" t="s">
        <v>180</v>
      </c>
      <c r="N9" s="7" t="s">
        <v>205</v>
      </c>
      <c r="O9" s="7"/>
      <c r="P9" s="7"/>
      <c r="Q9" s="7">
        <v>8000</v>
      </c>
      <c r="R9" s="7">
        <f>'JANUARY 21'!U9:U35</f>
        <v>53300</v>
      </c>
      <c r="S9" s="7">
        <f t="shared" ref="S9:S31" si="3">O9+P9+Q9+R9</f>
        <v>61300</v>
      </c>
      <c r="T9" s="7">
        <f>13000</f>
        <v>13000</v>
      </c>
      <c r="U9" s="7">
        <f t="shared" si="1"/>
        <v>48300</v>
      </c>
      <c r="V9" s="7">
        <v>5000</v>
      </c>
      <c r="W9" s="7"/>
    </row>
    <row r="10" spans="1:23" x14ac:dyDescent="0.25">
      <c r="A10" s="7" t="s">
        <v>35</v>
      </c>
      <c r="B10" s="7" t="s">
        <v>55</v>
      </c>
      <c r="C10" s="7"/>
      <c r="D10" s="7"/>
      <c r="E10" s="7">
        <v>7000</v>
      </c>
      <c r="F10" s="7">
        <f>'JANUARY 21'!I10:I31</f>
        <v>1000</v>
      </c>
      <c r="G10" s="7">
        <f t="shared" si="2"/>
        <v>8000</v>
      </c>
      <c r="H10" s="7">
        <f>7000</f>
        <v>7000</v>
      </c>
      <c r="I10" s="7">
        <f t="shared" si="0"/>
        <v>1000</v>
      </c>
      <c r="J10" s="7"/>
      <c r="K10" s="7"/>
      <c r="M10" s="7" t="s">
        <v>181</v>
      </c>
      <c r="N10" s="7" t="s">
        <v>206</v>
      </c>
      <c r="O10" s="7"/>
      <c r="P10" s="7"/>
      <c r="Q10" s="7">
        <v>8500</v>
      </c>
      <c r="R10" s="7">
        <f>'JANUARY 21'!U10:U36</f>
        <v>12600</v>
      </c>
      <c r="S10" s="7">
        <f t="shared" si="3"/>
        <v>21100</v>
      </c>
      <c r="T10" s="7">
        <f>9500</f>
        <v>9500</v>
      </c>
      <c r="U10" s="7">
        <f t="shared" si="1"/>
        <v>11600</v>
      </c>
      <c r="V10" s="7">
        <v>1000</v>
      </c>
      <c r="W10" s="7"/>
    </row>
    <row r="11" spans="1:23" x14ac:dyDescent="0.25">
      <c r="A11" s="7" t="s">
        <v>36</v>
      </c>
      <c r="B11" s="7" t="s">
        <v>56</v>
      </c>
      <c r="C11" s="7"/>
      <c r="D11" s="7"/>
      <c r="E11" s="7">
        <v>7000</v>
      </c>
      <c r="F11" s="7">
        <f>'JANUARY 21'!I11:I32</f>
        <v>0</v>
      </c>
      <c r="G11" s="7">
        <f t="shared" si="2"/>
        <v>7000</v>
      </c>
      <c r="H11" s="7">
        <f>7000</f>
        <v>7000</v>
      </c>
      <c r="I11" s="7">
        <f t="shared" si="0"/>
        <v>0</v>
      </c>
      <c r="J11" s="7"/>
      <c r="K11" s="7"/>
      <c r="M11" s="7" t="s">
        <v>182</v>
      </c>
      <c r="N11" s="7" t="s">
        <v>207</v>
      </c>
      <c r="O11" s="7"/>
      <c r="P11" s="7"/>
      <c r="Q11" s="7">
        <v>8000</v>
      </c>
      <c r="R11" s="7">
        <f>'JANUARY 21'!U11:U37</f>
        <v>7500</v>
      </c>
      <c r="S11" s="7">
        <f t="shared" si="3"/>
        <v>15500</v>
      </c>
      <c r="T11" s="7">
        <v>8000</v>
      </c>
      <c r="U11" s="7">
        <f t="shared" si="1"/>
        <v>7500</v>
      </c>
      <c r="V11" s="7"/>
      <c r="W11" s="7"/>
    </row>
    <row r="12" spans="1:23" x14ac:dyDescent="0.25">
      <c r="A12" s="7" t="s">
        <v>37</v>
      </c>
      <c r="B12" s="8" t="s">
        <v>65</v>
      </c>
      <c r="C12" s="7"/>
      <c r="D12" s="7"/>
      <c r="E12" s="7">
        <v>4500</v>
      </c>
      <c r="F12" s="7">
        <f>'JANUARY 21'!I12:I33</f>
        <v>100</v>
      </c>
      <c r="G12" s="7">
        <f t="shared" si="2"/>
        <v>4600</v>
      </c>
      <c r="H12" s="7">
        <f>4500</f>
        <v>4500</v>
      </c>
      <c r="I12" s="7">
        <f t="shared" si="0"/>
        <v>100</v>
      </c>
      <c r="J12" s="7"/>
      <c r="K12" s="7"/>
      <c r="M12" s="7" t="s">
        <v>183</v>
      </c>
      <c r="N12" s="8" t="s">
        <v>208</v>
      </c>
      <c r="O12" s="7"/>
      <c r="P12" s="7"/>
      <c r="Q12" s="7">
        <v>8500</v>
      </c>
      <c r="R12" s="7">
        <f>'JANUARY 21'!U12:U38</f>
        <v>0</v>
      </c>
      <c r="S12" s="7">
        <f t="shared" si="3"/>
        <v>8500</v>
      </c>
      <c r="T12" s="7">
        <v>8500</v>
      </c>
      <c r="U12" s="7">
        <f t="shared" si="1"/>
        <v>0</v>
      </c>
      <c r="V12" s="7"/>
      <c r="W12" s="7"/>
    </row>
    <row r="13" spans="1:23" x14ac:dyDescent="0.25">
      <c r="A13" s="7" t="s">
        <v>38</v>
      </c>
      <c r="B13" s="7" t="s">
        <v>92</v>
      </c>
      <c r="C13" s="7"/>
      <c r="D13" s="7">
        <v>5000</v>
      </c>
      <c r="E13" s="7">
        <v>8000</v>
      </c>
      <c r="F13" s="7"/>
      <c r="G13" s="7">
        <f t="shared" si="2"/>
        <v>13000</v>
      </c>
      <c r="H13" s="7">
        <f>8000</f>
        <v>8000</v>
      </c>
      <c r="I13" s="7">
        <f t="shared" ref="I13:I21" si="4">G13-H13</f>
        <v>5000</v>
      </c>
      <c r="J13" s="7"/>
      <c r="K13" s="7"/>
      <c r="M13" s="7" t="s">
        <v>184</v>
      </c>
      <c r="N13" s="7" t="s">
        <v>209</v>
      </c>
      <c r="O13" s="7"/>
      <c r="P13" s="7"/>
      <c r="Q13" s="7">
        <v>3500</v>
      </c>
      <c r="R13" s="7">
        <f>'JANUARY 21'!U13:U39</f>
        <v>0</v>
      </c>
      <c r="S13" s="7">
        <f t="shared" si="3"/>
        <v>3500</v>
      </c>
      <c r="T13" s="7">
        <f>3500</f>
        <v>3500</v>
      </c>
      <c r="U13" s="7">
        <f t="shared" ref="U13:U21" si="5">S13-T13</f>
        <v>0</v>
      </c>
      <c r="V13" s="7"/>
      <c r="W13" s="7"/>
    </row>
    <row r="14" spans="1:23" x14ac:dyDescent="0.25">
      <c r="A14" s="7" t="s">
        <v>39</v>
      </c>
      <c r="B14" s="7" t="s">
        <v>70</v>
      </c>
      <c r="C14" s="7"/>
      <c r="D14" s="7"/>
      <c r="E14" s="7">
        <v>6500</v>
      </c>
      <c r="F14" s="7">
        <f>'JANUARY 21'!I14:I35</f>
        <v>1000</v>
      </c>
      <c r="G14" s="7">
        <f t="shared" si="2"/>
        <v>7500</v>
      </c>
      <c r="H14" s="7">
        <f>6000</f>
        <v>6000</v>
      </c>
      <c r="I14" s="7">
        <f t="shared" si="4"/>
        <v>1500</v>
      </c>
      <c r="J14" s="7"/>
      <c r="K14" s="7"/>
      <c r="M14" s="7" t="s">
        <v>185</v>
      </c>
      <c r="N14" s="7" t="s">
        <v>210</v>
      </c>
      <c r="O14" s="7"/>
      <c r="P14" s="7"/>
      <c r="Q14" s="7">
        <v>5000</v>
      </c>
      <c r="R14" s="7">
        <f>'JANUARY 21'!U14:U40</f>
        <v>5250</v>
      </c>
      <c r="S14" s="7">
        <f t="shared" si="3"/>
        <v>10250</v>
      </c>
      <c r="T14" s="7">
        <f>5000+5000</f>
        <v>10000</v>
      </c>
      <c r="U14" s="7">
        <f t="shared" si="5"/>
        <v>250</v>
      </c>
      <c r="V14" s="7"/>
      <c r="W14" s="7">
        <v>400</v>
      </c>
    </row>
    <row r="15" spans="1:23" x14ac:dyDescent="0.25">
      <c r="A15" s="7" t="s">
        <v>40</v>
      </c>
      <c r="B15" s="7" t="s">
        <v>174</v>
      </c>
      <c r="C15" s="7"/>
      <c r="D15" s="7"/>
      <c r="E15" s="7">
        <v>7500</v>
      </c>
      <c r="F15" s="7">
        <f>'JANUARY 21'!I15:I36</f>
        <v>0</v>
      </c>
      <c r="G15" s="7">
        <f t="shared" si="2"/>
        <v>7500</v>
      </c>
      <c r="H15" s="7">
        <v>7500</v>
      </c>
      <c r="I15" s="7">
        <f t="shared" si="4"/>
        <v>0</v>
      </c>
      <c r="J15" s="7"/>
      <c r="K15" s="7"/>
      <c r="M15" s="7" t="s">
        <v>186</v>
      </c>
      <c r="N15" s="7" t="s">
        <v>211</v>
      </c>
      <c r="O15" s="7"/>
      <c r="P15" s="7"/>
      <c r="Q15" s="7">
        <v>4000</v>
      </c>
      <c r="R15" s="7">
        <f>'JANUARY 21'!U15:U41</f>
        <v>450</v>
      </c>
      <c r="S15" s="7">
        <f t="shared" si="3"/>
        <v>4450</v>
      </c>
      <c r="T15" s="7">
        <f>4000</f>
        <v>4000</v>
      </c>
      <c r="U15" s="7">
        <f t="shared" si="5"/>
        <v>450</v>
      </c>
      <c r="V15" s="7"/>
      <c r="W15" s="7"/>
    </row>
    <row r="16" spans="1:23" x14ac:dyDescent="0.25">
      <c r="A16" s="7" t="s">
        <v>41</v>
      </c>
      <c r="B16" s="7" t="s">
        <v>58</v>
      </c>
      <c r="C16" s="7"/>
      <c r="D16" s="7"/>
      <c r="E16" s="7">
        <v>7000</v>
      </c>
      <c r="F16" s="7">
        <f>'JANUARY 21'!I16:I37</f>
        <v>1500</v>
      </c>
      <c r="G16" s="7">
        <f t="shared" si="2"/>
        <v>8500</v>
      </c>
      <c r="H16" s="7">
        <v>7000</v>
      </c>
      <c r="I16" s="7">
        <f t="shared" si="4"/>
        <v>1500</v>
      </c>
      <c r="J16" s="7"/>
      <c r="K16" s="7"/>
      <c r="M16" s="7" t="s">
        <v>187</v>
      </c>
      <c r="N16" s="7" t="s">
        <v>212</v>
      </c>
      <c r="O16" s="7"/>
      <c r="P16" s="7"/>
      <c r="Q16" s="7">
        <v>4500</v>
      </c>
      <c r="R16" s="7">
        <f>'JANUARY 21'!U16:U42</f>
        <v>0</v>
      </c>
      <c r="S16" s="7">
        <f t="shared" si="3"/>
        <v>4500</v>
      </c>
      <c r="T16" s="7">
        <f>4500</f>
        <v>4500</v>
      </c>
      <c r="U16" s="7">
        <f t="shared" si="5"/>
        <v>0</v>
      </c>
      <c r="V16" s="7"/>
      <c r="W16" s="7"/>
    </row>
    <row r="17" spans="1:23" x14ac:dyDescent="0.25">
      <c r="A17" s="7" t="s">
        <v>42</v>
      </c>
      <c r="B17" s="7" t="s">
        <v>59</v>
      </c>
      <c r="C17" s="7"/>
      <c r="D17" s="7"/>
      <c r="E17" s="7">
        <v>7000</v>
      </c>
      <c r="F17" s="7">
        <f>'JANUARY 21'!I17:I38</f>
        <v>0</v>
      </c>
      <c r="G17" s="7">
        <f t="shared" si="2"/>
        <v>7000</v>
      </c>
      <c r="H17" s="7">
        <v>7000</v>
      </c>
      <c r="I17" s="7">
        <f t="shared" si="4"/>
        <v>0</v>
      </c>
      <c r="J17" s="7"/>
      <c r="K17" s="7"/>
      <c r="M17" s="7" t="s">
        <v>188</v>
      </c>
      <c r="N17" s="7" t="s">
        <v>213</v>
      </c>
      <c r="O17" s="7"/>
      <c r="P17" s="7"/>
      <c r="Q17" s="7">
        <v>4000</v>
      </c>
      <c r="R17" s="7">
        <f>'JANUARY 21'!U17:U43</f>
        <v>16000</v>
      </c>
      <c r="S17" s="7">
        <f t="shared" si="3"/>
        <v>20000</v>
      </c>
      <c r="T17" s="7"/>
      <c r="U17" s="7">
        <f t="shared" si="5"/>
        <v>20000</v>
      </c>
      <c r="V17" s="7"/>
      <c r="W17" s="7"/>
    </row>
    <row r="18" spans="1:23" x14ac:dyDescent="0.25">
      <c r="A18" s="7" t="s">
        <v>43</v>
      </c>
      <c r="B18" s="7" t="s">
        <v>60</v>
      </c>
      <c r="C18" s="7"/>
      <c r="D18" s="7"/>
      <c r="E18" s="7"/>
      <c r="F18" s="7">
        <f>'JANUARY 21'!I18:I39</f>
        <v>0</v>
      </c>
      <c r="G18" s="7">
        <f t="shared" si="2"/>
        <v>0</v>
      </c>
      <c r="H18" s="7"/>
      <c r="I18" s="7">
        <f t="shared" si="4"/>
        <v>0</v>
      </c>
      <c r="J18" s="7"/>
      <c r="K18" s="7"/>
      <c r="M18" s="7" t="s">
        <v>189</v>
      </c>
      <c r="N18" s="9" t="s">
        <v>233</v>
      </c>
      <c r="O18" s="7"/>
      <c r="P18" s="7"/>
      <c r="Q18" s="7">
        <v>4000</v>
      </c>
      <c r="R18" s="7">
        <f>'JANUARY 21'!U18:U44</f>
        <v>0</v>
      </c>
      <c r="S18" s="7">
        <f t="shared" si="3"/>
        <v>4000</v>
      </c>
      <c r="T18" s="7">
        <f>2000+2000</f>
        <v>4000</v>
      </c>
      <c r="U18" s="7">
        <f t="shared" si="5"/>
        <v>0</v>
      </c>
      <c r="V18" s="7"/>
      <c r="W18" s="7"/>
    </row>
    <row r="19" spans="1:23" x14ac:dyDescent="0.25">
      <c r="A19" s="7" t="s">
        <v>44</v>
      </c>
      <c r="B19" s="9" t="s">
        <v>118</v>
      </c>
      <c r="C19" s="7"/>
      <c r="D19" s="7"/>
      <c r="E19" s="7">
        <v>8000</v>
      </c>
      <c r="F19" s="7">
        <f>'JANUARY 21'!I19:I40</f>
        <v>0</v>
      </c>
      <c r="G19" s="7">
        <f t="shared" si="2"/>
        <v>8000</v>
      </c>
      <c r="H19" s="7">
        <f>8000</f>
        <v>8000</v>
      </c>
      <c r="I19" s="7">
        <f t="shared" si="4"/>
        <v>0</v>
      </c>
      <c r="J19" s="7"/>
      <c r="K19" s="7"/>
      <c r="M19" s="7" t="s">
        <v>190</v>
      </c>
      <c r="N19" s="9" t="s">
        <v>215</v>
      </c>
      <c r="O19" s="7"/>
      <c r="P19" s="7"/>
      <c r="Q19" s="7">
        <v>4000</v>
      </c>
      <c r="R19" s="7">
        <f>'JANUARY 21'!U19:U45</f>
        <v>3950</v>
      </c>
      <c r="S19" s="7">
        <f t="shared" si="3"/>
        <v>7950</v>
      </c>
      <c r="T19" s="7">
        <v>4000</v>
      </c>
      <c r="U19" s="7">
        <f t="shared" si="5"/>
        <v>3950</v>
      </c>
      <c r="V19" s="7"/>
      <c r="W19" s="7"/>
    </row>
    <row r="20" spans="1:23" x14ac:dyDescent="0.25">
      <c r="A20" s="7" t="s">
        <v>45</v>
      </c>
      <c r="B20" s="7" t="s">
        <v>175</v>
      </c>
      <c r="C20" s="7"/>
      <c r="D20" s="7"/>
      <c r="E20" s="7">
        <v>7500</v>
      </c>
      <c r="F20" s="7">
        <f>'JANUARY 21'!I20:I41</f>
        <v>0</v>
      </c>
      <c r="G20" s="7">
        <f t="shared" si="2"/>
        <v>7500</v>
      </c>
      <c r="H20" s="7">
        <f>7500</f>
        <v>7500</v>
      </c>
      <c r="I20" s="7">
        <f t="shared" si="4"/>
        <v>0</v>
      </c>
      <c r="J20" s="7"/>
      <c r="K20" s="7"/>
      <c r="M20" s="7" t="s">
        <v>123</v>
      </c>
      <c r="N20" s="7" t="s">
        <v>231</v>
      </c>
      <c r="O20" s="7"/>
      <c r="P20" s="7"/>
      <c r="Q20" s="7">
        <v>4500</v>
      </c>
      <c r="R20" s="7"/>
      <c r="S20" s="7">
        <f t="shared" si="3"/>
        <v>4500</v>
      </c>
      <c r="T20" s="7">
        <f>4500</f>
        <v>4500</v>
      </c>
      <c r="U20" s="7">
        <f t="shared" si="5"/>
        <v>0</v>
      </c>
      <c r="V20" s="7"/>
      <c r="W20" s="7"/>
    </row>
    <row r="21" spans="1:23" x14ac:dyDescent="0.25">
      <c r="A21" s="7" t="s">
        <v>46</v>
      </c>
      <c r="B21" s="7" t="s">
        <v>132</v>
      </c>
      <c r="C21" s="7"/>
      <c r="D21" s="7"/>
      <c r="E21" s="7">
        <v>6500</v>
      </c>
      <c r="F21" s="7">
        <f>'JANUARY 21'!I21:I42</f>
        <v>500</v>
      </c>
      <c r="G21" s="7">
        <f t="shared" si="2"/>
        <v>7000</v>
      </c>
      <c r="H21" s="7">
        <v>6500</v>
      </c>
      <c r="I21" s="7">
        <f t="shared" si="4"/>
        <v>500</v>
      </c>
      <c r="J21" s="7"/>
      <c r="K21" s="7"/>
      <c r="M21" s="7" t="s">
        <v>191</v>
      </c>
      <c r="N21" s="7" t="s">
        <v>216</v>
      </c>
      <c r="O21" s="7"/>
      <c r="P21" s="7"/>
      <c r="Q21" s="7">
        <v>4500</v>
      </c>
      <c r="R21" s="7">
        <f>'JANUARY 21'!U21:U47</f>
        <v>12500</v>
      </c>
      <c r="S21" s="7">
        <f t="shared" si="3"/>
        <v>17000</v>
      </c>
      <c r="T21" s="7">
        <f>6500</f>
        <v>6500</v>
      </c>
      <c r="U21" s="7">
        <f t="shared" si="5"/>
        <v>10500</v>
      </c>
      <c r="V21" s="7">
        <v>1500</v>
      </c>
      <c r="W21" s="7"/>
    </row>
    <row r="22" spans="1:23" x14ac:dyDescent="0.25">
      <c r="A22" s="7" t="s">
        <v>47</v>
      </c>
      <c r="B22" s="7" t="s">
        <v>64</v>
      </c>
      <c r="C22" s="7"/>
      <c r="D22" s="7"/>
      <c r="E22" s="7">
        <v>7000</v>
      </c>
      <c r="F22" s="7">
        <f>'JANUARY 21'!I22:I43</f>
        <v>0</v>
      </c>
      <c r="G22" s="7">
        <f t="shared" si="2"/>
        <v>7000</v>
      </c>
      <c r="H22">
        <v>7000</v>
      </c>
      <c r="I22" s="7">
        <f>G22-H22</f>
        <v>0</v>
      </c>
      <c r="J22" s="7"/>
      <c r="K22" s="7"/>
      <c r="M22" s="7" t="s">
        <v>192</v>
      </c>
      <c r="N22" s="7" t="s">
        <v>214</v>
      </c>
      <c r="O22" s="7"/>
      <c r="P22" s="7"/>
      <c r="Q22" s="7">
        <v>4000</v>
      </c>
      <c r="R22" s="7">
        <f>'JANUARY 21'!U22:U48</f>
        <v>0</v>
      </c>
      <c r="S22" s="7">
        <f t="shared" si="3"/>
        <v>4000</v>
      </c>
      <c r="T22">
        <v>4000</v>
      </c>
      <c r="U22" s="7">
        <f>S22-T22</f>
        <v>0</v>
      </c>
      <c r="V22" s="7"/>
      <c r="W22" s="7"/>
    </row>
    <row r="23" spans="1:23" x14ac:dyDescent="0.25">
      <c r="A23" s="7" t="s">
        <v>66</v>
      </c>
      <c r="B23" s="7" t="s">
        <v>61</v>
      </c>
      <c r="C23" s="7"/>
      <c r="D23" s="7"/>
      <c r="E23" s="7">
        <v>8000</v>
      </c>
      <c r="F23" s="7">
        <f>'JANUARY 21'!I23:I44</f>
        <v>0</v>
      </c>
      <c r="G23" s="7">
        <f t="shared" si="2"/>
        <v>8000</v>
      </c>
      <c r="H23" s="7">
        <v>8000</v>
      </c>
      <c r="I23" s="7">
        <f>G23-H23</f>
        <v>0</v>
      </c>
      <c r="J23" s="7"/>
      <c r="K23" s="7"/>
      <c r="M23" s="7" t="s">
        <v>193</v>
      </c>
      <c r="N23" s="45" t="s">
        <v>76</v>
      </c>
      <c r="O23" s="7"/>
      <c r="P23" s="7"/>
      <c r="Q23" s="7"/>
      <c r="R23" s="7"/>
      <c r="S23" s="7">
        <f t="shared" si="3"/>
        <v>0</v>
      </c>
      <c r="T23" s="7"/>
      <c r="U23" s="7">
        <f>S23-T23</f>
        <v>0</v>
      </c>
      <c r="V23" s="7"/>
      <c r="W23" s="7"/>
    </row>
    <row r="24" spans="1:23" x14ac:dyDescent="0.25">
      <c r="A24" s="7" t="s">
        <v>48</v>
      </c>
      <c r="B24" s="7" t="s">
        <v>69</v>
      </c>
      <c r="C24" s="7"/>
      <c r="D24" s="7"/>
      <c r="E24" s="7">
        <v>4500</v>
      </c>
      <c r="F24" s="7">
        <f>'JANUARY 21'!I24:I45</f>
        <v>0</v>
      </c>
      <c r="G24" s="7">
        <f t="shared" si="2"/>
        <v>4500</v>
      </c>
      <c r="H24" s="7">
        <f>4500</f>
        <v>4500</v>
      </c>
      <c r="I24" s="7">
        <f>G24-H24</f>
        <v>0</v>
      </c>
      <c r="J24" s="7"/>
      <c r="K24" s="7"/>
      <c r="M24" s="7" t="s">
        <v>194</v>
      </c>
      <c r="N24" s="7" t="s">
        <v>241</v>
      </c>
      <c r="O24" s="7"/>
      <c r="P24" s="7"/>
      <c r="Q24" s="7">
        <v>4000</v>
      </c>
      <c r="R24" s="7">
        <f>'JANUARY 21'!U24:U50</f>
        <v>2300</v>
      </c>
      <c r="S24" s="7">
        <f t="shared" si="3"/>
        <v>6300</v>
      </c>
      <c r="T24" s="7">
        <f>4000</f>
        <v>4000</v>
      </c>
      <c r="U24" s="7">
        <f>S24-T24</f>
        <v>2300</v>
      </c>
      <c r="V24" s="7"/>
      <c r="W24" s="7"/>
    </row>
    <row r="25" spans="1:23" x14ac:dyDescent="0.25">
      <c r="A25" s="7" t="s">
        <v>49</v>
      </c>
      <c r="B25" s="7" t="s">
        <v>100</v>
      </c>
      <c r="C25" s="7"/>
      <c r="D25" s="7"/>
      <c r="E25" s="7">
        <v>8000</v>
      </c>
      <c r="F25" s="7">
        <f>'JANUARY 21'!I25:I46</f>
        <v>0</v>
      </c>
      <c r="G25" s="7">
        <f t="shared" si="2"/>
        <v>8000</v>
      </c>
      <c r="H25" s="7">
        <f>8000</f>
        <v>8000</v>
      </c>
      <c r="I25" s="7">
        <f>G25-H25</f>
        <v>0</v>
      </c>
      <c r="J25" s="7"/>
      <c r="K25" s="7"/>
      <c r="M25" s="7" t="s">
        <v>195</v>
      </c>
      <c r="N25" s="7" t="s">
        <v>218</v>
      </c>
      <c r="O25" s="7"/>
      <c r="P25" s="7"/>
      <c r="Q25" s="7">
        <v>4000</v>
      </c>
      <c r="R25" s="7">
        <f>'JANUARY 21'!U25:U51</f>
        <v>0</v>
      </c>
      <c r="S25" s="7">
        <f t="shared" si="3"/>
        <v>4000</v>
      </c>
      <c r="T25" s="7">
        <f>4000</f>
        <v>4000</v>
      </c>
      <c r="U25" s="7">
        <f>S25-T25</f>
        <v>0</v>
      </c>
      <c r="V25" s="7"/>
      <c r="W25" s="7"/>
    </row>
    <row r="26" spans="1:23" x14ac:dyDescent="0.25">
      <c r="A26" s="7" t="s">
        <v>88</v>
      </c>
      <c r="B26" s="7" t="s">
        <v>110</v>
      </c>
      <c r="C26" s="7"/>
      <c r="D26" s="7"/>
      <c r="E26" s="7">
        <v>7000</v>
      </c>
      <c r="F26" s="7">
        <f>'JANUARY 21'!I26:I47</f>
        <v>49100</v>
      </c>
      <c r="G26" s="7">
        <f t="shared" si="2"/>
        <v>56100</v>
      </c>
      <c r="H26" s="7">
        <v>5000</v>
      </c>
      <c r="I26" s="7">
        <f>G26-H26</f>
        <v>51100</v>
      </c>
      <c r="J26" s="7"/>
      <c r="K26" s="7"/>
      <c r="M26" s="7" t="s">
        <v>196</v>
      </c>
      <c r="N26" s="7" t="s">
        <v>219</v>
      </c>
      <c r="O26" s="7"/>
      <c r="P26" s="7"/>
      <c r="Q26" s="7">
        <v>4000</v>
      </c>
      <c r="R26" s="7">
        <f>'JANUARY 21'!U26:U52</f>
        <v>8000</v>
      </c>
      <c r="S26" s="7">
        <f t="shared" si="3"/>
        <v>12000</v>
      </c>
      <c r="T26" s="7">
        <f>7400+3000</f>
        <v>10400</v>
      </c>
      <c r="U26" s="7">
        <f t="shared" ref="U26:U31" si="6">S26-T26</f>
        <v>1600</v>
      </c>
      <c r="V26" s="7">
        <v>2400</v>
      </c>
      <c r="W26" s="7"/>
    </row>
    <row r="27" spans="1:23" x14ac:dyDescent="0.25">
      <c r="A27" s="6"/>
      <c r="B27" s="10" t="s">
        <v>12</v>
      </c>
      <c r="C27" s="10">
        <f>SUM(C4:C5)</f>
        <v>0</v>
      </c>
      <c r="D27" s="10">
        <f>SUM(D5:D26)</f>
        <v>7500</v>
      </c>
      <c r="E27" s="6">
        <f>SUM(E5:E26)</f>
        <v>139500</v>
      </c>
      <c r="F27" s="7">
        <f>SUM(F5:F26)</f>
        <v>54100</v>
      </c>
      <c r="G27" s="7">
        <f>C27+D27+E27+F27</f>
        <v>201100</v>
      </c>
      <c r="H27" s="6">
        <f>SUM(H5:H26)</f>
        <v>137000</v>
      </c>
      <c r="I27" s="6">
        <f>SUM(I5:I26)</f>
        <v>64100</v>
      </c>
      <c r="J27" s="6">
        <f>SUM(J5:J26)</f>
        <v>0</v>
      </c>
      <c r="K27" s="6">
        <f>SUM(K5:K26)</f>
        <v>0</v>
      </c>
      <c r="M27" s="7" t="s">
        <v>197</v>
      </c>
      <c r="N27" s="7" t="s">
        <v>220</v>
      </c>
      <c r="O27" s="7"/>
      <c r="P27" s="7"/>
      <c r="Q27" s="7">
        <v>10000</v>
      </c>
      <c r="R27" s="7">
        <f>'JANUARY 21'!U27:U53</f>
        <v>0</v>
      </c>
      <c r="S27" s="7">
        <f t="shared" si="3"/>
        <v>10000</v>
      </c>
      <c r="T27" s="7">
        <f>10000</f>
        <v>10000</v>
      </c>
      <c r="U27" s="7">
        <f t="shared" si="6"/>
        <v>0</v>
      </c>
      <c r="V27" s="7"/>
      <c r="W27" s="7"/>
    </row>
    <row r="28" spans="1:23" x14ac:dyDescent="0.25">
      <c r="A28" s="11"/>
      <c r="F28" s="7"/>
      <c r="I28" s="8">
        <f>I27-F26-D13-D7</f>
        <v>7500</v>
      </c>
      <c r="M28" s="7" t="s">
        <v>198</v>
      </c>
      <c r="N28" s="7" t="s">
        <v>221</v>
      </c>
      <c r="O28" s="7"/>
      <c r="P28" s="7"/>
      <c r="Q28" s="7">
        <v>8000</v>
      </c>
      <c r="R28" s="7">
        <f>'JANUARY 21'!U28:U54</f>
        <v>14400</v>
      </c>
      <c r="S28" s="7">
        <f t="shared" si="3"/>
        <v>22400</v>
      </c>
      <c r="T28" s="7">
        <f>9000</f>
        <v>9000</v>
      </c>
      <c r="U28" s="7">
        <f t="shared" si="6"/>
        <v>13400</v>
      </c>
      <c r="V28" s="7">
        <v>1000</v>
      </c>
      <c r="W28" s="7"/>
    </row>
    <row r="29" spans="1:23" ht="18.75" x14ac:dyDescent="0.3">
      <c r="B29" s="12" t="s">
        <v>13</v>
      </c>
      <c r="C29" s="44" t="s">
        <v>227</v>
      </c>
      <c r="D29" s="13"/>
      <c r="E29" s="13"/>
      <c r="F29" s="44" t="s">
        <v>228</v>
      </c>
      <c r="G29" s="13"/>
      <c r="H29" s="14"/>
      <c r="I29" s="14"/>
      <c r="M29" s="7" t="s">
        <v>199</v>
      </c>
      <c r="N29" s="7" t="s">
        <v>222</v>
      </c>
      <c r="O29" s="7"/>
      <c r="P29" s="7"/>
      <c r="Q29" s="7">
        <v>8000</v>
      </c>
      <c r="R29" s="7">
        <f>'JANUARY 21'!U29:U55</f>
        <v>9800</v>
      </c>
      <c r="S29" s="7">
        <f t="shared" si="3"/>
        <v>17800</v>
      </c>
      <c r="T29" s="7">
        <f>8000</f>
        <v>8000</v>
      </c>
      <c r="U29" s="7">
        <f t="shared" si="6"/>
        <v>9800</v>
      </c>
      <c r="V29" s="7"/>
      <c r="W29" s="7"/>
    </row>
    <row r="30" spans="1:23" ht="15.75" x14ac:dyDescent="0.25">
      <c r="B30" s="15" t="s">
        <v>14</v>
      </c>
      <c r="C30" s="15" t="s">
        <v>15</v>
      </c>
      <c r="D30" s="15" t="s">
        <v>16</v>
      </c>
      <c r="E30" s="15" t="s">
        <v>17</v>
      </c>
      <c r="F30" s="15" t="s">
        <v>18</v>
      </c>
      <c r="G30" s="15" t="s">
        <v>15</v>
      </c>
      <c r="H30" s="15" t="s">
        <v>16</v>
      </c>
      <c r="I30" s="15" t="s">
        <v>17</v>
      </c>
      <c r="K30" s="25"/>
      <c r="L30">
        <f>R17+R19+R20+R21+R23+R24+R26+R28+R29</f>
        <v>66950</v>
      </c>
      <c r="M30" s="7" t="s">
        <v>200</v>
      </c>
      <c r="N30" s="7" t="s">
        <v>223</v>
      </c>
      <c r="O30" s="7"/>
      <c r="P30" s="7"/>
      <c r="Q30" s="7">
        <v>5000</v>
      </c>
      <c r="R30" s="7">
        <f>'JANUARY 21'!U30:U56</f>
        <v>0</v>
      </c>
      <c r="S30" s="7">
        <f t="shared" si="3"/>
        <v>5000</v>
      </c>
      <c r="T30" s="7">
        <f>5000</f>
        <v>5000</v>
      </c>
      <c r="U30" s="7">
        <f t="shared" si="6"/>
        <v>0</v>
      </c>
      <c r="V30" s="7"/>
      <c r="W30" s="7"/>
    </row>
    <row r="31" spans="1:23" x14ac:dyDescent="0.25">
      <c r="B31" s="9" t="s">
        <v>87</v>
      </c>
      <c r="C31" s="16">
        <f>E27</f>
        <v>139500</v>
      </c>
      <c r="D31" s="17">
        <v>0.1</v>
      </c>
      <c r="E31" s="16"/>
      <c r="F31" s="18" t="s">
        <v>87</v>
      </c>
      <c r="G31" s="16">
        <f>H27</f>
        <v>137000</v>
      </c>
      <c r="H31" s="17">
        <v>0.1</v>
      </c>
      <c r="I31" s="9"/>
      <c r="K31">
        <f>R7+R9+R10+R11+R14+R15+R16</f>
        <v>80100</v>
      </c>
      <c r="M31" s="7" t="s">
        <v>201</v>
      </c>
      <c r="N31" s="7" t="s">
        <v>224</v>
      </c>
      <c r="O31" s="7"/>
      <c r="P31" s="7"/>
      <c r="Q31" s="7">
        <v>7500</v>
      </c>
      <c r="R31" s="7">
        <f>'JANUARY 21'!U31:U57</f>
        <v>48500</v>
      </c>
      <c r="S31" s="7">
        <f t="shared" si="3"/>
        <v>56000</v>
      </c>
      <c r="T31" s="7">
        <f>2600+1000</f>
        <v>3600</v>
      </c>
      <c r="U31" s="7">
        <f t="shared" si="6"/>
        <v>52400</v>
      </c>
      <c r="V31" s="7"/>
      <c r="W31" s="7"/>
    </row>
    <row r="32" spans="1:23" x14ac:dyDescent="0.25">
      <c r="B32" s="9" t="s">
        <v>20</v>
      </c>
      <c r="C32" s="16"/>
      <c r="D32" s="9"/>
      <c r="E32" s="9"/>
      <c r="F32" s="9" t="s">
        <v>20</v>
      </c>
      <c r="G32" s="16">
        <f>'JANUARY 21'!I45</f>
        <v>-2000</v>
      </c>
      <c r="H32" s="9"/>
      <c r="I32" s="9"/>
      <c r="K32" s="26"/>
      <c r="M32" s="6"/>
      <c r="N32" s="10" t="s">
        <v>12</v>
      </c>
      <c r="O32" s="10">
        <f>SUM(O4:O5)</f>
        <v>0</v>
      </c>
      <c r="P32" s="10">
        <f t="shared" ref="P32:W32" si="7">SUM(P5:P31)</f>
        <v>0</v>
      </c>
      <c r="Q32" s="6">
        <f t="shared" si="7"/>
        <v>150000</v>
      </c>
      <c r="R32" s="7">
        <f>SUM(R5:R31)</f>
        <v>195550</v>
      </c>
      <c r="S32" s="7">
        <f t="shared" si="7"/>
        <v>345550</v>
      </c>
      <c r="T32" s="6">
        <f t="shared" si="7"/>
        <v>162500</v>
      </c>
      <c r="U32" s="6">
        <f t="shared" si="7"/>
        <v>183050</v>
      </c>
      <c r="V32" s="6">
        <f t="shared" si="7"/>
        <v>10900</v>
      </c>
      <c r="W32" s="6">
        <f t="shared" si="7"/>
        <v>400</v>
      </c>
    </row>
    <row r="33" spans="2:24" x14ac:dyDescent="0.25">
      <c r="B33" s="9" t="s">
        <v>163</v>
      </c>
      <c r="C33" s="16">
        <f>D20+D15+D9</f>
        <v>0</v>
      </c>
      <c r="D33" s="9"/>
      <c r="E33" s="9"/>
      <c r="F33" s="9"/>
      <c r="G33" s="16"/>
      <c r="H33" s="16"/>
      <c r="I33" s="9"/>
      <c r="K33" s="26"/>
      <c r="M33" s="11"/>
      <c r="R33" s="7">
        <f>'JANUARY 21'!U33:U59</f>
        <v>0</v>
      </c>
      <c r="U33" s="8"/>
    </row>
    <row r="34" spans="2:24" ht="18.75" x14ac:dyDescent="0.3">
      <c r="B34" s="9" t="s">
        <v>21</v>
      </c>
      <c r="C34" s="16">
        <f>J27</f>
        <v>0</v>
      </c>
      <c r="D34" s="9"/>
      <c r="E34" s="9"/>
      <c r="F34" s="9"/>
      <c r="G34" s="16"/>
      <c r="H34" s="16"/>
      <c r="I34" s="9"/>
      <c r="K34" s="26"/>
      <c r="N34" s="12" t="s">
        <v>13</v>
      </c>
      <c r="O34" s="44" t="s">
        <v>227</v>
      </c>
      <c r="P34" s="13"/>
      <c r="Q34" s="13"/>
      <c r="R34" s="44" t="s">
        <v>228</v>
      </c>
      <c r="S34" s="13"/>
      <c r="T34" s="14"/>
      <c r="U34" s="14"/>
      <c r="V34">
        <f>Q31-T31</f>
        <v>3900</v>
      </c>
    </row>
    <row r="35" spans="2:24" ht="15.75" x14ac:dyDescent="0.25">
      <c r="B35" s="9" t="s">
        <v>102</v>
      </c>
      <c r="C35" s="16">
        <f>K27</f>
        <v>0</v>
      </c>
      <c r="D35" s="9"/>
      <c r="E35" s="9"/>
      <c r="F35" s="9" t="s">
        <v>102</v>
      </c>
      <c r="G35" s="16">
        <f>K27</f>
        <v>0</v>
      </c>
      <c r="H35" s="9"/>
      <c r="I35" s="9"/>
      <c r="N35" s="15" t="s">
        <v>14</v>
      </c>
      <c r="O35" s="15" t="s">
        <v>226</v>
      </c>
      <c r="P35" s="15" t="s">
        <v>16</v>
      </c>
      <c r="Q35" s="15" t="s">
        <v>17</v>
      </c>
      <c r="R35" s="15" t="s">
        <v>18</v>
      </c>
      <c r="S35" s="15" t="s">
        <v>15</v>
      </c>
      <c r="T35" s="15" t="s">
        <v>16</v>
      </c>
      <c r="U35" s="15" t="s">
        <v>17</v>
      </c>
      <c r="W35" s="25"/>
    </row>
    <row r="36" spans="2:24" x14ac:dyDescent="0.25">
      <c r="B36" s="9" t="s">
        <v>97</v>
      </c>
      <c r="C36" s="16">
        <v>0.3</v>
      </c>
      <c r="D36" s="9"/>
      <c r="E36" s="9"/>
      <c r="F36" s="9" t="s">
        <v>97</v>
      </c>
      <c r="G36" s="16">
        <v>0.3</v>
      </c>
      <c r="H36" s="9">
        <f>D36</f>
        <v>0</v>
      </c>
      <c r="I36" s="9"/>
      <c r="N36" s="9" t="s">
        <v>87</v>
      </c>
      <c r="O36" s="16">
        <f>Q32</f>
        <v>150000</v>
      </c>
      <c r="P36" s="17">
        <v>0.1</v>
      </c>
      <c r="Q36" s="16"/>
      <c r="R36" s="7" t="s">
        <v>87</v>
      </c>
      <c r="S36" s="16">
        <f>T32</f>
        <v>162500</v>
      </c>
      <c r="T36" s="17">
        <v>0.1</v>
      </c>
      <c r="U36" s="9"/>
      <c r="X36">
        <f>Q31-T31</f>
        <v>3900</v>
      </c>
    </row>
    <row r="37" spans="2:24" x14ac:dyDescent="0.25">
      <c r="B37" s="9" t="s">
        <v>22</v>
      </c>
      <c r="C37" s="18"/>
      <c r="D37" s="9">
        <f>C31*D31</f>
        <v>13950</v>
      </c>
      <c r="E37" s="9"/>
      <c r="F37" s="9" t="s">
        <v>22</v>
      </c>
      <c r="G37" s="18"/>
      <c r="H37" s="9">
        <f>D37</f>
        <v>13950</v>
      </c>
      <c r="I37" s="9"/>
      <c r="N37" s="9" t="s">
        <v>20</v>
      </c>
      <c r="O37" s="16">
        <f>'JANUARY 21'!Q50</f>
        <v>21000</v>
      </c>
      <c r="P37" s="9"/>
      <c r="Q37" s="9"/>
      <c r="R37" s="7" t="s">
        <v>6</v>
      </c>
      <c r="S37" s="16">
        <f>'JANUARY 21'!U50</f>
        <v>9800</v>
      </c>
      <c r="T37" s="9"/>
      <c r="U37" s="9"/>
      <c r="W37" s="26"/>
      <c r="X37">
        <v>4000</v>
      </c>
    </row>
    <row r="38" spans="2:24" x14ac:dyDescent="0.25">
      <c r="B38" s="19" t="s">
        <v>23</v>
      </c>
      <c r="C38" s="9"/>
      <c r="D38" s="9"/>
      <c r="E38" s="9"/>
      <c r="F38" s="19" t="s">
        <v>23</v>
      </c>
      <c r="G38" s="9"/>
      <c r="H38" s="9"/>
      <c r="I38" s="9"/>
      <c r="N38" s="9" t="s">
        <v>163</v>
      </c>
      <c r="O38" s="16">
        <f>P32</f>
        <v>0</v>
      </c>
      <c r="P38" s="9"/>
      <c r="Q38" s="9"/>
      <c r="R38" s="9"/>
      <c r="S38" s="16"/>
      <c r="T38" s="16"/>
      <c r="U38" s="9"/>
      <c r="W38" s="26">
        <f>1200+Q26+500+Q17+1000</f>
        <v>10700</v>
      </c>
      <c r="X38">
        <v>4000</v>
      </c>
    </row>
    <row r="39" spans="2:24" x14ac:dyDescent="0.25">
      <c r="B39" s="20" t="s">
        <v>242</v>
      </c>
      <c r="D39" s="9">
        <v>118050</v>
      </c>
      <c r="E39" s="9"/>
      <c r="F39" s="20" t="s">
        <v>242</v>
      </c>
      <c r="H39" s="9">
        <v>118050</v>
      </c>
      <c r="I39" s="9"/>
      <c r="J39" s="26"/>
      <c r="N39" s="9" t="s">
        <v>21</v>
      </c>
      <c r="O39" s="16">
        <f>V32</f>
        <v>10900</v>
      </c>
      <c r="P39" s="9"/>
      <c r="Q39" s="9"/>
      <c r="R39" s="9"/>
      <c r="S39" s="16"/>
      <c r="T39" s="16"/>
      <c r="U39" s="9"/>
      <c r="W39" s="26">
        <f>W38+3500</f>
        <v>14200</v>
      </c>
      <c r="X39">
        <v>500</v>
      </c>
    </row>
    <row r="40" spans="2:24" x14ac:dyDescent="0.25">
      <c r="B40" s="7" t="s">
        <v>243</v>
      </c>
      <c r="C40" s="9"/>
      <c r="D40" s="7">
        <v>7500</v>
      </c>
      <c r="E40" s="7"/>
      <c r="F40" s="7" t="s">
        <v>243</v>
      </c>
      <c r="G40" s="9"/>
      <c r="H40" s="7">
        <v>7500</v>
      </c>
      <c r="I40" s="9"/>
      <c r="K40" s="26"/>
      <c r="N40" s="9" t="s">
        <v>102</v>
      </c>
      <c r="O40" s="16">
        <f>W32</f>
        <v>400</v>
      </c>
      <c r="P40" s="9"/>
      <c r="Q40" s="9"/>
      <c r="R40" s="9" t="s">
        <v>102</v>
      </c>
      <c r="S40" s="16">
        <f>O40</f>
        <v>400</v>
      </c>
      <c r="T40" s="9"/>
      <c r="U40" s="9"/>
      <c r="W40" s="26">
        <f>I50-W39</f>
        <v>-14200</v>
      </c>
      <c r="X40">
        <v>1000</v>
      </c>
    </row>
    <row r="41" spans="2:24" x14ac:dyDescent="0.25">
      <c r="B41" s="20"/>
      <c r="C41" s="9"/>
      <c r="D41" s="9"/>
      <c r="E41" s="9"/>
      <c r="F41" s="20"/>
      <c r="G41" s="9"/>
      <c r="H41" s="9"/>
      <c r="I41" s="9"/>
      <c r="K41" s="26"/>
      <c r="N41" s="9" t="s">
        <v>22</v>
      </c>
      <c r="O41" s="18"/>
      <c r="P41" s="9">
        <f>P36*O36</f>
        <v>15000</v>
      </c>
      <c r="Q41" s="9"/>
      <c r="R41" s="9" t="s">
        <v>22</v>
      </c>
      <c r="S41" s="18"/>
      <c r="T41" s="9">
        <f>T36*O36</f>
        <v>15000</v>
      </c>
      <c r="U41" s="9"/>
      <c r="X41">
        <v>1000</v>
      </c>
    </row>
    <row r="42" spans="2:24" x14ac:dyDescent="0.25">
      <c r="B42" s="20"/>
      <c r="C42" s="9"/>
      <c r="D42" s="9"/>
      <c r="E42" s="9"/>
      <c r="F42" s="20"/>
      <c r="G42" s="9"/>
      <c r="H42" s="9"/>
      <c r="I42" s="9"/>
      <c r="K42" s="26"/>
      <c r="N42" s="9"/>
      <c r="O42" s="18"/>
      <c r="P42" s="9"/>
      <c r="Q42" s="9"/>
      <c r="R42" s="9"/>
      <c r="S42" s="18"/>
      <c r="T42" s="9"/>
      <c r="U42" s="9"/>
      <c r="X42">
        <v>500</v>
      </c>
    </row>
    <row r="43" spans="2:24" x14ac:dyDescent="0.25">
      <c r="B43" s="20"/>
      <c r="C43" s="9"/>
      <c r="D43" s="9"/>
      <c r="E43" s="9"/>
      <c r="F43" s="20"/>
      <c r="G43" s="9"/>
      <c r="H43" s="9"/>
      <c r="I43" s="9"/>
      <c r="K43" s="26"/>
      <c r="N43" s="19" t="s">
        <v>23</v>
      </c>
      <c r="O43" s="9"/>
      <c r="P43" s="9"/>
      <c r="Q43" s="9"/>
      <c r="R43" s="19" t="s">
        <v>23</v>
      </c>
      <c r="S43" s="9"/>
      <c r="T43" s="9"/>
      <c r="U43" s="9"/>
      <c r="X43">
        <f>SUM(X36:X42)+3500</f>
        <v>18400</v>
      </c>
    </row>
    <row r="44" spans="2:24" x14ac:dyDescent="0.25">
      <c r="B44" s="20"/>
      <c r="C44" s="16"/>
      <c r="D44" s="16"/>
      <c r="E44" s="16"/>
      <c r="F44" s="20"/>
      <c r="G44" s="9"/>
      <c r="H44" s="16"/>
      <c r="I44" s="9"/>
      <c r="N44" s="20" t="s">
        <v>240</v>
      </c>
      <c r="O44" s="9"/>
      <c r="P44" s="9">
        <v>21000</v>
      </c>
      <c r="Q44" s="9"/>
      <c r="R44" s="20" t="s">
        <v>240</v>
      </c>
      <c r="S44" s="9"/>
      <c r="T44" s="9">
        <v>21000</v>
      </c>
      <c r="U44" s="9"/>
      <c r="V44" s="26"/>
      <c r="W44" s="26"/>
      <c r="X44" s="26"/>
    </row>
    <row r="45" spans="2:24" x14ac:dyDescent="0.25">
      <c r="B45" s="22" t="s">
        <v>12</v>
      </c>
      <c r="C45" s="23">
        <f>C31+C32+C33+C34+C35-D37-D36</f>
        <v>125550</v>
      </c>
      <c r="D45" s="22">
        <f>SUM(D39:D44)</f>
        <v>125550</v>
      </c>
      <c r="E45" s="23">
        <f>C45-D45</f>
        <v>0</v>
      </c>
      <c r="F45" s="24"/>
      <c r="G45" s="23">
        <f>G31+G32+G35-H36-H37</f>
        <v>121050</v>
      </c>
      <c r="H45" s="23">
        <f>SUM(H39:H44)</f>
        <v>125550</v>
      </c>
      <c r="I45" s="23">
        <f>G45-H45</f>
        <v>-4500</v>
      </c>
      <c r="N45" s="7"/>
      <c r="O45" s="21"/>
      <c r="P45" s="7"/>
      <c r="Q45" s="7"/>
      <c r="R45" s="7"/>
      <c r="S45" s="21"/>
      <c r="T45" s="7"/>
      <c r="U45" s="9"/>
      <c r="W45" s="26"/>
    </row>
    <row r="46" spans="2:24" x14ac:dyDescent="0.25">
      <c r="E46" s="26">
        <f>E45-C32</f>
        <v>0</v>
      </c>
      <c r="I46" s="26"/>
      <c r="K46" s="26"/>
      <c r="N46" s="20" t="s">
        <v>242</v>
      </c>
      <c r="O46" s="9"/>
      <c r="P46" s="9">
        <v>101950</v>
      </c>
      <c r="Q46" s="9"/>
      <c r="R46" s="20" t="s">
        <v>242</v>
      </c>
      <c r="S46" s="9"/>
      <c r="T46" s="9">
        <v>101950</v>
      </c>
      <c r="U46" s="9"/>
      <c r="W46" s="26"/>
      <c r="X46">
        <f>220000-118050</f>
        <v>101950</v>
      </c>
    </row>
    <row r="47" spans="2:24" x14ac:dyDescent="0.25">
      <c r="B47" s="11" t="s">
        <v>24</v>
      </c>
      <c r="D47" s="11" t="s">
        <v>25</v>
      </c>
      <c r="F47" s="11"/>
      <c r="G47" s="11" t="s">
        <v>26</v>
      </c>
      <c r="I47" s="26"/>
      <c r="K47" s="26"/>
      <c r="L47" s="26"/>
      <c r="N47" s="20" t="s">
        <v>244</v>
      </c>
      <c r="O47" s="9"/>
      <c r="P47" s="9">
        <v>4000</v>
      </c>
      <c r="Q47" s="9"/>
      <c r="R47" s="20"/>
      <c r="S47" s="9"/>
      <c r="T47" s="9"/>
      <c r="U47" s="9"/>
      <c r="W47" s="26"/>
    </row>
    <row r="48" spans="2:24" x14ac:dyDescent="0.25">
      <c r="B48" t="s">
        <v>27</v>
      </c>
      <c r="D48" s="11" t="s">
        <v>28</v>
      </c>
      <c r="F48" s="11"/>
      <c r="G48" s="11" t="s">
        <v>147</v>
      </c>
      <c r="I48" s="26"/>
      <c r="N48" s="20" t="s">
        <v>243</v>
      </c>
      <c r="O48" s="9"/>
      <c r="P48" s="9">
        <v>39500</v>
      </c>
      <c r="Q48" s="9"/>
      <c r="R48" s="20" t="s">
        <v>243</v>
      </c>
      <c r="S48" s="9"/>
      <c r="T48" s="9">
        <v>39500</v>
      </c>
      <c r="U48" s="9"/>
      <c r="W48" s="26"/>
    </row>
    <row r="49" spans="6:23" x14ac:dyDescent="0.25">
      <c r="H49">
        <f>39500+7500</f>
        <v>47000</v>
      </c>
      <c r="N49" s="20" t="s">
        <v>245</v>
      </c>
      <c r="O49" s="16"/>
      <c r="P49" s="16">
        <v>5000</v>
      </c>
      <c r="Q49" s="16"/>
      <c r="R49" s="20" t="s">
        <v>245</v>
      </c>
      <c r="S49" s="16"/>
      <c r="T49" s="16">
        <v>5000</v>
      </c>
      <c r="U49" s="9"/>
      <c r="V49" s="26">
        <f>U50+V34</f>
        <v>-5850</v>
      </c>
      <c r="W49" s="26"/>
    </row>
    <row r="50" spans="6:23" x14ac:dyDescent="0.25">
      <c r="F50" s="26">
        <f>E46+Q50</f>
        <v>-4150</v>
      </c>
      <c r="I50" s="26"/>
      <c r="J50" s="26">
        <f>I45+U50</f>
        <v>-14250</v>
      </c>
      <c r="N50" s="22" t="s">
        <v>12</v>
      </c>
      <c r="O50" s="23">
        <f>O36+O37+O38+O39+O40-P42-P41</f>
        <v>167300</v>
      </c>
      <c r="P50" s="22">
        <f>SUM(P44:P49)</f>
        <v>171450</v>
      </c>
      <c r="Q50" s="23">
        <f>O50-P50</f>
        <v>-4150</v>
      </c>
      <c r="R50" s="24"/>
      <c r="S50" s="23">
        <f>S36+S37+S40-T41-T42</f>
        <v>157700</v>
      </c>
      <c r="T50" s="23">
        <f>SUM(T44:T49)</f>
        <v>167450</v>
      </c>
      <c r="U50" s="23">
        <f>S50-T50</f>
        <v>-9750</v>
      </c>
      <c r="V50" s="26">
        <f>V49+500</f>
        <v>-5350</v>
      </c>
      <c r="W50" s="26"/>
    </row>
    <row r="51" spans="6:23" x14ac:dyDescent="0.25">
      <c r="W51" s="26"/>
    </row>
    <row r="52" spans="6:23" x14ac:dyDescent="0.25">
      <c r="N52" s="11" t="s">
        <v>24</v>
      </c>
      <c r="P52" s="11" t="s">
        <v>25</v>
      </c>
      <c r="R52" s="11"/>
      <c r="S52" s="11" t="s">
        <v>26</v>
      </c>
      <c r="V52" s="26">
        <f>O36</f>
        <v>150000</v>
      </c>
      <c r="W52" s="26"/>
    </row>
    <row r="53" spans="6:23" x14ac:dyDescent="0.25">
      <c r="N53" t="s">
        <v>27</v>
      </c>
      <c r="P53" s="11" t="s">
        <v>28</v>
      </c>
      <c r="R53" s="11"/>
      <c r="S53" s="11" t="s">
        <v>147</v>
      </c>
      <c r="U53" s="26"/>
    </row>
    <row r="54" spans="6:23" x14ac:dyDescent="0.25">
      <c r="U54" s="26" t="s">
        <v>248</v>
      </c>
      <c r="V54">
        <f>P41</f>
        <v>15000</v>
      </c>
    </row>
    <row r="55" spans="6:23" x14ac:dyDescent="0.25">
      <c r="K55" s="26"/>
      <c r="V55" s="26">
        <f>V52-V54</f>
        <v>135000</v>
      </c>
    </row>
    <row r="56" spans="6:23" x14ac:dyDescent="0.25">
      <c r="I56" s="26">
        <f>E45+Q50</f>
        <v>-4150</v>
      </c>
      <c r="V56" s="26">
        <f>O39</f>
        <v>10900</v>
      </c>
    </row>
    <row r="57" spans="6:23" x14ac:dyDescent="0.25">
      <c r="I57" s="26"/>
      <c r="V57" s="26">
        <f>V55+V56</f>
        <v>145900</v>
      </c>
    </row>
    <row r="58" spans="6:23" x14ac:dyDescent="0.25">
      <c r="V58">
        <v>400</v>
      </c>
    </row>
    <row r="59" spans="6:23" x14ac:dyDescent="0.25">
      <c r="V59" s="26">
        <f>V57+V58</f>
        <v>146300</v>
      </c>
    </row>
    <row r="61" spans="6:23" x14ac:dyDescent="0.25">
      <c r="U61">
        <f>P46+P48</f>
        <v>141450</v>
      </c>
    </row>
    <row r="62" spans="6:23" x14ac:dyDescent="0.25">
      <c r="U62">
        <f>U61+P47</f>
        <v>145450</v>
      </c>
      <c r="V62" s="26">
        <f>V59-U62</f>
        <v>850</v>
      </c>
    </row>
    <row r="64" spans="6:23" x14ac:dyDescent="0.25">
      <c r="I64">
        <f>D45+U61</f>
        <v>267000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workbookViewId="0"/>
  </sheetViews>
  <sheetFormatPr defaultRowHeight="15" x14ac:dyDescent="0.25"/>
  <sheetData>
    <row r="1" spans="1:23" ht="18.75" x14ac:dyDescent="0.25">
      <c r="E1" s="1" t="s">
        <v>50</v>
      </c>
      <c r="F1" s="2"/>
      <c r="G1" s="3"/>
      <c r="H1" s="4"/>
      <c r="Q1" s="1" t="s">
        <v>229</v>
      </c>
      <c r="R1" s="2"/>
      <c r="S1" s="3"/>
      <c r="T1" s="4"/>
    </row>
    <row r="2" spans="1:23" ht="18.75" x14ac:dyDescent="0.25">
      <c r="E2" s="1" t="s">
        <v>0</v>
      </c>
      <c r="F2" s="1"/>
      <c r="G2" s="5"/>
      <c r="H2" s="5"/>
      <c r="Q2" s="1" t="s">
        <v>0</v>
      </c>
      <c r="R2" s="1"/>
      <c r="S2" s="5"/>
      <c r="T2" s="5"/>
    </row>
    <row r="3" spans="1:23" ht="18.75" x14ac:dyDescent="0.25">
      <c r="E3" s="1" t="s">
        <v>246</v>
      </c>
      <c r="F3" s="1"/>
      <c r="G3" s="5"/>
      <c r="H3" s="5"/>
      <c r="Q3" s="1" t="s">
        <v>246</v>
      </c>
      <c r="R3" s="1"/>
      <c r="S3" s="5"/>
      <c r="T3" s="5"/>
    </row>
    <row r="4" spans="1:23" x14ac:dyDescent="0.25">
      <c r="A4" s="6" t="s">
        <v>2</v>
      </c>
      <c r="B4" s="6" t="s">
        <v>3</v>
      </c>
      <c r="C4" s="6"/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  <c r="K4" s="6" t="s">
        <v>101</v>
      </c>
      <c r="M4" s="6" t="s">
        <v>2</v>
      </c>
      <c r="N4" s="6" t="s">
        <v>3</v>
      </c>
      <c r="O4" s="6"/>
      <c r="P4" s="6" t="s">
        <v>4</v>
      </c>
      <c r="Q4" s="6" t="s">
        <v>5</v>
      </c>
      <c r="R4" s="6" t="s">
        <v>6</v>
      </c>
      <c r="S4" s="6" t="s">
        <v>7</v>
      </c>
      <c r="T4" s="6" t="s">
        <v>8</v>
      </c>
      <c r="U4" s="6" t="s">
        <v>9</v>
      </c>
      <c r="V4" s="6" t="s">
        <v>10</v>
      </c>
      <c r="W4" s="6" t="s">
        <v>101</v>
      </c>
    </row>
    <row r="5" spans="1:23" x14ac:dyDescent="0.25">
      <c r="A5" s="7" t="s">
        <v>30</v>
      </c>
      <c r="B5" s="7" t="s">
        <v>232</v>
      </c>
      <c r="C5" s="7"/>
      <c r="D5" s="7"/>
      <c r="E5" s="7">
        <v>4500</v>
      </c>
      <c r="F5" s="7">
        <f>'FEBRUARY 21'!I5:I26</f>
        <v>900</v>
      </c>
      <c r="G5" s="7">
        <f>C5+D5+E5+F5</f>
        <v>5400</v>
      </c>
      <c r="H5" s="7">
        <f>4500</f>
        <v>4500</v>
      </c>
      <c r="I5" s="7">
        <f t="shared" ref="I5:I12" si="0">G5-H5</f>
        <v>900</v>
      </c>
      <c r="J5" s="7"/>
      <c r="K5" s="7"/>
      <c r="M5" s="7" t="s">
        <v>177</v>
      </c>
      <c r="N5" s="9" t="s">
        <v>202</v>
      </c>
      <c r="O5" s="7"/>
      <c r="P5" s="7"/>
      <c r="Q5" s="7">
        <v>7000</v>
      </c>
      <c r="R5" s="7">
        <f>'FEBRUARY 21'!U5:U31</f>
        <v>0</v>
      </c>
      <c r="S5" s="7">
        <f>O5+P5+Q5+R5</f>
        <v>7000</v>
      </c>
      <c r="T5" s="7">
        <f>6000+1000</f>
        <v>7000</v>
      </c>
      <c r="U5" s="7">
        <f t="shared" ref="U5:U12" si="1">S5-T5</f>
        <v>0</v>
      </c>
      <c r="V5" s="7"/>
      <c r="W5" s="7"/>
    </row>
    <row r="6" spans="1:23" x14ac:dyDescent="0.25">
      <c r="A6" s="7" t="s">
        <v>31</v>
      </c>
      <c r="B6" s="7" t="s">
        <v>52</v>
      </c>
      <c r="C6" s="7"/>
      <c r="D6" s="7"/>
      <c r="E6" s="7">
        <v>3000</v>
      </c>
      <c r="F6" s="7">
        <f>'FEBRUARY 21'!I6:I27</f>
        <v>0</v>
      </c>
      <c r="G6" s="7">
        <f>C6+D6+E6+F6</f>
        <v>3000</v>
      </c>
      <c r="H6" s="7">
        <f>3000</f>
        <v>3000</v>
      </c>
      <c r="I6" s="7">
        <f t="shared" si="0"/>
        <v>0</v>
      </c>
      <c r="J6" s="7"/>
      <c r="K6" s="7"/>
      <c r="M6" s="7" t="s">
        <v>88</v>
      </c>
      <c r="N6" s="7"/>
      <c r="O6" s="7"/>
      <c r="P6" s="7"/>
      <c r="Q6" s="7"/>
      <c r="R6" s="7">
        <f>'FEBRUARY 21'!U6:U32</f>
        <v>0</v>
      </c>
      <c r="S6" s="7">
        <f>O6+P6+Q6+R6</f>
        <v>0</v>
      </c>
      <c r="T6" s="7"/>
      <c r="U6" s="7">
        <f t="shared" si="1"/>
        <v>0</v>
      </c>
      <c r="V6" s="7"/>
      <c r="W6" s="7"/>
    </row>
    <row r="7" spans="1:23" x14ac:dyDescent="0.25">
      <c r="A7" s="7" t="s">
        <v>32</v>
      </c>
      <c r="B7" s="7" t="s">
        <v>115</v>
      </c>
      <c r="C7" s="7"/>
      <c r="D7" s="7">
        <v>2500</v>
      </c>
      <c r="E7" s="7">
        <v>7500</v>
      </c>
      <c r="F7" s="7">
        <f>'FEBRUARY 21'!I7:I28</f>
        <v>2500</v>
      </c>
      <c r="G7" s="7">
        <f>C7+D7+E7+F7</f>
        <v>12500</v>
      </c>
      <c r="H7" s="7">
        <f>5500+1500</f>
        <v>7000</v>
      </c>
      <c r="I7" s="7">
        <f t="shared" si="0"/>
        <v>5500</v>
      </c>
      <c r="J7" s="7"/>
      <c r="K7" s="7"/>
      <c r="M7" s="7" t="s">
        <v>178</v>
      </c>
      <c r="N7" s="7" t="s">
        <v>203</v>
      </c>
      <c r="O7" s="7"/>
      <c r="P7" s="7"/>
      <c r="Q7" s="7">
        <v>8500</v>
      </c>
      <c r="R7" s="7">
        <f>'FEBRUARY 21'!U7:U33</f>
        <v>1000</v>
      </c>
      <c r="S7" s="7">
        <f>O7+P7+Q7+R7</f>
        <v>9500</v>
      </c>
      <c r="T7" s="7">
        <f>8500</f>
        <v>8500</v>
      </c>
      <c r="U7" s="7">
        <f t="shared" si="1"/>
        <v>1000</v>
      </c>
      <c r="V7" s="7"/>
      <c r="W7" s="7"/>
    </row>
    <row r="8" spans="1:23" x14ac:dyDescent="0.25">
      <c r="A8" s="7" t="s">
        <v>33</v>
      </c>
      <c r="B8" s="7" t="s">
        <v>54</v>
      </c>
      <c r="C8" s="7"/>
      <c r="D8" s="7"/>
      <c r="E8" s="7">
        <v>6500</v>
      </c>
      <c r="F8" s="7">
        <f>'FEBRUARY 21'!I8:I29</f>
        <v>0</v>
      </c>
      <c r="G8" s="7">
        <f>C8+D8+E8+F8</f>
        <v>6500</v>
      </c>
      <c r="H8" s="7">
        <v>6500</v>
      </c>
      <c r="I8" s="7">
        <f t="shared" si="0"/>
        <v>0</v>
      </c>
      <c r="J8" s="7"/>
      <c r="K8" s="7"/>
      <c r="M8" s="7" t="s">
        <v>179</v>
      </c>
      <c r="N8" s="7" t="s">
        <v>204</v>
      </c>
      <c r="O8" s="7"/>
      <c r="P8" s="7"/>
      <c r="Q8" s="7">
        <v>9000</v>
      </c>
      <c r="R8" s="7">
        <f>'FEBRUARY 21'!U8:U34</f>
        <v>0</v>
      </c>
      <c r="S8" s="7">
        <f>O8+P8+Q8+R8</f>
        <v>9000</v>
      </c>
      <c r="T8" s="7">
        <v>9000</v>
      </c>
      <c r="U8" s="7">
        <f t="shared" si="1"/>
        <v>0</v>
      </c>
      <c r="V8" s="7"/>
      <c r="W8" s="7"/>
    </row>
    <row r="9" spans="1:23" x14ac:dyDescent="0.25">
      <c r="A9" s="7" t="s">
        <v>34</v>
      </c>
      <c r="B9" s="7" t="s">
        <v>230</v>
      </c>
      <c r="C9" s="7"/>
      <c r="D9" s="7"/>
      <c r="E9" s="7">
        <v>7000</v>
      </c>
      <c r="F9" s="7">
        <f>'FEBRUARY 21'!I9:I30</f>
        <v>0</v>
      </c>
      <c r="G9" s="7">
        <f t="shared" ref="G9:G26" si="2">C9+D9+E9+F9</f>
        <v>7000</v>
      </c>
      <c r="H9" s="7">
        <f>7000</f>
        <v>7000</v>
      </c>
      <c r="I9" s="7">
        <f t="shared" si="0"/>
        <v>0</v>
      </c>
      <c r="J9" s="7"/>
      <c r="K9" s="7"/>
      <c r="M9" s="7" t="s">
        <v>180</v>
      </c>
      <c r="N9" s="7" t="s">
        <v>205</v>
      </c>
      <c r="O9" s="7"/>
      <c r="P9" s="7"/>
      <c r="Q9" s="7">
        <v>8000</v>
      </c>
      <c r="R9" s="7">
        <f>'FEBRUARY 21'!U9:U35</f>
        <v>48300</v>
      </c>
      <c r="S9" s="7">
        <f t="shared" ref="S9:S31" si="3">O9+P9+Q9+R9</f>
        <v>56300</v>
      </c>
      <c r="T9" s="7">
        <f>9000</f>
        <v>9000</v>
      </c>
      <c r="U9" s="7">
        <f t="shared" si="1"/>
        <v>47300</v>
      </c>
      <c r="V9" s="7"/>
      <c r="W9" s="7"/>
    </row>
    <row r="10" spans="1:23" x14ac:dyDescent="0.25">
      <c r="A10" s="7" t="s">
        <v>35</v>
      </c>
      <c r="B10" s="7" t="s">
        <v>55</v>
      </c>
      <c r="C10" s="7"/>
      <c r="D10" s="7"/>
      <c r="E10" s="7">
        <v>7000</v>
      </c>
      <c r="F10" s="7">
        <f>'FEBRUARY 21'!I10:I31</f>
        <v>1000</v>
      </c>
      <c r="G10" s="7">
        <f t="shared" si="2"/>
        <v>8000</v>
      </c>
      <c r="H10" s="7">
        <f>7000</f>
        <v>7000</v>
      </c>
      <c r="I10" s="7">
        <f t="shared" si="0"/>
        <v>1000</v>
      </c>
      <c r="J10" s="7"/>
      <c r="K10" s="7"/>
      <c r="M10" s="7" t="s">
        <v>181</v>
      </c>
      <c r="N10" s="7" t="s">
        <v>206</v>
      </c>
      <c r="O10" s="7"/>
      <c r="P10" s="7"/>
      <c r="Q10" s="7">
        <v>8500</v>
      </c>
      <c r="R10" s="7">
        <f>'FEBRUARY 21'!U10:U36</f>
        <v>11600</v>
      </c>
      <c r="S10" s="7">
        <f t="shared" si="3"/>
        <v>20100</v>
      </c>
      <c r="T10" s="7">
        <f>8500</f>
        <v>8500</v>
      </c>
      <c r="U10" s="7">
        <f t="shared" si="1"/>
        <v>11600</v>
      </c>
      <c r="V10" s="7"/>
      <c r="W10" s="7"/>
    </row>
    <row r="11" spans="1:23" x14ac:dyDescent="0.25">
      <c r="A11" s="7" t="s">
        <v>36</v>
      </c>
      <c r="B11" s="7" t="s">
        <v>56</v>
      </c>
      <c r="C11" s="7"/>
      <c r="D11" s="7"/>
      <c r="E11" s="7">
        <v>7000</v>
      </c>
      <c r="F11" s="7">
        <f>'FEBRUARY 21'!I11:I32</f>
        <v>0</v>
      </c>
      <c r="G11" s="7">
        <f t="shared" si="2"/>
        <v>7000</v>
      </c>
      <c r="H11" s="7">
        <f>7000</f>
        <v>7000</v>
      </c>
      <c r="I11" s="7">
        <f t="shared" si="0"/>
        <v>0</v>
      </c>
      <c r="J11" s="7"/>
      <c r="K11" s="7"/>
      <c r="M11" s="7" t="s">
        <v>182</v>
      </c>
      <c r="N11" s="7" t="s">
        <v>207</v>
      </c>
      <c r="O11" s="7"/>
      <c r="P11" s="7"/>
      <c r="Q11" s="7">
        <v>8000</v>
      </c>
      <c r="R11" s="7">
        <f>'FEBRUARY 21'!U11:U37</f>
        <v>7500</v>
      </c>
      <c r="S11" s="7">
        <f t="shared" si="3"/>
        <v>15500</v>
      </c>
      <c r="T11" s="7">
        <f>9000</f>
        <v>9000</v>
      </c>
      <c r="U11" s="7">
        <f t="shared" si="1"/>
        <v>6500</v>
      </c>
      <c r="V11" s="7">
        <v>1000</v>
      </c>
      <c r="W11" s="7"/>
    </row>
    <row r="12" spans="1:23" x14ac:dyDescent="0.25">
      <c r="A12" s="7" t="s">
        <v>37</v>
      </c>
      <c r="B12" s="8" t="s">
        <v>65</v>
      </c>
      <c r="C12" s="7"/>
      <c r="D12" s="7"/>
      <c r="E12" s="7">
        <v>4500</v>
      </c>
      <c r="F12" s="7">
        <f>'FEBRUARY 21'!I12:I33</f>
        <v>100</v>
      </c>
      <c r="G12" s="7">
        <f t="shared" si="2"/>
        <v>4600</v>
      </c>
      <c r="H12" s="7">
        <f>4500</f>
        <v>4500</v>
      </c>
      <c r="I12" s="7">
        <f t="shared" si="0"/>
        <v>100</v>
      </c>
      <c r="J12" s="7"/>
      <c r="K12" s="7"/>
      <c r="M12" s="7" t="s">
        <v>183</v>
      </c>
      <c r="N12" s="8" t="s">
        <v>208</v>
      </c>
      <c r="O12" s="7"/>
      <c r="P12" s="7"/>
      <c r="Q12" s="7">
        <v>8500</v>
      </c>
      <c r="R12" s="7">
        <f>'FEBRUARY 21'!U12:U38</f>
        <v>0</v>
      </c>
      <c r="S12" s="7">
        <f t="shared" si="3"/>
        <v>8500</v>
      </c>
      <c r="T12" s="7">
        <v>8500</v>
      </c>
      <c r="U12" s="7">
        <f t="shared" si="1"/>
        <v>0</v>
      </c>
      <c r="V12" s="7"/>
      <c r="W12" s="7"/>
    </row>
    <row r="13" spans="1:23" x14ac:dyDescent="0.25">
      <c r="A13" s="7" t="s">
        <v>38</v>
      </c>
      <c r="B13" s="7" t="s">
        <v>92</v>
      </c>
      <c r="C13" s="7"/>
      <c r="D13" s="7">
        <v>5000</v>
      </c>
      <c r="E13" s="7">
        <v>8000</v>
      </c>
      <c r="F13" s="7">
        <f>'FEBRUARY 21'!I13:I34</f>
        <v>5000</v>
      </c>
      <c r="G13" s="7">
        <f t="shared" si="2"/>
        <v>18000</v>
      </c>
      <c r="H13" s="7">
        <v>8000</v>
      </c>
      <c r="I13" s="7">
        <f t="shared" ref="I13:I21" si="4">G13-H13</f>
        <v>10000</v>
      </c>
      <c r="J13" s="7"/>
      <c r="K13" s="7"/>
      <c r="M13" s="7" t="s">
        <v>184</v>
      </c>
      <c r="N13" s="7" t="s">
        <v>209</v>
      </c>
      <c r="O13" s="7"/>
      <c r="P13" s="7"/>
      <c r="Q13" s="7">
        <v>4000</v>
      </c>
      <c r="R13" s="7">
        <f>'FEBRUARY 21'!U13:U39</f>
        <v>0</v>
      </c>
      <c r="S13" s="7">
        <f t="shared" si="3"/>
        <v>4000</v>
      </c>
      <c r="T13" s="7">
        <v>4000</v>
      </c>
      <c r="U13" s="7">
        <f t="shared" ref="U13:U21" si="5">S13-T13</f>
        <v>0</v>
      </c>
      <c r="V13" s="7"/>
      <c r="W13" s="7"/>
    </row>
    <row r="14" spans="1:23" x14ac:dyDescent="0.25">
      <c r="A14" s="7" t="s">
        <v>39</v>
      </c>
      <c r="B14" s="7" t="s">
        <v>70</v>
      </c>
      <c r="C14" s="7"/>
      <c r="D14" s="7"/>
      <c r="E14" s="7">
        <v>6500</v>
      </c>
      <c r="F14" s="7">
        <f>'FEBRUARY 21'!I14:I35</f>
        <v>1500</v>
      </c>
      <c r="G14" s="7">
        <f t="shared" si="2"/>
        <v>8000</v>
      </c>
      <c r="H14" s="7">
        <f>4000+1000</f>
        <v>5000</v>
      </c>
      <c r="I14" s="7">
        <f t="shared" si="4"/>
        <v>3000</v>
      </c>
      <c r="J14" s="7"/>
      <c r="K14" s="7"/>
      <c r="M14" s="7" t="s">
        <v>185</v>
      </c>
      <c r="N14" s="7" t="s">
        <v>210</v>
      </c>
      <c r="O14" s="7"/>
      <c r="P14" s="7"/>
      <c r="Q14" s="7">
        <v>5000</v>
      </c>
      <c r="R14" s="7">
        <f>'FEBRUARY 21'!U14:U40</f>
        <v>250</v>
      </c>
      <c r="S14" s="7">
        <f t="shared" si="3"/>
        <v>5250</v>
      </c>
      <c r="T14" s="7">
        <f>5000</f>
        <v>5000</v>
      </c>
      <c r="U14" s="7">
        <f t="shared" si="5"/>
        <v>250</v>
      </c>
      <c r="V14" s="7"/>
      <c r="W14" s="7"/>
    </row>
    <row r="15" spans="1:23" x14ac:dyDescent="0.25">
      <c r="A15" s="7" t="s">
        <v>40</v>
      </c>
      <c r="B15" s="7" t="s">
        <v>174</v>
      </c>
      <c r="C15" s="7"/>
      <c r="D15" s="7"/>
      <c r="E15" s="7">
        <v>7500</v>
      </c>
      <c r="F15" s="7">
        <f>'FEBRUARY 21'!I15:I36</f>
        <v>0</v>
      </c>
      <c r="G15" s="7">
        <f t="shared" si="2"/>
        <v>7500</v>
      </c>
      <c r="H15" s="7">
        <v>7500</v>
      </c>
      <c r="I15" s="7">
        <f t="shared" si="4"/>
        <v>0</v>
      </c>
      <c r="J15" s="7"/>
      <c r="K15" s="7"/>
      <c r="M15" s="7" t="s">
        <v>186</v>
      </c>
      <c r="N15" s="45" t="s">
        <v>76</v>
      </c>
      <c r="O15" s="7"/>
      <c r="P15" s="7"/>
      <c r="Q15" s="7"/>
      <c r="R15" s="7"/>
      <c r="S15" s="7">
        <f t="shared" si="3"/>
        <v>0</v>
      </c>
      <c r="T15" s="7"/>
      <c r="U15" s="7">
        <f t="shared" si="5"/>
        <v>0</v>
      </c>
      <c r="V15" s="7"/>
      <c r="W15" s="7"/>
    </row>
    <row r="16" spans="1:23" x14ac:dyDescent="0.25">
      <c r="A16" s="7" t="s">
        <v>41</v>
      </c>
      <c r="B16" s="7" t="s">
        <v>58</v>
      </c>
      <c r="C16" s="7"/>
      <c r="D16" s="7"/>
      <c r="E16" s="7">
        <v>7000</v>
      </c>
      <c r="F16" s="7">
        <f>'FEBRUARY 21'!I16:I37</f>
        <v>1500</v>
      </c>
      <c r="G16" s="7">
        <f t="shared" si="2"/>
        <v>8500</v>
      </c>
      <c r="H16" s="7">
        <f>8000</f>
        <v>8000</v>
      </c>
      <c r="I16" s="7">
        <f t="shared" si="4"/>
        <v>500</v>
      </c>
      <c r="J16" s="7"/>
      <c r="K16" s="7"/>
      <c r="M16" s="7" t="s">
        <v>187</v>
      </c>
      <c r="N16" s="7" t="s">
        <v>212</v>
      </c>
      <c r="O16" s="7"/>
      <c r="P16" s="7"/>
      <c r="Q16" s="7">
        <v>4500</v>
      </c>
      <c r="R16" s="7">
        <f>'FEBRUARY 21'!U16:U42</f>
        <v>0</v>
      </c>
      <c r="S16" s="7">
        <f t="shared" si="3"/>
        <v>4500</v>
      </c>
      <c r="T16" s="7">
        <v>4500</v>
      </c>
      <c r="U16" s="7">
        <f t="shared" si="5"/>
        <v>0</v>
      </c>
      <c r="V16" s="7"/>
      <c r="W16" s="7"/>
    </row>
    <row r="17" spans="1:23" x14ac:dyDescent="0.25">
      <c r="A17" s="7" t="s">
        <v>42</v>
      </c>
      <c r="B17" s="7" t="s">
        <v>59</v>
      </c>
      <c r="C17" s="7"/>
      <c r="D17" s="7"/>
      <c r="E17" s="7">
        <v>7000</v>
      </c>
      <c r="F17" s="7">
        <f>'FEBRUARY 21'!I17:I38</f>
        <v>0</v>
      </c>
      <c r="G17" s="7">
        <f t="shared" si="2"/>
        <v>7000</v>
      </c>
      <c r="H17" s="7">
        <f>4000+3000</f>
        <v>7000</v>
      </c>
      <c r="I17" s="7">
        <f t="shared" si="4"/>
        <v>0</v>
      </c>
      <c r="J17" s="7"/>
      <c r="K17" s="7"/>
      <c r="M17" s="7" t="s">
        <v>188</v>
      </c>
      <c r="N17" s="7" t="s">
        <v>213</v>
      </c>
      <c r="O17" s="7"/>
      <c r="P17" s="7"/>
      <c r="Q17" s="7">
        <v>4000</v>
      </c>
      <c r="R17" s="7">
        <f>'FEBRUARY 21'!U17:U43</f>
        <v>20000</v>
      </c>
      <c r="S17" s="7">
        <f t="shared" si="3"/>
        <v>24000</v>
      </c>
      <c r="T17" s="7"/>
      <c r="U17" s="7">
        <f t="shared" si="5"/>
        <v>24000</v>
      </c>
      <c r="V17" s="7"/>
      <c r="W17" s="7"/>
    </row>
    <row r="18" spans="1:23" x14ac:dyDescent="0.25">
      <c r="A18" s="7" t="s">
        <v>43</v>
      </c>
      <c r="B18" s="7" t="s">
        <v>60</v>
      </c>
      <c r="C18" s="7"/>
      <c r="D18" s="7"/>
      <c r="E18" s="7"/>
      <c r="F18" s="7">
        <f>'FEBRUARY 21'!I18:I39</f>
        <v>0</v>
      </c>
      <c r="G18" s="7">
        <f t="shared" si="2"/>
        <v>0</v>
      </c>
      <c r="H18" s="7"/>
      <c r="I18" s="7">
        <f t="shared" si="4"/>
        <v>0</v>
      </c>
      <c r="J18" s="7"/>
      <c r="K18" s="7"/>
      <c r="M18" s="7" t="s">
        <v>189</v>
      </c>
      <c r="N18" s="9" t="s">
        <v>233</v>
      </c>
      <c r="O18" s="7"/>
      <c r="P18" s="7"/>
      <c r="Q18" s="7">
        <v>4000</v>
      </c>
      <c r="R18" s="7">
        <f>'FEBRUARY 21'!U18:U44</f>
        <v>0</v>
      </c>
      <c r="S18" s="7">
        <f t="shared" si="3"/>
        <v>4000</v>
      </c>
      <c r="T18" s="7">
        <v>4000</v>
      </c>
      <c r="U18" s="7">
        <f t="shared" si="5"/>
        <v>0</v>
      </c>
      <c r="V18" s="7"/>
      <c r="W18" s="7"/>
    </row>
    <row r="19" spans="1:23" x14ac:dyDescent="0.25">
      <c r="A19" s="7" t="s">
        <v>44</v>
      </c>
      <c r="B19" s="9" t="s">
        <v>118</v>
      </c>
      <c r="C19" s="7"/>
      <c r="D19" s="7"/>
      <c r="E19" s="7">
        <v>8000</v>
      </c>
      <c r="F19" s="7">
        <f>'FEBRUARY 21'!I19:I40</f>
        <v>0</v>
      </c>
      <c r="G19" s="7">
        <f t="shared" si="2"/>
        <v>8000</v>
      </c>
      <c r="H19" s="7">
        <f>8000</f>
        <v>8000</v>
      </c>
      <c r="I19" s="7">
        <f t="shared" si="4"/>
        <v>0</v>
      </c>
      <c r="J19" s="7"/>
      <c r="K19" s="7"/>
      <c r="M19" s="7" t="s">
        <v>190</v>
      </c>
      <c r="N19" s="9" t="s">
        <v>215</v>
      </c>
      <c r="O19" s="7"/>
      <c r="P19" s="7"/>
      <c r="Q19" s="7">
        <v>4000</v>
      </c>
      <c r="R19" s="7">
        <f>'FEBRUARY 21'!U19:U45</f>
        <v>3950</v>
      </c>
      <c r="S19" s="7">
        <f t="shared" si="3"/>
        <v>7950</v>
      </c>
      <c r="T19" s="7">
        <v>4000</v>
      </c>
      <c r="U19" s="7">
        <f t="shared" si="5"/>
        <v>3950</v>
      </c>
      <c r="V19" s="7"/>
      <c r="W19" s="7"/>
    </row>
    <row r="20" spans="1:23" x14ac:dyDescent="0.25">
      <c r="A20" s="7" t="s">
        <v>45</v>
      </c>
      <c r="B20" s="7" t="s">
        <v>175</v>
      </c>
      <c r="C20" s="7"/>
      <c r="D20" s="7"/>
      <c r="E20" s="7">
        <v>7500</v>
      </c>
      <c r="F20" s="7">
        <f>'FEBRUARY 21'!I20:I41</f>
        <v>0</v>
      </c>
      <c r="G20" s="7">
        <f t="shared" si="2"/>
        <v>7500</v>
      </c>
      <c r="H20" s="7">
        <f>7500</f>
        <v>7500</v>
      </c>
      <c r="I20" s="7">
        <f t="shared" si="4"/>
        <v>0</v>
      </c>
      <c r="J20" s="7"/>
      <c r="K20" s="7"/>
      <c r="M20" s="7" t="s">
        <v>123</v>
      </c>
      <c r="N20" s="7" t="s">
        <v>231</v>
      </c>
      <c r="O20" s="7"/>
      <c r="P20" s="7"/>
      <c r="Q20" s="7">
        <v>4500</v>
      </c>
      <c r="R20" s="7">
        <f>'FEBRUARY 21'!U20:U46</f>
        <v>0</v>
      </c>
      <c r="S20" s="7">
        <f t="shared" si="3"/>
        <v>4500</v>
      </c>
      <c r="T20" s="7">
        <f>4500</f>
        <v>4500</v>
      </c>
      <c r="U20" s="7">
        <f t="shared" si="5"/>
        <v>0</v>
      </c>
      <c r="V20" s="7"/>
      <c r="W20" s="7"/>
    </row>
    <row r="21" spans="1:23" x14ac:dyDescent="0.25">
      <c r="A21" s="7" t="s">
        <v>46</v>
      </c>
      <c r="B21" s="7" t="s">
        <v>132</v>
      </c>
      <c r="C21" s="7"/>
      <c r="D21" s="7"/>
      <c r="E21" s="7">
        <v>6500</v>
      </c>
      <c r="F21" s="7">
        <f>'FEBRUARY 21'!I21:I42</f>
        <v>500</v>
      </c>
      <c r="G21" s="7">
        <f t="shared" si="2"/>
        <v>7000</v>
      </c>
      <c r="H21" s="7">
        <v>6500</v>
      </c>
      <c r="I21" s="7">
        <f t="shared" si="4"/>
        <v>500</v>
      </c>
      <c r="J21" s="7"/>
      <c r="K21" s="7"/>
      <c r="M21" s="7" t="s">
        <v>191</v>
      </c>
      <c r="N21" s="7" t="s">
        <v>216</v>
      </c>
      <c r="O21" s="7"/>
      <c r="P21" s="7"/>
      <c r="Q21" s="7">
        <v>4500</v>
      </c>
      <c r="R21" s="7">
        <f>'FEBRUARY 21'!U21:U47</f>
        <v>10500</v>
      </c>
      <c r="S21" s="7">
        <f t="shared" si="3"/>
        <v>15000</v>
      </c>
      <c r="T21" s="7">
        <f>6000</f>
        <v>6000</v>
      </c>
      <c r="U21" s="7">
        <f t="shared" si="5"/>
        <v>9000</v>
      </c>
      <c r="V21" s="7"/>
      <c r="W21" s="7"/>
    </row>
    <row r="22" spans="1:23" x14ac:dyDescent="0.25">
      <c r="A22" s="7" t="s">
        <v>47</v>
      </c>
      <c r="B22" s="7" t="s">
        <v>64</v>
      </c>
      <c r="C22" s="7"/>
      <c r="D22" s="7"/>
      <c r="E22" s="7">
        <v>7000</v>
      </c>
      <c r="F22" s="7">
        <f>'FEBRUARY 21'!I22:I43</f>
        <v>0</v>
      </c>
      <c r="G22" s="7">
        <f t="shared" si="2"/>
        <v>7000</v>
      </c>
      <c r="H22">
        <v>7000</v>
      </c>
      <c r="I22" s="7">
        <f>G22-H22</f>
        <v>0</v>
      </c>
      <c r="J22" s="7"/>
      <c r="K22" s="7"/>
      <c r="M22" s="7" t="s">
        <v>192</v>
      </c>
      <c r="N22" s="7" t="s">
        <v>214</v>
      </c>
      <c r="O22" s="7"/>
      <c r="P22" s="7"/>
      <c r="Q22" s="7">
        <v>4000</v>
      </c>
      <c r="R22" s="7">
        <f>'FEBRUARY 21'!U22:U48</f>
        <v>0</v>
      </c>
      <c r="S22" s="7">
        <f t="shared" si="3"/>
        <v>4000</v>
      </c>
      <c r="T22">
        <v>4000</v>
      </c>
      <c r="U22" s="7">
        <f>S22-T22</f>
        <v>0</v>
      </c>
      <c r="V22" s="7"/>
      <c r="W22" s="7"/>
    </row>
    <row r="23" spans="1:23" x14ac:dyDescent="0.25">
      <c r="A23" s="7" t="s">
        <v>66</v>
      </c>
      <c r="B23" s="7" t="s">
        <v>61</v>
      </c>
      <c r="C23" s="7"/>
      <c r="D23" s="7"/>
      <c r="E23" s="7">
        <v>8000</v>
      </c>
      <c r="F23" s="7">
        <f>'FEBRUARY 21'!I23:I44</f>
        <v>0</v>
      </c>
      <c r="G23" s="7">
        <f t="shared" si="2"/>
        <v>8000</v>
      </c>
      <c r="H23" s="7">
        <v>8000</v>
      </c>
      <c r="I23" s="7">
        <f>G23-H23</f>
        <v>0</v>
      </c>
      <c r="J23" s="7"/>
      <c r="K23" s="7"/>
      <c r="M23" s="7" t="s">
        <v>193</v>
      </c>
      <c r="N23" s="45" t="s">
        <v>76</v>
      </c>
      <c r="O23" s="7"/>
      <c r="P23" s="7"/>
      <c r="Q23" s="7"/>
      <c r="R23" s="7">
        <f>'FEBRUARY 21'!U23:U49</f>
        <v>0</v>
      </c>
      <c r="S23" s="7">
        <f t="shared" si="3"/>
        <v>0</v>
      </c>
      <c r="T23" s="7"/>
      <c r="U23" s="7">
        <f>S23-T23</f>
        <v>0</v>
      </c>
      <c r="V23" s="7"/>
      <c r="W23" s="7"/>
    </row>
    <row r="24" spans="1:23" x14ac:dyDescent="0.25">
      <c r="A24" s="7" t="s">
        <v>48</v>
      </c>
      <c r="B24" s="7" t="s">
        <v>69</v>
      </c>
      <c r="C24" s="7"/>
      <c r="D24" s="7"/>
      <c r="E24" s="7">
        <v>4500</v>
      </c>
      <c r="F24" s="7">
        <f>'FEBRUARY 21'!I24:I45</f>
        <v>0</v>
      </c>
      <c r="G24" s="7">
        <f t="shared" si="2"/>
        <v>4500</v>
      </c>
      <c r="H24" s="7">
        <f>4500</f>
        <v>4500</v>
      </c>
      <c r="I24" s="7">
        <f>G24-H24</f>
        <v>0</v>
      </c>
      <c r="J24" s="7"/>
      <c r="K24" s="7"/>
      <c r="M24" s="7" t="s">
        <v>194</v>
      </c>
      <c r="N24" s="7" t="s">
        <v>241</v>
      </c>
      <c r="O24" s="7"/>
      <c r="P24" s="7"/>
      <c r="Q24" s="7">
        <v>4000</v>
      </c>
      <c r="R24" s="7">
        <f>'FEBRUARY 21'!U24:U50</f>
        <v>2300</v>
      </c>
      <c r="S24" s="7">
        <f t="shared" si="3"/>
        <v>6300</v>
      </c>
      <c r="T24" s="7">
        <f>4000</f>
        <v>4000</v>
      </c>
      <c r="U24" s="7">
        <f>S24-T24</f>
        <v>2300</v>
      </c>
      <c r="V24" s="7"/>
      <c r="W24" s="7"/>
    </row>
    <row r="25" spans="1:23" x14ac:dyDescent="0.25">
      <c r="A25" s="7" t="s">
        <v>49</v>
      </c>
      <c r="B25" s="7" t="s">
        <v>100</v>
      </c>
      <c r="C25" s="7"/>
      <c r="D25" s="7"/>
      <c r="E25" s="7">
        <v>8000</v>
      </c>
      <c r="F25" s="7">
        <f>'FEBRUARY 21'!I25:I46</f>
        <v>0</v>
      </c>
      <c r="G25" s="7">
        <f t="shared" si="2"/>
        <v>8000</v>
      </c>
      <c r="H25" s="7">
        <f>8000</f>
        <v>8000</v>
      </c>
      <c r="I25" s="7">
        <f>G25-H25</f>
        <v>0</v>
      </c>
      <c r="J25" s="7"/>
      <c r="K25" s="7"/>
      <c r="M25" s="7" t="s">
        <v>195</v>
      </c>
      <c r="N25" s="7" t="s">
        <v>218</v>
      </c>
      <c r="O25" s="7"/>
      <c r="P25" s="7"/>
      <c r="Q25" s="7">
        <v>4000</v>
      </c>
      <c r="R25" s="7">
        <f>'FEBRUARY 21'!U25:U51</f>
        <v>0</v>
      </c>
      <c r="S25" s="7">
        <f t="shared" si="3"/>
        <v>4000</v>
      </c>
      <c r="T25" s="7">
        <f>4000</f>
        <v>4000</v>
      </c>
      <c r="U25" s="7">
        <f>S25-T25</f>
        <v>0</v>
      </c>
      <c r="V25" s="7"/>
      <c r="W25" s="7"/>
    </row>
    <row r="26" spans="1:23" x14ac:dyDescent="0.25">
      <c r="A26" s="7" t="s">
        <v>88</v>
      </c>
      <c r="B26" s="7" t="s">
        <v>110</v>
      </c>
      <c r="C26" s="7"/>
      <c r="D26" s="7"/>
      <c r="E26" s="7">
        <v>7000</v>
      </c>
      <c r="F26" s="7">
        <f>'FEBRUARY 21'!I26:I47</f>
        <v>51100</v>
      </c>
      <c r="G26" s="7">
        <f t="shared" si="2"/>
        <v>58100</v>
      </c>
      <c r="H26" s="7">
        <f>5000</f>
        <v>5000</v>
      </c>
      <c r="I26" s="7">
        <f>G26-H26</f>
        <v>53100</v>
      </c>
      <c r="J26" s="7"/>
      <c r="K26" s="7"/>
      <c r="M26" s="7" t="s">
        <v>196</v>
      </c>
      <c r="N26" s="7" t="s">
        <v>219</v>
      </c>
      <c r="O26" s="7"/>
      <c r="P26" s="7"/>
      <c r="Q26" s="7">
        <v>4000</v>
      </c>
      <c r="R26" s="7">
        <f>'FEBRUARY 21'!U26:U52</f>
        <v>1600</v>
      </c>
      <c r="S26" s="7">
        <f t="shared" si="3"/>
        <v>5600</v>
      </c>
      <c r="T26" s="7"/>
      <c r="U26" s="7">
        <f t="shared" ref="U26:U31" si="6">S26-T26</f>
        <v>5600</v>
      </c>
      <c r="V26" s="7"/>
      <c r="W26" s="7"/>
    </row>
    <row r="27" spans="1:23" x14ac:dyDescent="0.25">
      <c r="A27" s="6"/>
      <c r="B27" s="10" t="s">
        <v>12</v>
      </c>
      <c r="C27" s="10">
        <f>SUM(C4:C5)</f>
        <v>0</v>
      </c>
      <c r="D27" s="10">
        <f>SUM(D5:D26)</f>
        <v>7500</v>
      </c>
      <c r="E27" s="6">
        <f>SUM(E5:E26)</f>
        <v>139500</v>
      </c>
      <c r="F27" s="7">
        <f>SUM(F5:F26)</f>
        <v>64100</v>
      </c>
      <c r="G27" s="7">
        <f>C27+D27+E27+F27</f>
        <v>211100</v>
      </c>
      <c r="H27" s="6">
        <f>SUM(H5:H26)</f>
        <v>136500</v>
      </c>
      <c r="I27" s="6">
        <f>SUM(I5:I26)</f>
        <v>74600</v>
      </c>
      <c r="J27" s="6">
        <f>SUM(J5:J26)</f>
        <v>0</v>
      </c>
      <c r="K27" s="6">
        <f>SUM(K5:K26)</f>
        <v>0</v>
      </c>
      <c r="M27" s="7" t="s">
        <v>197</v>
      </c>
      <c r="N27" s="7" t="s">
        <v>220</v>
      </c>
      <c r="O27" s="7"/>
      <c r="P27" s="7"/>
      <c r="Q27" s="7">
        <v>10000</v>
      </c>
      <c r="R27" s="7">
        <f>'FEBRUARY 21'!U27:U53</f>
        <v>0</v>
      </c>
      <c r="S27" s="7">
        <f t="shared" si="3"/>
        <v>10000</v>
      </c>
      <c r="T27" s="7">
        <f>10000</f>
        <v>10000</v>
      </c>
      <c r="U27" s="7">
        <f t="shared" si="6"/>
        <v>0</v>
      </c>
      <c r="V27" s="7"/>
      <c r="W27" s="7"/>
    </row>
    <row r="28" spans="1:23" x14ac:dyDescent="0.25">
      <c r="A28" s="11"/>
      <c r="F28" s="7"/>
      <c r="I28" s="8">
        <f>I27-F26-D13-D7</f>
        <v>16000</v>
      </c>
      <c r="M28" s="7" t="s">
        <v>198</v>
      </c>
      <c r="N28" s="7" t="s">
        <v>221</v>
      </c>
      <c r="O28" s="7"/>
      <c r="P28" s="7"/>
      <c r="Q28" s="7">
        <v>8000</v>
      </c>
      <c r="R28" s="7">
        <f>'FEBRUARY 21'!U28:U54</f>
        <v>13400</v>
      </c>
      <c r="S28" s="7">
        <f t="shared" si="3"/>
        <v>21400</v>
      </c>
      <c r="T28" s="7">
        <v>8000</v>
      </c>
      <c r="U28" s="7">
        <f t="shared" si="6"/>
        <v>13400</v>
      </c>
      <c r="V28" s="7"/>
      <c r="W28" s="7"/>
    </row>
    <row r="29" spans="1:23" ht="18.75" x14ac:dyDescent="0.3">
      <c r="B29" s="12" t="s">
        <v>13</v>
      </c>
      <c r="C29" s="44" t="s">
        <v>227</v>
      </c>
      <c r="D29" s="13"/>
      <c r="E29" s="13"/>
      <c r="F29" s="44" t="s">
        <v>228</v>
      </c>
      <c r="G29" s="13"/>
      <c r="H29" s="14"/>
      <c r="I29" s="14"/>
      <c r="M29" s="7" t="s">
        <v>199</v>
      </c>
      <c r="N29" s="7" t="s">
        <v>222</v>
      </c>
      <c r="O29" s="7"/>
      <c r="P29" s="7"/>
      <c r="Q29" s="7">
        <v>8000</v>
      </c>
      <c r="R29" s="7">
        <f>'FEBRUARY 21'!U29:U55</f>
        <v>9800</v>
      </c>
      <c r="S29" s="7">
        <f t="shared" si="3"/>
        <v>17800</v>
      </c>
      <c r="T29" s="7">
        <f>8000</f>
        <v>8000</v>
      </c>
      <c r="U29" s="7">
        <f t="shared" si="6"/>
        <v>9800</v>
      </c>
      <c r="V29" s="7"/>
      <c r="W29" s="7"/>
    </row>
    <row r="30" spans="1:23" ht="15.75" x14ac:dyDescent="0.25">
      <c r="B30" s="15" t="s">
        <v>14</v>
      </c>
      <c r="C30" s="15" t="s">
        <v>15</v>
      </c>
      <c r="D30" s="15" t="s">
        <v>16</v>
      </c>
      <c r="E30" s="15" t="s">
        <v>17</v>
      </c>
      <c r="F30" s="15" t="s">
        <v>18</v>
      </c>
      <c r="G30" s="15" t="s">
        <v>15</v>
      </c>
      <c r="H30" s="15" t="s">
        <v>16</v>
      </c>
      <c r="I30" s="15" t="s">
        <v>17</v>
      </c>
      <c r="K30" s="25"/>
      <c r="L30">
        <f>R17+R19+R20+R21+R23+R24+R26+R28+R29</f>
        <v>61550</v>
      </c>
      <c r="M30" s="7" t="s">
        <v>200</v>
      </c>
      <c r="N30" s="7" t="s">
        <v>223</v>
      </c>
      <c r="O30" s="7"/>
      <c r="P30" s="7"/>
      <c r="Q30" s="7">
        <v>5000</v>
      </c>
      <c r="R30" s="7">
        <f>'FEBRUARY 21'!U30:U56</f>
        <v>0</v>
      </c>
      <c r="S30" s="7">
        <f t="shared" si="3"/>
        <v>5000</v>
      </c>
      <c r="T30" s="7">
        <f>5000</f>
        <v>5000</v>
      </c>
      <c r="U30" s="7">
        <f t="shared" si="6"/>
        <v>0</v>
      </c>
      <c r="V30" s="7"/>
      <c r="W30" s="7"/>
    </row>
    <row r="31" spans="1:23" x14ac:dyDescent="0.25">
      <c r="B31" s="9" t="s">
        <v>111</v>
      </c>
      <c r="C31" s="16">
        <f>E27</f>
        <v>139500</v>
      </c>
      <c r="D31" s="17">
        <v>0.1</v>
      </c>
      <c r="E31" s="16"/>
      <c r="F31" s="18" t="s">
        <v>111</v>
      </c>
      <c r="G31" s="16">
        <f>H27</f>
        <v>136500</v>
      </c>
      <c r="H31" s="17">
        <v>0.1</v>
      </c>
      <c r="I31" s="9"/>
      <c r="K31">
        <f>R7+R9+R10+R11+R14+R15+R16</f>
        <v>68650</v>
      </c>
      <c r="M31" s="7" t="s">
        <v>201</v>
      </c>
      <c r="N31" s="7" t="s">
        <v>224</v>
      </c>
      <c r="O31" s="7"/>
      <c r="P31" s="7"/>
      <c r="Q31" s="7">
        <v>7500</v>
      </c>
      <c r="R31" s="7">
        <f>'FEBRUARY 21'!U31:U57</f>
        <v>52400</v>
      </c>
      <c r="S31" s="7">
        <f t="shared" si="3"/>
        <v>59900</v>
      </c>
      <c r="T31" s="7">
        <f>8500</f>
        <v>8500</v>
      </c>
      <c r="U31" s="7">
        <f t="shared" si="6"/>
        <v>51400</v>
      </c>
      <c r="V31" s="7"/>
      <c r="W31" s="7"/>
    </row>
    <row r="32" spans="1:23" x14ac:dyDescent="0.25">
      <c r="B32" s="9" t="s">
        <v>20</v>
      </c>
      <c r="C32" s="16">
        <f>'FEBRUARY 21'!E45</f>
        <v>0</v>
      </c>
      <c r="D32" s="9"/>
      <c r="E32" s="9"/>
      <c r="F32" s="9" t="s">
        <v>20</v>
      </c>
      <c r="G32" s="16">
        <f>'FEBRUARY 21'!I45</f>
        <v>-4500</v>
      </c>
      <c r="H32" s="9"/>
      <c r="I32" s="9"/>
      <c r="K32" s="26"/>
      <c r="M32" s="6"/>
      <c r="N32" s="10" t="s">
        <v>12</v>
      </c>
      <c r="O32" s="10">
        <f>SUM(O4:O5)</f>
        <v>0</v>
      </c>
      <c r="P32" s="10">
        <f t="shared" ref="P32:W32" si="7">SUM(P5:P31)</f>
        <v>0</v>
      </c>
      <c r="Q32" s="6">
        <f t="shared" si="7"/>
        <v>146500</v>
      </c>
      <c r="R32" s="7">
        <f>SUM(R5:R31)</f>
        <v>182600</v>
      </c>
      <c r="S32" s="7">
        <f t="shared" si="7"/>
        <v>329100</v>
      </c>
      <c r="T32" s="6">
        <f t="shared" si="7"/>
        <v>143000</v>
      </c>
      <c r="U32" s="6">
        <f t="shared" si="7"/>
        <v>186100</v>
      </c>
      <c r="V32" s="6">
        <f t="shared" si="7"/>
        <v>1000</v>
      </c>
      <c r="W32" s="6">
        <f t="shared" si="7"/>
        <v>0</v>
      </c>
    </row>
    <row r="33" spans="2:24" x14ac:dyDescent="0.25">
      <c r="B33" s="9" t="s">
        <v>163</v>
      </c>
      <c r="C33" s="16">
        <f>D20+D15+D9</f>
        <v>0</v>
      </c>
      <c r="D33" s="9"/>
      <c r="E33" s="9"/>
      <c r="F33" s="9"/>
      <c r="G33" s="16"/>
      <c r="H33" s="16"/>
      <c r="I33" s="9"/>
      <c r="K33" s="26"/>
      <c r="M33" s="11"/>
      <c r="R33" s="7">
        <f>'JANUARY 21'!U33:U59</f>
        <v>0</v>
      </c>
      <c r="U33" s="8"/>
    </row>
    <row r="34" spans="2:24" ht="18.75" x14ac:dyDescent="0.3">
      <c r="B34" s="9" t="s">
        <v>21</v>
      </c>
      <c r="C34" s="16">
        <f>J27</f>
        <v>0</v>
      </c>
      <c r="D34" s="9"/>
      <c r="E34" s="9"/>
      <c r="F34" s="9"/>
      <c r="G34" s="16"/>
      <c r="H34" s="16"/>
      <c r="I34" s="9"/>
      <c r="K34" s="26"/>
      <c r="N34" s="12" t="s">
        <v>13</v>
      </c>
      <c r="O34" s="44" t="s">
        <v>227</v>
      </c>
      <c r="P34" s="13"/>
      <c r="Q34" s="13"/>
      <c r="R34" s="44" t="s">
        <v>228</v>
      </c>
      <c r="S34" s="13"/>
      <c r="T34" s="14"/>
      <c r="U34" s="14"/>
    </row>
    <row r="35" spans="2:24" ht="15.75" x14ac:dyDescent="0.25">
      <c r="B35" s="9" t="s">
        <v>102</v>
      </c>
      <c r="C35" s="16">
        <f>K27</f>
        <v>0</v>
      </c>
      <c r="D35" s="9"/>
      <c r="E35" s="9"/>
      <c r="F35" s="9" t="s">
        <v>102</v>
      </c>
      <c r="G35" s="16">
        <f>K27</f>
        <v>0</v>
      </c>
      <c r="H35" s="9"/>
      <c r="I35" s="9"/>
      <c r="N35" s="15" t="s">
        <v>14</v>
      </c>
      <c r="O35" s="15" t="s">
        <v>226</v>
      </c>
      <c r="P35" s="15" t="s">
        <v>16</v>
      </c>
      <c r="Q35" s="15" t="s">
        <v>17</v>
      </c>
      <c r="R35" s="15" t="s">
        <v>18</v>
      </c>
      <c r="S35" s="15" t="s">
        <v>15</v>
      </c>
      <c r="T35" s="15" t="s">
        <v>16</v>
      </c>
      <c r="U35" s="15" t="s">
        <v>17</v>
      </c>
      <c r="W35" s="25"/>
    </row>
    <row r="36" spans="2:24" x14ac:dyDescent="0.25">
      <c r="B36" s="9" t="s">
        <v>97</v>
      </c>
      <c r="C36" s="16">
        <v>0.3</v>
      </c>
      <c r="D36" s="9"/>
      <c r="E36" s="9"/>
      <c r="F36" s="9" t="s">
        <v>97</v>
      </c>
      <c r="G36" s="16">
        <v>0.3</v>
      </c>
      <c r="H36" s="9">
        <f>D36</f>
        <v>0</v>
      </c>
      <c r="I36" s="9"/>
      <c r="N36" s="9" t="s">
        <v>111</v>
      </c>
      <c r="O36" s="16">
        <f>Q32</f>
        <v>146500</v>
      </c>
      <c r="P36" s="17">
        <v>0.1</v>
      </c>
      <c r="Q36" s="16"/>
      <c r="R36" s="7" t="s">
        <v>111</v>
      </c>
      <c r="S36" s="16">
        <f>T32</f>
        <v>143000</v>
      </c>
      <c r="T36" s="17">
        <v>0.1</v>
      </c>
      <c r="U36" s="9"/>
      <c r="W36" s="26"/>
    </row>
    <row r="37" spans="2:24" x14ac:dyDescent="0.25">
      <c r="B37" s="9" t="s">
        <v>22</v>
      </c>
      <c r="C37" s="18"/>
      <c r="D37" s="9">
        <f>C31*D31</f>
        <v>13950</v>
      </c>
      <c r="E37" s="9"/>
      <c r="F37" s="9" t="s">
        <v>22</v>
      </c>
      <c r="G37" s="18"/>
      <c r="H37" s="9">
        <f>D37</f>
        <v>13950</v>
      </c>
      <c r="I37" s="9"/>
      <c r="N37" s="9" t="s">
        <v>20</v>
      </c>
      <c r="O37" s="16">
        <f>'FEBRUARY 21'!Q50</f>
        <v>-4150</v>
      </c>
      <c r="P37" s="9"/>
      <c r="Q37" s="9"/>
      <c r="R37" s="7" t="s">
        <v>6</v>
      </c>
      <c r="S37" s="16">
        <f>'FEBRUARY 21'!U50</f>
        <v>-9750</v>
      </c>
      <c r="T37" s="9"/>
      <c r="U37" s="9"/>
      <c r="W37" s="26"/>
    </row>
    <row r="38" spans="2:24" x14ac:dyDescent="0.25">
      <c r="B38" s="19" t="s">
        <v>23</v>
      </c>
      <c r="C38" s="9"/>
      <c r="D38" s="9"/>
      <c r="E38" s="9"/>
      <c r="F38" s="19" t="s">
        <v>23</v>
      </c>
      <c r="G38" s="9"/>
      <c r="H38" s="9"/>
      <c r="I38" s="9"/>
      <c r="N38" s="9" t="s">
        <v>163</v>
      </c>
      <c r="O38" s="16">
        <f>P32</f>
        <v>0</v>
      </c>
      <c r="P38" s="9"/>
      <c r="Q38" s="9"/>
      <c r="R38" s="9"/>
      <c r="S38" s="16"/>
      <c r="T38" s="16"/>
      <c r="U38" s="9"/>
      <c r="W38" s="26"/>
    </row>
    <row r="39" spans="2:24" x14ac:dyDescent="0.25">
      <c r="B39" s="20"/>
      <c r="D39" s="9"/>
      <c r="E39" s="9"/>
      <c r="F39" s="20"/>
      <c r="H39" s="9"/>
      <c r="I39" s="9"/>
      <c r="J39" s="26"/>
      <c r="N39" s="9" t="s">
        <v>21</v>
      </c>
      <c r="O39" s="16">
        <f>V32</f>
        <v>1000</v>
      </c>
      <c r="P39" s="9"/>
      <c r="Q39" s="9"/>
      <c r="R39" s="9"/>
      <c r="S39" s="16"/>
      <c r="T39" s="16"/>
      <c r="U39" s="9"/>
      <c r="W39" s="26"/>
    </row>
    <row r="40" spans="2:24" x14ac:dyDescent="0.25">
      <c r="B40" s="7" t="s">
        <v>247</v>
      </c>
      <c r="C40" s="9"/>
      <c r="D40" s="7">
        <v>109000</v>
      </c>
      <c r="E40" s="7"/>
      <c r="F40" s="7" t="s">
        <v>247</v>
      </c>
      <c r="G40" s="9"/>
      <c r="H40" s="7">
        <v>109000</v>
      </c>
      <c r="I40" s="9"/>
      <c r="K40" s="26"/>
      <c r="N40" s="9" t="s">
        <v>102</v>
      </c>
      <c r="O40" s="16">
        <f>W32</f>
        <v>0</v>
      </c>
      <c r="P40" s="9"/>
      <c r="Q40" s="9"/>
      <c r="R40" s="9" t="s">
        <v>102</v>
      </c>
      <c r="S40" s="16">
        <f>O40</f>
        <v>0</v>
      </c>
      <c r="T40" s="9"/>
      <c r="U40" s="9"/>
      <c r="W40" s="26"/>
    </row>
    <row r="41" spans="2:24" x14ac:dyDescent="0.25">
      <c r="B41" s="20" t="s">
        <v>251</v>
      </c>
      <c r="C41" s="9"/>
      <c r="D41" s="9">
        <v>16550</v>
      </c>
      <c r="E41" s="9"/>
      <c r="F41" s="20" t="s">
        <v>251</v>
      </c>
      <c r="G41" s="9"/>
      <c r="H41" s="9">
        <v>16550</v>
      </c>
      <c r="I41" s="9"/>
      <c r="K41" s="26"/>
      <c r="N41" s="9" t="s">
        <v>22</v>
      </c>
      <c r="O41" s="18"/>
      <c r="P41" s="9">
        <f>P36*O36</f>
        <v>14650</v>
      </c>
      <c r="Q41" s="9"/>
      <c r="R41" s="9" t="s">
        <v>22</v>
      </c>
      <c r="S41" s="18"/>
      <c r="T41" s="9">
        <f>T36*O36</f>
        <v>14650</v>
      </c>
      <c r="U41" s="9"/>
    </row>
    <row r="42" spans="2:24" x14ac:dyDescent="0.25">
      <c r="B42" s="20"/>
      <c r="C42" s="9"/>
      <c r="D42" s="9"/>
      <c r="E42" s="9"/>
      <c r="F42" s="20"/>
      <c r="G42" s="9"/>
      <c r="H42" s="9"/>
      <c r="I42" s="9"/>
      <c r="K42" s="26"/>
      <c r="N42" s="9"/>
      <c r="O42" s="18"/>
      <c r="P42" s="9"/>
      <c r="Q42" s="9"/>
      <c r="R42" s="9"/>
      <c r="S42" s="18"/>
      <c r="T42" s="9"/>
      <c r="U42" s="9"/>
    </row>
    <row r="43" spans="2:24" x14ac:dyDescent="0.25">
      <c r="B43" s="20"/>
      <c r="C43" s="9"/>
      <c r="D43" s="9"/>
      <c r="E43" s="9"/>
      <c r="F43" s="20"/>
      <c r="G43" s="9"/>
      <c r="H43" s="9"/>
      <c r="I43" s="9"/>
      <c r="K43" s="26"/>
      <c r="N43" s="19" t="s">
        <v>23</v>
      </c>
      <c r="O43" s="9"/>
      <c r="P43" s="9"/>
      <c r="Q43" s="9"/>
      <c r="R43" s="19" t="s">
        <v>23</v>
      </c>
      <c r="S43" s="9"/>
      <c r="T43" s="9"/>
      <c r="U43" s="9"/>
    </row>
    <row r="44" spans="2:24" x14ac:dyDescent="0.25">
      <c r="B44" s="20"/>
      <c r="C44" s="16"/>
      <c r="D44" s="16"/>
      <c r="E44" s="16"/>
      <c r="F44" s="20"/>
      <c r="G44" s="9"/>
      <c r="H44" s="16"/>
      <c r="I44" s="9"/>
      <c r="N44" s="20" t="s">
        <v>247</v>
      </c>
      <c r="O44" s="9"/>
      <c r="P44" s="9">
        <v>91000</v>
      </c>
      <c r="Q44" s="9"/>
      <c r="R44" s="20" t="s">
        <v>247</v>
      </c>
      <c r="S44" s="9"/>
      <c r="T44" s="9">
        <v>91000</v>
      </c>
      <c r="U44" s="9"/>
      <c r="V44" s="26"/>
      <c r="W44" s="26"/>
      <c r="X44" s="26"/>
    </row>
    <row r="45" spans="2:24" x14ac:dyDescent="0.25">
      <c r="B45" s="22" t="s">
        <v>12</v>
      </c>
      <c r="C45" s="23">
        <f>C31+C32+C33+C34+C35-D37-D36</f>
        <v>125550</v>
      </c>
      <c r="D45" s="22">
        <f>SUM(D39:D44)</f>
        <v>125550</v>
      </c>
      <c r="E45" s="23">
        <f>C45-D45</f>
        <v>0</v>
      </c>
      <c r="F45" s="24"/>
      <c r="G45" s="23">
        <f>G31+G32+G35-H36-H37</f>
        <v>118050</v>
      </c>
      <c r="H45" s="23">
        <f>SUM(H39:H44)</f>
        <v>125550</v>
      </c>
      <c r="I45" s="23">
        <f>G45-H45</f>
        <v>-7500</v>
      </c>
      <c r="N45" s="20" t="s">
        <v>188</v>
      </c>
      <c r="O45" s="9"/>
      <c r="P45" s="9">
        <v>4000</v>
      </c>
      <c r="Q45" s="7"/>
      <c r="R45" s="7"/>
      <c r="S45" s="21"/>
      <c r="T45" s="7"/>
      <c r="U45" s="9"/>
      <c r="W45" s="26"/>
    </row>
    <row r="46" spans="2:24" x14ac:dyDescent="0.25">
      <c r="E46" s="26">
        <f>E45-C32</f>
        <v>0</v>
      </c>
      <c r="I46" s="26"/>
      <c r="K46" s="26"/>
      <c r="N46" s="20" t="s">
        <v>251</v>
      </c>
      <c r="O46" s="9"/>
      <c r="P46" s="9">
        <v>29805</v>
      </c>
      <c r="Q46" s="9"/>
      <c r="R46" s="20" t="s">
        <v>251</v>
      </c>
      <c r="S46" s="9"/>
      <c r="T46" s="9">
        <v>29805</v>
      </c>
      <c r="U46" s="9"/>
      <c r="W46" s="26"/>
    </row>
    <row r="47" spans="2:24" x14ac:dyDescent="0.25">
      <c r="B47" s="11" t="s">
        <v>24</v>
      </c>
      <c r="D47" s="11" t="s">
        <v>25</v>
      </c>
      <c r="F47" s="11"/>
      <c r="G47" s="11" t="s">
        <v>26</v>
      </c>
      <c r="I47" s="26"/>
      <c r="K47" s="26"/>
      <c r="L47" s="26"/>
      <c r="N47" s="20"/>
      <c r="O47" s="9"/>
      <c r="P47" s="9"/>
      <c r="Q47" s="9"/>
      <c r="R47" s="20"/>
      <c r="S47" s="9"/>
      <c r="T47" s="9"/>
      <c r="U47" s="9"/>
      <c r="W47" s="26"/>
    </row>
    <row r="48" spans="2:24" x14ac:dyDescent="0.25">
      <c r="B48" t="s">
        <v>27</v>
      </c>
      <c r="D48" s="11" t="s">
        <v>28</v>
      </c>
      <c r="F48" s="11"/>
      <c r="G48" s="11" t="s">
        <v>147</v>
      </c>
      <c r="I48" s="26"/>
      <c r="N48" s="20"/>
      <c r="O48" s="9"/>
      <c r="P48" s="9"/>
      <c r="Q48" s="9"/>
      <c r="R48" s="20"/>
      <c r="S48" s="9"/>
      <c r="T48" s="9"/>
      <c r="U48" s="9"/>
      <c r="W48" s="26"/>
    </row>
    <row r="49" spans="6:23" x14ac:dyDescent="0.25">
      <c r="N49" s="20"/>
      <c r="O49" s="16"/>
      <c r="P49" s="16"/>
      <c r="Q49" s="16"/>
      <c r="R49" s="20"/>
      <c r="S49" s="16"/>
      <c r="T49" s="16"/>
      <c r="U49" s="9"/>
      <c r="W49" s="26">
        <f>Q50-U50</f>
        <v>6100</v>
      </c>
    </row>
    <row r="50" spans="6:23" x14ac:dyDescent="0.25">
      <c r="F50" s="26"/>
      <c r="I50" s="26"/>
      <c r="J50" s="26"/>
      <c r="N50" s="22" t="s">
        <v>12</v>
      </c>
      <c r="O50" s="23">
        <f>O36+O37+O38+O39+O40-P42-P41</f>
        <v>128700</v>
      </c>
      <c r="P50" s="22">
        <f>SUM(P44:P49)</f>
        <v>124805</v>
      </c>
      <c r="Q50" s="23">
        <f>O50-P50</f>
        <v>3895</v>
      </c>
      <c r="R50" s="24"/>
      <c r="S50" s="23">
        <f>S36+S37+S40-T41-T42</f>
        <v>118600</v>
      </c>
      <c r="T50" s="23">
        <f>SUM(T44:T49)</f>
        <v>120805</v>
      </c>
      <c r="U50" s="23">
        <f>S50-T50</f>
        <v>-2205</v>
      </c>
      <c r="W50" s="26"/>
    </row>
    <row r="51" spans="6:23" x14ac:dyDescent="0.25">
      <c r="W51" s="26"/>
    </row>
    <row r="52" spans="6:23" x14ac:dyDescent="0.25">
      <c r="F52">
        <f>46355-D41</f>
        <v>29805</v>
      </c>
      <c r="N52" s="11" t="s">
        <v>24</v>
      </c>
      <c r="P52" s="11" t="s">
        <v>25</v>
      </c>
      <c r="R52" s="11"/>
      <c r="S52" s="11" t="s">
        <v>26</v>
      </c>
      <c r="W52" s="26">
        <f>3000-2900</f>
        <v>100</v>
      </c>
    </row>
    <row r="53" spans="6:23" x14ac:dyDescent="0.25">
      <c r="N53" t="s">
        <v>27</v>
      </c>
      <c r="P53" s="11" t="s">
        <v>28</v>
      </c>
      <c r="R53" s="11"/>
      <c r="S53" s="11" t="s">
        <v>147</v>
      </c>
      <c r="U53" s="26"/>
    </row>
    <row r="54" spans="6:23" x14ac:dyDescent="0.25">
      <c r="M54" s="26"/>
    </row>
    <row r="55" spans="6:23" x14ac:dyDescent="0.25">
      <c r="J55" s="26"/>
      <c r="K55" s="26"/>
      <c r="M55" s="26"/>
      <c r="Q55" s="26">
        <f>O36+O39</f>
        <v>147500</v>
      </c>
    </row>
    <row r="56" spans="6:23" x14ac:dyDescent="0.25">
      <c r="I56" s="26"/>
      <c r="N56">
        <f>200000-109000</f>
        <v>91000</v>
      </c>
      <c r="Q56" s="26">
        <f>Q55-P41</f>
        <v>132850</v>
      </c>
    </row>
    <row r="57" spans="6:23" x14ac:dyDescent="0.25">
      <c r="Q57" s="26">
        <f>Q56+O37</f>
        <v>128700</v>
      </c>
    </row>
    <row r="59" spans="6:23" x14ac:dyDescent="0.25">
      <c r="S59" s="26">
        <f>Q50+E45</f>
        <v>3895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workbookViewId="0"/>
  </sheetViews>
  <sheetFormatPr defaultRowHeight="15" x14ac:dyDescent="0.25"/>
  <sheetData>
    <row r="1" spans="1:23" ht="18.75" x14ac:dyDescent="0.25">
      <c r="E1" s="1" t="s">
        <v>50</v>
      </c>
      <c r="F1" s="2"/>
      <c r="G1" s="3"/>
      <c r="H1" s="4"/>
      <c r="Q1" s="1" t="s">
        <v>229</v>
      </c>
      <c r="R1" s="2"/>
      <c r="S1" s="3"/>
      <c r="T1" s="4"/>
    </row>
    <row r="2" spans="1:23" ht="18.75" x14ac:dyDescent="0.25">
      <c r="E2" s="1" t="s">
        <v>0</v>
      </c>
      <c r="F2" s="1"/>
      <c r="G2" s="5"/>
      <c r="H2" s="5"/>
      <c r="Q2" s="1" t="s">
        <v>0</v>
      </c>
      <c r="R2" s="1"/>
      <c r="S2" s="5"/>
      <c r="T2" s="5"/>
    </row>
    <row r="3" spans="1:23" ht="18.75" x14ac:dyDescent="0.25">
      <c r="E3" s="1" t="s">
        <v>249</v>
      </c>
      <c r="F3" s="1"/>
      <c r="G3" s="5"/>
      <c r="H3" s="5"/>
      <c r="I3" t="s">
        <v>250</v>
      </c>
      <c r="Q3" s="1" t="s">
        <v>249</v>
      </c>
      <c r="R3" s="1"/>
      <c r="S3" s="5"/>
      <c r="T3" s="5"/>
    </row>
    <row r="4" spans="1:23" x14ac:dyDescent="0.25">
      <c r="A4" s="6" t="s">
        <v>2</v>
      </c>
      <c r="B4" s="6" t="s">
        <v>3</v>
      </c>
      <c r="C4" s="6"/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  <c r="K4" s="6" t="s">
        <v>101</v>
      </c>
      <c r="M4" s="6" t="s">
        <v>2</v>
      </c>
      <c r="N4" s="6" t="s">
        <v>3</v>
      </c>
      <c r="O4" s="6"/>
      <c r="P4" s="6" t="s">
        <v>4</v>
      </c>
      <c r="Q4" s="6" t="s">
        <v>5</v>
      </c>
      <c r="R4" s="6" t="s">
        <v>6</v>
      </c>
      <c r="S4" s="6" t="s">
        <v>7</v>
      </c>
      <c r="T4" s="6" t="s">
        <v>8</v>
      </c>
      <c r="U4" s="6" t="s">
        <v>9</v>
      </c>
      <c r="V4" s="6" t="s">
        <v>10</v>
      </c>
      <c r="W4" s="6" t="s">
        <v>101</v>
      </c>
    </row>
    <row r="5" spans="1:23" x14ac:dyDescent="0.25">
      <c r="A5" s="7" t="s">
        <v>30</v>
      </c>
      <c r="B5" s="7" t="s">
        <v>232</v>
      </c>
      <c r="C5" s="7"/>
      <c r="D5" s="7"/>
      <c r="E5" s="7">
        <v>4500</v>
      </c>
      <c r="F5" s="7">
        <f>'MARCH 21'!F5:F27</f>
        <v>900</v>
      </c>
      <c r="G5" s="7">
        <f>C5+D5+E5+F5</f>
        <v>5400</v>
      </c>
      <c r="H5" s="7">
        <f>1800+3600</f>
        <v>5400</v>
      </c>
      <c r="I5" s="7">
        <f t="shared" ref="I5:I12" si="0">G5-H5</f>
        <v>0</v>
      </c>
      <c r="J5" s="7"/>
      <c r="K5" s="7"/>
      <c r="M5" s="7" t="s">
        <v>177</v>
      </c>
      <c r="N5" s="9" t="s">
        <v>202</v>
      </c>
      <c r="O5" s="7"/>
      <c r="P5" s="7"/>
      <c r="Q5" s="7">
        <v>7000</v>
      </c>
      <c r="R5" s="7">
        <f>'MARCH 21'!U5:U32</f>
        <v>0</v>
      </c>
      <c r="S5" s="7">
        <f>O5+P5+Q5+R5</f>
        <v>7000</v>
      </c>
      <c r="T5" s="7">
        <v>7000</v>
      </c>
      <c r="U5" s="7">
        <f t="shared" ref="U5:U12" si="1">S5-T5</f>
        <v>0</v>
      </c>
      <c r="V5" s="7"/>
      <c r="W5" s="7"/>
    </row>
    <row r="6" spans="1:23" x14ac:dyDescent="0.25">
      <c r="A6" s="7" t="s">
        <v>31</v>
      </c>
      <c r="B6" s="7" t="s">
        <v>52</v>
      </c>
      <c r="C6" s="7"/>
      <c r="D6" s="7"/>
      <c r="E6" s="7">
        <v>3000</v>
      </c>
      <c r="F6" s="7">
        <f>'MARCH 21'!F6:F28</f>
        <v>0</v>
      </c>
      <c r="G6" s="7">
        <f>C6+D6+E6+F6</f>
        <v>3000</v>
      </c>
      <c r="H6" s="7">
        <f>3000</f>
        <v>3000</v>
      </c>
      <c r="I6" s="7">
        <f t="shared" si="0"/>
        <v>0</v>
      </c>
      <c r="J6" s="7"/>
      <c r="K6" s="7"/>
      <c r="M6" s="7" t="s">
        <v>88</v>
      </c>
      <c r="N6" s="7"/>
      <c r="O6" s="7"/>
      <c r="P6" s="7"/>
      <c r="Q6" s="7"/>
      <c r="R6" s="7">
        <f>'MARCH 21'!U6:U33</f>
        <v>0</v>
      </c>
      <c r="S6" s="7">
        <f>O6+P6+Q6+R6</f>
        <v>0</v>
      </c>
      <c r="T6" s="7"/>
      <c r="U6" s="7">
        <f t="shared" si="1"/>
        <v>0</v>
      </c>
      <c r="V6" s="7"/>
      <c r="W6" s="7"/>
    </row>
    <row r="7" spans="1:23" x14ac:dyDescent="0.25">
      <c r="A7" s="7" t="s">
        <v>32</v>
      </c>
      <c r="B7" s="7" t="s">
        <v>115</v>
      </c>
      <c r="C7" s="7"/>
      <c r="D7" s="7">
        <v>2500</v>
      </c>
      <c r="E7" s="7">
        <v>7500</v>
      </c>
      <c r="F7" s="7"/>
      <c r="G7" s="7">
        <f>C7+D7+E7+F7</f>
        <v>10000</v>
      </c>
      <c r="H7" s="7">
        <v>7500</v>
      </c>
      <c r="I7" s="7">
        <f t="shared" si="0"/>
        <v>2500</v>
      </c>
      <c r="J7" s="7"/>
      <c r="K7" s="7"/>
      <c r="M7" s="7" t="s">
        <v>178</v>
      </c>
      <c r="N7" s="7" t="s">
        <v>203</v>
      </c>
      <c r="O7" s="7"/>
      <c r="P7" s="7"/>
      <c r="Q7" s="7">
        <v>8500</v>
      </c>
      <c r="R7" s="7">
        <f>'MARCH 21'!U7:U34</f>
        <v>1000</v>
      </c>
      <c r="S7" s="7">
        <f>O7+P7+Q7+R7</f>
        <v>9500</v>
      </c>
      <c r="T7" s="7">
        <f>8500</f>
        <v>8500</v>
      </c>
      <c r="U7" s="7">
        <f t="shared" si="1"/>
        <v>1000</v>
      </c>
      <c r="V7" s="7"/>
      <c r="W7" s="7"/>
    </row>
    <row r="8" spans="1:23" x14ac:dyDescent="0.25">
      <c r="A8" s="7" t="s">
        <v>33</v>
      </c>
      <c r="B8" s="7" t="s">
        <v>54</v>
      </c>
      <c r="C8" s="7"/>
      <c r="D8" s="7"/>
      <c r="E8" s="7">
        <v>6500</v>
      </c>
      <c r="F8" s="7">
        <f>'MARCH 21'!F8:F30</f>
        <v>0</v>
      </c>
      <c r="G8" s="7">
        <f>C8+D8+E8+F8</f>
        <v>6500</v>
      </c>
      <c r="H8" s="7">
        <v>6500</v>
      </c>
      <c r="I8" s="7">
        <f t="shared" si="0"/>
        <v>0</v>
      </c>
      <c r="J8" s="7"/>
      <c r="K8" s="7"/>
      <c r="M8" s="7" t="s">
        <v>179</v>
      </c>
      <c r="N8" s="7" t="s">
        <v>204</v>
      </c>
      <c r="O8" s="7"/>
      <c r="P8" s="7"/>
      <c r="Q8" s="7">
        <v>9000</v>
      </c>
      <c r="R8" s="7">
        <f>'MARCH 21'!U8:U35</f>
        <v>0</v>
      </c>
      <c r="S8" s="7">
        <f>O8+P8+Q8+R8</f>
        <v>9000</v>
      </c>
      <c r="T8" s="7">
        <f>9000</f>
        <v>9000</v>
      </c>
      <c r="U8" s="7">
        <f t="shared" si="1"/>
        <v>0</v>
      </c>
      <c r="V8" s="7"/>
      <c r="W8" s="7"/>
    </row>
    <row r="9" spans="1:23" x14ac:dyDescent="0.25">
      <c r="A9" s="7" t="s">
        <v>34</v>
      </c>
      <c r="B9" s="7" t="s">
        <v>230</v>
      </c>
      <c r="C9" s="7"/>
      <c r="D9" s="7"/>
      <c r="E9" s="7">
        <v>7000</v>
      </c>
      <c r="F9" s="7">
        <f>'MARCH 21'!F9:F31</f>
        <v>0</v>
      </c>
      <c r="G9" s="7">
        <f t="shared" ref="G9:G26" si="2">C9+D9+E9+F9</f>
        <v>7000</v>
      </c>
      <c r="H9" s="7">
        <v>7000</v>
      </c>
      <c r="I9" s="7">
        <f t="shared" si="0"/>
        <v>0</v>
      </c>
      <c r="J9" s="7"/>
      <c r="K9" s="7"/>
      <c r="M9" s="7" t="s">
        <v>180</v>
      </c>
      <c r="N9" s="7" t="s">
        <v>205</v>
      </c>
      <c r="O9" s="7"/>
      <c r="P9" s="7"/>
      <c r="Q9" s="7">
        <v>8000</v>
      </c>
      <c r="R9" s="7">
        <f>'MARCH 21'!U9:U36</f>
        <v>47300</v>
      </c>
      <c r="S9" s="7">
        <f t="shared" ref="S9:S31" si="3">O9+P9+Q9+R9</f>
        <v>55300</v>
      </c>
      <c r="T9" s="7">
        <f>8000</f>
        <v>8000</v>
      </c>
      <c r="U9" s="7">
        <f t="shared" si="1"/>
        <v>47300</v>
      </c>
      <c r="V9" s="7"/>
      <c r="W9" s="7"/>
    </row>
    <row r="10" spans="1:23" x14ac:dyDescent="0.25">
      <c r="A10" s="7" t="s">
        <v>35</v>
      </c>
      <c r="B10" s="7" t="s">
        <v>55</v>
      </c>
      <c r="C10" s="7"/>
      <c r="D10" s="7"/>
      <c r="E10" s="7">
        <v>7000</v>
      </c>
      <c r="F10" s="7">
        <f>'MARCH 21'!F10:F32</f>
        <v>1000</v>
      </c>
      <c r="G10" s="7">
        <f t="shared" si="2"/>
        <v>8000</v>
      </c>
      <c r="H10" s="7">
        <v>7000</v>
      </c>
      <c r="I10" s="7">
        <f t="shared" si="0"/>
        <v>1000</v>
      </c>
      <c r="J10" s="7"/>
      <c r="K10" s="7"/>
      <c r="M10" s="7" t="s">
        <v>181</v>
      </c>
      <c r="N10" s="7" t="s">
        <v>206</v>
      </c>
      <c r="O10" s="7"/>
      <c r="P10" s="7"/>
      <c r="Q10" s="7">
        <v>8500</v>
      </c>
      <c r="R10" s="7">
        <f>'MARCH 21'!U10:U37</f>
        <v>11600</v>
      </c>
      <c r="S10" s="7">
        <f t="shared" si="3"/>
        <v>20100</v>
      </c>
      <c r="T10" s="7">
        <f>8500</f>
        <v>8500</v>
      </c>
      <c r="U10" s="7">
        <f t="shared" si="1"/>
        <v>11600</v>
      </c>
      <c r="V10" s="7"/>
      <c r="W10" s="7"/>
    </row>
    <row r="11" spans="1:23" x14ac:dyDescent="0.25">
      <c r="A11" s="7" t="s">
        <v>36</v>
      </c>
      <c r="B11" s="7" t="s">
        <v>56</v>
      </c>
      <c r="C11" s="7"/>
      <c r="D11" s="7"/>
      <c r="E11" s="7">
        <v>7000</v>
      </c>
      <c r="F11" s="7">
        <f>'MARCH 21'!F11:F33</f>
        <v>0</v>
      </c>
      <c r="G11" s="7">
        <f t="shared" si="2"/>
        <v>7000</v>
      </c>
      <c r="H11" s="7">
        <v>7000</v>
      </c>
      <c r="I11" s="7">
        <f t="shared" si="0"/>
        <v>0</v>
      </c>
      <c r="J11" s="7"/>
      <c r="K11" s="7"/>
      <c r="M11" s="7" t="s">
        <v>182</v>
      </c>
      <c r="N11" s="7" t="s">
        <v>207</v>
      </c>
      <c r="O11" s="7"/>
      <c r="P11" s="7"/>
      <c r="Q11" s="7">
        <v>8000</v>
      </c>
      <c r="R11" s="7">
        <f>'MARCH 21'!U11:U38</f>
        <v>6500</v>
      </c>
      <c r="S11" s="7">
        <f t="shared" si="3"/>
        <v>14500</v>
      </c>
      <c r="T11" s="7">
        <f>8000</f>
        <v>8000</v>
      </c>
      <c r="U11" s="7">
        <f t="shared" si="1"/>
        <v>6500</v>
      </c>
      <c r="V11" s="7"/>
      <c r="W11" s="7"/>
    </row>
    <row r="12" spans="1:23" x14ac:dyDescent="0.25">
      <c r="A12" s="7" t="s">
        <v>37</v>
      </c>
      <c r="B12" s="8" t="s">
        <v>65</v>
      </c>
      <c r="C12" s="7"/>
      <c r="D12" s="7"/>
      <c r="E12" s="7">
        <v>4500</v>
      </c>
      <c r="F12" s="7">
        <f>'MARCH 21'!F12:F34</f>
        <v>100</v>
      </c>
      <c r="G12" s="7">
        <f t="shared" si="2"/>
        <v>4600</v>
      </c>
      <c r="H12" s="7">
        <v>4500</v>
      </c>
      <c r="I12" s="7">
        <f t="shared" si="0"/>
        <v>100</v>
      </c>
      <c r="J12" s="7"/>
      <c r="K12" s="7"/>
      <c r="M12" s="7" t="s">
        <v>183</v>
      </c>
      <c r="N12" s="8" t="s">
        <v>208</v>
      </c>
      <c r="O12" s="7"/>
      <c r="P12" s="7"/>
      <c r="Q12" s="7">
        <v>8500</v>
      </c>
      <c r="R12" s="7">
        <f>'MARCH 21'!U12:U39</f>
        <v>0</v>
      </c>
      <c r="S12" s="7">
        <f t="shared" si="3"/>
        <v>8500</v>
      </c>
      <c r="T12" s="7">
        <v>8500</v>
      </c>
      <c r="U12" s="7">
        <f t="shared" si="1"/>
        <v>0</v>
      </c>
      <c r="V12" s="7"/>
      <c r="W12" s="7"/>
    </row>
    <row r="13" spans="1:23" x14ac:dyDescent="0.25">
      <c r="A13" s="7" t="s">
        <v>38</v>
      </c>
      <c r="B13" s="7" t="s">
        <v>92</v>
      </c>
      <c r="C13" s="7"/>
      <c r="D13" s="7">
        <v>5000</v>
      </c>
      <c r="E13" s="7">
        <v>8000</v>
      </c>
      <c r="F13" s="7"/>
      <c r="G13" s="7">
        <f t="shared" si="2"/>
        <v>13000</v>
      </c>
      <c r="H13" s="7">
        <v>8000</v>
      </c>
      <c r="I13" s="7">
        <f t="shared" ref="I13:I21" si="4">G13-H13</f>
        <v>5000</v>
      </c>
      <c r="J13" s="7"/>
      <c r="K13" s="7"/>
      <c r="M13" s="7" t="s">
        <v>184</v>
      </c>
      <c r="N13" s="7"/>
      <c r="O13" s="7"/>
      <c r="P13" s="7"/>
      <c r="Q13" s="7"/>
      <c r="R13" s="7">
        <f>'MARCH 21'!U13:U40</f>
        <v>0</v>
      </c>
      <c r="S13" s="7">
        <f t="shared" si="3"/>
        <v>0</v>
      </c>
      <c r="T13" s="7"/>
      <c r="U13" s="7">
        <f t="shared" ref="U13:U21" si="5">S13-T13</f>
        <v>0</v>
      </c>
      <c r="V13" s="7"/>
      <c r="W13" s="7"/>
    </row>
    <row r="14" spans="1:23" x14ac:dyDescent="0.25">
      <c r="A14" s="7" t="s">
        <v>39</v>
      </c>
      <c r="B14" s="7" t="s">
        <v>70</v>
      </c>
      <c r="C14" s="7"/>
      <c r="D14" s="7"/>
      <c r="E14" s="7">
        <v>6500</v>
      </c>
      <c r="F14" s="7">
        <f>'MARCH 21'!F14:F36</f>
        <v>1500</v>
      </c>
      <c r="G14" s="7">
        <f t="shared" si="2"/>
        <v>8000</v>
      </c>
      <c r="H14" s="7">
        <f>1500+6500</f>
        <v>8000</v>
      </c>
      <c r="I14" s="7">
        <f t="shared" si="4"/>
        <v>0</v>
      </c>
      <c r="J14" s="7"/>
      <c r="K14" s="7"/>
      <c r="M14" s="7" t="s">
        <v>185</v>
      </c>
      <c r="N14" s="7" t="s">
        <v>210</v>
      </c>
      <c r="O14" s="7"/>
      <c r="P14" s="7"/>
      <c r="Q14" s="7">
        <v>5000</v>
      </c>
      <c r="R14" s="7">
        <f>'MARCH 21'!U14:U41</f>
        <v>250</v>
      </c>
      <c r="S14" s="7">
        <f t="shared" si="3"/>
        <v>5250</v>
      </c>
      <c r="T14" s="7">
        <f>5000</f>
        <v>5000</v>
      </c>
      <c r="U14" s="7">
        <f t="shared" si="5"/>
        <v>250</v>
      </c>
      <c r="V14" s="7"/>
      <c r="W14" s="7"/>
    </row>
    <row r="15" spans="1:23" x14ac:dyDescent="0.25">
      <c r="A15" s="7" t="s">
        <v>40</v>
      </c>
      <c r="B15" s="7" t="s">
        <v>174</v>
      </c>
      <c r="C15" s="7"/>
      <c r="D15" s="7"/>
      <c r="E15" s="7">
        <v>7500</v>
      </c>
      <c r="F15" s="7">
        <f>'MARCH 21'!F15:F37</f>
        <v>0</v>
      </c>
      <c r="G15" s="7">
        <f t="shared" si="2"/>
        <v>7500</v>
      </c>
      <c r="H15" s="7">
        <v>7500</v>
      </c>
      <c r="I15" s="7">
        <f t="shared" si="4"/>
        <v>0</v>
      </c>
      <c r="J15" s="7"/>
      <c r="K15" s="7"/>
      <c r="M15" s="7" t="s">
        <v>186</v>
      </c>
      <c r="N15" s="9" t="s">
        <v>233</v>
      </c>
      <c r="O15" s="7"/>
      <c r="P15" s="7"/>
      <c r="Q15" s="7">
        <v>4000</v>
      </c>
      <c r="R15" s="7">
        <f>'MARCH 21'!U15:U42</f>
        <v>0</v>
      </c>
      <c r="S15" s="7">
        <f t="shared" si="3"/>
        <v>4000</v>
      </c>
      <c r="T15" s="7">
        <v>4000</v>
      </c>
      <c r="U15" s="7">
        <f t="shared" si="5"/>
        <v>0</v>
      </c>
      <c r="V15" s="7"/>
      <c r="W15" s="7"/>
    </row>
    <row r="16" spans="1:23" x14ac:dyDescent="0.25">
      <c r="A16" s="7" t="s">
        <v>41</v>
      </c>
      <c r="B16" s="7" t="s">
        <v>58</v>
      </c>
      <c r="C16" s="7"/>
      <c r="D16" s="7"/>
      <c r="E16" s="7">
        <v>7000</v>
      </c>
      <c r="F16" s="7">
        <f>'MARCH 21'!F16:F38</f>
        <v>1500</v>
      </c>
      <c r="G16" s="7">
        <f t="shared" si="2"/>
        <v>8500</v>
      </c>
      <c r="H16" s="7">
        <v>7000</v>
      </c>
      <c r="I16" s="7">
        <f t="shared" si="4"/>
        <v>1500</v>
      </c>
      <c r="J16" s="7"/>
      <c r="K16" s="7"/>
      <c r="M16" s="7" t="s">
        <v>187</v>
      </c>
      <c r="N16" s="7" t="s">
        <v>212</v>
      </c>
      <c r="O16" s="7"/>
      <c r="P16" s="7"/>
      <c r="Q16" s="7">
        <v>4500</v>
      </c>
      <c r="R16" s="7">
        <f>'MARCH 21'!U16:U43</f>
        <v>0</v>
      </c>
      <c r="S16" s="7">
        <f t="shared" si="3"/>
        <v>4500</v>
      </c>
      <c r="T16" s="7">
        <v>4500</v>
      </c>
      <c r="U16" s="7">
        <f t="shared" si="5"/>
        <v>0</v>
      </c>
      <c r="V16" s="7"/>
      <c r="W16" s="7"/>
    </row>
    <row r="17" spans="1:23" x14ac:dyDescent="0.25">
      <c r="A17" s="7" t="s">
        <v>42</v>
      </c>
      <c r="B17" s="7" t="s">
        <v>59</v>
      </c>
      <c r="C17" s="7"/>
      <c r="D17" s="7"/>
      <c r="E17" s="7">
        <v>7000</v>
      </c>
      <c r="F17" s="7">
        <f>'MARCH 21'!F17:F39</f>
        <v>0</v>
      </c>
      <c r="G17" s="7">
        <f t="shared" si="2"/>
        <v>7000</v>
      </c>
      <c r="H17" s="7">
        <f>4000+1000</f>
        <v>5000</v>
      </c>
      <c r="I17" s="7">
        <f t="shared" si="4"/>
        <v>2000</v>
      </c>
      <c r="J17" s="7"/>
      <c r="K17" s="7"/>
      <c r="M17" s="7" t="s">
        <v>188</v>
      </c>
      <c r="N17" s="7" t="s">
        <v>213</v>
      </c>
      <c r="O17" s="7"/>
      <c r="P17" s="7"/>
      <c r="Q17" s="7"/>
      <c r="R17" s="7">
        <f>'MARCH 21'!U17:U44</f>
        <v>24000</v>
      </c>
      <c r="S17" s="7">
        <f>O17+P17+Q17+R17+4000</f>
        <v>28000</v>
      </c>
      <c r="T17" s="7"/>
      <c r="U17" s="7">
        <f t="shared" si="5"/>
        <v>28000</v>
      </c>
      <c r="V17" s="7"/>
      <c r="W17" s="7"/>
    </row>
    <row r="18" spans="1:23" x14ac:dyDescent="0.25">
      <c r="A18" s="7" t="s">
        <v>43</v>
      </c>
      <c r="B18" s="7" t="s">
        <v>60</v>
      </c>
      <c r="C18" s="7"/>
      <c r="D18" s="7"/>
      <c r="E18" s="7"/>
      <c r="F18" s="7">
        <f>'MARCH 21'!F18:F40</f>
        <v>0</v>
      </c>
      <c r="G18" s="7">
        <f t="shared" si="2"/>
        <v>0</v>
      </c>
      <c r="H18" s="7"/>
      <c r="I18" s="7">
        <f t="shared" si="4"/>
        <v>0</v>
      </c>
      <c r="J18" s="7"/>
      <c r="K18" s="7"/>
      <c r="M18" s="7" t="s">
        <v>189</v>
      </c>
      <c r="N18" s="9" t="s">
        <v>209</v>
      </c>
      <c r="O18" s="7"/>
      <c r="P18" s="7"/>
      <c r="Q18" s="7">
        <v>4000</v>
      </c>
      <c r="R18" s="7">
        <f>'MARCH 21'!U18:U45</f>
        <v>0</v>
      </c>
      <c r="S18" s="7">
        <f t="shared" si="3"/>
        <v>4000</v>
      </c>
      <c r="T18" s="7"/>
      <c r="U18" s="7">
        <f t="shared" si="5"/>
        <v>4000</v>
      </c>
      <c r="V18" s="7"/>
      <c r="W18" s="7"/>
    </row>
    <row r="19" spans="1:23" x14ac:dyDescent="0.25">
      <c r="A19" s="7" t="s">
        <v>44</v>
      </c>
      <c r="B19" s="9" t="s">
        <v>118</v>
      </c>
      <c r="C19" s="7"/>
      <c r="D19" s="7"/>
      <c r="E19" s="7">
        <v>8000</v>
      </c>
      <c r="F19" s="7">
        <f>'MARCH 21'!F19:F41</f>
        <v>0</v>
      </c>
      <c r="G19" s="7">
        <f t="shared" si="2"/>
        <v>8000</v>
      </c>
      <c r="H19" s="7">
        <f>8000</f>
        <v>8000</v>
      </c>
      <c r="I19" s="7">
        <f t="shared" si="4"/>
        <v>0</v>
      </c>
      <c r="J19" s="7"/>
      <c r="K19" s="7"/>
      <c r="M19" s="7" t="s">
        <v>190</v>
      </c>
      <c r="N19" s="9" t="s">
        <v>215</v>
      </c>
      <c r="O19" s="7"/>
      <c r="P19" s="7"/>
      <c r="Q19" s="7">
        <v>4000</v>
      </c>
      <c r="R19" s="7">
        <f>'MARCH 21'!U19:U46</f>
        <v>3950</v>
      </c>
      <c r="S19" s="7">
        <f t="shared" si="3"/>
        <v>7950</v>
      </c>
      <c r="T19" s="7">
        <v>4000</v>
      </c>
      <c r="U19" s="7">
        <f t="shared" si="5"/>
        <v>3950</v>
      </c>
      <c r="V19" s="7"/>
      <c r="W19" s="7"/>
    </row>
    <row r="20" spans="1:23" x14ac:dyDescent="0.25">
      <c r="A20" s="7" t="s">
        <v>45</v>
      </c>
      <c r="B20" s="7" t="s">
        <v>175</v>
      </c>
      <c r="C20" s="7"/>
      <c r="D20" s="7"/>
      <c r="E20" s="7">
        <v>7500</v>
      </c>
      <c r="F20" s="7">
        <f>'MARCH 21'!F20:F42</f>
        <v>0</v>
      </c>
      <c r="G20" s="7">
        <f t="shared" si="2"/>
        <v>7500</v>
      </c>
      <c r="H20" s="7">
        <v>7500</v>
      </c>
      <c r="I20" s="7">
        <f t="shared" si="4"/>
        <v>0</v>
      </c>
      <c r="J20" s="7"/>
      <c r="K20" s="7"/>
      <c r="M20" s="7" t="s">
        <v>123</v>
      </c>
      <c r="N20" s="7" t="s">
        <v>231</v>
      </c>
      <c r="O20" s="7"/>
      <c r="P20" s="7"/>
      <c r="Q20" s="7">
        <v>4500</v>
      </c>
      <c r="R20" s="7">
        <f>'MARCH 21'!U20:U47</f>
        <v>0</v>
      </c>
      <c r="S20" s="7">
        <f t="shared" si="3"/>
        <v>4500</v>
      </c>
      <c r="T20" s="7">
        <f>4500</f>
        <v>4500</v>
      </c>
      <c r="U20" s="7">
        <f t="shared" si="5"/>
        <v>0</v>
      </c>
      <c r="V20" s="7"/>
      <c r="W20" s="7"/>
    </row>
    <row r="21" spans="1:23" x14ac:dyDescent="0.25">
      <c r="A21" s="7" t="s">
        <v>46</v>
      </c>
      <c r="B21" s="7" t="s">
        <v>132</v>
      </c>
      <c r="C21" s="7"/>
      <c r="D21" s="7"/>
      <c r="E21" s="7">
        <v>6500</v>
      </c>
      <c r="F21" s="7">
        <f>'MARCH 21'!F21:F43</f>
        <v>500</v>
      </c>
      <c r="G21" s="7">
        <f t="shared" si="2"/>
        <v>7000</v>
      </c>
      <c r="H21" s="7">
        <v>6500</v>
      </c>
      <c r="I21" s="7">
        <f t="shared" si="4"/>
        <v>500</v>
      </c>
      <c r="J21" s="7"/>
      <c r="K21" s="7"/>
      <c r="M21" s="7" t="s">
        <v>191</v>
      </c>
      <c r="N21" s="7" t="s">
        <v>216</v>
      </c>
      <c r="O21" s="7"/>
      <c r="P21" s="7"/>
      <c r="Q21" s="7">
        <v>4500</v>
      </c>
      <c r="R21" s="7">
        <f>'MARCH 21'!U21:U48</f>
        <v>9000</v>
      </c>
      <c r="S21" s="7">
        <f t="shared" si="3"/>
        <v>13500</v>
      </c>
      <c r="T21" s="7">
        <f>4500</f>
        <v>4500</v>
      </c>
      <c r="U21" s="7">
        <f t="shared" si="5"/>
        <v>9000</v>
      </c>
      <c r="V21" s="7"/>
      <c r="W21" s="7"/>
    </row>
    <row r="22" spans="1:23" x14ac:dyDescent="0.25">
      <c r="A22" s="7" t="s">
        <v>47</v>
      </c>
      <c r="B22" s="7" t="s">
        <v>64</v>
      </c>
      <c r="C22" s="7"/>
      <c r="D22" s="7"/>
      <c r="E22" s="7">
        <v>7000</v>
      </c>
      <c r="F22" s="7">
        <f>'MARCH 21'!F22:F44</f>
        <v>0</v>
      </c>
      <c r="G22" s="7">
        <f t="shared" si="2"/>
        <v>7000</v>
      </c>
      <c r="H22">
        <v>7000</v>
      </c>
      <c r="I22" s="7">
        <f>G22-H22</f>
        <v>0</v>
      </c>
      <c r="J22" s="7"/>
      <c r="K22" s="7"/>
      <c r="M22" s="7" t="s">
        <v>192</v>
      </c>
      <c r="N22" s="7" t="s">
        <v>214</v>
      </c>
      <c r="O22" s="7"/>
      <c r="P22" s="7"/>
      <c r="Q22" s="7">
        <v>4000</v>
      </c>
      <c r="R22" s="7">
        <f>'MARCH 21'!U22:U49</f>
        <v>0</v>
      </c>
      <c r="S22" s="7">
        <f t="shared" si="3"/>
        <v>4000</v>
      </c>
      <c r="T22">
        <v>4000</v>
      </c>
      <c r="U22" s="7">
        <f>S22-T22</f>
        <v>0</v>
      </c>
      <c r="V22" s="7"/>
      <c r="W22" s="7"/>
    </row>
    <row r="23" spans="1:23" x14ac:dyDescent="0.25">
      <c r="A23" s="7" t="s">
        <v>66</v>
      </c>
      <c r="B23" s="7" t="s">
        <v>61</v>
      </c>
      <c r="C23" s="7"/>
      <c r="D23" s="7"/>
      <c r="E23" s="7">
        <v>8000</v>
      </c>
      <c r="F23" s="7">
        <f>'MARCH 21'!F23:F45</f>
        <v>0</v>
      </c>
      <c r="G23" s="7">
        <f t="shared" si="2"/>
        <v>8000</v>
      </c>
      <c r="H23" s="7">
        <v>8000</v>
      </c>
      <c r="I23" s="7">
        <f>G23-H23</f>
        <v>0</v>
      </c>
      <c r="J23" s="7"/>
      <c r="K23" s="7"/>
      <c r="M23" s="7" t="s">
        <v>193</v>
      </c>
      <c r="N23" s="45" t="s">
        <v>252</v>
      </c>
      <c r="O23" s="7"/>
      <c r="P23" s="7"/>
      <c r="Q23" s="7">
        <v>4500</v>
      </c>
      <c r="R23" s="7">
        <f>'MARCH 21'!U23:U50</f>
        <v>0</v>
      </c>
      <c r="S23" s="7">
        <f t="shared" si="3"/>
        <v>4500</v>
      </c>
      <c r="T23" s="7"/>
      <c r="U23" s="7">
        <f>S23-T23</f>
        <v>4500</v>
      </c>
      <c r="V23" s="7"/>
      <c r="W23" s="7"/>
    </row>
    <row r="24" spans="1:23" x14ac:dyDescent="0.25">
      <c r="A24" s="7" t="s">
        <v>48</v>
      </c>
      <c r="B24" s="7" t="s">
        <v>69</v>
      </c>
      <c r="C24" s="7"/>
      <c r="D24" s="7"/>
      <c r="E24" s="7">
        <v>4500</v>
      </c>
      <c r="F24" s="7">
        <f>'MARCH 21'!F24:F46</f>
        <v>0</v>
      </c>
      <c r="G24" s="7">
        <f t="shared" si="2"/>
        <v>4500</v>
      </c>
      <c r="H24" s="7">
        <v>4500</v>
      </c>
      <c r="I24" s="7">
        <f>G24-H24</f>
        <v>0</v>
      </c>
      <c r="J24" s="7"/>
      <c r="K24" s="7"/>
      <c r="M24" s="7" t="s">
        <v>194</v>
      </c>
      <c r="N24" s="7" t="s">
        <v>241</v>
      </c>
      <c r="O24" s="7"/>
      <c r="P24" s="7"/>
      <c r="Q24" s="7">
        <v>4000</v>
      </c>
      <c r="R24" s="7">
        <f>'MARCH 21'!U24:U51</f>
        <v>2300</v>
      </c>
      <c r="S24" s="7">
        <f t="shared" si="3"/>
        <v>6300</v>
      </c>
      <c r="T24" s="7">
        <v>4000</v>
      </c>
      <c r="U24" s="7">
        <f>S24-T24</f>
        <v>2300</v>
      </c>
      <c r="V24" s="7"/>
      <c r="W24" s="7"/>
    </row>
    <row r="25" spans="1:23" x14ac:dyDescent="0.25">
      <c r="A25" s="7" t="s">
        <v>49</v>
      </c>
      <c r="B25" s="7" t="s">
        <v>100</v>
      </c>
      <c r="C25" s="7"/>
      <c r="D25" s="7"/>
      <c r="E25" s="7">
        <v>8000</v>
      </c>
      <c r="F25" s="7">
        <f>'MARCH 21'!F25:F47</f>
        <v>0</v>
      </c>
      <c r="G25" s="7">
        <f t="shared" si="2"/>
        <v>8000</v>
      </c>
      <c r="H25" s="7">
        <f>8000</f>
        <v>8000</v>
      </c>
      <c r="I25" s="7">
        <f>G25-H25</f>
        <v>0</v>
      </c>
      <c r="J25" s="7"/>
      <c r="K25" s="7"/>
      <c r="M25" s="7" t="s">
        <v>195</v>
      </c>
      <c r="N25" s="7" t="s">
        <v>218</v>
      </c>
      <c r="O25" s="7"/>
      <c r="P25" s="7"/>
      <c r="Q25" s="7">
        <v>4000</v>
      </c>
      <c r="R25" s="7">
        <f>'MARCH 21'!U25:U52</f>
        <v>0</v>
      </c>
      <c r="S25" s="7">
        <f t="shared" si="3"/>
        <v>4000</v>
      </c>
      <c r="T25" s="7">
        <f>4000</f>
        <v>4000</v>
      </c>
      <c r="U25" s="7">
        <f>S25-T25</f>
        <v>0</v>
      </c>
      <c r="V25" s="7"/>
      <c r="W25" s="7"/>
    </row>
    <row r="26" spans="1:23" x14ac:dyDescent="0.25">
      <c r="A26" s="7" t="s">
        <v>88</v>
      </c>
      <c r="B26" s="7" t="s">
        <v>110</v>
      </c>
      <c r="C26" s="7"/>
      <c r="D26" s="7"/>
      <c r="E26" s="7">
        <v>7000</v>
      </c>
      <c r="F26" s="7">
        <f>'MARCH 21'!F26:F48</f>
        <v>51100</v>
      </c>
      <c r="G26" s="7">
        <f t="shared" si="2"/>
        <v>58100</v>
      </c>
      <c r="H26" s="7">
        <f>2000+4000+6000</f>
        <v>12000</v>
      </c>
      <c r="I26" s="7">
        <f>G26-H26</f>
        <v>46100</v>
      </c>
      <c r="J26" s="7"/>
      <c r="K26" s="7"/>
      <c r="M26" s="7" t="s">
        <v>196</v>
      </c>
      <c r="N26" s="7" t="s">
        <v>219</v>
      </c>
      <c r="O26" s="7"/>
      <c r="P26" s="7"/>
      <c r="Q26" s="7">
        <v>4000</v>
      </c>
      <c r="R26" s="7">
        <f>'MARCH 21'!U26:U53</f>
        <v>5600</v>
      </c>
      <c r="S26" s="7">
        <f t="shared" si="3"/>
        <v>9600</v>
      </c>
      <c r="T26" s="7">
        <f>6000+3600</f>
        <v>9600</v>
      </c>
      <c r="U26" s="7">
        <f t="shared" ref="U26:U31" si="6">S26-T26</f>
        <v>0</v>
      </c>
      <c r="V26" s="7">
        <v>1600</v>
      </c>
      <c r="W26" s="7"/>
    </row>
    <row r="27" spans="1:23" x14ac:dyDescent="0.25">
      <c r="A27" s="6"/>
      <c r="B27" s="10" t="s">
        <v>12</v>
      </c>
      <c r="C27" s="10">
        <f>SUM(C4:C5)</f>
        <v>0</v>
      </c>
      <c r="D27" s="10">
        <f>SUM(D5:D26)</f>
        <v>7500</v>
      </c>
      <c r="E27" s="6">
        <f>SUM(E5:E26)</f>
        <v>139500</v>
      </c>
      <c r="F27" s="7">
        <f>'MARCH 21'!F27:F49</f>
        <v>64100</v>
      </c>
      <c r="G27" s="7">
        <f>C27+D27+E27+F27</f>
        <v>211100</v>
      </c>
      <c r="H27" s="6">
        <f>SUM(H5:H26)</f>
        <v>144900</v>
      </c>
      <c r="I27" s="6">
        <f>SUM(I5:I26)</f>
        <v>58700</v>
      </c>
      <c r="J27" s="6">
        <f>SUM(J5:J26)</f>
        <v>0</v>
      </c>
      <c r="K27" s="6">
        <f>SUM(K5:K26)</f>
        <v>0</v>
      </c>
      <c r="M27" s="7" t="s">
        <v>197</v>
      </c>
      <c r="N27" s="7" t="s">
        <v>220</v>
      </c>
      <c r="O27" s="7"/>
      <c r="P27" s="7"/>
      <c r="Q27" s="7">
        <v>10000</v>
      </c>
      <c r="R27" s="7">
        <f>'MARCH 21'!U27:U54</f>
        <v>0</v>
      </c>
      <c r="S27" s="7">
        <f t="shared" si="3"/>
        <v>10000</v>
      </c>
      <c r="T27" s="7">
        <v>10000</v>
      </c>
      <c r="U27" s="7">
        <f t="shared" si="6"/>
        <v>0</v>
      </c>
      <c r="V27" s="7"/>
      <c r="W27" s="7"/>
    </row>
    <row r="28" spans="1:23" x14ac:dyDescent="0.25">
      <c r="A28" s="11"/>
      <c r="F28" s="7"/>
      <c r="I28" s="8">
        <f>I27-46100</f>
        <v>12600</v>
      </c>
      <c r="M28" s="7" t="s">
        <v>198</v>
      </c>
      <c r="N28" s="7" t="s">
        <v>221</v>
      </c>
      <c r="O28" s="7"/>
      <c r="P28" s="7"/>
      <c r="Q28" s="7">
        <v>8000</v>
      </c>
      <c r="R28" s="7">
        <f>'MARCH 21'!U28:U55</f>
        <v>13400</v>
      </c>
      <c r="S28" s="7">
        <f t="shared" si="3"/>
        <v>21400</v>
      </c>
      <c r="T28" s="7">
        <f>8000</f>
        <v>8000</v>
      </c>
      <c r="U28" s="7">
        <f t="shared" si="6"/>
        <v>13400</v>
      </c>
      <c r="V28" s="7"/>
      <c r="W28" s="7">
        <v>200</v>
      </c>
    </row>
    <row r="29" spans="1:23" ht="18.75" x14ac:dyDescent="0.3">
      <c r="B29" s="12" t="s">
        <v>13</v>
      </c>
      <c r="C29" s="44" t="s">
        <v>227</v>
      </c>
      <c r="D29" s="13"/>
      <c r="E29" s="13"/>
      <c r="F29" s="44" t="s">
        <v>228</v>
      </c>
      <c r="G29" s="13"/>
      <c r="H29" s="14"/>
      <c r="I29" s="14"/>
      <c r="M29" s="7" t="s">
        <v>199</v>
      </c>
      <c r="N29" s="7" t="s">
        <v>222</v>
      </c>
      <c r="O29" s="7"/>
      <c r="P29" s="7"/>
      <c r="Q29" s="7">
        <v>8000</v>
      </c>
      <c r="R29" s="7">
        <f>'MARCH 21'!U29:U56</f>
        <v>9800</v>
      </c>
      <c r="S29" s="7">
        <f t="shared" si="3"/>
        <v>17800</v>
      </c>
      <c r="T29" s="7">
        <f>8000</f>
        <v>8000</v>
      </c>
      <c r="U29" s="7">
        <f t="shared" si="6"/>
        <v>9800</v>
      </c>
      <c r="V29" s="7"/>
      <c r="W29" s="7"/>
    </row>
    <row r="30" spans="1:23" ht="15.75" x14ac:dyDescent="0.25">
      <c r="B30" s="15" t="s">
        <v>14</v>
      </c>
      <c r="C30" s="15" t="s">
        <v>15</v>
      </c>
      <c r="D30" s="15" t="s">
        <v>16</v>
      </c>
      <c r="E30" s="15" t="s">
        <v>17</v>
      </c>
      <c r="F30" s="15" t="s">
        <v>18</v>
      </c>
      <c r="G30" s="15" t="s">
        <v>15</v>
      </c>
      <c r="H30" s="15" t="s">
        <v>16</v>
      </c>
      <c r="I30" s="15" t="s">
        <v>17</v>
      </c>
      <c r="K30" s="25"/>
      <c r="L30">
        <f>R17+R19+R20+R21+R23+R24+R26+R28+R29</f>
        <v>68050</v>
      </c>
      <c r="M30" s="7" t="s">
        <v>200</v>
      </c>
      <c r="N30" s="7" t="s">
        <v>223</v>
      </c>
      <c r="O30" s="7"/>
      <c r="P30" s="7"/>
      <c r="Q30" s="7">
        <v>5000</v>
      </c>
      <c r="R30" s="7">
        <f>'MARCH 21'!U30:U57</f>
        <v>0</v>
      </c>
      <c r="S30" s="7">
        <f t="shared" si="3"/>
        <v>5000</v>
      </c>
      <c r="T30" s="7">
        <v>5000</v>
      </c>
      <c r="U30" s="7">
        <f t="shared" si="6"/>
        <v>0</v>
      </c>
      <c r="V30" s="7"/>
      <c r="W30" s="7"/>
    </row>
    <row r="31" spans="1:23" x14ac:dyDescent="0.25">
      <c r="B31" s="9" t="s">
        <v>113</v>
      </c>
      <c r="C31" s="16">
        <f>E27</f>
        <v>139500</v>
      </c>
      <c r="D31" s="17">
        <v>0.1</v>
      </c>
      <c r="E31" s="16"/>
      <c r="F31" s="18" t="s">
        <v>113</v>
      </c>
      <c r="G31" s="16">
        <f>H27</f>
        <v>144900</v>
      </c>
      <c r="H31" s="17">
        <v>0.1</v>
      </c>
      <c r="I31" s="9"/>
      <c r="K31">
        <f>R7+R9+R10+R11+R14+R15+R16</f>
        <v>66650</v>
      </c>
      <c r="M31" s="7" t="s">
        <v>201</v>
      </c>
      <c r="N31" s="7" t="s">
        <v>224</v>
      </c>
      <c r="O31" s="7"/>
      <c r="P31" s="7"/>
      <c r="Q31" s="7">
        <v>7500</v>
      </c>
      <c r="R31" s="7">
        <f>'MARCH 21'!U31:U58</f>
        <v>51400</v>
      </c>
      <c r="S31" s="7">
        <f t="shared" si="3"/>
        <v>58900</v>
      </c>
      <c r="T31" s="7">
        <f>4900+400</f>
        <v>5300</v>
      </c>
      <c r="U31" s="7">
        <f t="shared" si="6"/>
        <v>53600</v>
      </c>
      <c r="V31" s="7"/>
      <c r="W31" s="7"/>
    </row>
    <row r="32" spans="1:23" x14ac:dyDescent="0.25">
      <c r="B32" s="9" t="s">
        <v>20</v>
      </c>
      <c r="C32" s="16">
        <f>'MARCH 21'!E45</f>
        <v>0</v>
      </c>
      <c r="D32" s="9"/>
      <c r="E32" s="9"/>
      <c r="F32" s="9" t="s">
        <v>20</v>
      </c>
      <c r="G32" s="16">
        <f>'MARCH 21'!I45</f>
        <v>-7500</v>
      </c>
      <c r="H32" s="9"/>
      <c r="I32" s="9"/>
      <c r="K32" s="26"/>
      <c r="M32" s="6"/>
      <c r="N32" s="10" t="s">
        <v>12</v>
      </c>
      <c r="O32" s="10">
        <f>SUM(O4:O5)</f>
        <v>0</v>
      </c>
      <c r="P32" s="10">
        <f t="shared" ref="P32:W32" si="7">SUM(P5:P31)</f>
        <v>0</v>
      </c>
      <c r="Q32" s="6">
        <f>SUM(Q5:Q31)</f>
        <v>147000</v>
      </c>
      <c r="R32" s="7">
        <f>'MARCH 21'!U32:U59</f>
        <v>186100</v>
      </c>
      <c r="S32" s="7">
        <f t="shared" si="7"/>
        <v>337100</v>
      </c>
      <c r="T32" s="6">
        <f t="shared" si="7"/>
        <v>141900</v>
      </c>
      <c r="U32" s="6">
        <f t="shared" si="7"/>
        <v>195200</v>
      </c>
      <c r="V32" s="6">
        <f t="shared" si="7"/>
        <v>1600</v>
      </c>
      <c r="W32" s="6">
        <f t="shared" si="7"/>
        <v>200</v>
      </c>
    </row>
    <row r="33" spans="2:24" x14ac:dyDescent="0.25">
      <c r="B33" s="9" t="s">
        <v>163</v>
      </c>
      <c r="C33" s="16">
        <f>D20+D15+D9</f>
        <v>0</v>
      </c>
      <c r="D33" s="9"/>
      <c r="E33" s="9"/>
      <c r="F33" s="9"/>
      <c r="G33" s="16"/>
      <c r="H33" s="16"/>
      <c r="I33" s="9"/>
      <c r="K33" s="26"/>
      <c r="M33" s="11"/>
      <c r="R33" s="7">
        <f>'JANUARY 21'!U33:U59</f>
        <v>0</v>
      </c>
      <c r="U33" s="8">
        <f>U18+U23</f>
        <v>8500</v>
      </c>
    </row>
    <row r="34" spans="2:24" ht="18.75" x14ac:dyDescent="0.3">
      <c r="B34" s="9" t="s">
        <v>21</v>
      </c>
      <c r="C34" s="16">
        <f>J27</f>
        <v>0</v>
      </c>
      <c r="D34" s="9"/>
      <c r="E34" s="9"/>
      <c r="F34" s="9"/>
      <c r="G34" s="16"/>
      <c r="H34" s="16"/>
      <c r="I34" s="9"/>
      <c r="K34" s="26"/>
      <c r="N34" s="12" t="s">
        <v>13</v>
      </c>
      <c r="O34" s="44" t="s">
        <v>227</v>
      </c>
      <c r="P34" s="13"/>
      <c r="Q34" s="13"/>
      <c r="R34" s="44" t="s">
        <v>228</v>
      </c>
      <c r="S34" s="13"/>
      <c r="T34" s="14"/>
      <c r="U34" s="14"/>
    </row>
    <row r="35" spans="2:24" ht="15.75" x14ac:dyDescent="0.25">
      <c r="B35" s="9" t="s">
        <v>102</v>
      </c>
      <c r="C35" s="16">
        <f>K27</f>
        <v>0</v>
      </c>
      <c r="D35" s="9"/>
      <c r="E35" s="9"/>
      <c r="F35" s="9" t="s">
        <v>102</v>
      </c>
      <c r="G35" s="16">
        <f>K27</f>
        <v>0</v>
      </c>
      <c r="H35" s="9"/>
      <c r="I35" s="9"/>
      <c r="N35" s="15" t="s">
        <v>14</v>
      </c>
      <c r="O35" s="15" t="s">
        <v>226</v>
      </c>
      <c r="P35" s="15" t="s">
        <v>16</v>
      </c>
      <c r="Q35" s="15" t="s">
        <v>17</v>
      </c>
      <c r="R35" s="15" t="s">
        <v>18</v>
      </c>
      <c r="S35" s="15" t="s">
        <v>15</v>
      </c>
      <c r="T35" s="15" t="s">
        <v>16</v>
      </c>
      <c r="U35" s="15" t="s">
        <v>17</v>
      </c>
      <c r="W35" s="25"/>
    </row>
    <row r="36" spans="2:24" x14ac:dyDescent="0.25">
      <c r="B36" s="9" t="s">
        <v>97</v>
      </c>
      <c r="C36" s="16">
        <v>0.3</v>
      </c>
      <c r="D36" s="9"/>
      <c r="E36" s="9"/>
      <c r="F36" s="9" t="s">
        <v>97</v>
      </c>
      <c r="G36" s="16">
        <v>0.3</v>
      </c>
      <c r="H36" s="9">
        <f>D36</f>
        <v>0</v>
      </c>
      <c r="I36" s="9"/>
      <c r="N36" s="9" t="s">
        <v>113</v>
      </c>
      <c r="O36" s="16">
        <f>Q32</f>
        <v>147000</v>
      </c>
      <c r="P36" s="17">
        <v>0.1</v>
      </c>
      <c r="Q36" s="16"/>
      <c r="R36" s="7" t="s">
        <v>113</v>
      </c>
      <c r="S36" s="16">
        <f>T32</f>
        <v>141900</v>
      </c>
      <c r="T36" s="17">
        <v>0.1</v>
      </c>
      <c r="U36" s="9"/>
    </row>
    <row r="37" spans="2:24" x14ac:dyDescent="0.25">
      <c r="B37" s="9" t="s">
        <v>22</v>
      </c>
      <c r="C37" s="18"/>
      <c r="D37" s="9">
        <f>C31*D31</f>
        <v>13950</v>
      </c>
      <c r="E37" s="9"/>
      <c r="F37" s="9" t="s">
        <v>22</v>
      </c>
      <c r="G37" s="18"/>
      <c r="H37" s="9">
        <f>D37</f>
        <v>13950</v>
      </c>
      <c r="I37" s="9"/>
      <c r="N37" s="9" t="s">
        <v>20</v>
      </c>
      <c r="O37" s="16">
        <f>'MARCH 21'!Q50</f>
        <v>3895</v>
      </c>
      <c r="P37" s="9"/>
      <c r="Q37" s="9"/>
      <c r="R37" s="7" t="s">
        <v>6</v>
      </c>
      <c r="S37" s="16">
        <f>'MARCH 21'!U50</f>
        <v>-2205</v>
      </c>
      <c r="T37" s="9"/>
      <c r="U37" s="9"/>
      <c r="W37" s="26"/>
    </row>
    <row r="38" spans="2:24" x14ac:dyDescent="0.25">
      <c r="B38" s="19" t="s">
        <v>23</v>
      </c>
      <c r="C38" s="9"/>
      <c r="D38" s="9"/>
      <c r="E38" s="9"/>
      <c r="F38" s="19" t="s">
        <v>23</v>
      </c>
      <c r="G38" s="9"/>
      <c r="H38" s="9"/>
      <c r="I38" s="9"/>
      <c r="N38" s="9" t="s">
        <v>163</v>
      </c>
      <c r="O38" s="16">
        <f>P32</f>
        <v>0</v>
      </c>
      <c r="P38" s="9"/>
      <c r="Q38" s="9"/>
      <c r="R38" s="9"/>
      <c r="S38" s="16"/>
      <c r="T38" s="16"/>
      <c r="U38" s="9"/>
      <c r="W38" s="26"/>
    </row>
    <row r="39" spans="2:24" x14ac:dyDescent="0.25">
      <c r="B39" s="20" t="s">
        <v>253</v>
      </c>
      <c r="C39" s="9"/>
      <c r="D39" s="9">
        <v>106000</v>
      </c>
      <c r="E39" s="9"/>
      <c r="F39" s="20" t="s">
        <v>253</v>
      </c>
      <c r="G39" s="9"/>
      <c r="H39" s="9">
        <v>106000</v>
      </c>
      <c r="I39" s="9"/>
      <c r="J39" s="26"/>
      <c r="N39" s="9" t="s">
        <v>21</v>
      </c>
      <c r="O39" s="16">
        <f>V32</f>
        <v>1600</v>
      </c>
      <c r="P39" s="9"/>
      <c r="Q39" s="9"/>
      <c r="R39" s="9"/>
      <c r="S39" s="16"/>
      <c r="T39" s="16"/>
      <c r="U39" s="9"/>
      <c r="W39" s="26"/>
    </row>
    <row r="40" spans="2:24" x14ac:dyDescent="0.25">
      <c r="B40" s="7" t="s">
        <v>254</v>
      </c>
      <c r="C40" s="9"/>
      <c r="D40" s="7">
        <v>19550</v>
      </c>
      <c r="E40" s="7"/>
      <c r="F40" s="7" t="s">
        <v>254</v>
      </c>
      <c r="G40" s="9"/>
      <c r="H40" s="7">
        <v>19550</v>
      </c>
      <c r="I40" s="9"/>
      <c r="K40" s="26"/>
      <c r="N40" s="9" t="s">
        <v>102</v>
      </c>
      <c r="O40" s="16">
        <f>W32</f>
        <v>200</v>
      </c>
      <c r="P40" s="9"/>
      <c r="Q40" s="9"/>
      <c r="R40" s="9" t="s">
        <v>102</v>
      </c>
      <c r="S40" s="16">
        <f>O40</f>
        <v>200</v>
      </c>
      <c r="T40" s="9"/>
      <c r="U40" s="9"/>
      <c r="W40" s="26"/>
    </row>
    <row r="41" spans="2:24" x14ac:dyDescent="0.25">
      <c r="B41" s="20"/>
      <c r="C41" s="9"/>
      <c r="D41" s="9"/>
      <c r="E41" s="9"/>
      <c r="F41" s="20"/>
      <c r="G41" s="9"/>
      <c r="H41" s="9"/>
      <c r="I41" s="9"/>
      <c r="K41" s="26"/>
      <c r="N41" s="9" t="s">
        <v>22</v>
      </c>
      <c r="O41" s="18"/>
      <c r="P41" s="9">
        <f>P36*O36</f>
        <v>14700</v>
      </c>
      <c r="Q41" s="9"/>
      <c r="R41" s="9" t="s">
        <v>22</v>
      </c>
      <c r="S41" s="18"/>
      <c r="T41" s="9">
        <f>T36*O36</f>
        <v>14700</v>
      </c>
      <c r="U41" s="9"/>
    </row>
    <row r="42" spans="2:24" x14ac:dyDescent="0.25">
      <c r="B42" s="20"/>
      <c r="C42" s="9"/>
      <c r="D42" s="9"/>
      <c r="E42" s="9"/>
      <c r="F42" s="20"/>
      <c r="G42" s="9"/>
      <c r="H42" s="9"/>
      <c r="I42" s="9"/>
      <c r="K42" s="26"/>
      <c r="N42" s="9"/>
      <c r="O42" s="18"/>
      <c r="P42" s="9"/>
      <c r="Q42" s="9"/>
      <c r="R42" s="9"/>
      <c r="S42" s="18"/>
      <c r="T42" s="9"/>
      <c r="U42" s="9"/>
    </row>
    <row r="43" spans="2:24" x14ac:dyDescent="0.25">
      <c r="B43" s="20"/>
      <c r="C43" s="9"/>
      <c r="D43" s="9"/>
      <c r="E43" s="9"/>
      <c r="F43" s="20"/>
      <c r="G43" s="9"/>
      <c r="H43" s="9"/>
      <c r="I43" s="9"/>
      <c r="K43" s="26"/>
      <c r="N43" s="19" t="s">
        <v>23</v>
      </c>
      <c r="O43" s="9"/>
      <c r="P43" s="9"/>
      <c r="Q43" s="9"/>
      <c r="R43" s="19" t="s">
        <v>23</v>
      </c>
      <c r="S43" s="9"/>
      <c r="T43" s="9"/>
      <c r="U43" s="9"/>
    </row>
    <row r="44" spans="2:24" x14ac:dyDescent="0.25">
      <c r="B44" s="20"/>
      <c r="C44" s="16"/>
      <c r="D44" s="16"/>
      <c r="E44" s="16"/>
      <c r="F44" s="20"/>
      <c r="G44" s="9"/>
      <c r="H44" s="16"/>
      <c r="I44" s="9"/>
      <c r="N44" s="20"/>
      <c r="O44" s="9"/>
      <c r="P44" s="9"/>
      <c r="Q44" s="9"/>
      <c r="R44" s="20"/>
      <c r="S44" s="9"/>
      <c r="T44" s="9"/>
      <c r="U44" s="9"/>
      <c r="V44" s="26"/>
      <c r="W44" s="26"/>
      <c r="X44" s="26"/>
    </row>
    <row r="45" spans="2:24" x14ac:dyDescent="0.25">
      <c r="B45" s="22" t="s">
        <v>12</v>
      </c>
      <c r="C45" s="23">
        <f>C31+C32+C33+C34+C35-D37-D36</f>
        <v>125550</v>
      </c>
      <c r="D45" s="22">
        <f>SUM(D39:D44)</f>
        <v>125550</v>
      </c>
      <c r="E45" s="23">
        <f>C45-D45</f>
        <v>0</v>
      </c>
      <c r="F45" s="24"/>
      <c r="G45" s="23">
        <f>G31+G32+G35-H36-H37</f>
        <v>123450</v>
      </c>
      <c r="H45" s="23">
        <f>SUM(H39:H44)</f>
        <v>125550</v>
      </c>
      <c r="I45" s="23">
        <f>G45-H45</f>
        <v>-2100</v>
      </c>
      <c r="N45" s="7"/>
      <c r="O45" s="21"/>
      <c r="P45" s="7"/>
      <c r="Q45" s="7"/>
      <c r="R45" s="7"/>
      <c r="S45" s="21"/>
      <c r="T45" s="7"/>
      <c r="U45" s="9"/>
      <c r="W45" s="26"/>
    </row>
    <row r="46" spans="2:24" x14ac:dyDescent="0.25">
      <c r="E46" s="26">
        <f>E45-C32</f>
        <v>0</v>
      </c>
      <c r="I46" s="26"/>
      <c r="K46" s="26"/>
      <c r="N46" s="20"/>
      <c r="O46" s="9"/>
      <c r="P46" s="9"/>
      <c r="Q46" s="9"/>
      <c r="R46" s="20"/>
      <c r="S46" s="9"/>
      <c r="T46" s="9"/>
      <c r="U46" s="9"/>
      <c r="W46" s="26"/>
    </row>
    <row r="47" spans="2:24" x14ac:dyDescent="0.25">
      <c r="B47" s="11" t="s">
        <v>24</v>
      </c>
      <c r="D47" s="11" t="s">
        <v>25</v>
      </c>
      <c r="F47" s="11"/>
      <c r="G47" s="11" t="s">
        <v>26</v>
      </c>
      <c r="I47" s="26"/>
      <c r="K47" s="26"/>
      <c r="L47" s="26"/>
      <c r="N47" s="20" t="s">
        <v>253</v>
      </c>
      <c r="O47" s="9"/>
      <c r="P47" s="9">
        <v>111000</v>
      </c>
      <c r="Q47" s="9"/>
      <c r="R47" s="20" t="s">
        <v>253</v>
      </c>
      <c r="S47" s="9"/>
      <c r="T47" s="9">
        <v>111000</v>
      </c>
      <c r="U47" s="9"/>
      <c r="W47" s="26"/>
    </row>
    <row r="48" spans="2:24" x14ac:dyDescent="0.25">
      <c r="B48" t="s">
        <v>27</v>
      </c>
      <c r="D48" s="11" t="s">
        <v>28</v>
      </c>
      <c r="F48" s="11"/>
      <c r="G48" s="11" t="s">
        <v>147</v>
      </c>
      <c r="I48" s="26"/>
      <c r="N48" s="20" t="s">
        <v>254</v>
      </c>
      <c r="O48" s="9"/>
      <c r="P48" s="9">
        <v>11555</v>
      </c>
      <c r="Q48" s="9"/>
      <c r="R48" s="20" t="s">
        <v>254</v>
      </c>
      <c r="S48" s="9"/>
      <c r="T48" s="9">
        <v>11555</v>
      </c>
      <c r="U48" s="9"/>
      <c r="W48" s="26"/>
    </row>
    <row r="49" spans="6:23" x14ac:dyDescent="0.25">
      <c r="N49" s="20"/>
      <c r="O49" s="16"/>
      <c r="P49" s="16"/>
      <c r="Q49" s="16"/>
      <c r="R49" s="20"/>
      <c r="S49" s="16"/>
      <c r="T49" s="16"/>
      <c r="U49" s="9"/>
      <c r="V49" s="26"/>
      <c r="W49" s="26"/>
    </row>
    <row r="50" spans="6:23" x14ac:dyDescent="0.25">
      <c r="F50" s="26"/>
      <c r="I50" s="26"/>
      <c r="J50" s="26"/>
      <c r="N50" s="22" t="s">
        <v>12</v>
      </c>
      <c r="O50" s="23">
        <f>O36+O37+O38+O39+O40-P42-P41</f>
        <v>137995</v>
      </c>
      <c r="P50" s="22">
        <f>SUM(P44:P49)</f>
        <v>122555</v>
      </c>
      <c r="Q50" s="23">
        <f>O50-P50</f>
        <v>15440</v>
      </c>
      <c r="R50" s="24"/>
      <c r="S50" s="23">
        <f>S36+S37+S40-T41</f>
        <v>125195</v>
      </c>
      <c r="T50" s="23">
        <f>SUM(T44:T49)</f>
        <v>122555</v>
      </c>
      <c r="U50" s="23">
        <f>S50-T50</f>
        <v>2640</v>
      </c>
      <c r="W50" s="26"/>
    </row>
    <row r="51" spans="6:23" x14ac:dyDescent="0.25">
      <c r="W51" s="26"/>
    </row>
    <row r="52" spans="6:23" x14ac:dyDescent="0.25">
      <c r="N52" s="11" t="s">
        <v>24</v>
      </c>
      <c r="P52" s="11" t="s">
        <v>25</v>
      </c>
      <c r="R52" s="11"/>
      <c r="S52" s="11" t="s">
        <v>26</v>
      </c>
      <c r="W52" s="26"/>
    </row>
    <row r="53" spans="6:23" x14ac:dyDescent="0.25">
      <c r="N53" t="s">
        <v>27</v>
      </c>
      <c r="P53" s="11" t="s">
        <v>28</v>
      </c>
      <c r="R53" s="11"/>
      <c r="S53" s="11" t="s">
        <v>147</v>
      </c>
      <c r="U53" s="26"/>
    </row>
    <row r="54" spans="6:23" x14ac:dyDescent="0.25">
      <c r="G54" s="26"/>
      <c r="M54" s="26"/>
    </row>
    <row r="55" spans="6:23" x14ac:dyDescent="0.25">
      <c r="I55" s="26"/>
      <c r="J55" s="26"/>
      <c r="K55" s="26"/>
      <c r="M55" s="26"/>
      <c r="Q55" s="26"/>
    </row>
    <row r="56" spans="6:23" x14ac:dyDescent="0.25">
      <c r="I56" s="26"/>
      <c r="L56" s="26"/>
      <c r="Q56" s="26"/>
    </row>
    <row r="57" spans="6:23" x14ac:dyDescent="0.25">
      <c r="Q57" s="26"/>
    </row>
    <row r="59" spans="6:23" x14ac:dyDescent="0.25">
      <c r="S59" s="2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workbookViewId="0"/>
  </sheetViews>
  <sheetFormatPr defaultRowHeight="15" x14ac:dyDescent="0.25"/>
  <sheetData>
    <row r="1" spans="1:23" ht="18.75" x14ac:dyDescent="0.25">
      <c r="E1" s="1" t="s">
        <v>50</v>
      </c>
      <c r="F1" s="2"/>
      <c r="G1" s="3"/>
      <c r="H1" s="4"/>
      <c r="Q1" s="1" t="s">
        <v>229</v>
      </c>
      <c r="R1" s="2"/>
      <c r="S1" s="3"/>
      <c r="T1" s="4"/>
    </row>
    <row r="2" spans="1:23" ht="18.75" x14ac:dyDescent="0.25">
      <c r="E2" s="1" t="s">
        <v>0</v>
      </c>
      <c r="F2" s="1"/>
      <c r="G2" s="5"/>
      <c r="H2" s="5"/>
      <c r="Q2" s="1" t="s">
        <v>0</v>
      </c>
      <c r="R2" s="1"/>
      <c r="S2" s="5"/>
      <c r="T2" s="5"/>
    </row>
    <row r="3" spans="1:23" ht="18.75" x14ac:dyDescent="0.25">
      <c r="E3" s="1" t="s">
        <v>255</v>
      </c>
      <c r="F3" s="1"/>
      <c r="G3" s="5"/>
      <c r="H3" s="5"/>
      <c r="I3" t="s">
        <v>250</v>
      </c>
      <c r="Q3" s="1" t="s">
        <v>255</v>
      </c>
      <c r="R3" s="1"/>
      <c r="S3" s="5"/>
      <c r="T3" s="5"/>
    </row>
    <row r="4" spans="1:23" x14ac:dyDescent="0.25">
      <c r="A4" s="6" t="s">
        <v>2</v>
      </c>
      <c r="B4" s="6" t="s">
        <v>3</v>
      </c>
      <c r="C4" s="6"/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  <c r="K4" s="6" t="s">
        <v>101</v>
      </c>
      <c r="M4" s="6" t="s">
        <v>2</v>
      </c>
      <c r="N4" s="6" t="s">
        <v>3</v>
      </c>
      <c r="O4" s="6"/>
      <c r="P4" s="6" t="s">
        <v>4</v>
      </c>
      <c r="Q4" s="6" t="s">
        <v>5</v>
      </c>
      <c r="R4" s="6" t="s">
        <v>6</v>
      </c>
      <c r="S4" s="6" t="s">
        <v>7</v>
      </c>
      <c r="T4" s="6" t="s">
        <v>8</v>
      </c>
      <c r="U4" s="6" t="s">
        <v>9</v>
      </c>
      <c r="V4" s="6" t="s">
        <v>10</v>
      </c>
      <c r="W4" s="6" t="s">
        <v>101</v>
      </c>
    </row>
    <row r="5" spans="1:23" x14ac:dyDescent="0.25">
      <c r="A5" s="7" t="s">
        <v>30</v>
      </c>
      <c r="B5" s="7" t="s">
        <v>232</v>
      </c>
      <c r="C5" s="7"/>
      <c r="D5" s="7"/>
      <c r="E5" s="7">
        <v>4500</v>
      </c>
      <c r="F5" s="7">
        <f>APRIL21!I5:I26</f>
        <v>0</v>
      </c>
      <c r="G5" s="7">
        <f>C5+D5+E5+F5</f>
        <v>4500</v>
      </c>
      <c r="H5" s="7">
        <v>4500</v>
      </c>
      <c r="I5" s="7">
        <f t="shared" ref="I5:I12" si="0">G5-H5</f>
        <v>0</v>
      </c>
      <c r="J5" s="7"/>
      <c r="K5" s="7"/>
      <c r="M5" s="7" t="s">
        <v>177</v>
      </c>
      <c r="N5" s="9" t="s">
        <v>202</v>
      </c>
      <c r="O5" s="7"/>
      <c r="P5" s="7"/>
      <c r="Q5" s="7">
        <v>7000</v>
      </c>
      <c r="R5" s="7">
        <f>APRIL21!U5:U31</f>
        <v>0</v>
      </c>
      <c r="S5" s="7">
        <f>O5+P5+Q5+R5</f>
        <v>7000</v>
      </c>
      <c r="T5" s="7">
        <f>7000</f>
        <v>7000</v>
      </c>
      <c r="U5" s="7">
        <f t="shared" ref="U5:U12" si="1">S5-T5</f>
        <v>0</v>
      </c>
      <c r="V5" s="7"/>
      <c r="W5" s="7"/>
    </row>
    <row r="6" spans="1:23" x14ac:dyDescent="0.25">
      <c r="A6" s="7" t="s">
        <v>31</v>
      </c>
      <c r="B6" s="7" t="s">
        <v>52</v>
      </c>
      <c r="C6" s="7"/>
      <c r="D6" s="7"/>
      <c r="E6" s="7">
        <v>3000</v>
      </c>
      <c r="F6" s="7">
        <f>APRIL21!I6:I27</f>
        <v>0</v>
      </c>
      <c r="G6" s="7">
        <f>C6+D6+E6+F6</f>
        <v>3000</v>
      </c>
      <c r="H6" s="7">
        <f>3000</f>
        <v>3000</v>
      </c>
      <c r="I6" s="7">
        <f t="shared" si="0"/>
        <v>0</v>
      </c>
      <c r="J6" s="7"/>
      <c r="K6" s="7"/>
      <c r="M6" s="7" t="s">
        <v>88</v>
      </c>
      <c r="N6" s="7"/>
      <c r="O6" s="7"/>
      <c r="P6" s="7"/>
      <c r="Q6" s="7"/>
      <c r="R6" s="7">
        <f>APRIL21!U6:U32</f>
        <v>0</v>
      </c>
      <c r="S6" s="7">
        <f>O6+P6+Q6+R6</f>
        <v>0</v>
      </c>
      <c r="T6" s="7"/>
      <c r="U6" s="7">
        <f t="shared" si="1"/>
        <v>0</v>
      </c>
      <c r="V6" s="7"/>
      <c r="W6" s="7"/>
    </row>
    <row r="7" spans="1:23" x14ac:dyDescent="0.25">
      <c r="A7" s="7" t="s">
        <v>32</v>
      </c>
      <c r="B7" s="7" t="s">
        <v>115</v>
      </c>
      <c r="C7" s="7"/>
      <c r="D7" s="7">
        <v>2500</v>
      </c>
      <c r="E7" s="7">
        <v>7500</v>
      </c>
      <c r="F7" s="7"/>
      <c r="G7" s="7">
        <f>C7+D7+E7+F7</f>
        <v>10000</v>
      </c>
      <c r="H7" s="7">
        <f>7400</f>
        <v>7400</v>
      </c>
      <c r="I7" s="7">
        <f t="shared" si="0"/>
        <v>2600</v>
      </c>
      <c r="J7" s="7"/>
      <c r="K7" s="7"/>
      <c r="M7" s="7" t="s">
        <v>178</v>
      </c>
      <c r="N7" s="7" t="s">
        <v>203</v>
      </c>
      <c r="O7" s="7"/>
      <c r="P7" s="7"/>
      <c r="Q7" s="7">
        <v>8500</v>
      </c>
      <c r="R7" s="7">
        <f>APRIL21!U7:U33</f>
        <v>1000</v>
      </c>
      <c r="S7" s="7">
        <f>O7+P7+Q7+R7</f>
        <v>9500</v>
      </c>
      <c r="T7" s="7">
        <f>8500</f>
        <v>8500</v>
      </c>
      <c r="U7" s="7">
        <f t="shared" si="1"/>
        <v>1000</v>
      </c>
      <c r="V7" s="7"/>
      <c r="W7" s="7"/>
    </row>
    <row r="8" spans="1:23" x14ac:dyDescent="0.25">
      <c r="A8" s="7" t="s">
        <v>33</v>
      </c>
      <c r="B8" s="7" t="s">
        <v>54</v>
      </c>
      <c r="C8" s="7"/>
      <c r="D8" s="7"/>
      <c r="E8" s="7">
        <v>6500</v>
      </c>
      <c r="F8" s="7">
        <f>APRIL21!I8:I29</f>
        <v>0</v>
      </c>
      <c r="G8" s="7">
        <f>C8+D8+E8+F8</f>
        <v>6500</v>
      </c>
      <c r="H8" s="7">
        <f>6500</f>
        <v>6500</v>
      </c>
      <c r="I8" s="7">
        <f t="shared" si="0"/>
        <v>0</v>
      </c>
      <c r="J8" s="7"/>
      <c r="K8" s="7"/>
      <c r="M8" s="7" t="s">
        <v>179</v>
      </c>
      <c r="N8" s="7" t="s">
        <v>204</v>
      </c>
      <c r="O8" s="7"/>
      <c r="P8" s="7"/>
      <c r="Q8" s="7">
        <v>9000</v>
      </c>
      <c r="R8" s="7">
        <f>APRIL21!U8:U34</f>
        <v>0</v>
      </c>
      <c r="S8" s="7">
        <f>O8+P8+Q8+R8</f>
        <v>9000</v>
      </c>
      <c r="T8" s="7">
        <f>9000</f>
        <v>9000</v>
      </c>
      <c r="U8" s="7">
        <f t="shared" si="1"/>
        <v>0</v>
      </c>
      <c r="V8" s="7"/>
      <c r="W8" s="7"/>
    </row>
    <row r="9" spans="1:23" x14ac:dyDescent="0.25">
      <c r="A9" s="7" t="s">
        <v>34</v>
      </c>
      <c r="B9" s="7" t="s">
        <v>230</v>
      </c>
      <c r="C9" s="7"/>
      <c r="D9" s="7"/>
      <c r="E9" s="7">
        <v>7000</v>
      </c>
      <c r="F9" s="7">
        <f>APRIL21!I9:I30</f>
        <v>0</v>
      </c>
      <c r="G9" s="7">
        <f t="shared" ref="G9:G26" si="2">C9+D9+E9+F9</f>
        <v>7000</v>
      </c>
      <c r="H9" s="7">
        <f>7000</f>
        <v>7000</v>
      </c>
      <c r="I9" s="7">
        <f t="shared" si="0"/>
        <v>0</v>
      </c>
      <c r="J9" s="7"/>
      <c r="K9" s="7"/>
      <c r="M9" s="7" t="s">
        <v>180</v>
      </c>
      <c r="N9" s="7" t="s">
        <v>205</v>
      </c>
      <c r="O9" s="7"/>
      <c r="P9" s="7"/>
      <c r="Q9" s="7">
        <v>8000</v>
      </c>
      <c r="R9" s="7">
        <f>APRIL21!U9:U35</f>
        <v>47300</v>
      </c>
      <c r="S9" s="7">
        <f t="shared" ref="S9:S31" si="3">O9+P9+Q9+R9</f>
        <v>55300</v>
      </c>
      <c r="T9" s="7">
        <f>13000</f>
        <v>13000</v>
      </c>
      <c r="U9" s="7">
        <f t="shared" si="1"/>
        <v>42300</v>
      </c>
      <c r="V9" s="7">
        <v>5000</v>
      </c>
      <c r="W9" s="7"/>
    </row>
    <row r="10" spans="1:23" x14ac:dyDescent="0.25">
      <c r="A10" s="7" t="s">
        <v>35</v>
      </c>
      <c r="B10" s="7" t="s">
        <v>55</v>
      </c>
      <c r="C10" s="7"/>
      <c r="D10" s="7"/>
      <c r="E10" s="7">
        <v>7000</v>
      </c>
      <c r="F10" s="7">
        <f>APRIL21!I10:I31</f>
        <v>1000</v>
      </c>
      <c r="G10" s="7">
        <f t="shared" si="2"/>
        <v>8000</v>
      </c>
      <c r="H10" s="7">
        <f>7000</f>
        <v>7000</v>
      </c>
      <c r="I10" s="7">
        <f t="shared" si="0"/>
        <v>1000</v>
      </c>
      <c r="J10" s="7"/>
      <c r="K10" s="7"/>
      <c r="M10" s="7" t="s">
        <v>181</v>
      </c>
      <c r="N10" s="7" t="s">
        <v>206</v>
      </c>
      <c r="O10" s="7"/>
      <c r="P10" s="7"/>
      <c r="Q10" s="7">
        <v>8500</v>
      </c>
      <c r="R10" s="7">
        <f>APRIL21!U10:U36</f>
        <v>11600</v>
      </c>
      <c r="S10" s="7">
        <f t="shared" si="3"/>
        <v>20100</v>
      </c>
      <c r="T10" s="7">
        <f>8500</f>
        <v>8500</v>
      </c>
      <c r="U10" s="7">
        <f t="shared" si="1"/>
        <v>11600</v>
      </c>
      <c r="V10" s="7"/>
      <c r="W10" s="7"/>
    </row>
    <row r="11" spans="1:23" x14ac:dyDescent="0.25">
      <c r="A11" s="7" t="s">
        <v>36</v>
      </c>
      <c r="B11" s="7" t="s">
        <v>56</v>
      </c>
      <c r="C11" s="7"/>
      <c r="D11" s="7"/>
      <c r="E11" s="7">
        <v>7000</v>
      </c>
      <c r="F11" s="7">
        <f>APRIL21!I11:I32</f>
        <v>0</v>
      </c>
      <c r="G11" s="7">
        <f t="shared" si="2"/>
        <v>7000</v>
      </c>
      <c r="H11" s="7">
        <f>7000</f>
        <v>7000</v>
      </c>
      <c r="I11" s="7">
        <f t="shared" si="0"/>
        <v>0</v>
      </c>
      <c r="J11" s="7"/>
      <c r="K11" s="7"/>
      <c r="M11" s="7" t="s">
        <v>182</v>
      </c>
      <c r="N11" s="7" t="s">
        <v>207</v>
      </c>
      <c r="O11" s="7"/>
      <c r="P11" s="7"/>
      <c r="Q11" s="7">
        <v>8000</v>
      </c>
      <c r="R11" s="7">
        <f>APRIL21!U11:U37</f>
        <v>6500</v>
      </c>
      <c r="S11" s="7">
        <f t="shared" si="3"/>
        <v>14500</v>
      </c>
      <c r="T11" s="7">
        <v>8000</v>
      </c>
      <c r="U11" s="7">
        <f t="shared" si="1"/>
        <v>6500</v>
      </c>
      <c r="V11" s="7"/>
      <c r="W11" s="7"/>
    </row>
    <row r="12" spans="1:23" x14ac:dyDescent="0.25">
      <c r="A12" s="7" t="s">
        <v>37</v>
      </c>
      <c r="B12" s="8" t="s">
        <v>65</v>
      </c>
      <c r="C12" s="7"/>
      <c r="D12" s="7"/>
      <c r="E12" s="7">
        <v>4500</v>
      </c>
      <c r="F12" s="7">
        <f>APRIL21!I12:I33</f>
        <v>100</v>
      </c>
      <c r="G12" s="7">
        <f t="shared" si="2"/>
        <v>4600</v>
      </c>
      <c r="H12" s="7">
        <f>4500</f>
        <v>4500</v>
      </c>
      <c r="I12" s="7">
        <f t="shared" si="0"/>
        <v>100</v>
      </c>
      <c r="J12" s="7"/>
      <c r="K12" s="7"/>
      <c r="M12" s="7" t="s">
        <v>183</v>
      </c>
      <c r="N12" s="8" t="s">
        <v>208</v>
      </c>
      <c r="O12" s="7"/>
      <c r="P12" s="7"/>
      <c r="Q12" s="7">
        <v>8500</v>
      </c>
      <c r="R12" s="7">
        <f>APRIL21!U12:U38</f>
        <v>0</v>
      </c>
      <c r="S12" s="7">
        <f t="shared" si="3"/>
        <v>8500</v>
      </c>
      <c r="T12" s="7">
        <v>8500</v>
      </c>
      <c r="U12" s="7">
        <f t="shared" si="1"/>
        <v>0</v>
      </c>
      <c r="V12" s="7"/>
      <c r="W12" s="7"/>
    </row>
    <row r="13" spans="1:23" x14ac:dyDescent="0.25">
      <c r="A13" s="7" t="s">
        <v>38</v>
      </c>
      <c r="B13" s="7" t="s">
        <v>92</v>
      </c>
      <c r="C13" s="7"/>
      <c r="D13" s="7">
        <v>5000</v>
      </c>
      <c r="E13" s="7">
        <v>8000</v>
      </c>
      <c r="F13" s="7"/>
      <c r="G13" s="7">
        <f t="shared" si="2"/>
        <v>13000</v>
      </c>
      <c r="H13" s="7">
        <f>8000</f>
        <v>8000</v>
      </c>
      <c r="I13" s="7">
        <f t="shared" ref="I13:I21" si="4">G13-H13</f>
        <v>5000</v>
      </c>
      <c r="J13" s="7"/>
      <c r="K13" s="7"/>
      <c r="M13" s="7" t="s">
        <v>184</v>
      </c>
      <c r="N13" s="7" t="s">
        <v>252</v>
      </c>
      <c r="O13" s="7"/>
      <c r="P13" s="7"/>
      <c r="Q13" s="7">
        <v>3500</v>
      </c>
      <c r="R13" s="7">
        <f>APRIL21!U13:U39</f>
        <v>0</v>
      </c>
      <c r="S13" s="7">
        <f t="shared" si="3"/>
        <v>3500</v>
      </c>
      <c r="T13" s="7">
        <v>3500</v>
      </c>
      <c r="U13" s="7">
        <f t="shared" ref="U13:U21" si="5">S13-T13</f>
        <v>0</v>
      </c>
      <c r="V13" s="7"/>
      <c r="W13" s="7"/>
    </row>
    <row r="14" spans="1:23" x14ac:dyDescent="0.25">
      <c r="A14" s="7" t="s">
        <v>39</v>
      </c>
      <c r="B14" s="7" t="s">
        <v>70</v>
      </c>
      <c r="C14" s="7"/>
      <c r="D14" s="7"/>
      <c r="E14" s="7">
        <v>6500</v>
      </c>
      <c r="F14" s="7">
        <f>APRIL21!I14:I35</f>
        <v>0</v>
      </c>
      <c r="G14" s="7">
        <f t="shared" si="2"/>
        <v>6500</v>
      </c>
      <c r="H14" s="7">
        <v>6500</v>
      </c>
      <c r="I14" s="7">
        <f t="shared" si="4"/>
        <v>0</v>
      </c>
      <c r="J14" s="7"/>
      <c r="K14" s="7"/>
      <c r="M14" s="7" t="s">
        <v>185</v>
      </c>
      <c r="N14" s="7" t="s">
        <v>210</v>
      </c>
      <c r="O14" s="7"/>
      <c r="P14" s="7"/>
      <c r="Q14" s="7">
        <v>5000</v>
      </c>
      <c r="R14" s="7">
        <f>APRIL21!U14:U40</f>
        <v>250</v>
      </c>
      <c r="S14" s="7">
        <f t="shared" si="3"/>
        <v>5250</v>
      </c>
      <c r="T14" s="7">
        <f>5000</f>
        <v>5000</v>
      </c>
      <c r="U14" s="7">
        <f t="shared" si="5"/>
        <v>250</v>
      </c>
      <c r="V14" s="7"/>
      <c r="W14" s="7"/>
    </row>
    <row r="15" spans="1:23" x14ac:dyDescent="0.25">
      <c r="A15" s="7" t="s">
        <v>40</v>
      </c>
      <c r="B15" s="7" t="s">
        <v>174</v>
      </c>
      <c r="C15" s="7"/>
      <c r="D15" s="7"/>
      <c r="E15" s="7">
        <v>7500</v>
      </c>
      <c r="F15" s="7">
        <f>APRIL21!I15:I36</f>
        <v>0</v>
      </c>
      <c r="G15" s="7">
        <f t="shared" si="2"/>
        <v>7500</v>
      </c>
      <c r="H15" s="7">
        <v>7500</v>
      </c>
      <c r="I15" s="7">
        <f t="shared" si="4"/>
        <v>0</v>
      </c>
      <c r="J15" s="7"/>
      <c r="K15" s="7"/>
      <c r="M15" s="7" t="s">
        <v>186</v>
      </c>
      <c r="N15" s="9" t="s">
        <v>233</v>
      </c>
      <c r="O15" s="7"/>
      <c r="P15" s="7"/>
      <c r="Q15" s="7">
        <v>4000</v>
      </c>
      <c r="R15" s="7">
        <f>APRIL21!U15:U41</f>
        <v>0</v>
      </c>
      <c r="S15" s="7">
        <f t="shared" si="3"/>
        <v>4000</v>
      </c>
      <c r="T15" s="7">
        <f>4000</f>
        <v>4000</v>
      </c>
      <c r="U15" s="7">
        <f t="shared" si="5"/>
        <v>0</v>
      </c>
      <c r="V15" s="7"/>
      <c r="W15" s="7"/>
    </row>
    <row r="16" spans="1:23" x14ac:dyDescent="0.25">
      <c r="A16" s="7" t="s">
        <v>41</v>
      </c>
      <c r="B16" s="7" t="s">
        <v>58</v>
      </c>
      <c r="C16" s="7"/>
      <c r="D16" s="7"/>
      <c r="E16" s="7">
        <v>7000</v>
      </c>
      <c r="F16" s="7">
        <f>APRIL21!I16:I37</f>
        <v>1500</v>
      </c>
      <c r="G16" s="7">
        <f t="shared" si="2"/>
        <v>8500</v>
      </c>
      <c r="H16" s="7">
        <v>7000</v>
      </c>
      <c r="I16" s="7">
        <f t="shared" si="4"/>
        <v>1500</v>
      </c>
      <c r="J16" s="7"/>
      <c r="K16" s="7"/>
      <c r="M16" s="7" t="s">
        <v>187</v>
      </c>
      <c r="N16" s="7" t="s">
        <v>212</v>
      </c>
      <c r="O16" s="7"/>
      <c r="P16" s="7"/>
      <c r="Q16" s="7">
        <v>4500</v>
      </c>
      <c r="R16" s="7">
        <f>APRIL21!U16:U42</f>
        <v>0</v>
      </c>
      <c r="S16" s="7">
        <f t="shared" si="3"/>
        <v>4500</v>
      </c>
      <c r="T16" s="7">
        <f>4500</f>
        <v>4500</v>
      </c>
      <c r="U16" s="7">
        <f t="shared" si="5"/>
        <v>0</v>
      </c>
      <c r="V16" s="7"/>
      <c r="W16" s="7"/>
    </row>
    <row r="17" spans="1:23" x14ac:dyDescent="0.25">
      <c r="A17" s="7" t="s">
        <v>42</v>
      </c>
      <c r="B17" s="7" t="s">
        <v>59</v>
      </c>
      <c r="C17" s="7"/>
      <c r="D17" s="7"/>
      <c r="E17" s="7">
        <v>7000</v>
      </c>
      <c r="F17" s="7">
        <f>APRIL21!I17:I38</f>
        <v>2000</v>
      </c>
      <c r="G17" s="7">
        <f t="shared" si="2"/>
        <v>9000</v>
      </c>
      <c r="H17" s="7">
        <f>4000</f>
        <v>4000</v>
      </c>
      <c r="I17" s="7">
        <f t="shared" si="4"/>
        <v>5000</v>
      </c>
      <c r="J17" s="7"/>
      <c r="K17" s="7"/>
      <c r="M17" s="7" t="s">
        <v>188</v>
      </c>
      <c r="N17" s="7" t="s">
        <v>213</v>
      </c>
      <c r="O17" s="7"/>
      <c r="P17" s="7"/>
      <c r="Q17" s="7"/>
      <c r="R17" s="7">
        <f>APRIL21!U17:U43</f>
        <v>28000</v>
      </c>
      <c r="S17" s="7">
        <f>O17+P17+Q17+R17+4000</f>
        <v>32000</v>
      </c>
      <c r="T17" s="7"/>
      <c r="U17" s="7">
        <f t="shared" si="5"/>
        <v>32000</v>
      </c>
      <c r="V17" s="7"/>
      <c r="W17" s="7"/>
    </row>
    <row r="18" spans="1:23" x14ac:dyDescent="0.25">
      <c r="A18" s="7" t="s">
        <v>43</v>
      </c>
      <c r="B18" s="7" t="s">
        <v>60</v>
      </c>
      <c r="C18" s="7"/>
      <c r="D18" s="7"/>
      <c r="E18" s="7"/>
      <c r="F18" s="7">
        <f>APRIL21!I18:I39</f>
        <v>0</v>
      </c>
      <c r="G18" s="7">
        <f t="shared" si="2"/>
        <v>0</v>
      </c>
      <c r="H18" s="7"/>
      <c r="I18" s="7">
        <f t="shared" si="4"/>
        <v>0</v>
      </c>
      <c r="J18" s="7"/>
      <c r="K18" s="7"/>
      <c r="M18" s="7" t="s">
        <v>189</v>
      </c>
      <c r="N18" s="9" t="s">
        <v>209</v>
      </c>
      <c r="O18" s="7"/>
      <c r="P18" s="7"/>
      <c r="Q18" s="7"/>
      <c r="R18" s="7">
        <f>APRIL21!U18:U44</f>
        <v>4000</v>
      </c>
      <c r="S18" s="7">
        <f>O18+P18+Q18+R18+4000</f>
        <v>8000</v>
      </c>
      <c r="T18" s="7"/>
      <c r="U18" s="7">
        <f t="shared" si="5"/>
        <v>8000</v>
      </c>
      <c r="V18" s="7"/>
      <c r="W18" s="7"/>
    </row>
    <row r="19" spans="1:23" x14ac:dyDescent="0.25">
      <c r="A19" s="7" t="s">
        <v>44</v>
      </c>
      <c r="B19" s="9" t="s">
        <v>118</v>
      </c>
      <c r="C19" s="7"/>
      <c r="D19" s="7"/>
      <c r="E19" s="7">
        <v>8000</v>
      </c>
      <c r="F19" s="7">
        <f>APRIL21!I19:I40</f>
        <v>0</v>
      </c>
      <c r="G19" s="7">
        <f t="shared" si="2"/>
        <v>8000</v>
      </c>
      <c r="H19" s="7">
        <f>8000</f>
        <v>8000</v>
      </c>
      <c r="I19" s="7">
        <f t="shared" si="4"/>
        <v>0</v>
      </c>
      <c r="J19" s="7"/>
      <c r="K19" s="7"/>
      <c r="M19" s="7" t="s">
        <v>190</v>
      </c>
      <c r="N19" s="9" t="s">
        <v>215</v>
      </c>
      <c r="O19" s="7"/>
      <c r="P19" s="7"/>
      <c r="Q19" s="7">
        <v>4000</v>
      </c>
      <c r="R19" s="7">
        <f>APRIL21!U19:U45</f>
        <v>3950</v>
      </c>
      <c r="S19" s="7">
        <f t="shared" si="3"/>
        <v>7950</v>
      </c>
      <c r="T19" s="7">
        <f>4000</f>
        <v>4000</v>
      </c>
      <c r="U19" s="7">
        <f t="shared" si="5"/>
        <v>3950</v>
      </c>
      <c r="V19" s="7"/>
      <c r="W19" s="7"/>
    </row>
    <row r="20" spans="1:23" x14ac:dyDescent="0.25">
      <c r="A20" s="7" t="s">
        <v>45</v>
      </c>
      <c r="B20" s="7" t="s">
        <v>175</v>
      </c>
      <c r="C20" s="7"/>
      <c r="D20" s="7"/>
      <c r="E20" s="7">
        <v>7500</v>
      </c>
      <c r="F20" s="7">
        <f>APRIL21!I20:I41</f>
        <v>0</v>
      </c>
      <c r="G20" s="7">
        <f t="shared" si="2"/>
        <v>7500</v>
      </c>
      <c r="H20" s="7">
        <v>7500</v>
      </c>
      <c r="I20" s="7">
        <f t="shared" si="4"/>
        <v>0</v>
      </c>
      <c r="J20" s="7"/>
      <c r="K20" s="7"/>
      <c r="M20" s="7" t="s">
        <v>123</v>
      </c>
      <c r="N20" s="7" t="s">
        <v>231</v>
      </c>
      <c r="O20" s="7"/>
      <c r="P20" s="7"/>
      <c r="Q20" s="7">
        <v>4500</v>
      </c>
      <c r="R20" s="7">
        <f>APRIL21!U20:U46</f>
        <v>0</v>
      </c>
      <c r="S20" s="7">
        <f t="shared" si="3"/>
        <v>4500</v>
      </c>
      <c r="T20" s="7">
        <f>4500</f>
        <v>4500</v>
      </c>
      <c r="U20" s="7">
        <f t="shared" si="5"/>
        <v>0</v>
      </c>
      <c r="V20" s="7"/>
      <c r="W20" s="7"/>
    </row>
    <row r="21" spans="1:23" x14ac:dyDescent="0.25">
      <c r="A21" s="7" t="s">
        <v>46</v>
      </c>
      <c r="B21" s="7" t="s">
        <v>132</v>
      </c>
      <c r="C21" s="7"/>
      <c r="D21" s="7"/>
      <c r="E21" s="7">
        <v>6500</v>
      </c>
      <c r="F21" s="7">
        <f>APRIL21!I21:I42</f>
        <v>500</v>
      </c>
      <c r="G21" s="7">
        <f t="shared" si="2"/>
        <v>7000</v>
      </c>
      <c r="H21" s="7">
        <v>6500</v>
      </c>
      <c r="I21" s="7">
        <f t="shared" si="4"/>
        <v>500</v>
      </c>
      <c r="J21" s="7"/>
      <c r="K21" s="7"/>
      <c r="M21" s="7" t="s">
        <v>191</v>
      </c>
      <c r="N21" s="7" t="s">
        <v>216</v>
      </c>
      <c r="O21" s="7"/>
      <c r="P21" s="7"/>
      <c r="Q21" s="7">
        <v>4500</v>
      </c>
      <c r="R21" s="7">
        <f>APRIL21!U21:U47</f>
        <v>9000</v>
      </c>
      <c r="S21" s="7">
        <f t="shared" si="3"/>
        <v>13500</v>
      </c>
      <c r="T21" s="7">
        <f>2000</f>
        <v>2000</v>
      </c>
      <c r="U21" s="7">
        <f t="shared" si="5"/>
        <v>11500</v>
      </c>
      <c r="V21" s="7"/>
      <c r="W21" s="7"/>
    </row>
    <row r="22" spans="1:23" x14ac:dyDescent="0.25">
      <c r="A22" s="7" t="s">
        <v>47</v>
      </c>
      <c r="B22" s="7" t="s">
        <v>64</v>
      </c>
      <c r="C22" s="7"/>
      <c r="D22" s="7"/>
      <c r="E22" s="7">
        <v>7000</v>
      </c>
      <c r="F22" s="7">
        <f>APRIL21!I22:I43</f>
        <v>0</v>
      </c>
      <c r="G22" s="7">
        <f t="shared" si="2"/>
        <v>7000</v>
      </c>
      <c r="H22">
        <v>7000</v>
      </c>
      <c r="I22" s="7">
        <f>G22-H22</f>
        <v>0</v>
      </c>
      <c r="J22" s="7"/>
      <c r="K22" s="7"/>
      <c r="M22" s="7" t="s">
        <v>192</v>
      </c>
      <c r="N22" s="7" t="s">
        <v>214</v>
      </c>
      <c r="O22" s="7"/>
      <c r="P22" s="7"/>
      <c r="Q22" s="7">
        <v>4000</v>
      </c>
      <c r="R22" s="7">
        <f>APRIL21!U22:U48</f>
        <v>0</v>
      </c>
      <c r="S22" s="7">
        <f t="shared" si="3"/>
        <v>4000</v>
      </c>
      <c r="T22">
        <v>4000</v>
      </c>
      <c r="U22" s="7">
        <f>S22-T22</f>
        <v>0</v>
      </c>
      <c r="V22" s="7"/>
      <c r="W22" s="7"/>
    </row>
    <row r="23" spans="1:23" x14ac:dyDescent="0.25">
      <c r="A23" s="7" t="s">
        <v>66</v>
      </c>
      <c r="B23" s="7" t="s">
        <v>61</v>
      </c>
      <c r="C23" s="7"/>
      <c r="D23" s="7"/>
      <c r="E23" s="7">
        <v>8000</v>
      </c>
      <c r="F23" s="7">
        <f>APRIL21!I23:I44</f>
        <v>0</v>
      </c>
      <c r="G23" s="7">
        <f t="shared" si="2"/>
        <v>8000</v>
      </c>
      <c r="H23" s="7">
        <f>8000</f>
        <v>8000</v>
      </c>
      <c r="I23" s="7">
        <f>G23-H23</f>
        <v>0</v>
      </c>
      <c r="J23" s="7"/>
      <c r="K23" s="7"/>
      <c r="M23" s="7" t="s">
        <v>193</v>
      </c>
      <c r="N23" s="45" t="s">
        <v>257</v>
      </c>
      <c r="O23" s="7"/>
      <c r="P23" s="7"/>
      <c r="Q23" s="7">
        <v>4500</v>
      </c>
      <c r="R23" s="7">
        <f>APRIL21!U23:U49</f>
        <v>4500</v>
      </c>
      <c r="S23" s="7">
        <f t="shared" si="3"/>
        <v>9000</v>
      </c>
      <c r="T23" s="7">
        <v>4500</v>
      </c>
      <c r="U23" s="7">
        <f>S23-T23</f>
        <v>4500</v>
      </c>
      <c r="V23" s="7"/>
      <c r="W23" s="7"/>
    </row>
    <row r="24" spans="1:23" x14ac:dyDescent="0.25">
      <c r="A24" s="7" t="s">
        <v>48</v>
      </c>
      <c r="B24" s="7" t="s">
        <v>69</v>
      </c>
      <c r="C24" s="7"/>
      <c r="D24" s="7"/>
      <c r="E24" s="7">
        <v>4500</v>
      </c>
      <c r="F24" s="7">
        <f>APRIL21!I24:I45</f>
        <v>0</v>
      </c>
      <c r="G24" s="7">
        <f t="shared" si="2"/>
        <v>4500</v>
      </c>
      <c r="H24" s="7">
        <f>4500</f>
        <v>4500</v>
      </c>
      <c r="I24" s="7">
        <f>G24-H24</f>
        <v>0</v>
      </c>
      <c r="J24" s="7"/>
      <c r="K24" s="7"/>
      <c r="M24" s="7" t="s">
        <v>194</v>
      </c>
      <c r="N24" s="7" t="s">
        <v>256</v>
      </c>
      <c r="O24" s="7"/>
      <c r="P24" s="7"/>
      <c r="Q24" s="7">
        <v>4000</v>
      </c>
      <c r="R24" s="7">
        <f>APRIL21!U24:U50</f>
        <v>2300</v>
      </c>
      <c r="S24" s="7">
        <f t="shared" si="3"/>
        <v>6300</v>
      </c>
      <c r="T24" s="7">
        <v>2000</v>
      </c>
      <c r="U24" s="7">
        <f>S24-T24</f>
        <v>4300</v>
      </c>
      <c r="V24" s="7"/>
      <c r="W24" s="7"/>
    </row>
    <row r="25" spans="1:23" x14ac:dyDescent="0.25">
      <c r="A25" s="7" t="s">
        <v>49</v>
      </c>
      <c r="B25" s="7" t="s">
        <v>100</v>
      </c>
      <c r="C25" s="7"/>
      <c r="D25" s="7"/>
      <c r="E25" s="7">
        <v>8000</v>
      </c>
      <c r="F25" s="7">
        <f>APRIL21!I25:I46</f>
        <v>0</v>
      </c>
      <c r="G25" s="7">
        <f t="shared" si="2"/>
        <v>8000</v>
      </c>
      <c r="H25" s="7">
        <f>8000</f>
        <v>8000</v>
      </c>
      <c r="I25" s="7">
        <f>G25-H25</f>
        <v>0</v>
      </c>
      <c r="J25" s="7"/>
      <c r="K25" s="7"/>
      <c r="M25" s="7" t="s">
        <v>195</v>
      </c>
      <c r="N25" s="7" t="s">
        <v>218</v>
      </c>
      <c r="O25" s="7"/>
      <c r="P25" s="7"/>
      <c r="Q25" s="7">
        <v>4000</v>
      </c>
      <c r="R25" s="7">
        <f>APRIL21!U25:U51</f>
        <v>0</v>
      </c>
      <c r="S25" s="7">
        <f t="shared" si="3"/>
        <v>4000</v>
      </c>
      <c r="T25" s="7">
        <v>4000</v>
      </c>
      <c r="U25" s="7">
        <f>S25-T25</f>
        <v>0</v>
      </c>
      <c r="V25" s="7"/>
      <c r="W25" s="7"/>
    </row>
    <row r="26" spans="1:23" x14ac:dyDescent="0.25">
      <c r="A26" s="7" t="s">
        <v>88</v>
      </c>
      <c r="B26" s="7" t="s">
        <v>110</v>
      </c>
      <c r="C26" s="7"/>
      <c r="D26" s="7"/>
      <c r="E26" s="7">
        <v>7000</v>
      </c>
      <c r="F26" s="7">
        <f>APRIL21!I26:I47</f>
        <v>46100</v>
      </c>
      <c r="G26" s="7">
        <f t="shared" si="2"/>
        <v>53100</v>
      </c>
      <c r="H26" s="7">
        <f>6500</f>
        <v>6500</v>
      </c>
      <c r="I26" s="7">
        <f>G26-H26</f>
        <v>46600</v>
      </c>
      <c r="J26" s="7"/>
      <c r="K26" s="7"/>
      <c r="M26" s="7" t="s">
        <v>196</v>
      </c>
      <c r="N26" s="7" t="s">
        <v>219</v>
      </c>
      <c r="O26" s="7"/>
      <c r="P26" s="7"/>
      <c r="Q26" s="7">
        <v>4000</v>
      </c>
      <c r="R26" s="7">
        <f>APRIL21!U26:U52</f>
        <v>0</v>
      </c>
      <c r="S26" s="7">
        <f t="shared" si="3"/>
        <v>4000</v>
      </c>
      <c r="T26" s="7">
        <f>4000</f>
        <v>4000</v>
      </c>
      <c r="U26" s="7">
        <f t="shared" ref="U26:U31" si="6">S26-T26</f>
        <v>0</v>
      </c>
      <c r="V26" s="7"/>
      <c r="W26" s="7"/>
    </row>
    <row r="27" spans="1:23" x14ac:dyDescent="0.25">
      <c r="A27" s="6"/>
      <c r="B27" s="10" t="s">
        <v>12</v>
      </c>
      <c r="C27" s="10">
        <f>SUM(C4:C5)</f>
        <v>0</v>
      </c>
      <c r="D27" s="10">
        <f>SUM(D5:D26)</f>
        <v>7500</v>
      </c>
      <c r="E27" s="6">
        <f>SUM(E5:E26)</f>
        <v>139500</v>
      </c>
      <c r="F27" s="7">
        <f>SUM(F5:F26)</f>
        <v>51200</v>
      </c>
      <c r="G27" s="7">
        <f>C27+D27+E27+F27</f>
        <v>198200</v>
      </c>
      <c r="H27" s="6">
        <f>SUM(H5:H26)</f>
        <v>135900</v>
      </c>
      <c r="I27" s="6">
        <f>SUM(I5:I26)</f>
        <v>62300</v>
      </c>
      <c r="J27" s="6">
        <f>SUM(J5:J26)</f>
        <v>0</v>
      </c>
      <c r="K27" s="6">
        <f>SUM(K5:K26)</f>
        <v>0</v>
      </c>
      <c r="M27" s="7" t="s">
        <v>197</v>
      </c>
      <c r="N27" s="7" t="s">
        <v>220</v>
      </c>
      <c r="O27" s="7"/>
      <c r="P27" s="7"/>
      <c r="Q27" s="7">
        <v>10000</v>
      </c>
      <c r="R27" s="7">
        <f>APRIL21!U27:U53</f>
        <v>0</v>
      </c>
      <c r="S27" s="7">
        <f t="shared" si="3"/>
        <v>10000</v>
      </c>
      <c r="T27" s="7">
        <f>10000</f>
        <v>10000</v>
      </c>
      <c r="U27" s="7">
        <f t="shared" si="6"/>
        <v>0</v>
      </c>
      <c r="V27" s="7"/>
      <c r="W27" s="7"/>
    </row>
    <row r="28" spans="1:23" x14ac:dyDescent="0.25">
      <c r="A28" s="11"/>
      <c r="F28" s="7"/>
      <c r="I28" s="8">
        <f>I27-F26-D13-D7</f>
        <v>8700</v>
      </c>
      <c r="M28" s="7" t="s">
        <v>198</v>
      </c>
      <c r="N28" s="7" t="s">
        <v>221</v>
      </c>
      <c r="O28" s="7"/>
      <c r="P28" s="7"/>
      <c r="Q28" s="7">
        <v>8000</v>
      </c>
      <c r="R28" s="7">
        <f>APRIL21!U28:U54</f>
        <v>13400</v>
      </c>
      <c r="S28" s="7">
        <f t="shared" si="3"/>
        <v>21400</v>
      </c>
      <c r="T28" s="7">
        <f>8000</f>
        <v>8000</v>
      </c>
      <c r="U28" s="7">
        <f t="shared" si="6"/>
        <v>13400</v>
      </c>
      <c r="V28" s="7"/>
      <c r="W28" s="7"/>
    </row>
    <row r="29" spans="1:23" ht="18.75" x14ac:dyDescent="0.3">
      <c r="B29" s="12" t="s">
        <v>13</v>
      </c>
      <c r="C29" s="44" t="s">
        <v>227</v>
      </c>
      <c r="D29" s="13"/>
      <c r="E29" s="13"/>
      <c r="F29" s="44" t="s">
        <v>228</v>
      </c>
      <c r="G29" s="13"/>
      <c r="H29" s="14"/>
      <c r="I29" s="14"/>
      <c r="M29" s="7" t="s">
        <v>199</v>
      </c>
      <c r="N29" s="7" t="s">
        <v>222</v>
      </c>
      <c r="O29" s="7"/>
      <c r="P29" s="7"/>
      <c r="Q29" s="7">
        <v>8000</v>
      </c>
      <c r="R29" s="7">
        <f>APRIL21!U29:U55</f>
        <v>9800</v>
      </c>
      <c r="S29" s="7">
        <f t="shared" si="3"/>
        <v>17800</v>
      </c>
      <c r="T29" s="7">
        <v>8000</v>
      </c>
      <c r="U29" s="7">
        <f t="shared" si="6"/>
        <v>9800</v>
      </c>
      <c r="V29" s="7"/>
      <c r="W29" s="7"/>
    </row>
    <row r="30" spans="1:23" ht="15.75" x14ac:dyDescent="0.25">
      <c r="B30" s="15" t="s">
        <v>14</v>
      </c>
      <c r="C30" s="15" t="s">
        <v>15</v>
      </c>
      <c r="D30" s="15" t="s">
        <v>16</v>
      </c>
      <c r="E30" s="15" t="s">
        <v>17</v>
      </c>
      <c r="F30" s="15" t="s">
        <v>18</v>
      </c>
      <c r="G30" s="15" t="s">
        <v>15</v>
      </c>
      <c r="H30" s="15" t="s">
        <v>16</v>
      </c>
      <c r="I30" s="15" t="s">
        <v>17</v>
      </c>
      <c r="K30" s="25"/>
      <c r="L30">
        <f>R17+R19+R20+R21+R23+R24+R26+R28+R29</f>
        <v>70950</v>
      </c>
      <c r="M30" s="7" t="s">
        <v>200</v>
      </c>
      <c r="N30" s="7" t="s">
        <v>223</v>
      </c>
      <c r="O30" s="7"/>
      <c r="P30" s="7"/>
      <c r="Q30" s="7">
        <v>5000</v>
      </c>
      <c r="R30" s="7">
        <f>APRIL21!U30:U56</f>
        <v>0</v>
      </c>
      <c r="S30" s="7">
        <f t="shared" si="3"/>
        <v>5000</v>
      </c>
      <c r="T30" s="7">
        <v>5000</v>
      </c>
      <c r="U30" s="7">
        <f t="shared" si="6"/>
        <v>0</v>
      </c>
      <c r="V30" s="7"/>
      <c r="W30" s="7"/>
    </row>
    <row r="31" spans="1:23" x14ac:dyDescent="0.25">
      <c r="B31" s="9" t="s">
        <v>120</v>
      </c>
      <c r="C31" s="16">
        <f>E27</f>
        <v>139500</v>
      </c>
      <c r="D31" s="17">
        <v>0.1</v>
      </c>
      <c r="E31" s="16"/>
      <c r="F31" s="18" t="s">
        <v>120</v>
      </c>
      <c r="G31" s="16">
        <f>H27</f>
        <v>135900</v>
      </c>
      <c r="H31" s="17">
        <v>0.1</v>
      </c>
      <c r="I31" s="9"/>
      <c r="K31">
        <f>R7+R9+R10+R11+R14+R15+R16</f>
        <v>66650</v>
      </c>
      <c r="M31" s="7" t="s">
        <v>201</v>
      </c>
      <c r="N31" s="7" t="s">
        <v>224</v>
      </c>
      <c r="O31" s="7"/>
      <c r="P31" s="7"/>
      <c r="Q31" s="7">
        <v>7500</v>
      </c>
      <c r="R31" s="7">
        <f>APRIL21!U31:U57</f>
        <v>53600</v>
      </c>
      <c r="S31" s="7">
        <f t="shared" si="3"/>
        <v>61100</v>
      </c>
      <c r="T31" s="7">
        <f>6500+1500+500</f>
        <v>8500</v>
      </c>
      <c r="U31" s="7">
        <f t="shared" si="6"/>
        <v>52600</v>
      </c>
      <c r="V31" s="7"/>
      <c r="W31" s="7"/>
    </row>
    <row r="32" spans="1:23" x14ac:dyDescent="0.25">
      <c r="B32" s="9" t="s">
        <v>20</v>
      </c>
      <c r="C32" s="16">
        <f>APRIL21!E45</f>
        <v>0</v>
      </c>
      <c r="D32" s="9"/>
      <c r="E32" s="9"/>
      <c r="F32" s="9" t="s">
        <v>20</v>
      </c>
      <c r="G32" s="16">
        <f>APRIL21!I45</f>
        <v>-2100</v>
      </c>
      <c r="H32" s="9"/>
      <c r="I32" s="9"/>
      <c r="K32" s="26"/>
      <c r="M32" s="6"/>
      <c r="N32" s="10" t="s">
        <v>12</v>
      </c>
      <c r="O32" s="10">
        <f>SUM(O4:O5)</f>
        <v>0</v>
      </c>
      <c r="P32" s="10">
        <f t="shared" ref="P32:W32" si="7">SUM(P5:P31)</f>
        <v>0</v>
      </c>
      <c r="Q32" s="6">
        <f>SUM(Q5:Q31)</f>
        <v>146500</v>
      </c>
      <c r="R32" s="7">
        <f>SUM(R5:R31)</f>
        <v>195200</v>
      </c>
      <c r="S32" s="7">
        <f t="shared" si="7"/>
        <v>349700</v>
      </c>
      <c r="T32" s="6">
        <f t="shared" si="7"/>
        <v>148000</v>
      </c>
      <c r="U32" s="6">
        <f t="shared" si="7"/>
        <v>201700</v>
      </c>
      <c r="V32" s="6">
        <f t="shared" si="7"/>
        <v>5000</v>
      </c>
      <c r="W32" s="6">
        <f t="shared" si="7"/>
        <v>0</v>
      </c>
    </row>
    <row r="33" spans="2:24" x14ac:dyDescent="0.25">
      <c r="B33" s="9" t="s">
        <v>163</v>
      </c>
      <c r="C33" s="16">
        <f>D20+D15+D9</f>
        <v>0</v>
      </c>
      <c r="D33" s="9"/>
      <c r="E33" s="9"/>
      <c r="F33" s="9"/>
      <c r="G33" s="16"/>
      <c r="H33" s="16"/>
      <c r="I33" s="9"/>
      <c r="K33" s="26"/>
      <c r="M33" s="11"/>
      <c r="R33" s="7">
        <f>'JANUARY 21'!U33:U59</f>
        <v>0</v>
      </c>
      <c r="U33" s="8">
        <f>U18+U23</f>
        <v>12500</v>
      </c>
    </row>
    <row r="34" spans="2:24" ht="18.75" x14ac:dyDescent="0.3">
      <c r="B34" s="9" t="s">
        <v>21</v>
      </c>
      <c r="C34" s="16">
        <f>J27</f>
        <v>0</v>
      </c>
      <c r="D34" s="9"/>
      <c r="E34" s="9"/>
      <c r="F34" s="9"/>
      <c r="G34" s="16"/>
      <c r="H34" s="16"/>
      <c r="I34" s="9"/>
      <c r="K34" s="26"/>
      <c r="N34" s="12" t="s">
        <v>13</v>
      </c>
      <c r="O34" s="44" t="s">
        <v>227</v>
      </c>
      <c r="P34" s="13"/>
      <c r="Q34" s="13"/>
      <c r="R34" s="44" t="s">
        <v>228</v>
      </c>
      <c r="S34" s="13"/>
      <c r="T34" s="14"/>
      <c r="U34" s="14"/>
    </row>
    <row r="35" spans="2:24" ht="15.75" x14ac:dyDescent="0.25">
      <c r="B35" s="9" t="s">
        <v>102</v>
      </c>
      <c r="C35" s="16">
        <f>K27</f>
        <v>0</v>
      </c>
      <c r="D35" s="9"/>
      <c r="E35" s="9"/>
      <c r="F35" s="9" t="s">
        <v>102</v>
      </c>
      <c r="G35" s="16">
        <f>K27</f>
        <v>0</v>
      </c>
      <c r="H35" s="9"/>
      <c r="I35" s="9"/>
      <c r="K35" s="26">
        <f>C31-D37</f>
        <v>125550</v>
      </c>
      <c r="N35" s="15" t="s">
        <v>14</v>
      </c>
      <c r="O35" s="15" t="s">
        <v>226</v>
      </c>
      <c r="P35" s="15" t="s">
        <v>16</v>
      </c>
      <c r="Q35" s="15" t="s">
        <v>17</v>
      </c>
      <c r="R35" s="15" t="s">
        <v>18</v>
      </c>
      <c r="S35" s="15" t="s">
        <v>15</v>
      </c>
      <c r="T35" s="15" t="s">
        <v>16</v>
      </c>
      <c r="U35" s="15" t="s">
        <v>17</v>
      </c>
      <c r="W35" s="25"/>
    </row>
    <row r="36" spans="2:24" x14ac:dyDescent="0.25">
      <c r="B36" s="9" t="s">
        <v>97</v>
      </c>
      <c r="C36" s="16">
        <v>0.3</v>
      </c>
      <c r="D36" s="9"/>
      <c r="E36" s="9"/>
      <c r="F36" s="9" t="s">
        <v>97</v>
      </c>
      <c r="G36" s="16">
        <v>0.3</v>
      </c>
      <c r="H36" s="9">
        <f>D36</f>
        <v>0</v>
      </c>
      <c r="I36" s="9"/>
      <c r="N36" s="9" t="s">
        <v>120</v>
      </c>
      <c r="O36" s="16">
        <f>Q32</f>
        <v>146500</v>
      </c>
      <c r="P36" s="17">
        <v>0.1</v>
      </c>
      <c r="Q36" s="16"/>
      <c r="R36" s="7" t="s">
        <v>120</v>
      </c>
      <c r="S36" s="16">
        <f>T32</f>
        <v>148000</v>
      </c>
      <c r="T36" s="17">
        <v>0.1</v>
      </c>
      <c r="U36" s="9"/>
    </row>
    <row r="37" spans="2:24" x14ac:dyDescent="0.25">
      <c r="B37" s="9" t="s">
        <v>22</v>
      </c>
      <c r="C37" s="18"/>
      <c r="D37" s="9">
        <f>C31*D31</f>
        <v>13950</v>
      </c>
      <c r="E37" s="9"/>
      <c r="F37" s="9" t="s">
        <v>22</v>
      </c>
      <c r="G37" s="18"/>
      <c r="H37" s="9">
        <f>D37</f>
        <v>13950</v>
      </c>
      <c r="I37" s="9"/>
      <c r="N37" s="9" t="s">
        <v>20</v>
      </c>
      <c r="O37" s="16">
        <f>APRIL21!Q50</f>
        <v>15440</v>
      </c>
      <c r="P37" s="9"/>
      <c r="Q37" s="9"/>
      <c r="R37" s="7" t="s">
        <v>6</v>
      </c>
      <c r="S37" s="16">
        <f>APRIL21!U50</f>
        <v>2640</v>
      </c>
      <c r="T37" s="9"/>
      <c r="U37" s="9"/>
      <c r="W37" s="26"/>
    </row>
    <row r="38" spans="2:24" x14ac:dyDescent="0.25">
      <c r="B38" s="19" t="s">
        <v>23</v>
      </c>
      <c r="C38" s="9"/>
      <c r="D38" s="9"/>
      <c r="E38" s="9"/>
      <c r="F38" s="19" t="s">
        <v>23</v>
      </c>
      <c r="G38" s="9"/>
      <c r="H38" s="9"/>
      <c r="I38" s="9"/>
      <c r="N38" s="9" t="s">
        <v>163</v>
      </c>
      <c r="O38" s="16">
        <f>P32</f>
        <v>0</v>
      </c>
      <c r="P38" s="9"/>
      <c r="Q38" s="9"/>
      <c r="R38" s="9"/>
      <c r="S38" s="16"/>
      <c r="T38" s="16"/>
      <c r="U38" s="9"/>
      <c r="W38" s="26"/>
    </row>
    <row r="39" spans="2:24" x14ac:dyDescent="0.25">
      <c r="B39" s="20" t="s">
        <v>258</v>
      </c>
      <c r="C39" s="9"/>
      <c r="D39" s="9">
        <v>73000</v>
      </c>
      <c r="E39" s="9"/>
      <c r="F39" s="20" t="s">
        <v>258</v>
      </c>
      <c r="G39" s="9"/>
      <c r="H39" s="9">
        <v>73000</v>
      </c>
      <c r="I39" s="9"/>
      <c r="J39" s="26"/>
      <c r="N39" s="9" t="s">
        <v>21</v>
      </c>
      <c r="O39" s="16">
        <f>V32</f>
        <v>5000</v>
      </c>
      <c r="P39" s="9"/>
      <c r="Q39" s="9"/>
      <c r="R39" s="9"/>
      <c r="S39" s="16"/>
      <c r="T39" s="16"/>
      <c r="U39" s="9"/>
      <c r="W39" s="26"/>
    </row>
    <row r="40" spans="2:24" x14ac:dyDescent="0.25">
      <c r="B40" s="7" t="s">
        <v>259</v>
      </c>
      <c r="C40" s="9"/>
      <c r="D40" s="7">
        <v>52550</v>
      </c>
      <c r="E40" s="7"/>
      <c r="F40" s="7" t="s">
        <v>259</v>
      </c>
      <c r="G40" s="9"/>
      <c r="H40" s="7">
        <v>52550</v>
      </c>
      <c r="I40" s="9"/>
      <c r="K40" s="26"/>
      <c r="N40" s="9" t="s">
        <v>102</v>
      </c>
      <c r="O40" s="16">
        <f>W32</f>
        <v>0</v>
      </c>
      <c r="P40" s="9"/>
      <c r="Q40" s="9"/>
      <c r="R40" s="9" t="s">
        <v>102</v>
      </c>
      <c r="S40" s="16">
        <f>O40</f>
        <v>0</v>
      </c>
      <c r="T40" s="9"/>
      <c r="U40" s="9"/>
      <c r="W40" s="26"/>
    </row>
    <row r="41" spans="2:24" x14ac:dyDescent="0.25">
      <c r="B41" s="20"/>
      <c r="C41" s="9"/>
      <c r="D41" s="9"/>
      <c r="E41" s="9"/>
      <c r="F41" s="20"/>
      <c r="G41" s="9"/>
      <c r="H41" s="9"/>
      <c r="I41" s="9"/>
      <c r="K41" s="26"/>
      <c r="N41" s="9" t="s">
        <v>22</v>
      </c>
      <c r="O41" s="18"/>
      <c r="P41" s="9">
        <f>P36*O36</f>
        <v>14650</v>
      </c>
      <c r="Q41" s="9"/>
      <c r="R41" s="9" t="s">
        <v>22</v>
      </c>
      <c r="S41" s="18"/>
      <c r="T41" s="9">
        <f>T36*O36</f>
        <v>14650</v>
      </c>
      <c r="U41" s="9"/>
    </row>
    <row r="42" spans="2:24" x14ac:dyDescent="0.25">
      <c r="B42" s="20"/>
      <c r="C42" s="9"/>
      <c r="D42" s="9"/>
      <c r="E42" s="9"/>
      <c r="F42" s="20"/>
      <c r="G42" s="9"/>
      <c r="H42" s="9"/>
      <c r="I42" s="9"/>
      <c r="K42" s="26"/>
      <c r="N42" s="9"/>
      <c r="O42" s="18"/>
      <c r="P42" s="9"/>
      <c r="Q42" s="9"/>
      <c r="R42" s="9"/>
      <c r="S42" s="18"/>
      <c r="T42" s="9"/>
      <c r="U42" s="9"/>
    </row>
    <row r="43" spans="2:24" x14ac:dyDescent="0.25">
      <c r="B43" s="20"/>
      <c r="C43" s="9"/>
      <c r="D43" s="9"/>
      <c r="E43" s="9"/>
      <c r="F43" s="20"/>
      <c r="G43" s="9"/>
      <c r="H43" s="9"/>
      <c r="I43" s="9"/>
      <c r="K43" s="26"/>
      <c r="N43" s="19" t="s">
        <v>23</v>
      </c>
      <c r="O43" s="9"/>
      <c r="P43" s="9"/>
      <c r="Q43" s="9"/>
      <c r="R43" s="19" t="s">
        <v>23</v>
      </c>
      <c r="S43" s="9"/>
      <c r="T43" s="9"/>
      <c r="U43" s="9"/>
    </row>
    <row r="44" spans="2:24" x14ac:dyDescent="0.25">
      <c r="B44" s="20"/>
      <c r="C44" s="16"/>
      <c r="D44" s="16"/>
      <c r="E44" s="16"/>
      <c r="F44" s="20"/>
      <c r="G44" s="9"/>
      <c r="H44" s="16"/>
      <c r="I44" s="9"/>
      <c r="N44" s="20"/>
      <c r="O44" s="9"/>
      <c r="P44" s="9"/>
      <c r="Q44" s="9"/>
      <c r="R44" s="20"/>
      <c r="S44" s="9"/>
      <c r="T44" s="9"/>
      <c r="U44" s="9"/>
      <c r="V44" s="26"/>
      <c r="W44" s="26"/>
      <c r="X44" s="26"/>
    </row>
    <row r="45" spans="2:24" x14ac:dyDescent="0.25">
      <c r="B45" s="22" t="s">
        <v>12</v>
      </c>
      <c r="C45" s="23">
        <f>C31+C32+C33+C34+C35-D37-D36</f>
        <v>125550</v>
      </c>
      <c r="D45" s="22">
        <f>SUM(D39:D44)</f>
        <v>125550</v>
      </c>
      <c r="E45" s="23">
        <f>C45-D45</f>
        <v>0</v>
      </c>
      <c r="F45" s="24"/>
      <c r="G45" s="23">
        <f>G31+G32+G35-H36-H37</f>
        <v>119850</v>
      </c>
      <c r="H45" s="23">
        <f>SUM(H39:H44)</f>
        <v>125550</v>
      </c>
      <c r="I45" s="23">
        <f>G45-H45</f>
        <v>-5700</v>
      </c>
      <c r="N45" s="7" t="s">
        <v>127</v>
      </c>
      <c r="O45" s="21"/>
      <c r="P45" s="7">
        <v>127000</v>
      </c>
      <c r="Q45" s="7"/>
      <c r="R45" s="7" t="s">
        <v>127</v>
      </c>
      <c r="S45" s="21"/>
      <c r="T45" s="7">
        <v>127000</v>
      </c>
      <c r="U45" s="9"/>
      <c r="W45" s="26"/>
    </row>
    <row r="46" spans="2:24" x14ac:dyDescent="0.25">
      <c r="E46" s="26">
        <f>E45-C32</f>
        <v>0</v>
      </c>
      <c r="I46" s="26"/>
      <c r="K46" s="26"/>
      <c r="N46" s="20" t="s">
        <v>259</v>
      </c>
      <c r="O46" s="9"/>
      <c r="P46" s="9">
        <v>24450</v>
      </c>
      <c r="Q46" s="9"/>
      <c r="R46" s="20" t="s">
        <v>259</v>
      </c>
      <c r="S46" s="9"/>
      <c r="T46" s="9">
        <v>24450</v>
      </c>
      <c r="U46" s="9"/>
      <c r="W46" s="26"/>
    </row>
    <row r="47" spans="2:24" x14ac:dyDescent="0.25">
      <c r="B47" s="11" t="s">
        <v>24</v>
      </c>
      <c r="D47" s="11" t="s">
        <v>25</v>
      </c>
      <c r="F47" s="11"/>
      <c r="G47" s="11" t="s">
        <v>26</v>
      </c>
      <c r="I47" s="26"/>
      <c r="K47" s="26"/>
      <c r="L47" s="26"/>
      <c r="N47" s="20"/>
      <c r="O47" s="9"/>
      <c r="P47" s="9"/>
      <c r="Q47" s="9"/>
      <c r="R47" s="20"/>
      <c r="S47" s="9"/>
      <c r="T47" s="9"/>
      <c r="U47" s="9"/>
      <c r="W47" s="26"/>
    </row>
    <row r="48" spans="2:24" x14ac:dyDescent="0.25">
      <c r="B48" t="s">
        <v>27</v>
      </c>
      <c r="D48" s="11" t="s">
        <v>28</v>
      </c>
      <c r="F48" s="11"/>
      <c r="G48" s="11" t="s">
        <v>147</v>
      </c>
      <c r="I48" s="26"/>
      <c r="N48" s="20"/>
      <c r="O48" s="9"/>
      <c r="P48" s="9"/>
      <c r="Q48" s="9"/>
      <c r="R48" s="20"/>
      <c r="S48" s="9"/>
      <c r="T48" s="9"/>
      <c r="U48" s="9"/>
      <c r="W48" s="26"/>
    </row>
    <row r="49" spans="6:23" x14ac:dyDescent="0.25">
      <c r="N49" s="20"/>
      <c r="O49" s="16"/>
      <c r="P49" s="16"/>
      <c r="Q49" s="16"/>
      <c r="R49" s="20"/>
      <c r="S49" s="16"/>
      <c r="T49" s="16"/>
      <c r="U49" s="9"/>
      <c r="V49" s="26"/>
      <c r="W49" s="26"/>
    </row>
    <row r="50" spans="6:23" x14ac:dyDescent="0.25">
      <c r="F50" s="26"/>
      <c r="I50" s="26"/>
      <c r="J50" s="26"/>
      <c r="N50" s="22" t="s">
        <v>12</v>
      </c>
      <c r="O50" s="23">
        <f>O36+O37+O38+O39+O40-P42-P41</f>
        <v>152290</v>
      </c>
      <c r="P50" s="22">
        <f>SUM(P44:P49)</f>
        <v>151450</v>
      </c>
      <c r="Q50" s="23">
        <f>O50-P50</f>
        <v>840</v>
      </c>
      <c r="R50" s="24"/>
      <c r="S50" s="23">
        <f>S36+S37+S40-T41</f>
        <v>135990</v>
      </c>
      <c r="T50" s="23">
        <f>SUM(T44:T49)</f>
        <v>151450</v>
      </c>
      <c r="U50" s="23">
        <f>S50-T50</f>
        <v>-15460</v>
      </c>
      <c r="W50" s="26"/>
    </row>
    <row r="51" spans="6:23" x14ac:dyDescent="0.25">
      <c r="W51" s="26"/>
    </row>
    <row r="52" spans="6:23" x14ac:dyDescent="0.25">
      <c r="N52" s="11" t="s">
        <v>24</v>
      </c>
      <c r="P52" s="11" t="s">
        <v>25</v>
      </c>
      <c r="R52" s="11"/>
      <c r="S52" s="11" t="s">
        <v>26</v>
      </c>
      <c r="W52" s="26"/>
    </row>
    <row r="53" spans="6:23" x14ac:dyDescent="0.25">
      <c r="N53" t="s">
        <v>27</v>
      </c>
      <c r="P53" s="11" t="s">
        <v>28</v>
      </c>
      <c r="R53" s="11"/>
      <c r="S53" s="11" t="s">
        <v>147</v>
      </c>
      <c r="U53" s="26"/>
    </row>
    <row r="54" spans="6:23" x14ac:dyDescent="0.25">
      <c r="G54" s="26"/>
      <c r="L54" s="26"/>
      <c r="M54" s="26"/>
    </row>
    <row r="55" spans="6:23" x14ac:dyDescent="0.25">
      <c r="I55" s="26"/>
      <c r="J55" s="26"/>
      <c r="K55" s="26"/>
      <c r="L55" s="26"/>
      <c r="M55" s="26"/>
      <c r="Q55" s="26"/>
    </row>
    <row r="56" spans="6:23" x14ac:dyDescent="0.25">
      <c r="I56" s="26"/>
      <c r="L56" s="26"/>
      <c r="Q56" s="26"/>
      <c r="T56" s="26"/>
    </row>
    <row r="57" spans="6:23" x14ac:dyDescent="0.25">
      <c r="L57" s="26"/>
      <c r="Q57" s="26"/>
      <c r="R57" s="26"/>
    </row>
    <row r="58" spans="6:23" x14ac:dyDescent="0.25">
      <c r="J58" s="26"/>
    </row>
    <row r="59" spans="6:23" x14ac:dyDescent="0.25">
      <c r="P59" s="26">
        <f>E45+Q50</f>
        <v>840</v>
      </c>
      <c r="S59" s="2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2"/>
  <sheetViews>
    <sheetView workbookViewId="0"/>
  </sheetViews>
  <sheetFormatPr defaultRowHeight="15" x14ac:dyDescent="0.25"/>
  <sheetData>
    <row r="1" spans="1:23" ht="18.75" x14ac:dyDescent="0.25">
      <c r="E1" s="1" t="s">
        <v>50</v>
      </c>
      <c r="F1" s="2"/>
      <c r="G1" s="3"/>
      <c r="H1" s="4"/>
      <c r="Q1" s="1" t="s">
        <v>229</v>
      </c>
      <c r="R1" s="2"/>
      <c r="S1" s="3"/>
      <c r="T1" s="4"/>
    </row>
    <row r="2" spans="1:23" ht="18.75" x14ac:dyDescent="0.25">
      <c r="E2" s="1" t="s">
        <v>0</v>
      </c>
      <c r="F2" s="1"/>
      <c r="G2" s="5"/>
      <c r="H2" s="5"/>
      <c r="Q2" s="1" t="s">
        <v>0</v>
      </c>
      <c r="R2" s="1"/>
      <c r="S2" s="5"/>
      <c r="T2" s="5"/>
    </row>
    <row r="3" spans="1:23" ht="18.75" x14ac:dyDescent="0.25">
      <c r="E3" s="1" t="s">
        <v>260</v>
      </c>
      <c r="F3" s="1"/>
      <c r="G3" s="5"/>
      <c r="H3" s="5"/>
      <c r="I3" t="s">
        <v>250</v>
      </c>
      <c r="Q3" s="1" t="s">
        <v>260</v>
      </c>
      <c r="R3" s="1"/>
      <c r="S3" s="5"/>
      <c r="T3" s="5"/>
    </row>
    <row r="4" spans="1:23" x14ac:dyDescent="0.25">
      <c r="A4" s="6" t="s">
        <v>2</v>
      </c>
      <c r="B4" s="6" t="s">
        <v>3</v>
      </c>
      <c r="C4" s="6"/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  <c r="K4" s="6" t="s">
        <v>101</v>
      </c>
      <c r="M4" s="6" t="s">
        <v>2</v>
      </c>
      <c r="N4" s="6" t="s">
        <v>3</v>
      </c>
      <c r="O4" s="6"/>
      <c r="P4" s="6" t="s">
        <v>4</v>
      </c>
      <c r="Q4" s="6" t="s">
        <v>5</v>
      </c>
      <c r="R4" s="6" t="s">
        <v>6</v>
      </c>
      <c r="S4" s="6" t="s">
        <v>7</v>
      </c>
      <c r="T4" s="6" t="s">
        <v>8</v>
      </c>
      <c r="U4" s="6" t="s">
        <v>9</v>
      </c>
      <c r="V4" s="6" t="s">
        <v>10</v>
      </c>
      <c r="W4" s="6" t="s">
        <v>101</v>
      </c>
    </row>
    <row r="5" spans="1:23" x14ac:dyDescent="0.25">
      <c r="A5" s="7" t="s">
        <v>30</v>
      </c>
      <c r="B5" s="7" t="s">
        <v>232</v>
      </c>
      <c r="C5" s="7"/>
      <c r="D5" s="7"/>
      <c r="E5" s="7">
        <v>4500</v>
      </c>
      <c r="F5" s="7">
        <f>'MAY 21'!I5:I28</f>
        <v>0</v>
      </c>
      <c r="G5" s="7">
        <f>C5+D5+E5+F5</f>
        <v>4500</v>
      </c>
      <c r="H5" s="7">
        <v>4500</v>
      </c>
      <c r="I5" s="7">
        <f t="shared" ref="I5:I12" si="0">G5-H5</f>
        <v>0</v>
      </c>
      <c r="J5" s="7"/>
      <c r="K5" s="7"/>
      <c r="M5" s="7" t="s">
        <v>177</v>
      </c>
      <c r="N5" s="9" t="s">
        <v>202</v>
      </c>
      <c r="O5" s="7"/>
      <c r="P5" s="7"/>
      <c r="Q5" s="7">
        <v>7000</v>
      </c>
      <c r="R5" s="7">
        <f>'MAY 21'!U5:U33</f>
        <v>0</v>
      </c>
      <c r="S5" s="7">
        <f>O5+P5+Q5+R5</f>
        <v>7000</v>
      </c>
      <c r="T5" s="7">
        <f>7000</f>
        <v>7000</v>
      </c>
      <c r="U5" s="7">
        <f t="shared" ref="U5:U12" si="1">S5-T5</f>
        <v>0</v>
      </c>
      <c r="V5" s="7"/>
      <c r="W5" s="7"/>
    </row>
    <row r="6" spans="1:23" x14ac:dyDescent="0.25">
      <c r="A6" s="7" t="s">
        <v>31</v>
      </c>
      <c r="B6" s="7" t="s">
        <v>52</v>
      </c>
      <c r="C6" s="7"/>
      <c r="D6" s="7"/>
      <c r="E6" s="7">
        <v>3000</v>
      </c>
      <c r="F6" s="7">
        <f>'MAY 21'!I6:I29</f>
        <v>0</v>
      </c>
      <c r="G6" s="7">
        <f>C6+D6+E6+F6</f>
        <v>3000</v>
      </c>
      <c r="H6" s="7">
        <f>3000</f>
        <v>3000</v>
      </c>
      <c r="I6" s="7">
        <f t="shared" si="0"/>
        <v>0</v>
      </c>
      <c r="J6" s="7"/>
      <c r="K6" s="7"/>
      <c r="M6" s="7" t="s">
        <v>88</v>
      </c>
      <c r="N6" s="7"/>
      <c r="O6" s="7"/>
      <c r="P6" s="7"/>
      <c r="Q6" s="7"/>
      <c r="R6" s="7">
        <f>'MAY 21'!U6:U34</f>
        <v>0</v>
      </c>
      <c r="S6" s="7">
        <f>O6+P6+Q6+R6</f>
        <v>0</v>
      </c>
      <c r="T6" s="7"/>
      <c r="U6" s="7">
        <f t="shared" si="1"/>
        <v>0</v>
      </c>
      <c r="V6" s="7"/>
      <c r="W6" s="7"/>
    </row>
    <row r="7" spans="1:23" x14ac:dyDescent="0.25">
      <c r="A7" s="7" t="s">
        <v>32</v>
      </c>
      <c r="B7" s="7" t="s">
        <v>115</v>
      </c>
      <c r="C7" s="7"/>
      <c r="D7" s="7"/>
      <c r="E7" s="7">
        <v>7500</v>
      </c>
      <c r="F7" s="7">
        <f>'MAY 21'!I7:I30</f>
        <v>2600</v>
      </c>
      <c r="G7" s="7">
        <f>C7+D7+E7+F7</f>
        <v>10100</v>
      </c>
      <c r="H7" s="7">
        <f>7500</f>
        <v>7500</v>
      </c>
      <c r="I7" s="7">
        <f t="shared" si="0"/>
        <v>2600</v>
      </c>
      <c r="J7" s="7"/>
      <c r="K7" s="7"/>
      <c r="M7" s="7" t="s">
        <v>178</v>
      </c>
      <c r="N7" s="7" t="s">
        <v>203</v>
      </c>
      <c r="O7" s="7"/>
      <c r="P7" s="7"/>
      <c r="Q7" s="7">
        <v>8500</v>
      </c>
      <c r="R7" s="7">
        <f>'MAY 21'!U7:U35</f>
        <v>1000</v>
      </c>
      <c r="S7" s="7">
        <f>O7+P7+Q7+R7</f>
        <v>9500</v>
      </c>
      <c r="T7" s="7">
        <f>8500</f>
        <v>8500</v>
      </c>
      <c r="U7" s="7">
        <f t="shared" si="1"/>
        <v>1000</v>
      </c>
      <c r="V7" s="7"/>
      <c r="W7" s="7"/>
    </row>
    <row r="8" spans="1:23" x14ac:dyDescent="0.25">
      <c r="A8" s="7" t="s">
        <v>33</v>
      </c>
      <c r="B8" s="7" t="s">
        <v>54</v>
      </c>
      <c r="C8" s="7"/>
      <c r="D8" s="7"/>
      <c r="E8" s="7">
        <v>6500</v>
      </c>
      <c r="F8" s="7">
        <f>'MAY 21'!I8:I31</f>
        <v>0</v>
      </c>
      <c r="G8" s="7">
        <f>C8+D8+E8+F8</f>
        <v>6500</v>
      </c>
      <c r="H8" s="7">
        <v>6500</v>
      </c>
      <c r="I8" s="7">
        <f t="shared" si="0"/>
        <v>0</v>
      </c>
      <c r="J8" s="7"/>
      <c r="K8" s="7"/>
      <c r="M8" s="7" t="s">
        <v>179</v>
      </c>
      <c r="N8" s="7" t="s">
        <v>204</v>
      </c>
      <c r="O8" s="7"/>
      <c r="P8" s="7"/>
      <c r="Q8" s="7">
        <v>9000</v>
      </c>
      <c r="R8" s="7">
        <f>'MAY 21'!U8:U36</f>
        <v>0</v>
      </c>
      <c r="S8" s="7">
        <f>O8+P8+Q8+R8</f>
        <v>9000</v>
      </c>
      <c r="T8" s="7">
        <f>9000</f>
        <v>9000</v>
      </c>
      <c r="U8" s="7">
        <f t="shared" si="1"/>
        <v>0</v>
      </c>
      <c r="V8" s="7"/>
      <c r="W8" s="7"/>
    </row>
    <row r="9" spans="1:23" x14ac:dyDescent="0.25">
      <c r="A9" s="7" t="s">
        <v>34</v>
      </c>
      <c r="B9" s="45" t="s">
        <v>76</v>
      </c>
      <c r="C9" s="7"/>
      <c r="D9" s="7"/>
      <c r="E9" s="7"/>
      <c r="F9" s="7">
        <f>'MAY 21'!I9:I32</f>
        <v>0</v>
      </c>
      <c r="G9" s="7">
        <f t="shared" ref="G9:G26" si="2">C9+D9+E9+F9</f>
        <v>0</v>
      </c>
      <c r="H9" s="7"/>
      <c r="I9" s="7">
        <f t="shared" si="0"/>
        <v>0</v>
      </c>
      <c r="J9" s="7"/>
      <c r="K9" s="7"/>
      <c r="M9" s="7" t="s">
        <v>180</v>
      </c>
      <c r="N9" s="7" t="s">
        <v>205</v>
      </c>
      <c r="O9" s="7"/>
      <c r="P9" s="7"/>
      <c r="Q9" s="7">
        <v>8000</v>
      </c>
      <c r="R9" s="7">
        <f>'MAY 21'!U9:U37</f>
        <v>42300</v>
      </c>
      <c r="S9" s="7">
        <f t="shared" ref="S9:S31" si="3">O9+P9+Q9+R9</f>
        <v>50300</v>
      </c>
      <c r="T9" s="7">
        <f>12000</f>
        <v>12000</v>
      </c>
      <c r="U9" s="7">
        <f t="shared" si="1"/>
        <v>38300</v>
      </c>
      <c r="V9" s="7">
        <v>4000</v>
      </c>
      <c r="W9" s="7"/>
    </row>
    <row r="10" spans="1:23" x14ac:dyDescent="0.25">
      <c r="A10" s="7" t="s">
        <v>35</v>
      </c>
      <c r="B10" s="7" t="s">
        <v>55</v>
      </c>
      <c r="C10" s="7"/>
      <c r="D10" s="7"/>
      <c r="E10" s="7">
        <v>7000</v>
      </c>
      <c r="F10" s="7">
        <f>'MAY 21'!I10:I33</f>
        <v>1000</v>
      </c>
      <c r="G10" s="7">
        <f t="shared" si="2"/>
        <v>8000</v>
      </c>
      <c r="H10" s="7">
        <f>7000</f>
        <v>7000</v>
      </c>
      <c r="I10" s="7">
        <f t="shared" si="0"/>
        <v>1000</v>
      </c>
      <c r="J10" s="7"/>
      <c r="K10" s="7"/>
      <c r="M10" s="7" t="s">
        <v>181</v>
      </c>
      <c r="N10" s="7" t="s">
        <v>206</v>
      </c>
      <c r="O10" s="7"/>
      <c r="P10" s="7"/>
      <c r="Q10" s="7">
        <v>8500</v>
      </c>
      <c r="R10" s="7">
        <f>'MAY 21'!U10:U38</f>
        <v>11600</v>
      </c>
      <c r="S10" s="7">
        <f t="shared" si="3"/>
        <v>20100</v>
      </c>
      <c r="T10" s="7">
        <f>9000</f>
        <v>9000</v>
      </c>
      <c r="U10" s="7">
        <f t="shared" si="1"/>
        <v>11100</v>
      </c>
      <c r="V10" s="7"/>
      <c r="W10" s="7"/>
    </row>
    <row r="11" spans="1:23" x14ac:dyDescent="0.25">
      <c r="A11" s="7" t="s">
        <v>36</v>
      </c>
      <c r="B11" s="7" t="s">
        <v>56</v>
      </c>
      <c r="C11" s="7"/>
      <c r="D11" s="7"/>
      <c r="E11" s="7">
        <v>7000</v>
      </c>
      <c r="F11" s="7">
        <f>'MAY 21'!I11:I34</f>
        <v>0</v>
      </c>
      <c r="G11" s="7">
        <f t="shared" si="2"/>
        <v>7000</v>
      </c>
      <c r="H11" s="7">
        <f>7000</f>
        <v>7000</v>
      </c>
      <c r="I11" s="7">
        <f t="shared" si="0"/>
        <v>0</v>
      </c>
      <c r="J11" s="7"/>
      <c r="K11" s="7"/>
      <c r="M11" s="7" t="s">
        <v>182</v>
      </c>
      <c r="N11" s="7" t="s">
        <v>207</v>
      </c>
      <c r="O11" s="7"/>
      <c r="P11" s="7"/>
      <c r="Q11" s="7">
        <v>8000</v>
      </c>
      <c r="R11" s="7">
        <f>'MAY 21'!U11:U39</f>
        <v>6500</v>
      </c>
      <c r="S11" s="7">
        <f t="shared" si="3"/>
        <v>14500</v>
      </c>
      <c r="T11" s="7">
        <v>8000</v>
      </c>
      <c r="U11" s="7">
        <f t="shared" si="1"/>
        <v>6500</v>
      </c>
      <c r="V11" s="7"/>
      <c r="W11" s="7"/>
    </row>
    <row r="12" spans="1:23" x14ac:dyDescent="0.25">
      <c r="A12" s="7" t="s">
        <v>37</v>
      </c>
      <c r="B12" s="8" t="s">
        <v>65</v>
      </c>
      <c r="C12" s="7"/>
      <c r="D12" s="7"/>
      <c r="E12" s="7">
        <v>4500</v>
      </c>
      <c r="F12" s="7">
        <f>'MAY 21'!I12:I35</f>
        <v>100</v>
      </c>
      <c r="G12" s="7">
        <f t="shared" si="2"/>
        <v>4600</v>
      </c>
      <c r="H12" s="7">
        <f>4500</f>
        <v>4500</v>
      </c>
      <c r="I12" s="7">
        <f t="shared" si="0"/>
        <v>100</v>
      </c>
      <c r="J12" s="7"/>
      <c r="K12" s="7"/>
      <c r="M12" s="7" t="s">
        <v>183</v>
      </c>
      <c r="N12" s="8" t="s">
        <v>208</v>
      </c>
      <c r="O12" s="7"/>
      <c r="P12" s="7"/>
      <c r="Q12" s="7">
        <v>8500</v>
      </c>
      <c r="R12" s="7">
        <f>'MAY 21'!U12:U40</f>
        <v>0</v>
      </c>
      <c r="S12" s="7">
        <f t="shared" si="3"/>
        <v>8500</v>
      </c>
      <c r="T12" s="7">
        <v>8500</v>
      </c>
      <c r="U12" s="7">
        <f t="shared" si="1"/>
        <v>0</v>
      </c>
      <c r="V12" s="7"/>
      <c r="W12" s="7"/>
    </row>
    <row r="13" spans="1:23" x14ac:dyDescent="0.25">
      <c r="A13" s="7" t="s">
        <v>38</v>
      </c>
      <c r="B13" s="7" t="s">
        <v>92</v>
      </c>
      <c r="C13" s="7"/>
      <c r="D13" s="7"/>
      <c r="E13" s="7">
        <v>8000</v>
      </c>
      <c r="F13" s="7">
        <f>'MAY 21'!I13:I36</f>
        <v>5000</v>
      </c>
      <c r="G13" s="7">
        <f t="shared" si="2"/>
        <v>13000</v>
      </c>
      <c r="H13" s="7">
        <f>8000</f>
        <v>8000</v>
      </c>
      <c r="I13" s="7">
        <f t="shared" ref="I13:I21" si="4">G13-H13</f>
        <v>5000</v>
      </c>
      <c r="J13" s="7"/>
      <c r="K13" s="7"/>
      <c r="M13" s="7" t="s">
        <v>184</v>
      </c>
      <c r="N13" s="7" t="s">
        <v>252</v>
      </c>
      <c r="O13" s="7"/>
      <c r="P13" s="7"/>
      <c r="Q13" s="7">
        <v>3500</v>
      </c>
      <c r="R13" s="7">
        <f>'MAY 21'!U13:U41</f>
        <v>0</v>
      </c>
      <c r="S13" s="7">
        <f t="shared" si="3"/>
        <v>3500</v>
      </c>
      <c r="T13" s="7"/>
      <c r="U13" s="7">
        <f t="shared" ref="U13:U21" si="5">S13-T13</f>
        <v>3500</v>
      </c>
      <c r="V13" s="7"/>
      <c r="W13" s="7"/>
    </row>
    <row r="14" spans="1:23" x14ac:dyDescent="0.25">
      <c r="A14" s="7" t="s">
        <v>39</v>
      </c>
      <c r="B14" s="7" t="s">
        <v>70</v>
      </c>
      <c r="C14" s="7"/>
      <c r="D14" s="7"/>
      <c r="E14" s="7">
        <v>6500</v>
      </c>
      <c r="F14" s="7">
        <f>'MAY 21'!I14:I37</f>
        <v>0</v>
      </c>
      <c r="G14" s="7">
        <f t="shared" si="2"/>
        <v>6500</v>
      </c>
      <c r="H14" s="7">
        <f>6500</f>
        <v>6500</v>
      </c>
      <c r="I14" s="7">
        <f t="shared" si="4"/>
        <v>0</v>
      </c>
      <c r="J14" s="7"/>
      <c r="K14" s="7"/>
      <c r="M14" s="7" t="s">
        <v>185</v>
      </c>
      <c r="N14" s="7" t="s">
        <v>210</v>
      </c>
      <c r="O14" s="7"/>
      <c r="P14" s="7"/>
      <c r="Q14" s="7">
        <v>5000</v>
      </c>
      <c r="R14" s="7">
        <f>'MAY 21'!U14:U42</f>
        <v>250</v>
      </c>
      <c r="S14" s="7">
        <f t="shared" si="3"/>
        <v>5250</v>
      </c>
      <c r="T14" s="7">
        <f>5000</f>
        <v>5000</v>
      </c>
      <c r="U14" s="7">
        <f t="shared" si="5"/>
        <v>250</v>
      </c>
      <c r="V14" s="7"/>
      <c r="W14" s="7"/>
    </row>
    <row r="15" spans="1:23" x14ac:dyDescent="0.25">
      <c r="A15" s="7" t="s">
        <v>40</v>
      </c>
      <c r="B15" s="7" t="s">
        <v>174</v>
      </c>
      <c r="C15" s="7"/>
      <c r="D15" s="7"/>
      <c r="E15" s="7">
        <v>7500</v>
      </c>
      <c r="F15" s="7">
        <f>'MAY 21'!I15:I38</f>
        <v>0</v>
      </c>
      <c r="G15" s="7">
        <f t="shared" si="2"/>
        <v>7500</v>
      </c>
      <c r="H15" s="7">
        <v>7500</v>
      </c>
      <c r="I15" s="7">
        <f t="shared" si="4"/>
        <v>0</v>
      </c>
      <c r="J15" s="7"/>
      <c r="K15" s="7"/>
      <c r="M15" s="7" t="s">
        <v>186</v>
      </c>
      <c r="N15" s="9"/>
      <c r="O15" s="7"/>
      <c r="P15" s="7"/>
      <c r="Q15" s="7"/>
      <c r="R15" s="7">
        <f>'MAY 21'!U15:U43</f>
        <v>0</v>
      </c>
      <c r="S15" s="7">
        <f t="shared" si="3"/>
        <v>0</v>
      </c>
      <c r="T15" s="7"/>
      <c r="U15" s="7">
        <f t="shared" si="5"/>
        <v>0</v>
      </c>
      <c r="V15" s="7"/>
      <c r="W15" s="7"/>
    </row>
    <row r="16" spans="1:23" x14ac:dyDescent="0.25">
      <c r="A16" s="7" t="s">
        <v>41</v>
      </c>
      <c r="B16" s="7" t="s">
        <v>58</v>
      </c>
      <c r="C16" s="7"/>
      <c r="D16" s="7"/>
      <c r="E16" s="7">
        <v>7000</v>
      </c>
      <c r="F16" s="7">
        <f>'MAY 21'!I16:I39</f>
        <v>1500</v>
      </c>
      <c r="G16" s="7">
        <f t="shared" si="2"/>
        <v>8500</v>
      </c>
      <c r="H16" s="7">
        <f>7000</f>
        <v>7000</v>
      </c>
      <c r="I16" s="7">
        <f t="shared" si="4"/>
        <v>1500</v>
      </c>
      <c r="J16" s="7"/>
      <c r="K16" s="7"/>
      <c r="M16" s="7" t="s">
        <v>187</v>
      </c>
      <c r="N16" s="7" t="s">
        <v>212</v>
      </c>
      <c r="O16" s="7"/>
      <c r="P16" s="7"/>
      <c r="Q16" s="7">
        <v>4500</v>
      </c>
      <c r="R16" s="7">
        <f>'MAY 21'!U16:U44</f>
        <v>0</v>
      </c>
      <c r="S16" s="7">
        <f t="shared" si="3"/>
        <v>4500</v>
      </c>
      <c r="T16" s="7">
        <v>4500</v>
      </c>
      <c r="U16" s="7">
        <f t="shared" si="5"/>
        <v>0</v>
      </c>
      <c r="V16" s="7"/>
      <c r="W16" s="7"/>
    </row>
    <row r="17" spans="1:23" x14ac:dyDescent="0.25">
      <c r="A17" s="7" t="s">
        <v>42</v>
      </c>
      <c r="B17" s="7" t="s">
        <v>59</v>
      </c>
      <c r="C17" s="7"/>
      <c r="D17" s="7"/>
      <c r="E17" s="7">
        <v>7000</v>
      </c>
      <c r="F17" s="7">
        <f>'MAY 21'!I17:I40</f>
        <v>5000</v>
      </c>
      <c r="G17" s="7">
        <f t="shared" si="2"/>
        <v>12000</v>
      </c>
      <c r="H17" s="7">
        <f>8500</f>
        <v>8500</v>
      </c>
      <c r="I17" s="7">
        <f t="shared" si="4"/>
        <v>3500</v>
      </c>
      <c r="J17" s="7"/>
      <c r="K17" s="7"/>
      <c r="M17" s="7" t="s">
        <v>188</v>
      </c>
      <c r="N17" s="7" t="s">
        <v>213</v>
      </c>
      <c r="O17" s="7"/>
      <c r="P17" s="7"/>
      <c r="Q17" s="7"/>
      <c r="R17" s="7">
        <f>'MAY 21'!U17:U45</f>
        <v>32000</v>
      </c>
      <c r="S17" s="7">
        <f>O17+P17+Q17+R17+4000</f>
        <v>36000</v>
      </c>
      <c r="T17" s="7"/>
      <c r="U17" s="7">
        <f t="shared" si="5"/>
        <v>36000</v>
      </c>
      <c r="V17" s="7"/>
      <c r="W17" s="7"/>
    </row>
    <row r="18" spans="1:23" x14ac:dyDescent="0.25">
      <c r="A18" s="7" t="s">
        <v>43</v>
      </c>
      <c r="B18" s="7" t="s">
        <v>230</v>
      </c>
      <c r="C18" s="7"/>
      <c r="D18" s="7"/>
      <c r="E18" s="7">
        <v>5000</v>
      </c>
      <c r="F18" s="7">
        <f>'MAY 21'!I18:I41</f>
        <v>0</v>
      </c>
      <c r="G18" s="7">
        <f t="shared" si="2"/>
        <v>5000</v>
      </c>
      <c r="H18" s="7">
        <v>5000</v>
      </c>
      <c r="I18" s="7">
        <f t="shared" si="4"/>
        <v>0</v>
      </c>
      <c r="J18" s="7"/>
      <c r="K18" s="7"/>
      <c r="M18" s="7" t="s">
        <v>189</v>
      </c>
      <c r="N18" s="9" t="s">
        <v>209</v>
      </c>
      <c r="O18" s="7"/>
      <c r="P18" s="7"/>
      <c r="Q18" s="7"/>
      <c r="R18" s="7">
        <f>'MAY 21'!U18:U46</f>
        <v>8000</v>
      </c>
      <c r="S18" s="7">
        <f>O18+P18+Q18+R18+4000</f>
        <v>12000</v>
      </c>
      <c r="T18" s="7"/>
      <c r="U18" s="7">
        <f t="shared" si="5"/>
        <v>12000</v>
      </c>
      <c r="V18" s="7"/>
      <c r="W18" s="7"/>
    </row>
    <row r="19" spans="1:23" x14ac:dyDescent="0.25">
      <c r="A19" s="7" t="s">
        <v>44</v>
      </c>
      <c r="B19" s="9" t="s">
        <v>118</v>
      </c>
      <c r="C19" s="7"/>
      <c r="D19" s="7"/>
      <c r="E19" s="7">
        <v>8000</v>
      </c>
      <c r="F19" s="7">
        <f>'MAY 21'!I19:I42</f>
        <v>0</v>
      </c>
      <c r="G19" s="7">
        <f t="shared" si="2"/>
        <v>8000</v>
      </c>
      <c r="H19" s="7">
        <f>8000</f>
        <v>8000</v>
      </c>
      <c r="I19" s="7">
        <f t="shared" si="4"/>
        <v>0</v>
      </c>
      <c r="J19" s="7"/>
      <c r="K19" s="7"/>
      <c r="M19" s="7" t="s">
        <v>190</v>
      </c>
      <c r="N19" s="9" t="s">
        <v>215</v>
      </c>
      <c r="O19" s="7"/>
      <c r="P19" s="7"/>
      <c r="Q19" s="7">
        <v>4000</v>
      </c>
      <c r="R19" s="7">
        <f>'MAY 21'!U19:U47</f>
        <v>3950</v>
      </c>
      <c r="S19" s="7">
        <f t="shared" si="3"/>
        <v>7950</v>
      </c>
      <c r="T19" s="7"/>
      <c r="U19" s="7">
        <f t="shared" si="5"/>
        <v>7950</v>
      </c>
      <c r="V19" s="7"/>
      <c r="W19" s="7"/>
    </row>
    <row r="20" spans="1:23" x14ac:dyDescent="0.25">
      <c r="A20" s="7" t="s">
        <v>45</v>
      </c>
      <c r="B20" s="7" t="s">
        <v>175</v>
      </c>
      <c r="C20" s="7"/>
      <c r="D20" s="7"/>
      <c r="E20" s="7">
        <v>7500</v>
      </c>
      <c r="F20" s="7">
        <f>'MAY 21'!I20:I43</f>
        <v>0</v>
      </c>
      <c r="G20" s="7">
        <f t="shared" si="2"/>
        <v>7500</v>
      </c>
      <c r="H20" s="7">
        <f>7500</f>
        <v>7500</v>
      </c>
      <c r="I20" s="7">
        <f t="shared" si="4"/>
        <v>0</v>
      </c>
      <c r="J20" s="7"/>
      <c r="K20" s="7"/>
      <c r="M20" s="7" t="s">
        <v>123</v>
      </c>
      <c r="N20" s="7" t="s">
        <v>231</v>
      </c>
      <c r="O20" s="7"/>
      <c r="P20" s="7"/>
      <c r="Q20" s="7">
        <v>4500</v>
      </c>
      <c r="R20" s="7">
        <f>'MAY 21'!U20:U48</f>
        <v>0</v>
      </c>
      <c r="S20" s="7">
        <f t="shared" si="3"/>
        <v>4500</v>
      </c>
      <c r="T20" s="7">
        <f>4500</f>
        <v>4500</v>
      </c>
      <c r="U20" s="7">
        <f t="shared" si="5"/>
        <v>0</v>
      </c>
      <c r="V20" s="7"/>
      <c r="W20" s="7"/>
    </row>
    <row r="21" spans="1:23" x14ac:dyDescent="0.25">
      <c r="A21" s="7" t="s">
        <v>46</v>
      </c>
      <c r="B21" s="7" t="s">
        <v>132</v>
      </c>
      <c r="C21" s="7"/>
      <c r="D21" s="7"/>
      <c r="E21" s="7">
        <v>6500</v>
      </c>
      <c r="F21" s="7">
        <f>'MAY 21'!I21:I44</f>
        <v>500</v>
      </c>
      <c r="G21" s="7">
        <f t="shared" si="2"/>
        <v>7000</v>
      </c>
      <c r="H21" s="7">
        <v>7000</v>
      </c>
      <c r="I21" s="7">
        <f t="shared" si="4"/>
        <v>0</v>
      </c>
      <c r="J21" s="7"/>
      <c r="K21" s="7"/>
      <c r="M21" s="7" t="s">
        <v>191</v>
      </c>
      <c r="N21" s="7" t="s">
        <v>216</v>
      </c>
      <c r="O21" s="7"/>
      <c r="P21" s="7"/>
      <c r="Q21" s="7">
        <v>4500</v>
      </c>
      <c r="R21" s="7">
        <f>'MAY 21'!U21:U49</f>
        <v>11500</v>
      </c>
      <c r="S21" s="7">
        <f t="shared" si="3"/>
        <v>16000</v>
      </c>
      <c r="T21" s="7">
        <f>6000</f>
        <v>6000</v>
      </c>
      <c r="U21" s="7">
        <f t="shared" si="5"/>
        <v>10000</v>
      </c>
      <c r="V21" s="7"/>
      <c r="W21" s="7"/>
    </row>
    <row r="22" spans="1:23" x14ac:dyDescent="0.25">
      <c r="A22" s="7" t="s">
        <v>47</v>
      </c>
      <c r="B22" s="7" t="s">
        <v>64</v>
      </c>
      <c r="C22" s="7"/>
      <c r="D22" s="7"/>
      <c r="E22" s="7">
        <v>7000</v>
      </c>
      <c r="F22" s="7">
        <f>'MAY 21'!I22:I45</f>
        <v>0</v>
      </c>
      <c r="G22" s="7">
        <f t="shared" si="2"/>
        <v>7000</v>
      </c>
      <c r="H22">
        <v>7000</v>
      </c>
      <c r="I22" s="7">
        <f>G22-H22</f>
        <v>0</v>
      </c>
      <c r="J22" s="7"/>
      <c r="K22" s="7"/>
      <c r="M22" s="7" t="s">
        <v>192</v>
      </c>
      <c r="N22" s="7" t="s">
        <v>214</v>
      </c>
      <c r="O22" s="7"/>
      <c r="P22" s="7"/>
      <c r="Q22" s="7">
        <v>4000</v>
      </c>
      <c r="R22" s="7">
        <f>'MAY 21'!U22:U50</f>
        <v>0</v>
      </c>
      <c r="S22" s="7">
        <f t="shared" si="3"/>
        <v>4000</v>
      </c>
      <c r="T22">
        <v>4000</v>
      </c>
      <c r="U22" s="7">
        <f>S22-T22</f>
        <v>0</v>
      </c>
      <c r="V22" s="7"/>
      <c r="W22" s="7"/>
    </row>
    <row r="23" spans="1:23" x14ac:dyDescent="0.25">
      <c r="A23" s="7" t="s">
        <v>66</v>
      </c>
      <c r="B23" s="7" t="s">
        <v>69</v>
      </c>
      <c r="C23" s="7"/>
      <c r="D23" s="7"/>
      <c r="E23" s="7">
        <v>8500</v>
      </c>
      <c r="F23" s="7">
        <f>'MAY 21'!I23:I46</f>
        <v>0</v>
      </c>
      <c r="G23" s="7">
        <f t="shared" si="2"/>
        <v>8500</v>
      </c>
      <c r="H23" s="7">
        <v>8500</v>
      </c>
      <c r="I23" s="7">
        <f>G23-H23</f>
        <v>0</v>
      </c>
      <c r="J23" s="7"/>
      <c r="K23" s="7"/>
      <c r="M23" s="7" t="s">
        <v>193</v>
      </c>
      <c r="N23" s="45" t="s">
        <v>257</v>
      </c>
      <c r="O23" s="7"/>
      <c r="P23" s="7"/>
      <c r="Q23" s="7">
        <v>4500</v>
      </c>
      <c r="R23" s="7">
        <f>'MAY 21'!U23:U51</f>
        <v>4500</v>
      </c>
      <c r="S23" s="7">
        <f t="shared" si="3"/>
        <v>9000</v>
      </c>
      <c r="T23" s="7">
        <v>4500</v>
      </c>
      <c r="U23" s="7">
        <f>S23-T23</f>
        <v>4500</v>
      </c>
      <c r="V23" s="7"/>
      <c r="W23" s="7"/>
    </row>
    <row r="24" spans="1:23" x14ac:dyDescent="0.25">
      <c r="A24" s="7" t="s">
        <v>48</v>
      </c>
      <c r="B24" s="7" t="s">
        <v>233</v>
      </c>
      <c r="C24" s="7"/>
      <c r="D24" s="7"/>
      <c r="E24" s="7">
        <v>5000</v>
      </c>
      <c r="F24" s="7">
        <f>'MAY 21'!I24:I47</f>
        <v>0</v>
      </c>
      <c r="G24" s="7">
        <f t="shared" si="2"/>
        <v>5000</v>
      </c>
      <c r="H24" s="7">
        <v>5000</v>
      </c>
      <c r="I24" s="7">
        <f>G24-H24</f>
        <v>0</v>
      </c>
      <c r="J24" s="7"/>
      <c r="K24" s="7"/>
      <c r="M24" s="7" t="s">
        <v>194</v>
      </c>
      <c r="N24" s="7" t="s">
        <v>256</v>
      </c>
      <c r="O24" s="7"/>
      <c r="P24" s="7"/>
      <c r="Q24" s="7">
        <v>4000</v>
      </c>
      <c r="R24" s="7">
        <f>'MAY 21'!U24:U52</f>
        <v>4300</v>
      </c>
      <c r="S24" s="7">
        <f t="shared" si="3"/>
        <v>8300</v>
      </c>
      <c r="T24" s="7">
        <v>5000</v>
      </c>
      <c r="U24" s="7">
        <f>S24-T24</f>
        <v>3300</v>
      </c>
      <c r="V24" s="7"/>
      <c r="W24" s="7"/>
    </row>
    <row r="25" spans="1:23" x14ac:dyDescent="0.25">
      <c r="A25" s="7" t="s">
        <v>49</v>
      </c>
      <c r="B25" s="7"/>
      <c r="C25" s="7"/>
      <c r="D25" s="7"/>
      <c r="E25" s="7"/>
      <c r="F25" s="7">
        <f>'MAY 21'!I25:I48</f>
        <v>0</v>
      </c>
      <c r="G25" s="7">
        <f t="shared" si="2"/>
        <v>0</v>
      </c>
      <c r="H25" s="7"/>
      <c r="I25" s="7">
        <f>G25-H25</f>
        <v>0</v>
      </c>
      <c r="J25" s="7"/>
      <c r="K25" s="7"/>
      <c r="L25" t="s">
        <v>263</v>
      </c>
      <c r="M25" s="7" t="s">
        <v>195</v>
      </c>
      <c r="N25" s="7" t="s">
        <v>218</v>
      </c>
      <c r="O25" s="7"/>
      <c r="P25" s="7"/>
      <c r="Q25" s="7">
        <v>4000</v>
      </c>
      <c r="R25" s="7">
        <f>'MAY 21'!U25:U53</f>
        <v>0</v>
      </c>
      <c r="S25" s="7">
        <f t="shared" si="3"/>
        <v>4000</v>
      </c>
      <c r="T25" s="7">
        <v>4000</v>
      </c>
      <c r="U25" s="7">
        <f>S25-T25</f>
        <v>0</v>
      </c>
      <c r="V25" s="7"/>
      <c r="W25" s="7"/>
    </row>
    <row r="26" spans="1:23" x14ac:dyDescent="0.25">
      <c r="A26" s="7" t="s">
        <v>88</v>
      </c>
      <c r="B26" s="7" t="s">
        <v>110</v>
      </c>
      <c r="C26" s="7"/>
      <c r="D26" s="7"/>
      <c r="E26" s="7">
        <v>7000</v>
      </c>
      <c r="F26" s="7">
        <f>'MAY 21'!I26:I49</f>
        <v>46600</v>
      </c>
      <c r="G26" s="7">
        <f t="shared" si="2"/>
        <v>53600</v>
      </c>
      <c r="H26" s="7">
        <f>4000+2000</f>
        <v>6000</v>
      </c>
      <c r="I26" s="7">
        <f>G26-H26</f>
        <v>47600</v>
      </c>
      <c r="J26" s="7"/>
      <c r="K26" s="7"/>
      <c r="M26" s="7" t="s">
        <v>196</v>
      </c>
      <c r="N26" s="7" t="s">
        <v>219</v>
      </c>
      <c r="O26" s="7"/>
      <c r="P26" s="7"/>
      <c r="Q26" s="7">
        <v>4000</v>
      </c>
      <c r="R26" s="7">
        <f>'MAY 21'!U26:U54</f>
        <v>0</v>
      </c>
      <c r="S26" s="7">
        <f t="shared" si="3"/>
        <v>4000</v>
      </c>
      <c r="T26" s="7"/>
      <c r="U26" s="7">
        <f t="shared" ref="U26:U31" si="6">S26-T26</f>
        <v>4000</v>
      </c>
      <c r="V26" s="7"/>
      <c r="W26" s="7"/>
    </row>
    <row r="27" spans="1:23" x14ac:dyDescent="0.25">
      <c r="A27" s="6"/>
      <c r="B27" s="10" t="s">
        <v>12</v>
      </c>
      <c r="C27" s="10">
        <f>SUM(C4:C5)</f>
        <v>0</v>
      </c>
      <c r="D27" s="10">
        <f>SUM(D5:D26)</f>
        <v>0</v>
      </c>
      <c r="E27" s="6">
        <f>SUM(E5:E26)</f>
        <v>130500</v>
      </c>
      <c r="F27" s="7">
        <f>'MAY 21'!I27:I50</f>
        <v>62300</v>
      </c>
      <c r="G27" s="7">
        <f>C27+D27+E27+F27</f>
        <v>192800</v>
      </c>
      <c r="H27" s="6">
        <f>SUM(H5:H26)</f>
        <v>131500</v>
      </c>
      <c r="I27" s="6">
        <f>SUM(I5:I26)</f>
        <v>61300</v>
      </c>
      <c r="J27" s="6">
        <f>SUM(J5:J26)</f>
        <v>0</v>
      </c>
      <c r="K27" s="6">
        <f>SUM(K5:K26)</f>
        <v>0</v>
      </c>
      <c r="M27" s="7" t="s">
        <v>197</v>
      </c>
      <c r="N27" s="7" t="s">
        <v>220</v>
      </c>
      <c r="O27" s="7"/>
      <c r="P27" s="7"/>
      <c r="Q27" s="7">
        <v>10000</v>
      </c>
      <c r="R27" s="7">
        <f>'MAY 21'!U27:U55</f>
        <v>0</v>
      </c>
      <c r="S27" s="7">
        <f t="shared" si="3"/>
        <v>10000</v>
      </c>
      <c r="T27" s="7">
        <f>10000</f>
        <v>10000</v>
      </c>
      <c r="U27" s="7">
        <f t="shared" si="6"/>
        <v>0</v>
      </c>
      <c r="V27" s="7"/>
      <c r="W27" s="7"/>
    </row>
    <row r="28" spans="1:23" x14ac:dyDescent="0.25">
      <c r="A28" s="11"/>
      <c r="F28" s="7">
        <f>'MAY 21'!I28:I51</f>
        <v>8700</v>
      </c>
      <c r="I28" s="8">
        <f>I27-F26-D13-D7</f>
        <v>14700</v>
      </c>
      <c r="M28" s="7" t="s">
        <v>198</v>
      </c>
      <c r="N28" s="7" t="s">
        <v>221</v>
      </c>
      <c r="O28" s="7"/>
      <c r="P28" s="7"/>
      <c r="Q28" s="7">
        <v>8000</v>
      </c>
      <c r="R28" s="7">
        <f>'MAY 21'!U28:U56</f>
        <v>13400</v>
      </c>
      <c r="S28" s="7">
        <f t="shared" si="3"/>
        <v>21400</v>
      </c>
      <c r="T28" s="7">
        <f>7000+1000</f>
        <v>8000</v>
      </c>
      <c r="U28" s="7">
        <f t="shared" si="6"/>
        <v>13400</v>
      </c>
      <c r="V28" s="7"/>
      <c r="W28" s="7"/>
    </row>
    <row r="29" spans="1:23" ht="18.75" x14ac:dyDescent="0.3">
      <c r="B29" s="12" t="s">
        <v>13</v>
      </c>
      <c r="C29" s="44" t="s">
        <v>227</v>
      </c>
      <c r="D29" s="13"/>
      <c r="E29" s="13"/>
      <c r="F29" s="44" t="s">
        <v>228</v>
      </c>
      <c r="G29" s="13"/>
      <c r="H29" s="14"/>
      <c r="I29" s="14"/>
      <c r="M29" s="7" t="s">
        <v>199</v>
      </c>
      <c r="N29" s="7" t="s">
        <v>222</v>
      </c>
      <c r="O29" s="7"/>
      <c r="P29" s="7"/>
      <c r="Q29" s="7">
        <v>8000</v>
      </c>
      <c r="R29" s="7">
        <f>'MAY 21'!U29:U57</f>
        <v>9800</v>
      </c>
      <c r="S29" s="7">
        <f t="shared" si="3"/>
        <v>17800</v>
      </c>
      <c r="T29" s="7">
        <f>8000</f>
        <v>8000</v>
      </c>
      <c r="U29" s="7">
        <f t="shared" si="6"/>
        <v>9800</v>
      </c>
      <c r="V29" s="7"/>
      <c r="W29" s="7"/>
    </row>
    <row r="30" spans="1:23" ht="15.75" x14ac:dyDescent="0.25">
      <c r="B30" s="15" t="s">
        <v>14</v>
      </c>
      <c r="C30" s="15" t="s">
        <v>15</v>
      </c>
      <c r="D30" s="15" t="s">
        <v>16</v>
      </c>
      <c r="E30" s="15" t="s">
        <v>17</v>
      </c>
      <c r="F30" s="15" t="s">
        <v>18</v>
      </c>
      <c r="G30" s="15" t="s">
        <v>15</v>
      </c>
      <c r="H30" s="15" t="s">
        <v>16</v>
      </c>
      <c r="I30" s="15" t="s">
        <v>17</v>
      </c>
      <c r="K30" s="25"/>
      <c r="M30" s="7" t="s">
        <v>200</v>
      </c>
      <c r="N30" s="7" t="s">
        <v>223</v>
      </c>
      <c r="O30" s="7"/>
      <c r="P30" s="7"/>
      <c r="Q30" s="7">
        <v>5000</v>
      </c>
      <c r="R30" s="7">
        <f>'MAY 21'!U30:U58</f>
        <v>0</v>
      </c>
      <c r="S30" s="7">
        <f t="shared" si="3"/>
        <v>5000</v>
      </c>
      <c r="T30" s="7">
        <f>5000</f>
        <v>5000</v>
      </c>
      <c r="U30" s="7">
        <f t="shared" si="6"/>
        <v>0</v>
      </c>
      <c r="V30" s="7"/>
      <c r="W30" s="7"/>
    </row>
    <row r="31" spans="1:23" x14ac:dyDescent="0.25">
      <c r="B31" s="9" t="s">
        <v>130</v>
      </c>
      <c r="C31" s="16">
        <f>E27</f>
        <v>130500</v>
      </c>
      <c r="D31" s="17">
        <v>0.1</v>
      </c>
      <c r="E31" s="16"/>
      <c r="F31" s="18" t="s">
        <v>130</v>
      </c>
      <c r="G31" s="16">
        <f>H27</f>
        <v>131500</v>
      </c>
      <c r="H31" s="17">
        <v>0.1</v>
      </c>
      <c r="I31" s="9"/>
      <c r="M31" s="7" t="s">
        <v>201</v>
      </c>
      <c r="N31" s="7" t="s">
        <v>224</v>
      </c>
      <c r="O31" s="7"/>
      <c r="P31" s="7"/>
      <c r="Q31" s="7">
        <v>7500</v>
      </c>
      <c r="R31" s="7">
        <f>'MAY 21'!U31:U59</f>
        <v>52600</v>
      </c>
      <c r="S31" s="7">
        <f t="shared" si="3"/>
        <v>60100</v>
      </c>
      <c r="T31" s="7">
        <f>5000</f>
        <v>5000</v>
      </c>
      <c r="U31" s="7">
        <f t="shared" si="6"/>
        <v>55100</v>
      </c>
      <c r="V31" s="7"/>
      <c r="W31" s="7"/>
    </row>
    <row r="32" spans="1:23" x14ac:dyDescent="0.25">
      <c r="B32" s="9" t="s">
        <v>20</v>
      </c>
      <c r="C32" s="16">
        <f>'MAY 21'!E45</f>
        <v>0</v>
      </c>
      <c r="D32" s="9"/>
      <c r="E32" s="9"/>
      <c r="F32" s="9" t="s">
        <v>20</v>
      </c>
      <c r="G32" s="16">
        <f>'MAY 21'!I45</f>
        <v>-5700</v>
      </c>
      <c r="H32" s="9"/>
      <c r="I32" s="9"/>
      <c r="K32" s="26"/>
      <c r="M32" s="6"/>
      <c r="N32" s="10" t="s">
        <v>12</v>
      </c>
      <c r="O32" s="10">
        <f>SUM(O4:O5)</f>
        <v>0</v>
      </c>
      <c r="P32" s="10">
        <f t="shared" ref="P32:W32" si="7">SUM(P5:P31)</f>
        <v>0</v>
      </c>
      <c r="Q32" s="6">
        <f>SUM(Q5:Q31)</f>
        <v>142500</v>
      </c>
      <c r="R32" s="7">
        <f>'MAY 21'!U32:U60</f>
        <v>201700</v>
      </c>
      <c r="S32" s="7">
        <f t="shared" si="7"/>
        <v>352200</v>
      </c>
      <c r="T32" s="6">
        <f t="shared" si="7"/>
        <v>135500</v>
      </c>
      <c r="U32" s="6">
        <f t="shared" si="7"/>
        <v>216700</v>
      </c>
      <c r="V32" s="6">
        <f t="shared" si="7"/>
        <v>4000</v>
      </c>
      <c r="W32" s="6">
        <f t="shared" si="7"/>
        <v>0</v>
      </c>
    </row>
    <row r="33" spans="2:24" x14ac:dyDescent="0.25">
      <c r="B33" s="9" t="s">
        <v>163</v>
      </c>
      <c r="C33" s="16">
        <f>D20+D15+D9</f>
        <v>0</v>
      </c>
      <c r="D33" s="9"/>
      <c r="E33" s="9"/>
      <c r="F33" s="9"/>
      <c r="G33" s="16"/>
      <c r="H33" s="16"/>
      <c r="I33" s="9"/>
      <c r="K33" s="26"/>
      <c r="M33" s="11"/>
      <c r="R33" s="7">
        <f>'JANUARY 21'!U33:U59</f>
        <v>0</v>
      </c>
      <c r="U33" s="8"/>
    </row>
    <row r="34" spans="2:24" ht="18.75" x14ac:dyDescent="0.3">
      <c r="B34" s="9" t="s">
        <v>21</v>
      </c>
      <c r="C34" s="16">
        <f>J27</f>
        <v>0</v>
      </c>
      <c r="D34" s="9"/>
      <c r="E34" s="9"/>
      <c r="F34" s="9"/>
      <c r="G34" s="16"/>
      <c r="H34" s="16"/>
      <c r="I34" s="9"/>
      <c r="K34" s="26"/>
      <c r="N34" s="12" t="s">
        <v>13</v>
      </c>
      <c r="O34" s="44" t="s">
        <v>227</v>
      </c>
      <c r="P34" s="13"/>
      <c r="Q34" s="13"/>
      <c r="R34" s="44" t="s">
        <v>228</v>
      </c>
      <c r="S34" s="13"/>
      <c r="T34" s="14"/>
      <c r="U34" s="14"/>
    </row>
    <row r="35" spans="2:24" ht="15.75" x14ac:dyDescent="0.25">
      <c r="B35" s="9" t="s">
        <v>102</v>
      </c>
      <c r="C35" s="16">
        <f>K27</f>
        <v>0</v>
      </c>
      <c r="D35" s="9"/>
      <c r="E35" s="9"/>
      <c r="F35" s="9" t="s">
        <v>102</v>
      </c>
      <c r="G35" s="16">
        <f>K27</f>
        <v>0</v>
      </c>
      <c r="H35" s="9"/>
      <c r="I35" s="9"/>
      <c r="K35" s="26"/>
      <c r="N35" s="15" t="s">
        <v>14</v>
      </c>
      <c r="O35" s="15" t="s">
        <v>226</v>
      </c>
      <c r="P35" s="15" t="s">
        <v>16</v>
      </c>
      <c r="Q35" s="15" t="s">
        <v>17</v>
      </c>
      <c r="R35" s="15" t="s">
        <v>18</v>
      </c>
      <c r="S35" s="15" t="s">
        <v>15</v>
      </c>
      <c r="T35" s="15" t="s">
        <v>16</v>
      </c>
      <c r="U35" s="15" t="s">
        <v>17</v>
      </c>
      <c r="W35" s="25"/>
    </row>
    <row r="36" spans="2:24" x14ac:dyDescent="0.25">
      <c r="B36" s="9" t="s">
        <v>97</v>
      </c>
      <c r="C36" s="16">
        <v>0.3</v>
      </c>
      <c r="D36" s="9"/>
      <c r="E36" s="9"/>
      <c r="F36" s="9" t="s">
        <v>97</v>
      </c>
      <c r="G36" s="16">
        <v>0.3</v>
      </c>
      <c r="H36" s="9">
        <f>D36</f>
        <v>0</v>
      </c>
      <c r="I36" s="9"/>
      <c r="N36" s="9" t="s">
        <v>130</v>
      </c>
      <c r="O36" s="16">
        <f>Q32</f>
        <v>142500</v>
      </c>
      <c r="P36" s="17">
        <v>0.1</v>
      </c>
      <c r="Q36" s="16"/>
      <c r="R36" s="7" t="s">
        <v>130</v>
      </c>
      <c r="S36" s="16">
        <f>T32</f>
        <v>135500</v>
      </c>
      <c r="T36" s="17">
        <v>0.1</v>
      </c>
      <c r="U36" s="9"/>
    </row>
    <row r="37" spans="2:24" x14ac:dyDescent="0.25">
      <c r="B37" s="9" t="s">
        <v>22</v>
      </c>
      <c r="C37" s="18"/>
      <c r="D37" s="9">
        <f>C31*D31</f>
        <v>13050</v>
      </c>
      <c r="E37" s="9"/>
      <c r="F37" s="9" t="s">
        <v>22</v>
      </c>
      <c r="G37" s="18"/>
      <c r="H37" s="9">
        <f>D37</f>
        <v>13050</v>
      </c>
      <c r="I37" s="9"/>
      <c r="N37" s="9" t="s">
        <v>20</v>
      </c>
      <c r="O37" s="16">
        <f>'MAY 21'!Q50</f>
        <v>840</v>
      </c>
      <c r="P37" s="9"/>
      <c r="Q37" s="9"/>
      <c r="R37" s="7" t="s">
        <v>6</v>
      </c>
      <c r="S37" s="16">
        <f>'MAY 21'!U50</f>
        <v>-15460</v>
      </c>
      <c r="T37" s="9"/>
      <c r="U37" s="9"/>
      <c r="W37" s="26"/>
    </row>
    <row r="38" spans="2:24" x14ac:dyDescent="0.25">
      <c r="B38" s="19" t="s">
        <v>23</v>
      </c>
      <c r="C38" s="9"/>
      <c r="D38" s="9"/>
      <c r="E38" s="9"/>
      <c r="F38" s="19" t="s">
        <v>23</v>
      </c>
      <c r="G38" s="9"/>
      <c r="H38" s="9"/>
      <c r="I38" s="9"/>
      <c r="N38" s="9" t="s">
        <v>163</v>
      </c>
      <c r="O38" s="16">
        <f>P32</f>
        <v>0</v>
      </c>
      <c r="P38" s="9"/>
      <c r="Q38" s="9"/>
      <c r="R38" s="9"/>
      <c r="S38" s="16"/>
      <c r="T38" s="16"/>
      <c r="U38" s="9"/>
      <c r="W38" s="26"/>
    </row>
    <row r="39" spans="2:24" x14ac:dyDescent="0.25">
      <c r="B39" s="20"/>
      <c r="C39" s="9"/>
      <c r="D39" s="9"/>
      <c r="E39" s="9"/>
      <c r="F39" s="20"/>
      <c r="G39" s="9"/>
      <c r="H39" s="9"/>
      <c r="I39" s="9"/>
      <c r="J39" s="26"/>
      <c r="N39" s="9" t="s">
        <v>21</v>
      </c>
      <c r="O39" s="16">
        <f>V32</f>
        <v>4000</v>
      </c>
      <c r="P39" s="9"/>
      <c r="Q39" s="9"/>
      <c r="R39" s="9"/>
      <c r="S39" s="16"/>
      <c r="T39" s="16"/>
      <c r="U39" s="9"/>
      <c r="W39" s="26"/>
    </row>
    <row r="40" spans="2:24" x14ac:dyDescent="0.25">
      <c r="B40" s="7" t="s">
        <v>261</v>
      </c>
      <c r="C40" s="9"/>
      <c r="D40" s="7">
        <v>5100</v>
      </c>
      <c r="E40" s="7"/>
      <c r="F40" s="7" t="s">
        <v>261</v>
      </c>
      <c r="G40" s="9"/>
      <c r="H40" s="7">
        <v>5100</v>
      </c>
      <c r="I40" s="9"/>
      <c r="K40" s="26"/>
      <c r="N40" s="9" t="s">
        <v>102</v>
      </c>
      <c r="O40" s="16">
        <f>W32</f>
        <v>0</v>
      </c>
      <c r="P40" s="9"/>
      <c r="Q40" s="9"/>
      <c r="R40" s="9" t="s">
        <v>102</v>
      </c>
      <c r="S40" s="16">
        <f>O40</f>
        <v>0</v>
      </c>
      <c r="T40" s="9"/>
      <c r="U40" s="9"/>
      <c r="W40" s="26"/>
    </row>
    <row r="41" spans="2:24" x14ac:dyDescent="0.25">
      <c r="B41" s="20" t="s">
        <v>262</v>
      </c>
      <c r="C41" s="9"/>
      <c r="D41" s="9">
        <v>112350</v>
      </c>
      <c r="E41" s="9"/>
      <c r="F41" s="20" t="s">
        <v>262</v>
      </c>
      <c r="G41" s="9"/>
      <c r="H41" s="9">
        <f>D41</f>
        <v>112350</v>
      </c>
      <c r="I41" s="9"/>
      <c r="K41" s="26"/>
      <c r="N41" s="9" t="s">
        <v>22</v>
      </c>
      <c r="O41" s="18"/>
      <c r="P41" s="9">
        <f>P36*O36</f>
        <v>14250</v>
      </c>
      <c r="Q41" s="9"/>
      <c r="R41" s="9" t="s">
        <v>22</v>
      </c>
      <c r="S41" s="18"/>
      <c r="T41" s="9">
        <f>T36*O36</f>
        <v>14250</v>
      </c>
      <c r="U41" s="9"/>
    </row>
    <row r="42" spans="2:24" x14ac:dyDescent="0.25">
      <c r="B42" s="20"/>
      <c r="C42" s="9"/>
      <c r="D42" s="9"/>
      <c r="E42" s="9"/>
      <c r="F42" s="20"/>
      <c r="G42" s="9"/>
      <c r="H42" s="9"/>
      <c r="I42" s="9"/>
      <c r="K42" s="26"/>
      <c r="N42" s="9"/>
      <c r="O42" s="18"/>
      <c r="P42" s="9"/>
      <c r="Q42" s="9"/>
      <c r="R42" s="9"/>
      <c r="S42" s="18"/>
      <c r="T42" s="9"/>
      <c r="U42" s="9"/>
    </row>
    <row r="43" spans="2:24" x14ac:dyDescent="0.25">
      <c r="B43" s="20"/>
      <c r="C43" s="9"/>
      <c r="D43" s="9"/>
      <c r="E43" s="9"/>
      <c r="F43" s="20"/>
      <c r="G43" s="9"/>
      <c r="H43" s="9"/>
      <c r="I43" s="9"/>
      <c r="K43" s="26"/>
      <c r="N43" s="19" t="s">
        <v>23</v>
      </c>
      <c r="O43" s="9"/>
      <c r="P43" s="9"/>
      <c r="Q43" s="9"/>
      <c r="R43" s="19" t="s">
        <v>23</v>
      </c>
      <c r="S43" s="9"/>
      <c r="T43" s="9"/>
      <c r="U43" s="9"/>
    </row>
    <row r="44" spans="2:24" x14ac:dyDescent="0.25">
      <c r="B44" s="20"/>
      <c r="C44" s="16"/>
      <c r="D44" s="16"/>
      <c r="E44" s="16"/>
      <c r="F44" s="20"/>
      <c r="G44" s="9"/>
      <c r="H44" s="16"/>
      <c r="I44" s="9"/>
      <c r="N44" s="20" t="s">
        <v>262</v>
      </c>
      <c r="O44" s="9"/>
      <c r="P44" s="9">
        <f>130450+7200</f>
        <v>137650</v>
      </c>
      <c r="Q44" s="9"/>
      <c r="R44" s="20" t="s">
        <v>262</v>
      </c>
      <c r="S44" s="9"/>
      <c r="T44" s="9">
        <f>P44</f>
        <v>137650</v>
      </c>
      <c r="U44" s="9"/>
      <c r="V44" s="26"/>
      <c r="W44" s="26"/>
      <c r="X44" s="26"/>
    </row>
    <row r="45" spans="2:24" x14ac:dyDescent="0.25">
      <c r="B45" s="22" t="s">
        <v>12</v>
      </c>
      <c r="C45" s="23">
        <f>C31+C32+C33+C34+C35-D37-D36</f>
        <v>117450</v>
      </c>
      <c r="D45" s="22">
        <f>SUM(D39:D44)</f>
        <v>117450</v>
      </c>
      <c r="E45" s="23">
        <f>C45-D45</f>
        <v>0</v>
      </c>
      <c r="F45" s="24"/>
      <c r="G45" s="23">
        <f>G31+G32+G35-H36-H37</f>
        <v>112750</v>
      </c>
      <c r="H45" s="23">
        <f>SUM(H39:H44)</f>
        <v>117450</v>
      </c>
      <c r="I45" s="23">
        <f>G45-H45</f>
        <v>-4700</v>
      </c>
      <c r="N45" s="7"/>
      <c r="O45" s="21"/>
      <c r="P45" s="7"/>
      <c r="Q45" s="7"/>
      <c r="R45" s="7"/>
      <c r="S45" s="21"/>
      <c r="T45" s="7"/>
      <c r="U45" s="9"/>
      <c r="W45" s="26"/>
    </row>
    <row r="46" spans="2:24" x14ac:dyDescent="0.25">
      <c r="E46" s="26">
        <f>E45-C32</f>
        <v>0</v>
      </c>
      <c r="I46" s="26"/>
      <c r="K46" s="26"/>
      <c r="N46" s="20"/>
      <c r="O46" s="9"/>
      <c r="P46" s="9"/>
      <c r="Q46" s="9"/>
      <c r="R46" s="20"/>
      <c r="S46" s="9"/>
      <c r="T46" s="9"/>
      <c r="U46" s="9"/>
      <c r="W46" s="26"/>
    </row>
    <row r="47" spans="2:24" x14ac:dyDescent="0.25">
      <c r="B47" s="11" t="s">
        <v>24</v>
      </c>
      <c r="D47" s="11" t="s">
        <v>25</v>
      </c>
      <c r="F47" s="11"/>
      <c r="G47" s="11" t="s">
        <v>26</v>
      </c>
      <c r="I47" s="26"/>
      <c r="K47" s="26"/>
      <c r="L47" s="26"/>
      <c r="N47" s="20"/>
      <c r="O47" s="9"/>
      <c r="P47" s="9"/>
      <c r="Q47" s="9"/>
      <c r="R47" s="20"/>
      <c r="S47" s="9"/>
      <c r="T47" s="9"/>
      <c r="U47" s="9"/>
      <c r="W47" s="26"/>
    </row>
    <row r="48" spans="2:24" x14ac:dyDescent="0.25">
      <c r="B48" t="s">
        <v>27</v>
      </c>
      <c r="D48" s="11" t="s">
        <v>28</v>
      </c>
      <c r="F48" s="11"/>
      <c r="G48" s="11" t="s">
        <v>147</v>
      </c>
      <c r="I48" s="26"/>
      <c r="N48" s="20"/>
      <c r="O48" s="9"/>
      <c r="P48" s="9"/>
      <c r="Q48" s="9"/>
      <c r="R48" s="20"/>
      <c r="S48" s="9"/>
      <c r="T48" s="9"/>
      <c r="U48" s="9"/>
      <c r="W48" s="26"/>
    </row>
    <row r="49" spans="6:23" x14ac:dyDescent="0.25">
      <c r="N49" s="20"/>
      <c r="O49" s="16"/>
      <c r="P49" s="16"/>
      <c r="Q49" s="16"/>
      <c r="R49" s="20"/>
      <c r="S49" s="16"/>
      <c r="T49" s="16"/>
      <c r="U49" s="9"/>
      <c r="V49" s="26"/>
      <c r="W49" s="26"/>
    </row>
    <row r="50" spans="6:23" x14ac:dyDescent="0.25">
      <c r="F50" s="26"/>
      <c r="I50" s="26"/>
      <c r="J50" s="26"/>
      <c r="N50" s="22" t="s">
        <v>12</v>
      </c>
      <c r="O50" s="23">
        <f>O36+O37+O38+O39+O40-P42-P41</f>
        <v>133090</v>
      </c>
      <c r="P50" s="22">
        <f>SUM(P44:P49)</f>
        <v>137650</v>
      </c>
      <c r="Q50" s="23">
        <f>O50-P50</f>
        <v>-4560</v>
      </c>
      <c r="R50" s="24"/>
      <c r="S50" s="23">
        <f>S36+S37+S40-T41</f>
        <v>105790</v>
      </c>
      <c r="T50" s="23">
        <f>SUM(T44:T49)</f>
        <v>137650</v>
      </c>
      <c r="U50" s="23">
        <f>S50-T50</f>
        <v>-31860</v>
      </c>
      <c r="W50" s="26"/>
    </row>
    <row r="51" spans="6:23" x14ac:dyDescent="0.25">
      <c r="W51" s="26"/>
    </row>
    <row r="52" spans="6:23" x14ac:dyDescent="0.25">
      <c r="N52" s="11" t="s">
        <v>24</v>
      </c>
      <c r="P52" s="11" t="s">
        <v>25</v>
      </c>
      <c r="R52" s="11"/>
      <c r="S52" s="11" t="s">
        <v>26</v>
      </c>
      <c r="W52" s="26"/>
    </row>
    <row r="53" spans="6:23" x14ac:dyDescent="0.25">
      <c r="N53" t="s">
        <v>27</v>
      </c>
      <c r="P53" s="11" t="s">
        <v>28</v>
      </c>
      <c r="R53" s="11"/>
      <c r="S53" s="11" t="s">
        <v>147</v>
      </c>
      <c r="U53" s="26"/>
    </row>
    <row r="54" spans="6:23" x14ac:dyDescent="0.25">
      <c r="G54" s="26"/>
      <c r="K54">
        <f>E27+Q32</f>
        <v>273000</v>
      </c>
      <c r="L54" s="26"/>
      <c r="M54" s="26"/>
    </row>
    <row r="55" spans="6:23" x14ac:dyDescent="0.25">
      <c r="I55" s="26"/>
      <c r="J55" s="26" t="s">
        <v>248</v>
      </c>
      <c r="K55" s="26">
        <f>P36*K54</f>
        <v>27300</v>
      </c>
      <c r="L55" s="26"/>
      <c r="M55" s="26"/>
      <c r="Q55" s="26"/>
    </row>
    <row r="56" spans="6:23" x14ac:dyDescent="0.25">
      <c r="I56" s="26"/>
      <c r="K56" s="26">
        <f>K54-K55</f>
        <v>245700</v>
      </c>
      <c r="L56" s="26"/>
      <c r="Q56" s="26"/>
      <c r="T56" s="26"/>
    </row>
    <row r="57" spans="6:23" x14ac:dyDescent="0.25">
      <c r="K57">
        <v>5100</v>
      </c>
      <c r="M57" s="26"/>
    </row>
    <row r="58" spans="6:23" x14ac:dyDescent="0.25">
      <c r="K58" s="26">
        <f>K56-K57</f>
        <v>240600</v>
      </c>
    </row>
    <row r="59" spans="6:23" x14ac:dyDescent="0.25">
      <c r="K59" s="26">
        <v>4000</v>
      </c>
      <c r="M59" s="26"/>
    </row>
    <row r="60" spans="6:23" x14ac:dyDescent="0.25">
      <c r="K60" s="26">
        <f>K58+K59</f>
        <v>244600</v>
      </c>
      <c r="P60" s="26"/>
    </row>
    <row r="61" spans="6:23" x14ac:dyDescent="0.25">
      <c r="K61" s="26">
        <f>D41+P44</f>
        <v>250000</v>
      </c>
      <c r="T61">
        <f>250000-119550</f>
        <v>130450</v>
      </c>
    </row>
    <row r="62" spans="6:23" x14ac:dyDescent="0.25">
      <c r="K62" s="26">
        <f>K60-K61</f>
        <v>-5400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5"/>
  <sheetViews>
    <sheetView workbookViewId="0"/>
  </sheetViews>
  <sheetFormatPr defaultRowHeight="15" x14ac:dyDescent="0.25"/>
  <sheetData>
    <row r="1" spans="1:23" ht="18.75" x14ac:dyDescent="0.25">
      <c r="E1" s="1" t="s">
        <v>50</v>
      </c>
      <c r="F1" s="2"/>
      <c r="G1" s="3"/>
      <c r="H1" s="4"/>
      <c r="Q1" s="1" t="s">
        <v>229</v>
      </c>
      <c r="R1" s="2"/>
      <c r="S1" s="3"/>
      <c r="T1" s="4"/>
    </row>
    <row r="2" spans="1:23" ht="18.75" x14ac:dyDescent="0.25">
      <c r="E2" s="1" t="s">
        <v>0</v>
      </c>
      <c r="F2" s="1"/>
      <c r="G2" s="5"/>
      <c r="H2" s="5"/>
      <c r="Q2" s="1" t="s">
        <v>0</v>
      </c>
      <c r="R2" s="1"/>
      <c r="S2" s="5"/>
      <c r="T2" s="5"/>
    </row>
    <row r="3" spans="1:23" ht="18.75" x14ac:dyDescent="0.25">
      <c r="E3" s="1" t="s">
        <v>264</v>
      </c>
      <c r="F3" s="1"/>
      <c r="G3" s="5"/>
      <c r="H3" s="5"/>
      <c r="I3" t="s">
        <v>250</v>
      </c>
      <c r="Q3" s="1" t="s">
        <v>264</v>
      </c>
      <c r="R3" s="1"/>
      <c r="S3" s="5"/>
      <c r="T3" s="5"/>
    </row>
    <row r="4" spans="1:23" x14ac:dyDescent="0.25">
      <c r="A4" s="6" t="s">
        <v>2</v>
      </c>
      <c r="B4" s="6" t="s">
        <v>3</v>
      </c>
      <c r="C4" s="6"/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  <c r="K4" s="6" t="s">
        <v>101</v>
      </c>
      <c r="M4" s="6" t="s">
        <v>2</v>
      </c>
      <c r="N4" s="6" t="s">
        <v>3</v>
      </c>
      <c r="O4" s="6"/>
      <c r="P4" s="6" t="s">
        <v>4</v>
      </c>
      <c r="Q4" s="6" t="s">
        <v>5</v>
      </c>
      <c r="R4" s="6" t="s">
        <v>6</v>
      </c>
      <c r="S4" s="6" t="s">
        <v>7</v>
      </c>
      <c r="T4" s="6" t="s">
        <v>8</v>
      </c>
      <c r="U4" s="6" t="s">
        <v>9</v>
      </c>
      <c r="V4" s="6" t="s">
        <v>10</v>
      </c>
      <c r="W4" s="6" t="s">
        <v>101</v>
      </c>
    </row>
    <row r="5" spans="1:23" x14ac:dyDescent="0.25">
      <c r="A5" s="7" t="s">
        <v>30</v>
      </c>
      <c r="B5" s="7" t="s">
        <v>232</v>
      </c>
      <c r="C5" s="7"/>
      <c r="D5" s="7"/>
      <c r="E5" s="7">
        <v>4500</v>
      </c>
      <c r="F5" s="7">
        <f>'JUNE 21'!I5:I26</f>
        <v>0</v>
      </c>
      <c r="G5" s="7">
        <f>C5+D5+E5+F5</f>
        <v>4500</v>
      </c>
      <c r="H5" s="7">
        <v>4500</v>
      </c>
      <c r="I5" s="7">
        <f t="shared" ref="I5:I12" si="0">G5-H5</f>
        <v>0</v>
      </c>
      <c r="J5" s="7"/>
      <c r="K5" s="7"/>
      <c r="M5" s="7" t="s">
        <v>177</v>
      </c>
      <c r="N5" s="9" t="s">
        <v>202</v>
      </c>
      <c r="O5" s="7"/>
      <c r="P5" s="7"/>
      <c r="Q5" s="7">
        <v>7000</v>
      </c>
      <c r="R5" s="7">
        <f>'JUNE 21'!U5:U31</f>
        <v>0</v>
      </c>
      <c r="S5" s="7">
        <f>O5+P5+Q5+R5</f>
        <v>7000</v>
      </c>
      <c r="T5" s="7">
        <f>7000</f>
        <v>7000</v>
      </c>
      <c r="U5" s="7">
        <f t="shared" ref="U5:U12" si="1">S5-T5</f>
        <v>0</v>
      </c>
      <c r="V5" s="7"/>
      <c r="W5" s="7"/>
    </row>
    <row r="6" spans="1:23" x14ac:dyDescent="0.25">
      <c r="A6" s="7" t="s">
        <v>31</v>
      </c>
      <c r="B6" s="7" t="s">
        <v>52</v>
      </c>
      <c r="C6" s="7"/>
      <c r="D6" s="7"/>
      <c r="E6" s="7">
        <v>3000</v>
      </c>
      <c r="F6" s="7">
        <f>'JUNE 21'!I6:I27</f>
        <v>0</v>
      </c>
      <c r="G6" s="7">
        <f>C6+D6+E6+F6</f>
        <v>3000</v>
      </c>
      <c r="H6" s="7">
        <v>3000</v>
      </c>
      <c r="I6" s="7">
        <f t="shared" si="0"/>
        <v>0</v>
      </c>
      <c r="J6" s="7"/>
      <c r="K6" s="7"/>
      <c r="M6" s="7" t="s">
        <v>88</v>
      </c>
      <c r="N6" s="7"/>
      <c r="O6" s="7"/>
      <c r="P6" s="7"/>
      <c r="Q6" s="7"/>
      <c r="R6" s="7">
        <f>'JUNE 21'!U6:U32</f>
        <v>0</v>
      </c>
      <c r="S6" s="7">
        <f>O6+P6+Q6+R6</f>
        <v>0</v>
      </c>
      <c r="T6" s="7"/>
      <c r="U6" s="7">
        <f t="shared" si="1"/>
        <v>0</v>
      </c>
      <c r="V6" s="7"/>
      <c r="W6" s="7"/>
    </row>
    <row r="7" spans="1:23" x14ac:dyDescent="0.25">
      <c r="A7" s="7" t="s">
        <v>32</v>
      </c>
      <c r="B7" s="7" t="s">
        <v>115</v>
      </c>
      <c r="C7" s="7"/>
      <c r="D7" s="7">
        <v>2500</v>
      </c>
      <c r="E7" s="7">
        <v>7500</v>
      </c>
      <c r="F7" s="7">
        <v>100</v>
      </c>
      <c r="G7" s="7">
        <f>C7+D7+E7+F7</f>
        <v>10100</v>
      </c>
      <c r="H7" s="7">
        <f>7600</f>
        <v>7600</v>
      </c>
      <c r="I7" s="7">
        <f t="shared" si="0"/>
        <v>2500</v>
      </c>
      <c r="J7" s="7"/>
      <c r="K7" s="7"/>
      <c r="M7" s="7" t="s">
        <v>178</v>
      </c>
      <c r="N7" s="7" t="s">
        <v>203</v>
      </c>
      <c r="O7" s="7"/>
      <c r="P7" s="7"/>
      <c r="Q7" s="7">
        <v>8500</v>
      </c>
      <c r="R7" s="7">
        <f>'JUNE 21'!U7:U33</f>
        <v>1000</v>
      </c>
      <c r="S7" s="7">
        <f>O7+P7+Q7+R7</f>
        <v>9500</v>
      </c>
      <c r="T7" s="7">
        <v>8500</v>
      </c>
      <c r="U7" s="7">
        <f t="shared" si="1"/>
        <v>1000</v>
      </c>
      <c r="V7" s="7"/>
      <c r="W7" s="7"/>
    </row>
    <row r="8" spans="1:23" x14ac:dyDescent="0.25">
      <c r="A8" s="7" t="s">
        <v>33</v>
      </c>
      <c r="B8" s="7" t="s">
        <v>54</v>
      </c>
      <c r="C8" s="7"/>
      <c r="D8" s="7"/>
      <c r="E8" s="7">
        <v>6500</v>
      </c>
      <c r="F8" s="7">
        <f>'JUNE 21'!I8:I29</f>
        <v>0</v>
      </c>
      <c r="G8" s="7">
        <f>C8+D8+E8+F8</f>
        <v>6500</v>
      </c>
      <c r="H8" s="7">
        <f>6500</f>
        <v>6500</v>
      </c>
      <c r="I8" s="7">
        <f t="shared" si="0"/>
        <v>0</v>
      </c>
      <c r="J8" s="7"/>
      <c r="K8" s="7"/>
      <c r="M8" s="7" t="s">
        <v>179</v>
      </c>
      <c r="N8" s="7" t="s">
        <v>204</v>
      </c>
      <c r="O8" s="7"/>
      <c r="P8" s="7"/>
      <c r="Q8" s="7">
        <v>9000</v>
      </c>
      <c r="R8" s="7">
        <f>'JUNE 21'!U8:U34</f>
        <v>0</v>
      </c>
      <c r="S8" s="7">
        <f>O8+P8+Q8+R8</f>
        <v>9000</v>
      </c>
      <c r="T8" s="7">
        <v>9000</v>
      </c>
      <c r="U8" s="7">
        <f t="shared" si="1"/>
        <v>0</v>
      </c>
      <c r="V8" s="7"/>
      <c r="W8" s="7"/>
    </row>
    <row r="9" spans="1:23" x14ac:dyDescent="0.25">
      <c r="A9" s="7" t="s">
        <v>34</v>
      </c>
      <c r="B9" s="45" t="s">
        <v>265</v>
      </c>
      <c r="C9" s="7"/>
      <c r="D9" s="7">
        <v>1000</v>
      </c>
      <c r="E9" s="7">
        <v>7000</v>
      </c>
      <c r="F9" s="7">
        <f>'JUNE 21'!I9:I30</f>
        <v>0</v>
      </c>
      <c r="G9" s="7">
        <f t="shared" ref="G9:G26" si="2">C9+D9+E9+F9</f>
        <v>8000</v>
      </c>
      <c r="H9" s="7">
        <f>8000</f>
        <v>8000</v>
      </c>
      <c r="I9" s="7">
        <f t="shared" si="0"/>
        <v>0</v>
      </c>
      <c r="J9" s="7"/>
      <c r="K9" s="7"/>
      <c r="M9" s="7" t="s">
        <v>180</v>
      </c>
      <c r="N9" s="7" t="s">
        <v>205</v>
      </c>
      <c r="O9" s="7"/>
      <c r="P9" s="7"/>
      <c r="Q9" s="7">
        <v>8000</v>
      </c>
      <c r="R9" s="7">
        <f>'JUNE 21'!U9:U35</f>
        <v>38300</v>
      </c>
      <c r="S9" s="7">
        <f t="shared" ref="S9:S31" si="3">O9+P9+Q9+R9</f>
        <v>46300</v>
      </c>
      <c r="T9" s="7">
        <f>10000</f>
        <v>10000</v>
      </c>
      <c r="U9" s="7">
        <f t="shared" si="1"/>
        <v>36300</v>
      </c>
      <c r="V9" s="7">
        <v>4000</v>
      </c>
      <c r="W9" s="7"/>
    </row>
    <row r="10" spans="1:23" x14ac:dyDescent="0.25">
      <c r="A10" s="7" t="s">
        <v>35</v>
      </c>
      <c r="B10" s="7" t="s">
        <v>55</v>
      </c>
      <c r="C10" s="7"/>
      <c r="D10" s="7"/>
      <c r="E10" s="7">
        <v>7000</v>
      </c>
      <c r="F10" s="7">
        <f>'JUNE 21'!I10:I31</f>
        <v>1000</v>
      </c>
      <c r="G10" s="7">
        <f t="shared" si="2"/>
        <v>8000</v>
      </c>
      <c r="H10" s="7">
        <f>7000</f>
        <v>7000</v>
      </c>
      <c r="I10" s="7">
        <f t="shared" si="0"/>
        <v>1000</v>
      </c>
      <c r="J10" s="7"/>
      <c r="K10" s="7"/>
      <c r="M10" s="7" t="s">
        <v>181</v>
      </c>
      <c r="N10" s="7" t="s">
        <v>206</v>
      </c>
      <c r="O10" s="7"/>
      <c r="P10" s="7"/>
      <c r="Q10" s="7">
        <v>8500</v>
      </c>
      <c r="R10" s="7">
        <f>'JUNE 21'!U10:U36</f>
        <v>11100</v>
      </c>
      <c r="S10" s="7">
        <f t="shared" si="3"/>
        <v>19600</v>
      </c>
      <c r="T10" s="7">
        <f>8500</f>
        <v>8500</v>
      </c>
      <c r="U10" s="7">
        <f t="shared" si="1"/>
        <v>11100</v>
      </c>
      <c r="V10" s="7"/>
      <c r="W10" s="7"/>
    </row>
    <row r="11" spans="1:23" x14ac:dyDescent="0.25">
      <c r="A11" s="7" t="s">
        <v>36</v>
      </c>
      <c r="B11" s="7" t="s">
        <v>56</v>
      </c>
      <c r="C11" s="7"/>
      <c r="D11" s="7"/>
      <c r="E11" s="7">
        <v>7000</v>
      </c>
      <c r="F11" s="7">
        <f>'JUNE 21'!I11:I32</f>
        <v>0</v>
      </c>
      <c r="G11" s="7">
        <f t="shared" si="2"/>
        <v>7000</v>
      </c>
      <c r="H11" s="7"/>
      <c r="I11" s="7">
        <f t="shared" si="0"/>
        <v>7000</v>
      </c>
      <c r="J11" s="7"/>
      <c r="K11" s="7"/>
      <c r="M11" s="7" t="s">
        <v>182</v>
      </c>
      <c r="N11" s="7" t="s">
        <v>207</v>
      </c>
      <c r="O11" s="7"/>
      <c r="P11" s="7"/>
      <c r="Q11" s="7">
        <v>8000</v>
      </c>
      <c r="R11" s="7">
        <f>'JUNE 21'!U11:U37</f>
        <v>6500</v>
      </c>
      <c r="S11" s="7">
        <f t="shared" si="3"/>
        <v>14500</v>
      </c>
      <c r="T11" s="7">
        <v>8000</v>
      </c>
      <c r="U11" s="7">
        <f t="shared" si="1"/>
        <v>6500</v>
      </c>
      <c r="V11" s="7"/>
      <c r="W11" s="7"/>
    </row>
    <row r="12" spans="1:23" x14ac:dyDescent="0.25">
      <c r="A12" s="7" t="s">
        <v>37</v>
      </c>
      <c r="B12" s="8" t="s">
        <v>65</v>
      </c>
      <c r="C12" s="7"/>
      <c r="D12" s="7"/>
      <c r="E12" s="7">
        <v>4500</v>
      </c>
      <c r="F12" s="7">
        <f>'JUNE 21'!I12:I33</f>
        <v>100</v>
      </c>
      <c r="G12" s="7">
        <f t="shared" si="2"/>
        <v>4600</v>
      </c>
      <c r="H12" s="7">
        <f>4500</f>
        <v>4500</v>
      </c>
      <c r="I12" s="7">
        <f t="shared" si="0"/>
        <v>100</v>
      </c>
      <c r="J12" s="7"/>
      <c r="K12" s="7"/>
      <c r="M12" s="7" t="s">
        <v>183</v>
      </c>
      <c r="N12" s="8" t="s">
        <v>208</v>
      </c>
      <c r="O12" s="7"/>
      <c r="P12" s="7"/>
      <c r="Q12" s="7">
        <v>8500</v>
      </c>
      <c r="R12" s="7">
        <f>'JUNE 21'!U12:U38</f>
        <v>0</v>
      </c>
      <c r="S12" s="7">
        <f t="shared" si="3"/>
        <v>8500</v>
      </c>
      <c r="T12" s="7">
        <v>8500</v>
      </c>
      <c r="U12" s="7">
        <f t="shared" si="1"/>
        <v>0</v>
      </c>
      <c r="V12" s="7"/>
      <c r="W12" s="7"/>
    </row>
    <row r="13" spans="1:23" x14ac:dyDescent="0.25">
      <c r="A13" s="7" t="s">
        <v>38</v>
      </c>
      <c r="B13" s="7" t="s">
        <v>92</v>
      </c>
      <c r="C13" s="7"/>
      <c r="D13" s="7">
        <v>5000</v>
      </c>
      <c r="E13" s="7">
        <v>8000</v>
      </c>
      <c r="F13" s="7"/>
      <c r="G13" s="7">
        <f t="shared" si="2"/>
        <v>13000</v>
      </c>
      <c r="H13" s="7">
        <f>8000</f>
        <v>8000</v>
      </c>
      <c r="I13" s="7">
        <f t="shared" ref="I13:I21" si="4">G13-H13</f>
        <v>5000</v>
      </c>
      <c r="J13" s="7"/>
      <c r="K13" s="7"/>
      <c r="M13" s="7" t="s">
        <v>184</v>
      </c>
      <c r="N13" s="7" t="s">
        <v>252</v>
      </c>
      <c r="O13" s="7"/>
      <c r="P13" s="7"/>
      <c r="Q13" s="7">
        <v>3500</v>
      </c>
      <c r="R13" s="7">
        <f>'JUNE 21'!U13:U39</f>
        <v>3500</v>
      </c>
      <c r="S13" s="7">
        <f t="shared" si="3"/>
        <v>7000</v>
      </c>
      <c r="T13" s="7">
        <f>3500</f>
        <v>3500</v>
      </c>
      <c r="U13" s="7">
        <f t="shared" ref="U13:U21" si="5">S13-T13</f>
        <v>3500</v>
      </c>
      <c r="V13" s="7"/>
      <c r="W13" s="7"/>
    </row>
    <row r="14" spans="1:23" x14ac:dyDescent="0.25">
      <c r="A14" s="7" t="s">
        <v>39</v>
      </c>
      <c r="B14" s="7" t="s">
        <v>70</v>
      </c>
      <c r="C14" s="7"/>
      <c r="D14" s="7"/>
      <c r="E14" s="7">
        <v>6500</v>
      </c>
      <c r="F14" s="7">
        <f>'JUNE 21'!I14:I35</f>
        <v>0</v>
      </c>
      <c r="G14" s="7">
        <f t="shared" si="2"/>
        <v>6500</v>
      </c>
      <c r="H14" s="7">
        <f>6500</f>
        <v>6500</v>
      </c>
      <c r="I14" s="7">
        <f t="shared" si="4"/>
        <v>0</v>
      </c>
      <c r="J14" s="7"/>
      <c r="K14" s="7"/>
      <c r="M14" s="7" t="s">
        <v>185</v>
      </c>
      <c r="N14" s="7" t="s">
        <v>210</v>
      </c>
      <c r="O14" s="7"/>
      <c r="P14" s="7"/>
      <c r="Q14" s="7">
        <v>5000</v>
      </c>
      <c r="R14" s="7">
        <f>'JUNE 21'!U14:U40</f>
        <v>250</v>
      </c>
      <c r="S14" s="7">
        <f t="shared" si="3"/>
        <v>5250</v>
      </c>
      <c r="T14" s="7">
        <v>5000</v>
      </c>
      <c r="U14" s="7">
        <f t="shared" si="5"/>
        <v>250</v>
      </c>
      <c r="V14" s="7"/>
      <c r="W14" s="7"/>
    </row>
    <row r="15" spans="1:23" x14ac:dyDescent="0.25">
      <c r="A15" s="7" t="s">
        <v>40</v>
      </c>
      <c r="B15" s="7" t="s">
        <v>174</v>
      </c>
      <c r="C15" s="7"/>
      <c r="D15" s="7"/>
      <c r="E15" s="7">
        <v>7500</v>
      </c>
      <c r="F15" s="7">
        <f>'JUNE 21'!I15:I36</f>
        <v>0</v>
      </c>
      <c r="G15" s="7">
        <f t="shared" si="2"/>
        <v>7500</v>
      </c>
      <c r="H15" s="7">
        <v>7500</v>
      </c>
      <c r="I15" s="7">
        <f t="shared" si="4"/>
        <v>0</v>
      </c>
      <c r="J15" s="7"/>
      <c r="K15" s="7"/>
      <c r="M15" s="7" t="s">
        <v>186</v>
      </c>
      <c r="N15" s="9" t="s">
        <v>267</v>
      </c>
      <c r="O15" s="7"/>
      <c r="P15" s="7"/>
      <c r="Q15" s="7">
        <v>4000</v>
      </c>
      <c r="R15" s="7">
        <f>'JUNE 21'!U15:U41</f>
        <v>0</v>
      </c>
      <c r="S15" s="7">
        <f t="shared" si="3"/>
        <v>4000</v>
      </c>
      <c r="T15" s="7">
        <v>4000</v>
      </c>
      <c r="U15" s="7">
        <f t="shared" si="5"/>
        <v>0</v>
      </c>
      <c r="V15" s="7"/>
      <c r="W15" s="7"/>
    </row>
    <row r="16" spans="1:23" x14ac:dyDescent="0.25">
      <c r="A16" s="7" t="s">
        <v>41</v>
      </c>
      <c r="B16" s="7" t="s">
        <v>58</v>
      </c>
      <c r="C16" s="7"/>
      <c r="D16" s="7"/>
      <c r="E16" s="7">
        <v>7000</v>
      </c>
      <c r="F16" s="7">
        <f>'JUNE 21'!I16:I37</f>
        <v>1500</v>
      </c>
      <c r="G16" s="7">
        <f t="shared" si="2"/>
        <v>8500</v>
      </c>
      <c r="H16" s="7">
        <v>7000</v>
      </c>
      <c r="I16" s="7">
        <f t="shared" si="4"/>
        <v>1500</v>
      </c>
      <c r="J16" s="7"/>
      <c r="K16" s="7"/>
      <c r="M16" s="7" t="s">
        <v>187</v>
      </c>
      <c r="N16" s="7" t="s">
        <v>212</v>
      </c>
      <c r="O16" s="7"/>
      <c r="P16" s="7"/>
      <c r="Q16" s="7">
        <v>4500</v>
      </c>
      <c r="R16" s="7">
        <f>'JUNE 21'!U16:U42</f>
        <v>0</v>
      </c>
      <c r="S16" s="7">
        <f t="shared" si="3"/>
        <v>4500</v>
      </c>
      <c r="T16" s="7">
        <v>4500</v>
      </c>
      <c r="U16" s="7">
        <f t="shared" si="5"/>
        <v>0</v>
      </c>
      <c r="V16" s="7"/>
      <c r="W16" s="7"/>
    </row>
    <row r="17" spans="1:23" x14ac:dyDescent="0.25">
      <c r="A17" s="7" t="s">
        <v>42</v>
      </c>
      <c r="B17" s="7" t="s">
        <v>59</v>
      </c>
      <c r="C17" s="7"/>
      <c r="D17" s="7"/>
      <c r="E17" s="7">
        <v>7000</v>
      </c>
      <c r="F17" s="7">
        <f>'JUNE 21'!I17:I38</f>
        <v>3500</v>
      </c>
      <c r="G17" s="7">
        <f t="shared" si="2"/>
        <v>10500</v>
      </c>
      <c r="H17" s="7">
        <f>7500</f>
        <v>7500</v>
      </c>
      <c r="I17" s="7">
        <f>G17-H17</f>
        <v>3000</v>
      </c>
      <c r="J17" s="7"/>
      <c r="K17" s="7"/>
      <c r="M17" s="7" t="s">
        <v>188</v>
      </c>
      <c r="N17" s="7" t="s">
        <v>213</v>
      </c>
      <c r="O17" s="7"/>
      <c r="P17" s="7"/>
      <c r="Q17" s="7"/>
      <c r="R17" s="7">
        <f>'JUNE 21'!U17:U43</f>
        <v>36000</v>
      </c>
      <c r="S17" s="7">
        <f>O17+P17+Q17+R17+4000</f>
        <v>40000</v>
      </c>
      <c r="T17" s="7"/>
      <c r="U17" s="7">
        <f t="shared" si="5"/>
        <v>40000</v>
      </c>
      <c r="V17" s="7"/>
      <c r="W17" s="7"/>
    </row>
    <row r="18" spans="1:23" x14ac:dyDescent="0.25">
      <c r="A18" s="7" t="s">
        <v>43</v>
      </c>
      <c r="B18" s="7" t="s">
        <v>230</v>
      </c>
      <c r="C18" s="7"/>
      <c r="D18" s="7"/>
      <c r="E18" s="7">
        <v>5000</v>
      </c>
      <c r="F18" s="7">
        <f>'JUNE 21'!I18:I39</f>
        <v>0</v>
      </c>
      <c r="G18" s="7">
        <f t="shared" si="2"/>
        <v>5000</v>
      </c>
      <c r="H18" s="7">
        <v>5000</v>
      </c>
      <c r="I18" s="7">
        <f t="shared" si="4"/>
        <v>0</v>
      </c>
      <c r="J18" s="7"/>
      <c r="K18" s="7"/>
      <c r="M18" s="7" t="s">
        <v>189</v>
      </c>
      <c r="N18" s="9" t="s">
        <v>209</v>
      </c>
      <c r="O18" s="7"/>
      <c r="P18" s="7"/>
      <c r="Q18" s="7"/>
      <c r="R18" s="7">
        <f>'JUNE 21'!U18:U44</f>
        <v>12000</v>
      </c>
      <c r="S18" s="7">
        <f>O18+P18+Q18+R18</f>
        <v>12000</v>
      </c>
      <c r="T18" s="7"/>
      <c r="U18" s="7">
        <f t="shared" si="5"/>
        <v>12000</v>
      </c>
      <c r="V18" s="7"/>
      <c r="W18" s="7"/>
    </row>
    <row r="19" spans="1:23" x14ac:dyDescent="0.25">
      <c r="A19" s="7" t="s">
        <v>44</v>
      </c>
      <c r="B19" s="9" t="s">
        <v>118</v>
      </c>
      <c r="C19" s="7"/>
      <c r="D19" s="7"/>
      <c r="E19" s="7">
        <v>8000</v>
      </c>
      <c r="F19" s="7">
        <f>'JUNE 21'!I19:I40</f>
        <v>0</v>
      </c>
      <c r="G19" s="7">
        <f t="shared" si="2"/>
        <v>8000</v>
      </c>
      <c r="H19" s="7">
        <v>8000</v>
      </c>
      <c r="I19" s="7">
        <f t="shared" si="4"/>
        <v>0</v>
      </c>
      <c r="J19" s="7"/>
      <c r="K19" s="7"/>
      <c r="M19" s="7" t="s">
        <v>190</v>
      </c>
      <c r="N19" s="9" t="s">
        <v>215</v>
      </c>
      <c r="O19" s="7"/>
      <c r="P19" s="7"/>
      <c r="Q19" s="7">
        <v>4000</v>
      </c>
      <c r="R19" s="7">
        <f>'JUNE 21'!U19:U45</f>
        <v>7950</v>
      </c>
      <c r="S19" s="7">
        <f>O19+P19+Q19+R19</f>
        <v>11950</v>
      </c>
      <c r="T19" s="7">
        <f>4000+2950</f>
        <v>6950</v>
      </c>
      <c r="U19" s="7">
        <f t="shared" si="5"/>
        <v>5000</v>
      </c>
      <c r="V19" s="7"/>
      <c r="W19" s="7"/>
    </row>
    <row r="20" spans="1:23" x14ac:dyDescent="0.25">
      <c r="A20" s="7" t="s">
        <v>45</v>
      </c>
      <c r="B20" s="7" t="s">
        <v>175</v>
      </c>
      <c r="C20" s="7"/>
      <c r="D20" s="7"/>
      <c r="E20" s="7">
        <v>7500</v>
      </c>
      <c r="F20" s="7">
        <f>'JUNE 21'!I20:I41</f>
        <v>0</v>
      </c>
      <c r="G20" s="7">
        <f t="shared" si="2"/>
        <v>7500</v>
      </c>
      <c r="H20" s="7">
        <v>7500</v>
      </c>
      <c r="I20" s="7">
        <f t="shared" si="4"/>
        <v>0</v>
      </c>
      <c r="J20" s="7"/>
      <c r="K20" s="7"/>
      <c r="M20" s="7" t="s">
        <v>123</v>
      </c>
      <c r="N20" s="7" t="s">
        <v>231</v>
      </c>
      <c r="O20" s="7"/>
      <c r="P20" s="7"/>
      <c r="Q20" s="7">
        <v>4500</v>
      </c>
      <c r="R20" s="7">
        <f>'JUNE 21'!U20:U46</f>
        <v>0</v>
      </c>
      <c r="S20" s="7">
        <f t="shared" si="3"/>
        <v>4500</v>
      </c>
      <c r="T20" s="7">
        <v>4500</v>
      </c>
      <c r="U20" s="7">
        <f t="shared" si="5"/>
        <v>0</v>
      </c>
      <c r="V20" s="7"/>
      <c r="W20" s="7"/>
    </row>
    <row r="21" spans="1:23" x14ac:dyDescent="0.25">
      <c r="A21" s="7" t="s">
        <v>46</v>
      </c>
      <c r="B21" s="7" t="s">
        <v>132</v>
      </c>
      <c r="C21" s="7"/>
      <c r="D21" s="7"/>
      <c r="E21" s="7">
        <v>6500</v>
      </c>
      <c r="F21" s="7">
        <f>'JUNE 21'!I21:I42</f>
        <v>0</v>
      </c>
      <c r="G21" s="7">
        <f t="shared" si="2"/>
        <v>6500</v>
      </c>
      <c r="H21" s="7">
        <v>6500</v>
      </c>
      <c r="I21" s="7">
        <f t="shared" si="4"/>
        <v>0</v>
      </c>
      <c r="J21" s="7"/>
      <c r="K21" s="7"/>
      <c r="M21" s="7" t="s">
        <v>191</v>
      </c>
      <c r="N21" s="7" t="s">
        <v>216</v>
      </c>
      <c r="O21" s="7"/>
      <c r="P21" s="7"/>
      <c r="Q21" s="7">
        <v>4500</v>
      </c>
      <c r="R21" s="7">
        <f>'JUNE 21'!U21:U47</f>
        <v>10000</v>
      </c>
      <c r="S21" s="7">
        <f t="shared" si="3"/>
        <v>14500</v>
      </c>
      <c r="T21" s="7">
        <v>6500</v>
      </c>
      <c r="U21" s="7">
        <f t="shared" si="5"/>
        <v>8000</v>
      </c>
      <c r="V21" s="7"/>
      <c r="W21" s="7"/>
    </row>
    <row r="22" spans="1:23" x14ac:dyDescent="0.25">
      <c r="A22" s="7" t="s">
        <v>47</v>
      </c>
      <c r="B22" s="7" t="s">
        <v>64</v>
      </c>
      <c r="C22" s="7"/>
      <c r="D22" s="7"/>
      <c r="E22" s="7">
        <v>7000</v>
      </c>
      <c r="F22" s="7">
        <f>'JUNE 21'!I22:I43</f>
        <v>0</v>
      </c>
      <c r="G22" s="7">
        <f t="shared" si="2"/>
        <v>7000</v>
      </c>
      <c r="H22">
        <v>7000</v>
      </c>
      <c r="I22" s="7">
        <f>G22-H22</f>
        <v>0</v>
      </c>
      <c r="J22" s="7"/>
      <c r="K22" s="7"/>
      <c r="M22" s="7" t="s">
        <v>192</v>
      </c>
      <c r="N22" s="7" t="s">
        <v>214</v>
      </c>
      <c r="O22" s="7"/>
      <c r="P22" s="7"/>
      <c r="Q22" s="7">
        <v>4000</v>
      </c>
      <c r="R22" s="7">
        <f>'JUNE 21'!U22:U48</f>
        <v>0</v>
      </c>
      <c r="S22" s="7">
        <f t="shared" si="3"/>
        <v>4000</v>
      </c>
      <c r="T22">
        <f>4000</f>
        <v>4000</v>
      </c>
      <c r="U22" s="7">
        <f>S22-T22</f>
        <v>0</v>
      </c>
      <c r="V22" s="7"/>
      <c r="W22" s="7"/>
    </row>
    <row r="23" spans="1:23" x14ac:dyDescent="0.25">
      <c r="A23" s="7" t="s">
        <v>66</v>
      </c>
      <c r="B23" s="7" t="s">
        <v>69</v>
      </c>
      <c r="C23" s="7"/>
      <c r="D23" s="7"/>
      <c r="E23" s="7">
        <v>8500</v>
      </c>
      <c r="F23" s="7">
        <f>'JUNE 21'!I23:I44</f>
        <v>0</v>
      </c>
      <c r="G23" s="7">
        <f t="shared" si="2"/>
        <v>8500</v>
      </c>
      <c r="H23" s="7">
        <v>8500</v>
      </c>
      <c r="I23" s="7">
        <f>G23-H23</f>
        <v>0</v>
      </c>
      <c r="J23" s="7"/>
      <c r="K23" s="7"/>
      <c r="M23" s="7" t="s">
        <v>193</v>
      </c>
      <c r="N23" s="45" t="s">
        <v>257</v>
      </c>
      <c r="O23" s="7"/>
      <c r="P23" s="7"/>
      <c r="Q23" s="7">
        <v>4500</v>
      </c>
      <c r="R23" s="7">
        <f>'JUNE 21'!U23:U49</f>
        <v>4500</v>
      </c>
      <c r="S23" s="7">
        <f t="shared" si="3"/>
        <v>9000</v>
      </c>
      <c r="T23" s="7">
        <f>4000</f>
        <v>4000</v>
      </c>
      <c r="U23" s="7">
        <f>S23-T23</f>
        <v>5000</v>
      </c>
      <c r="V23" s="7"/>
      <c r="W23" s="7"/>
    </row>
    <row r="24" spans="1:23" x14ac:dyDescent="0.25">
      <c r="A24" s="7" t="s">
        <v>48</v>
      </c>
      <c r="B24" s="7" t="s">
        <v>233</v>
      </c>
      <c r="C24" s="7"/>
      <c r="D24" s="7"/>
      <c r="E24" s="7">
        <v>5000</v>
      </c>
      <c r="F24" s="7">
        <f>'JUNE 21'!I24:I45</f>
        <v>0</v>
      </c>
      <c r="G24" s="7">
        <f t="shared" si="2"/>
        <v>5000</v>
      </c>
      <c r="H24" s="7">
        <f>5000</f>
        <v>5000</v>
      </c>
      <c r="I24" s="7">
        <f>G24-H24</f>
        <v>0</v>
      </c>
      <c r="J24" s="7"/>
      <c r="K24" s="7"/>
      <c r="M24" s="7" t="s">
        <v>194</v>
      </c>
      <c r="N24" s="7" t="s">
        <v>256</v>
      </c>
      <c r="O24" s="7"/>
      <c r="P24" s="7"/>
      <c r="Q24" s="7">
        <v>4000</v>
      </c>
      <c r="R24" s="7">
        <f>'JUNE 21'!U24:U50</f>
        <v>3300</v>
      </c>
      <c r="S24" s="7">
        <f t="shared" si="3"/>
        <v>7300</v>
      </c>
      <c r="T24" s="7">
        <v>4000</v>
      </c>
      <c r="U24" s="7">
        <f>S24-T24</f>
        <v>3300</v>
      </c>
      <c r="V24" s="7"/>
      <c r="W24" s="7"/>
    </row>
    <row r="25" spans="1:23" x14ac:dyDescent="0.25">
      <c r="A25" s="7" t="s">
        <v>49</v>
      </c>
      <c r="B25" s="7"/>
      <c r="C25" s="7"/>
      <c r="D25" s="7"/>
      <c r="E25" s="7"/>
      <c r="F25" s="7">
        <f>'JUNE 21'!I25:I46</f>
        <v>0</v>
      </c>
      <c r="G25" s="7">
        <f t="shared" si="2"/>
        <v>0</v>
      </c>
      <c r="H25" s="7"/>
      <c r="I25" s="7">
        <f>G25-H25</f>
        <v>0</v>
      </c>
      <c r="J25" s="7"/>
      <c r="K25" s="7"/>
      <c r="L25" t="s">
        <v>263</v>
      </c>
      <c r="M25" s="7" t="s">
        <v>195</v>
      </c>
      <c r="N25" s="7" t="s">
        <v>218</v>
      </c>
      <c r="O25" s="7"/>
      <c r="P25" s="7"/>
      <c r="Q25" s="7">
        <v>4000</v>
      </c>
      <c r="R25" s="7">
        <f>'JUNE 21'!U25:U51</f>
        <v>0</v>
      </c>
      <c r="S25" s="7">
        <f t="shared" si="3"/>
        <v>4000</v>
      </c>
      <c r="T25" s="7">
        <f>4000</f>
        <v>4000</v>
      </c>
      <c r="U25" s="7">
        <f>S25-T25</f>
        <v>0</v>
      </c>
      <c r="V25" s="7"/>
      <c r="W25" s="7"/>
    </row>
    <row r="26" spans="1:23" x14ac:dyDescent="0.25">
      <c r="A26" s="7" t="s">
        <v>88</v>
      </c>
      <c r="B26" s="7" t="s">
        <v>110</v>
      </c>
      <c r="C26" s="7"/>
      <c r="D26" s="7"/>
      <c r="E26" s="7">
        <v>7000</v>
      </c>
      <c r="F26" s="7">
        <f>'JUNE 21'!I26:I47</f>
        <v>47600</v>
      </c>
      <c r="G26" s="7">
        <f t="shared" si="2"/>
        <v>54600</v>
      </c>
      <c r="H26" s="7">
        <f>3000</f>
        <v>3000</v>
      </c>
      <c r="I26" s="7">
        <f>G26-H26</f>
        <v>51600</v>
      </c>
      <c r="J26" s="7"/>
      <c r="K26" s="7"/>
      <c r="M26" s="7" t="s">
        <v>196</v>
      </c>
      <c r="N26" s="7" t="s">
        <v>219</v>
      </c>
      <c r="O26" s="7"/>
      <c r="P26" s="7"/>
      <c r="Q26" s="7">
        <v>4000</v>
      </c>
      <c r="R26" s="7">
        <f>'JUNE 21'!U26:U52</f>
        <v>4000</v>
      </c>
      <c r="S26" s="7">
        <f t="shared" si="3"/>
        <v>8000</v>
      </c>
      <c r="T26" s="7">
        <f>4000</f>
        <v>4000</v>
      </c>
      <c r="U26" s="7">
        <f t="shared" ref="U26:U31" si="6">S26-T26</f>
        <v>4000</v>
      </c>
      <c r="V26" s="7"/>
      <c r="W26" s="7"/>
    </row>
    <row r="27" spans="1:23" x14ac:dyDescent="0.25">
      <c r="A27" s="6"/>
      <c r="B27" s="10" t="s">
        <v>12</v>
      </c>
      <c r="C27" s="10">
        <f>SUM(C4:C5)</f>
        <v>0</v>
      </c>
      <c r="D27" s="10">
        <f t="shared" ref="D27:K27" si="7">SUM(D5:D26)</f>
        <v>8500</v>
      </c>
      <c r="E27" s="6">
        <f t="shared" si="7"/>
        <v>137500</v>
      </c>
      <c r="F27" s="7">
        <f t="shared" si="7"/>
        <v>53800</v>
      </c>
      <c r="G27" s="7">
        <f t="shared" si="7"/>
        <v>199800</v>
      </c>
      <c r="H27" s="6">
        <f t="shared" si="7"/>
        <v>128100</v>
      </c>
      <c r="I27" s="6">
        <f t="shared" si="7"/>
        <v>71700</v>
      </c>
      <c r="J27" s="6">
        <f t="shared" si="7"/>
        <v>0</v>
      </c>
      <c r="K27" s="6">
        <f t="shared" si="7"/>
        <v>0</v>
      </c>
      <c r="M27" s="7" t="s">
        <v>197</v>
      </c>
      <c r="N27" s="7" t="s">
        <v>220</v>
      </c>
      <c r="O27" s="7"/>
      <c r="P27" s="7"/>
      <c r="Q27" s="7">
        <v>10000</v>
      </c>
      <c r="R27" s="7">
        <f>'JUNE 21'!U27:U53</f>
        <v>0</v>
      </c>
      <c r="S27" s="7">
        <f t="shared" si="3"/>
        <v>10000</v>
      </c>
      <c r="T27" s="7">
        <f>10000</f>
        <v>10000</v>
      </c>
      <c r="U27" s="7">
        <f t="shared" si="6"/>
        <v>0</v>
      </c>
      <c r="V27" s="7"/>
      <c r="W27" s="7"/>
    </row>
    <row r="28" spans="1:23" x14ac:dyDescent="0.25">
      <c r="A28" s="11"/>
      <c r="F28" s="7">
        <f>'MAY 21'!I28:I51</f>
        <v>8700</v>
      </c>
      <c r="I28" s="8">
        <f>I27-F26-D13-D7</f>
        <v>16600</v>
      </c>
      <c r="M28" s="7" t="s">
        <v>198</v>
      </c>
      <c r="N28" s="7" t="s">
        <v>221</v>
      </c>
      <c r="O28" s="7"/>
      <c r="P28" s="7"/>
      <c r="Q28" s="7">
        <v>8000</v>
      </c>
      <c r="R28" s="7">
        <f>'JUNE 21'!U28:U54</f>
        <v>13400</v>
      </c>
      <c r="S28" s="7">
        <f t="shared" si="3"/>
        <v>21400</v>
      </c>
      <c r="T28" s="7">
        <v>8000</v>
      </c>
      <c r="U28" s="7">
        <f t="shared" si="6"/>
        <v>13400</v>
      </c>
      <c r="V28" s="7"/>
      <c r="W28" s="7"/>
    </row>
    <row r="29" spans="1:23" ht="18.75" x14ac:dyDescent="0.3">
      <c r="B29" s="12" t="s">
        <v>13</v>
      </c>
      <c r="C29" s="44" t="s">
        <v>227</v>
      </c>
      <c r="D29" s="13"/>
      <c r="E29" s="13"/>
      <c r="F29" s="44" t="s">
        <v>228</v>
      </c>
      <c r="G29" s="13"/>
      <c r="H29" s="14"/>
      <c r="I29" s="14"/>
      <c r="M29" s="7" t="s">
        <v>199</v>
      </c>
      <c r="N29" s="7" t="s">
        <v>222</v>
      </c>
      <c r="O29" s="7"/>
      <c r="P29" s="7"/>
      <c r="Q29" s="7">
        <v>8000</v>
      </c>
      <c r="R29" s="7">
        <f>'JUNE 21'!U29:U55</f>
        <v>9800</v>
      </c>
      <c r="S29" s="7">
        <f t="shared" si="3"/>
        <v>17800</v>
      </c>
      <c r="T29" s="7">
        <f>4000+4000</f>
        <v>8000</v>
      </c>
      <c r="U29" s="7">
        <f t="shared" si="6"/>
        <v>9800</v>
      </c>
      <c r="V29" s="7"/>
      <c r="W29" s="7"/>
    </row>
    <row r="30" spans="1:23" ht="15.75" x14ac:dyDescent="0.25">
      <c r="B30" s="15" t="s">
        <v>14</v>
      </c>
      <c r="C30" s="15" t="s">
        <v>15</v>
      </c>
      <c r="D30" s="15" t="s">
        <v>16</v>
      </c>
      <c r="E30" s="15" t="s">
        <v>17</v>
      </c>
      <c r="F30" s="15" t="s">
        <v>18</v>
      </c>
      <c r="G30" s="15" t="s">
        <v>15</v>
      </c>
      <c r="H30" s="15" t="s">
        <v>16</v>
      </c>
      <c r="I30" s="15" t="s">
        <v>17</v>
      </c>
      <c r="K30" s="25"/>
      <c r="M30" s="7" t="s">
        <v>200</v>
      </c>
      <c r="N30" s="7" t="s">
        <v>223</v>
      </c>
      <c r="O30" s="7"/>
      <c r="P30" s="7"/>
      <c r="Q30" s="7">
        <v>5000</v>
      </c>
      <c r="R30" s="7">
        <f>'JUNE 21'!U30:U56</f>
        <v>0</v>
      </c>
      <c r="S30" s="7">
        <f t="shared" si="3"/>
        <v>5000</v>
      </c>
      <c r="T30" s="7">
        <v>5000</v>
      </c>
      <c r="U30" s="7">
        <f t="shared" si="6"/>
        <v>0</v>
      </c>
      <c r="V30" s="7"/>
      <c r="W30" s="7"/>
    </row>
    <row r="31" spans="1:23" x14ac:dyDescent="0.25">
      <c r="B31" s="9" t="s">
        <v>137</v>
      </c>
      <c r="C31" s="16">
        <f>E27</f>
        <v>137500</v>
      </c>
      <c r="D31" s="17">
        <v>0.1</v>
      </c>
      <c r="E31" s="16"/>
      <c r="F31" s="18" t="s">
        <v>137</v>
      </c>
      <c r="G31" s="16">
        <f>H27</f>
        <v>128100</v>
      </c>
      <c r="H31" s="17">
        <v>0.1</v>
      </c>
      <c r="I31" s="9"/>
      <c r="M31" s="7" t="s">
        <v>201</v>
      </c>
      <c r="N31" s="7" t="s">
        <v>224</v>
      </c>
      <c r="O31" s="7"/>
      <c r="P31" s="7"/>
      <c r="Q31" s="7">
        <v>7500</v>
      </c>
      <c r="R31" s="7">
        <f>'JUNE 21'!U31:U57</f>
        <v>55100</v>
      </c>
      <c r="S31" s="7">
        <f t="shared" si="3"/>
        <v>62600</v>
      </c>
      <c r="T31" s="7">
        <f>7000+500</f>
        <v>7500</v>
      </c>
      <c r="U31" s="7">
        <f t="shared" si="6"/>
        <v>55100</v>
      </c>
      <c r="V31" s="7"/>
      <c r="W31" s="7"/>
    </row>
    <row r="32" spans="1:23" x14ac:dyDescent="0.25">
      <c r="B32" s="9" t="s">
        <v>20</v>
      </c>
      <c r="C32" s="16">
        <f>'JUNE 21'!E45</f>
        <v>0</v>
      </c>
      <c r="D32" s="9"/>
      <c r="E32" s="9"/>
      <c r="F32" s="9" t="s">
        <v>20</v>
      </c>
      <c r="G32" s="16">
        <f>'JUNE 21'!I45</f>
        <v>-4700</v>
      </c>
      <c r="H32" s="9"/>
      <c r="I32" s="9"/>
      <c r="K32" s="26"/>
      <c r="M32" s="6"/>
      <c r="N32" s="10" t="s">
        <v>12</v>
      </c>
      <c r="O32" s="10">
        <f>SUM(O4:O5)</f>
        <v>0</v>
      </c>
      <c r="P32" s="10">
        <f t="shared" ref="P32:W32" si="8">SUM(P5:P31)</f>
        <v>0</v>
      </c>
      <c r="Q32" s="6">
        <f>SUM(Q5:Q31)</f>
        <v>146500</v>
      </c>
      <c r="R32" s="7">
        <f>SUM(R5:R31)</f>
        <v>216700</v>
      </c>
      <c r="S32" s="7">
        <f t="shared" si="8"/>
        <v>367200</v>
      </c>
      <c r="T32" s="6">
        <f t="shared" si="8"/>
        <v>152950</v>
      </c>
      <c r="U32" s="6">
        <f t="shared" si="8"/>
        <v>214250</v>
      </c>
      <c r="V32" s="6">
        <f t="shared" si="8"/>
        <v>4000</v>
      </c>
      <c r="W32" s="6">
        <f t="shared" si="8"/>
        <v>0</v>
      </c>
    </row>
    <row r="33" spans="2:24" x14ac:dyDescent="0.25">
      <c r="B33" s="9" t="s">
        <v>163</v>
      </c>
      <c r="C33" s="16">
        <f>D20+D15+D9</f>
        <v>1000</v>
      </c>
      <c r="D33" s="9"/>
      <c r="E33" s="9"/>
      <c r="F33" s="9"/>
      <c r="G33" s="16"/>
      <c r="H33" s="16"/>
      <c r="I33" s="9"/>
      <c r="K33" s="26"/>
      <c r="M33" s="11"/>
      <c r="R33" s="7">
        <f>'JANUARY 21'!U33:U59</f>
        <v>0</v>
      </c>
      <c r="U33" s="8"/>
    </row>
    <row r="34" spans="2:24" ht="18.75" x14ac:dyDescent="0.3">
      <c r="B34" s="9" t="s">
        <v>21</v>
      </c>
      <c r="C34" s="16">
        <f>J27</f>
        <v>0</v>
      </c>
      <c r="D34" s="9"/>
      <c r="E34" s="9"/>
      <c r="F34" s="9"/>
      <c r="G34" s="16"/>
      <c r="H34" s="16"/>
      <c r="I34" s="9"/>
      <c r="K34" s="26">
        <f>4000*4</f>
        <v>16000</v>
      </c>
      <c r="N34" s="12" t="s">
        <v>13</v>
      </c>
      <c r="O34" s="44" t="s">
        <v>227</v>
      </c>
      <c r="P34" s="13"/>
      <c r="Q34" s="13"/>
      <c r="R34" s="44" t="s">
        <v>228</v>
      </c>
      <c r="S34" s="13"/>
      <c r="T34" s="14"/>
      <c r="U34" s="14"/>
    </row>
    <row r="35" spans="2:24" ht="15.75" x14ac:dyDescent="0.25">
      <c r="B35" s="9" t="s">
        <v>102</v>
      </c>
      <c r="C35" s="16">
        <f>K27</f>
        <v>0</v>
      </c>
      <c r="D35" s="9"/>
      <c r="E35" s="9"/>
      <c r="F35" s="9" t="s">
        <v>102</v>
      </c>
      <c r="G35" s="16">
        <f>K27</f>
        <v>0</v>
      </c>
      <c r="H35" s="9"/>
      <c r="I35" s="9"/>
      <c r="K35" s="26"/>
      <c r="N35" s="15" t="s">
        <v>14</v>
      </c>
      <c r="O35" s="15" t="s">
        <v>226</v>
      </c>
      <c r="P35" s="15" t="s">
        <v>16</v>
      </c>
      <c r="Q35" s="15" t="s">
        <v>17</v>
      </c>
      <c r="R35" s="15" t="s">
        <v>18</v>
      </c>
      <c r="S35" s="15" t="s">
        <v>15</v>
      </c>
      <c r="T35" s="15" t="s">
        <v>16</v>
      </c>
      <c r="U35" s="15" t="s">
        <v>17</v>
      </c>
      <c r="W35" s="25"/>
    </row>
    <row r="36" spans="2:24" x14ac:dyDescent="0.25">
      <c r="B36" s="9" t="s">
        <v>97</v>
      </c>
      <c r="C36" s="16">
        <v>0.3</v>
      </c>
      <c r="D36" s="9"/>
      <c r="E36" s="9"/>
      <c r="F36" s="9" t="s">
        <v>97</v>
      </c>
      <c r="G36" s="16">
        <v>0.3</v>
      </c>
      <c r="H36" s="9">
        <f>D36</f>
        <v>0</v>
      </c>
      <c r="I36" s="9"/>
      <c r="N36" s="9" t="s">
        <v>137</v>
      </c>
      <c r="O36" s="16">
        <f>Q32</f>
        <v>146500</v>
      </c>
      <c r="P36" s="17">
        <v>0.1</v>
      </c>
      <c r="Q36" s="16"/>
      <c r="R36" s="7" t="s">
        <v>137</v>
      </c>
      <c r="S36" s="16">
        <f>T32</f>
        <v>152950</v>
      </c>
      <c r="T36" s="17">
        <v>0.1</v>
      </c>
      <c r="U36" s="9"/>
    </row>
    <row r="37" spans="2:24" x14ac:dyDescent="0.25">
      <c r="B37" s="9" t="s">
        <v>22</v>
      </c>
      <c r="C37" s="18"/>
      <c r="D37" s="9">
        <f>C31*D31</f>
        <v>13750</v>
      </c>
      <c r="E37" s="9"/>
      <c r="F37" s="9" t="s">
        <v>22</v>
      </c>
      <c r="G37" s="18"/>
      <c r="H37" s="9">
        <f>D37</f>
        <v>13750</v>
      </c>
      <c r="I37" s="9"/>
      <c r="K37" s="26"/>
      <c r="N37" s="9" t="s">
        <v>20</v>
      </c>
      <c r="O37" s="16">
        <f>'JUNE 21'!Q50</f>
        <v>-4560</v>
      </c>
      <c r="P37" s="9"/>
      <c r="Q37" s="9"/>
      <c r="R37" s="7" t="s">
        <v>6</v>
      </c>
      <c r="S37" s="16">
        <f>'JUNE 21'!U50</f>
        <v>-31860</v>
      </c>
      <c r="T37" s="9"/>
      <c r="U37" s="9"/>
      <c r="W37" s="26"/>
    </row>
    <row r="38" spans="2:24" x14ac:dyDescent="0.25">
      <c r="B38" s="19" t="s">
        <v>23</v>
      </c>
      <c r="C38" s="9"/>
      <c r="D38" s="9"/>
      <c r="E38" s="9"/>
      <c r="F38" s="19" t="s">
        <v>23</v>
      </c>
      <c r="G38" s="9"/>
      <c r="H38" s="9"/>
      <c r="I38" s="9"/>
      <c r="N38" s="9" t="s">
        <v>163</v>
      </c>
      <c r="O38" s="16">
        <f>P32</f>
        <v>0</v>
      </c>
      <c r="P38" s="9"/>
      <c r="Q38" s="9"/>
      <c r="R38" s="9"/>
      <c r="S38" s="16"/>
      <c r="T38" s="16"/>
      <c r="U38" s="9"/>
      <c r="W38" s="26"/>
    </row>
    <row r="39" spans="2:24" x14ac:dyDescent="0.25">
      <c r="B39" s="20"/>
      <c r="C39" s="9"/>
      <c r="D39" s="9"/>
      <c r="E39" s="9"/>
      <c r="F39" s="20"/>
      <c r="G39" s="9"/>
      <c r="H39" s="9"/>
      <c r="I39" s="9"/>
      <c r="J39" s="26"/>
      <c r="N39" s="9" t="s">
        <v>21</v>
      </c>
      <c r="O39" s="16">
        <f>V32</f>
        <v>4000</v>
      </c>
      <c r="P39" s="9"/>
      <c r="Q39" s="9"/>
      <c r="R39" s="9"/>
      <c r="S39" s="16"/>
      <c r="T39" s="16"/>
      <c r="U39" s="9"/>
      <c r="W39" s="26"/>
    </row>
    <row r="40" spans="2:24" x14ac:dyDescent="0.25">
      <c r="B40" s="7" t="s">
        <v>269</v>
      </c>
      <c r="C40" s="9"/>
      <c r="D40" s="7">
        <v>96750</v>
      </c>
      <c r="E40" s="7"/>
      <c r="F40" s="7" t="s">
        <v>269</v>
      </c>
      <c r="G40" s="9"/>
      <c r="H40" s="7">
        <v>96750</v>
      </c>
      <c r="I40" s="9"/>
      <c r="K40" s="26"/>
      <c r="N40" s="9" t="s">
        <v>102</v>
      </c>
      <c r="O40" s="16">
        <f>W32</f>
        <v>0</v>
      </c>
      <c r="P40" s="9"/>
      <c r="Q40" s="9"/>
      <c r="R40" s="9" t="s">
        <v>102</v>
      </c>
      <c r="S40" s="16">
        <f>O40</f>
        <v>0</v>
      </c>
      <c r="T40" s="9"/>
      <c r="U40" s="9"/>
      <c r="W40" s="26"/>
    </row>
    <row r="41" spans="2:24" x14ac:dyDescent="0.25">
      <c r="B41" s="20" t="s">
        <v>272</v>
      </c>
      <c r="C41" s="9"/>
      <c r="D41" s="9">
        <v>100000</v>
      </c>
      <c r="E41" s="9"/>
      <c r="F41" s="20" t="s">
        <v>272</v>
      </c>
      <c r="G41" s="9"/>
      <c r="H41" s="9">
        <v>100000</v>
      </c>
      <c r="I41" s="9"/>
      <c r="K41" s="26"/>
      <c r="N41" s="9" t="s">
        <v>22</v>
      </c>
      <c r="O41" s="18"/>
      <c r="P41" s="9">
        <f>P36*O36</f>
        <v>14650</v>
      </c>
      <c r="Q41" s="9"/>
      <c r="R41" s="9" t="s">
        <v>22</v>
      </c>
      <c r="S41" s="18"/>
      <c r="T41" s="9">
        <f>T36*O36</f>
        <v>14650</v>
      </c>
      <c r="U41" s="9"/>
    </row>
    <row r="42" spans="2:24" x14ac:dyDescent="0.25">
      <c r="B42" s="20"/>
      <c r="C42" s="9"/>
      <c r="D42" s="9"/>
      <c r="E42" s="9"/>
      <c r="F42" s="20"/>
      <c r="G42" s="9"/>
      <c r="H42" s="9"/>
      <c r="I42" s="9"/>
      <c r="K42" s="26"/>
      <c r="N42" s="9"/>
      <c r="O42" s="18"/>
      <c r="P42" s="9"/>
      <c r="Q42" s="9"/>
      <c r="R42" s="9"/>
      <c r="S42" s="18"/>
      <c r="T42" s="9"/>
      <c r="U42" s="9"/>
    </row>
    <row r="43" spans="2:24" x14ac:dyDescent="0.25">
      <c r="B43" s="20"/>
      <c r="C43" s="9"/>
      <c r="D43" s="9"/>
      <c r="E43" s="9"/>
      <c r="F43" s="20"/>
      <c r="G43" s="9"/>
      <c r="H43" s="9"/>
      <c r="I43" s="9"/>
      <c r="K43" s="26"/>
      <c r="N43" s="19" t="s">
        <v>23</v>
      </c>
      <c r="O43" s="9"/>
      <c r="P43" s="9"/>
      <c r="Q43" s="9"/>
      <c r="R43" s="19" t="s">
        <v>23</v>
      </c>
      <c r="S43" s="9"/>
      <c r="T43" s="9"/>
      <c r="U43" s="9"/>
    </row>
    <row r="44" spans="2:24" x14ac:dyDescent="0.25">
      <c r="B44" s="20"/>
      <c r="C44" s="16"/>
      <c r="D44" s="16"/>
      <c r="E44" s="16"/>
      <c r="F44" s="20"/>
      <c r="G44" s="9"/>
      <c r="H44" s="16"/>
      <c r="I44" s="9"/>
      <c r="N44" s="20"/>
      <c r="O44" s="9"/>
      <c r="P44" s="9"/>
      <c r="Q44" s="9"/>
      <c r="R44" s="20"/>
      <c r="S44" s="9"/>
      <c r="T44" s="9"/>
      <c r="U44" s="9"/>
      <c r="V44" s="26"/>
      <c r="W44" s="26"/>
      <c r="X44" s="26"/>
    </row>
    <row r="45" spans="2:24" x14ac:dyDescent="0.25">
      <c r="B45" s="22" t="s">
        <v>12</v>
      </c>
      <c r="C45" s="23">
        <f>C31+C32+C33+C34+C35-D37-D36</f>
        <v>124750</v>
      </c>
      <c r="D45" s="22">
        <f>SUM(D39:D44)</f>
        <v>196750</v>
      </c>
      <c r="E45" s="23">
        <f>C45-D45</f>
        <v>-72000</v>
      </c>
      <c r="F45" s="24"/>
      <c r="G45" s="23">
        <f>G31+G32+G35-H36-H37</f>
        <v>109650</v>
      </c>
      <c r="H45" s="23">
        <f>SUM(H39:H44)</f>
        <v>196750</v>
      </c>
      <c r="I45" s="23">
        <f>G45-H45</f>
        <v>-87100</v>
      </c>
      <c r="N45" s="7" t="s">
        <v>268</v>
      </c>
      <c r="O45" s="21"/>
      <c r="P45" s="7">
        <v>103250</v>
      </c>
      <c r="Q45" s="7"/>
      <c r="R45" s="7" t="s">
        <v>268</v>
      </c>
      <c r="S45" s="21"/>
      <c r="T45" s="7">
        <v>103250</v>
      </c>
      <c r="U45" s="9"/>
      <c r="W45" s="26"/>
    </row>
    <row r="46" spans="2:24" x14ac:dyDescent="0.25">
      <c r="E46" s="26">
        <f>E45-C32</f>
        <v>-72000</v>
      </c>
      <c r="I46" s="26"/>
      <c r="K46" s="26"/>
      <c r="N46" s="20" t="s">
        <v>271</v>
      </c>
      <c r="O46" s="9"/>
      <c r="P46" s="9">
        <v>100000</v>
      </c>
      <c r="Q46" s="9"/>
      <c r="R46" s="20" t="s">
        <v>271</v>
      </c>
      <c r="S46" s="9"/>
      <c r="T46" s="9">
        <v>100000</v>
      </c>
      <c r="U46" s="9"/>
      <c r="W46" s="26"/>
    </row>
    <row r="47" spans="2:24" x14ac:dyDescent="0.25">
      <c r="B47" s="11" t="s">
        <v>24</v>
      </c>
      <c r="D47" s="11" t="s">
        <v>25</v>
      </c>
      <c r="F47" s="11"/>
      <c r="G47" s="11" t="s">
        <v>26</v>
      </c>
      <c r="I47" s="26"/>
      <c r="K47" s="26"/>
      <c r="L47" s="26"/>
      <c r="N47" s="20"/>
      <c r="O47" s="9"/>
      <c r="P47" s="9"/>
      <c r="Q47" s="9"/>
      <c r="R47" s="20"/>
      <c r="S47" s="9"/>
      <c r="T47" s="9"/>
      <c r="U47" s="9"/>
      <c r="W47" s="26"/>
    </row>
    <row r="48" spans="2:24" x14ac:dyDescent="0.25">
      <c r="B48" t="s">
        <v>27</v>
      </c>
      <c r="D48" s="11" t="s">
        <v>28</v>
      </c>
      <c r="F48" s="11"/>
      <c r="G48" s="11" t="s">
        <v>147</v>
      </c>
      <c r="I48" s="26"/>
      <c r="N48" s="20"/>
      <c r="O48" s="9"/>
      <c r="P48" s="9"/>
      <c r="Q48" s="9"/>
      <c r="R48" s="20"/>
      <c r="S48" s="9"/>
      <c r="T48" s="9"/>
      <c r="U48" s="9"/>
      <c r="W48" s="26"/>
    </row>
    <row r="49" spans="6:23" x14ac:dyDescent="0.25">
      <c r="N49" s="20"/>
      <c r="O49" s="16"/>
      <c r="P49" s="16"/>
      <c r="Q49" s="16"/>
      <c r="R49" s="20"/>
      <c r="S49" s="16"/>
      <c r="T49" s="16"/>
      <c r="U49" s="9"/>
      <c r="V49" s="26"/>
      <c r="W49" s="26"/>
    </row>
    <row r="50" spans="6:23" x14ac:dyDescent="0.25">
      <c r="F50" s="26"/>
      <c r="I50" s="26"/>
      <c r="J50" s="26"/>
      <c r="N50" s="22" t="s">
        <v>12</v>
      </c>
      <c r="O50" s="23">
        <f>O36+O37+O38+O39+O40-P42-P41</f>
        <v>131290</v>
      </c>
      <c r="P50" s="22">
        <f>SUM(P44:P49)</f>
        <v>203250</v>
      </c>
      <c r="Q50" s="23">
        <f>O50-P50</f>
        <v>-71960</v>
      </c>
      <c r="R50" s="24"/>
      <c r="S50" s="23">
        <f>S36+S37+S40-T41</f>
        <v>106440</v>
      </c>
      <c r="T50" s="23">
        <f>SUM(T44:T49)</f>
        <v>203250</v>
      </c>
      <c r="U50" s="23">
        <f>S50-T50</f>
        <v>-96810</v>
      </c>
      <c r="W50" s="26"/>
    </row>
    <row r="51" spans="6:23" x14ac:dyDescent="0.25">
      <c r="W51" s="26"/>
    </row>
    <row r="52" spans="6:23" x14ac:dyDescent="0.25">
      <c r="N52" s="11" t="s">
        <v>24</v>
      </c>
      <c r="P52" s="11" t="s">
        <v>25</v>
      </c>
      <c r="R52" s="11"/>
      <c r="S52" s="11" t="s">
        <v>26</v>
      </c>
      <c r="W52" s="26"/>
    </row>
    <row r="53" spans="6:23" x14ac:dyDescent="0.25">
      <c r="N53" t="s">
        <v>27</v>
      </c>
      <c r="P53" s="11" t="s">
        <v>28</v>
      </c>
      <c r="R53" s="11"/>
      <c r="S53" s="11" t="s">
        <v>147</v>
      </c>
      <c r="U53" s="26"/>
    </row>
    <row r="54" spans="6:23" x14ac:dyDescent="0.25">
      <c r="G54" s="26"/>
      <c r="L54" s="26"/>
      <c r="M54" s="26"/>
    </row>
    <row r="55" spans="6:23" x14ac:dyDescent="0.25">
      <c r="I55" s="26"/>
      <c r="J55" s="26"/>
      <c r="K55" s="26"/>
      <c r="L55" s="26"/>
      <c r="M55" s="26"/>
      <c r="Q55" s="26"/>
    </row>
    <row r="56" spans="6:23" x14ac:dyDescent="0.25">
      <c r="I56" s="26"/>
      <c r="K56" s="26">
        <f>200000-I45</f>
        <v>287100</v>
      </c>
      <c r="L56" s="26"/>
      <c r="Q56" s="26"/>
      <c r="T56" s="26"/>
    </row>
    <row r="57" spans="6:23" x14ac:dyDescent="0.25">
      <c r="M57" s="26"/>
    </row>
    <row r="59" spans="6:23" x14ac:dyDescent="0.25">
      <c r="K59" s="26"/>
      <c r="M59" s="26">
        <f>Q32+E27</f>
        <v>284000</v>
      </c>
    </row>
    <row r="60" spans="6:23" x14ac:dyDescent="0.25">
      <c r="L60" t="s">
        <v>248</v>
      </c>
      <c r="M60">
        <f>H37+P41</f>
        <v>28400</v>
      </c>
      <c r="P60" s="26"/>
    </row>
    <row r="61" spans="6:23" x14ac:dyDescent="0.25">
      <c r="M61" s="26">
        <f>M59-M60</f>
        <v>255600</v>
      </c>
    </row>
    <row r="62" spans="6:23" x14ac:dyDescent="0.25">
      <c r="L62" t="s">
        <v>266</v>
      </c>
      <c r="M62" s="26">
        <f>O39+C33</f>
        <v>5000</v>
      </c>
      <c r="O62">
        <f>D40+P45</f>
        <v>200000</v>
      </c>
    </row>
    <row r="63" spans="6:23" x14ac:dyDescent="0.25">
      <c r="M63" s="26">
        <f>M61+M62</f>
        <v>260600</v>
      </c>
      <c r="O63" s="26"/>
    </row>
    <row r="64" spans="6:23" x14ac:dyDescent="0.25">
      <c r="M64">
        <v>200000</v>
      </c>
    </row>
    <row r="65" spans="13:13" x14ac:dyDescent="0.25">
      <c r="M65" s="26">
        <f>M63-M64</f>
        <v>60600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workbookViewId="0"/>
  </sheetViews>
  <sheetFormatPr defaultRowHeight="15" x14ac:dyDescent="0.25"/>
  <sheetData>
    <row r="1" spans="1:14" ht="18.75" x14ac:dyDescent="0.25">
      <c r="A1" s="28"/>
      <c r="B1" s="28"/>
      <c r="C1" s="28"/>
      <c r="D1" s="28"/>
      <c r="E1" s="28"/>
      <c r="F1" s="1" t="s">
        <v>50</v>
      </c>
      <c r="G1" s="29"/>
      <c r="H1" s="3"/>
      <c r="I1" s="4"/>
      <c r="J1" s="28"/>
      <c r="K1" s="28"/>
      <c r="L1" s="28"/>
      <c r="M1" s="28"/>
      <c r="N1" s="28"/>
    </row>
    <row r="2" spans="1:14" ht="18.75" x14ac:dyDescent="0.25">
      <c r="A2" s="28"/>
      <c r="B2" s="28"/>
      <c r="C2" s="28"/>
      <c r="D2" s="28"/>
      <c r="E2" s="28"/>
      <c r="F2" s="1" t="s">
        <v>0</v>
      </c>
      <c r="G2" s="1"/>
      <c r="H2" s="5"/>
      <c r="I2" s="28"/>
      <c r="J2" s="28">
        <f>C1</f>
        <v>0</v>
      </c>
      <c r="K2" s="28"/>
      <c r="L2" s="28"/>
      <c r="M2" s="28"/>
      <c r="N2" s="28"/>
    </row>
    <row r="3" spans="1:14" ht="18.75" x14ac:dyDescent="0.25">
      <c r="A3" s="28"/>
      <c r="B3" s="28"/>
      <c r="C3" s="28"/>
      <c r="D3" s="28"/>
      <c r="E3" s="28"/>
      <c r="F3" s="1" t="s">
        <v>86</v>
      </c>
      <c r="G3" s="1"/>
      <c r="H3" s="5"/>
      <c r="I3" s="5"/>
      <c r="J3" s="28"/>
      <c r="K3" s="28"/>
      <c r="L3" s="28"/>
      <c r="M3" s="28"/>
      <c r="N3" s="28"/>
    </row>
    <row r="4" spans="1:14" x14ac:dyDescent="0.25">
      <c r="A4" s="28"/>
      <c r="B4" s="6" t="s">
        <v>2</v>
      </c>
      <c r="C4" s="6" t="s">
        <v>3</v>
      </c>
      <c r="D4" s="6"/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9</v>
      </c>
      <c r="K4" s="6" t="s">
        <v>10</v>
      </c>
      <c r="L4" s="6" t="s">
        <v>79</v>
      </c>
      <c r="M4" s="28"/>
      <c r="N4" s="28"/>
    </row>
    <row r="5" spans="1:14" x14ac:dyDescent="0.25">
      <c r="A5" s="28"/>
      <c r="B5" s="30" t="s">
        <v>30</v>
      </c>
      <c r="C5" s="30" t="s">
        <v>51</v>
      </c>
      <c r="D5" s="30"/>
      <c r="E5" s="30"/>
      <c r="F5" s="30">
        <v>4500</v>
      </c>
      <c r="G5" s="30">
        <f>'JANUARY 20'!W5:W25</f>
        <v>900</v>
      </c>
      <c r="H5" s="30">
        <f>D5+E5+F5+G5</f>
        <v>5400</v>
      </c>
      <c r="I5" s="30">
        <v>4500</v>
      </c>
      <c r="J5" s="30">
        <f t="shared" ref="J5:J12" si="0">H5-I5</f>
        <v>900</v>
      </c>
      <c r="K5" s="30"/>
      <c r="L5" s="30"/>
      <c r="M5" s="28"/>
      <c r="N5" s="28"/>
    </row>
    <row r="6" spans="1:14" x14ac:dyDescent="0.25">
      <c r="A6" s="28"/>
      <c r="B6" s="30" t="s">
        <v>31</v>
      </c>
      <c r="C6" s="30" t="s">
        <v>52</v>
      </c>
      <c r="D6" s="30"/>
      <c r="E6" s="30"/>
      <c r="F6" s="30">
        <v>3000</v>
      </c>
      <c r="G6" s="30">
        <f>'JANUARY 20'!W6:W26</f>
        <v>0</v>
      </c>
      <c r="H6" s="30">
        <f>D6+E6+F6+G6</f>
        <v>3000</v>
      </c>
      <c r="I6" s="30">
        <v>3000</v>
      </c>
      <c r="J6" s="30">
        <f t="shared" si="0"/>
        <v>0</v>
      </c>
      <c r="K6" s="30"/>
      <c r="L6" s="30"/>
      <c r="M6" s="28"/>
      <c r="N6" s="28"/>
    </row>
    <row r="7" spans="1:14" x14ac:dyDescent="0.25">
      <c r="A7" s="28"/>
      <c r="B7" s="30" t="s">
        <v>32</v>
      </c>
      <c r="C7" s="30" t="s">
        <v>76</v>
      </c>
      <c r="D7" s="30"/>
      <c r="E7" s="30"/>
      <c r="F7" s="30"/>
      <c r="G7" s="30">
        <f>'JANUARY 20'!W7:W27</f>
        <v>0</v>
      </c>
      <c r="H7" s="30">
        <f>D7+E7+F7+G7</f>
        <v>0</v>
      </c>
      <c r="I7" s="30"/>
      <c r="J7" s="30">
        <f t="shared" si="0"/>
        <v>0</v>
      </c>
      <c r="K7" s="30"/>
      <c r="L7" s="30"/>
      <c r="M7" s="28" t="s">
        <v>107</v>
      </c>
      <c r="N7" s="28"/>
    </row>
    <row r="8" spans="1:14" x14ac:dyDescent="0.25">
      <c r="A8" s="28"/>
      <c r="B8" s="30" t="s">
        <v>33</v>
      </c>
      <c r="C8" s="30" t="s">
        <v>53</v>
      </c>
      <c r="D8" s="30"/>
      <c r="E8" s="30"/>
      <c r="F8" s="30">
        <v>6500</v>
      </c>
      <c r="G8" s="30">
        <f>'JANUARY 20'!W8:W28</f>
        <v>0</v>
      </c>
      <c r="H8" s="30">
        <f>D8+E8+F8+G8</f>
        <v>6500</v>
      </c>
      <c r="I8" s="30">
        <v>6500</v>
      </c>
      <c r="J8" s="30">
        <f t="shared" si="0"/>
        <v>0</v>
      </c>
      <c r="K8" s="30"/>
      <c r="L8" s="30"/>
      <c r="M8" s="28"/>
      <c r="N8" s="28"/>
    </row>
    <row r="9" spans="1:14" x14ac:dyDescent="0.25">
      <c r="A9" s="28"/>
      <c r="B9" s="30" t="s">
        <v>34</v>
      </c>
      <c r="C9" s="30" t="s">
        <v>54</v>
      </c>
      <c r="D9" s="30"/>
      <c r="E9" s="30"/>
      <c r="F9" s="30">
        <v>6500</v>
      </c>
      <c r="G9" s="30">
        <f>'JANUARY 20'!W9:W29</f>
        <v>0</v>
      </c>
      <c r="H9" s="30">
        <f t="shared" ref="H9:H27" si="1">D9+E9+F9+G9</f>
        <v>6500</v>
      </c>
      <c r="I9" s="30">
        <v>6500</v>
      </c>
      <c r="J9" s="30">
        <f t="shared" si="0"/>
        <v>0</v>
      </c>
      <c r="K9" s="30"/>
      <c r="L9" s="30"/>
      <c r="M9" s="28"/>
      <c r="N9" s="28"/>
    </row>
    <row r="10" spans="1:14" x14ac:dyDescent="0.25">
      <c r="A10" s="28"/>
      <c r="B10" s="30" t="s">
        <v>35</v>
      </c>
      <c r="C10" s="30" t="s">
        <v>55</v>
      </c>
      <c r="D10" s="30"/>
      <c r="E10" s="30"/>
      <c r="F10" s="30">
        <v>9000</v>
      </c>
      <c r="G10" s="30">
        <f>'JANUARY 20'!W10:W30</f>
        <v>0</v>
      </c>
      <c r="H10" s="30">
        <f t="shared" si="1"/>
        <v>9000</v>
      </c>
      <c r="I10" s="30">
        <v>9000</v>
      </c>
      <c r="J10" s="30">
        <f t="shared" si="0"/>
        <v>0</v>
      </c>
      <c r="K10" s="30"/>
      <c r="L10" s="30"/>
      <c r="M10" s="28"/>
      <c r="N10" s="28"/>
    </row>
    <row r="11" spans="1:14" x14ac:dyDescent="0.25">
      <c r="A11" s="28"/>
      <c r="B11" s="30" t="s">
        <v>36</v>
      </c>
      <c r="C11" s="30" t="s">
        <v>56</v>
      </c>
      <c r="D11" s="30"/>
      <c r="E11" s="30"/>
      <c r="F11" s="30">
        <v>7000</v>
      </c>
      <c r="G11" s="30">
        <f>'JANUARY 20'!W11:W31</f>
        <v>0</v>
      </c>
      <c r="H11" s="30">
        <f t="shared" si="1"/>
        <v>7000</v>
      </c>
      <c r="I11" s="30">
        <v>7000</v>
      </c>
      <c r="J11" s="30">
        <f t="shared" si="0"/>
        <v>0</v>
      </c>
      <c r="K11" s="30"/>
      <c r="L11" s="30"/>
      <c r="M11" s="28"/>
      <c r="N11" s="28"/>
    </row>
    <row r="12" spans="1:14" x14ac:dyDescent="0.25">
      <c r="A12" s="28"/>
      <c r="B12" s="30" t="s">
        <v>37</v>
      </c>
      <c r="C12" s="31" t="s">
        <v>65</v>
      </c>
      <c r="D12" s="30"/>
      <c r="E12" s="30"/>
      <c r="F12" s="30">
        <v>4500</v>
      </c>
      <c r="G12" s="30">
        <f>'JANUARY 20'!W12:W32</f>
        <v>100</v>
      </c>
      <c r="H12" s="30">
        <f t="shared" si="1"/>
        <v>4600</v>
      </c>
      <c r="I12" s="30">
        <v>4500</v>
      </c>
      <c r="J12" s="30">
        <f t="shared" si="0"/>
        <v>100</v>
      </c>
      <c r="K12" s="30"/>
      <c r="L12" s="30"/>
      <c r="M12" s="28"/>
      <c r="N12" s="28"/>
    </row>
    <row r="13" spans="1:14" x14ac:dyDescent="0.25">
      <c r="A13" s="28"/>
      <c r="B13" s="30" t="s">
        <v>38</v>
      </c>
      <c r="C13" s="30" t="s">
        <v>92</v>
      </c>
      <c r="D13" s="30"/>
      <c r="E13" s="30">
        <v>8000</v>
      </c>
      <c r="F13" s="30">
        <v>8000</v>
      </c>
      <c r="G13" s="30">
        <f>'JANUARY 20'!W13:W33</f>
        <v>0</v>
      </c>
      <c r="H13" s="30">
        <f t="shared" si="1"/>
        <v>16000</v>
      </c>
      <c r="I13" s="30">
        <v>8000</v>
      </c>
      <c r="J13" s="30">
        <f t="shared" ref="J13:J21" si="2">H13-I13</f>
        <v>8000</v>
      </c>
      <c r="K13" s="30"/>
      <c r="L13" s="30"/>
      <c r="M13" s="28" t="s">
        <v>106</v>
      </c>
      <c r="N13" s="28"/>
    </row>
    <row r="14" spans="1:14" x14ac:dyDescent="0.25">
      <c r="A14" s="28"/>
      <c r="B14" s="30" t="s">
        <v>39</v>
      </c>
      <c r="C14" s="30" t="s">
        <v>70</v>
      </c>
      <c r="D14" s="30"/>
      <c r="E14" s="30"/>
      <c r="F14" s="30">
        <v>6500</v>
      </c>
      <c r="G14" s="30">
        <f>'JANUARY 20'!W14:W34</f>
        <v>350</v>
      </c>
      <c r="H14" s="30">
        <f t="shared" si="1"/>
        <v>6850</v>
      </c>
      <c r="I14" s="30">
        <v>6500</v>
      </c>
      <c r="J14" s="30">
        <f t="shared" si="2"/>
        <v>350</v>
      </c>
      <c r="K14" s="30"/>
      <c r="L14" s="30"/>
      <c r="M14" s="28" t="s">
        <v>95</v>
      </c>
      <c r="N14" s="28"/>
    </row>
    <row r="15" spans="1:14" x14ac:dyDescent="0.25">
      <c r="A15" s="28"/>
      <c r="B15" s="30" t="s">
        <v>40</v>
      </c>
      <c r="C15" s="30" t="s">
        <v>84</v>
      </c>
      <c r="D15" s="30"/>
      <c r="E15" s="30"/>
      <c r="F15" s="30">
        <v>6500</v>
      </c>
      <c r="G15" s="30">
        <f>'JANUARY 20'!W15:W35</f>
        <v>0</v>
      </c>
      <c r="H15" s="30">
        <f t="shared" si="1"/>
        <v>6500</v>
      </c>
      <c r="I15" s="30">
        <v>6500</v>
      </c>
      <c r="J15" s="30">
        <f t="shared" si="2"/>
        <v>0</v>
      </c>
      <c r="K15" s="30"/>
      <c r="L15" s="30"/>
      <c r="M15" s="28"/>
      <c r="N15" s="28"/>
    </row>
    <row r="16" spans="1:14" x14ac:dyDescent="0.25">
      <c r="A16" s="28"/>
      <c r="B16" s="30" t="s">
        <v>41</v>
      </c>
      <c r="C16" s="30" t="s">
        <v>58</v>
      </c>
      <c r="D16" s="30"/>
      <c r="E16" s="30"/>
      <c r="F16" s="30">
        <v>7000</v>
      </c>
      <c r="G16" s="30">
        <f>'JANUARY 20'!W16:W36</f>
        <v>0</v>
      </c>
      <c r="H16" s="30">
        <f t="shared" si="1"/>
        <v>7000</v>
      </c>
      <c r="I16" s="30">
        <v>7000</v>
      </c>
      <c r="J16" s="30">
        <f t="shared" si="2"/>
        <v>0</v>
      </c>
      <c r="K16" s="30"/>
      <c r="L16" s="30"/>
      <c r="M16" s="28"/>
      <c r="N16" s="28"/>
    </row>
    <row r="17" spans="1:16" x14ac:dyDescent="0.25">
      <c r="A17" s="28"/>
      <c r="B17" s="30" t="s">
        <v>42</v>
      </c>
      <c r="C17" s="30" t="s">
        <v>59</v>
      </c>
      <c r="D17" s="30"/>
      <c r="E17" s="30"/>
      <c r="F17" s="30">
        <v>7000</v>
      </c>
      <c r="G17" s="30">
        <f>'JANUARY 20'!W17:W37</f>
        <v>5850</v>
      </c>
      <c r="H17" s="30">
        <f t="shared" si="1"/>
        <v>12850</v>
      </c>
      <c r="I17" s="30">
        <f>5000+2000</f>
        <v>7000</v>
      </c>
      <c r="J17" s="30">
        <f>H17-I17</f>
        <v>5850</v>
      </c>
      <c r="K17" s="30"/>
      <c r="L17" s="30"/>
      <c r="M17" s="28"/>
      <c r="N17" s="28"/>
    </row>
    <row r="18" spans="1:16" x14ac:dyDescent="0.25">
      <c r="A18" s="28"/>
      <c r="B18" s="30" t="s">
        <v>43</v>
      </c>
      <c r="C18" s="30" t="s">
        <v>60</v>
      </c>
      <c r="D18" s="30"/>
      <c r="E18" s="30"/>
      <c r="F18" s="30"/>
      <c r="G18" s="30">
        <f>'JANUARY 20'!W18:W38</f>
        <v>0</v>
      </c>
      <c r="H18" s="30">
        <f t="shared" si="1"/>
        <v>0</v>
      </c>
      <c r="I18" s="30"/>
      <c r="J18" s="30">
        <f t="shared" si="2"/>
        <v>0</v>
      </c>
      <c r="K18" s="30"/>
      <c r="L18" s="30"/>
      <c r="M18" s="28"/>
      <c r="N18" s="28"/>
    </row>
    <row r="19" spans="1:16" x14ac:dyDescent="0.25">
      <c r="A19" s="28"/>
      <c r="B19" s="30" t="s">
        <v>44</v>
      </c>
      <c r="C19" s="30" t="s">
        <v>61</v>
      </c>
      <c r="D19" s="30"/>
      <c r="E19" s="30"/>
      <c r="F19" s="30">
        <v>7000</v>
      </c>
      <c r="G19" s="30">
        <f>'JANUARY 20'!W19:W39</f>
        <v>0</v>
      </c>
      <c r="H19" s="30">
        <f t="shared" si="1"/>
        <v>7000</v>
      </c>
      <c r="I19" s="30">
        <v>7000</v>
      </c>
      <c r="J19" s="30">
        <f t="shared" si="2"/>
        <v>0</v>
      </c>
      <c r="K19" s="30"/>
      <c r="L19" s="30"/>
      <c r="M19" s="28"/>
      <c r="N19" s="28"/>
      <c r="P19" s="27"/>
    </row>
    <row r="20" spans="1:16" x14ac:dyDescent="0.25">
      <c r="A20" s="28"/>
      <c r="B20" s="30" t="s">
        <v>45</v>
      </c>
      <c r="C20" s="30" t="s">
        <v>62</v>
      </c>
      <c r="D20" s="30"/>
      <c r="E20" s="30"/>
      <c r="F20" s="30">
        <v>6500</v>
      </c>
      <c r="G20" s="30">
        <f>'JANUARY 20'!W20:W40</f>
        <v>39700</v>
      </c>
      <c r="H20" s="30">
        <f t="shared" si="1"/>
        <v>46200</v>
      </c>
      <c r="I20" s="30">
        <v>6500</v>
      </c>
      <c r="J20" s="30">
        <f t="shared" si="2"/>
        <v>39700</v>
      </c>
      <c r="K20" s="30"/>
      <c r="L20" s="30"/>
      <c r="M20" s="28"/>
      <c r="N20" s="28"/>
    </row>
    <row r="21" spans="1:16" x14ac:dyDescent="0.25">
      <c r="A21" s="28"/>
      <c r="B21" s="30" t="s">
        <v>46</v>
      </c>
      <c r="C21" s="30" t="s">
        <v>63</v>
      </c>
      <c r="D21" s="30"/>
      <c r="E21" s="30"/>
      <c r="F21" s="30">
        <v>6200</v>
      </c>
      <c r="G21" s="30">
        <f>'JANUARY 20'!W21:W41</f>
        <v>0</v>
      </c>
      <c r="H21" s="30">
        <f t="shared" si="1"/>
        <v>6200</v>
      </c>
      <c r="I21" s="30">
        <v>6200</v>
      </c>
      <c r="J21" s="30">
        <f t="shared" si="2"/>
        <v>0</v>
      </c>
      <c r="K21" s="30"/>
      <c r="L21" s="30"/>
      <c r="M21" s="28" t="s">
        <v>93</v>
      </c>
      <c r="N21" s="28"/>
    </row>
    <row r="22" spans="1:16" x14ac:dyDescent="0.25">
      <c r="A22" s="28"/>
      <c r="B22" s="30" t="s">
        <v>47</v>
      </c>
      <c r="C22" s="30" t="s">
        <v>64</v>
      </c>
      <c r="D22" s="30"/>
      <c r="E22" s="30"/>
      <c r="F22" s="30">
        <v>7000</v>
      </c>
      <c r="G22" s="30"/>
      <c r="H22" s="30">
        <f t="shared" si="1"/>
        <v>7000</v>
      </c>
      <c r="I22" s="30">
        <v>7000</v>
      </c>
      <c r="J22" s="30">
        <f t="shared" ref="J22:J27" si="3">H22-I22</f>
        <v>0</v>
      </c>
      <c r="K22" s="30"/>
      <c r="L22" s="30"/>
      <c r="M22" s="28"/>
      <c r="N22" s="28"/>
    </row>
    <row r="23" spans="1:16" x14ac:dyDescent="0.25">
      <c r="A23" s="28"/>
      <c r="B23" s="30" t="s">
        <v>66</v>
      </c>
      <c r="C23" s="30" t="s">
        <v>67</v>
      </c>
      <c r="D23" s="30"/>
      <c r="E23" s="30"/>
      <c r="F23" s="30">
        <v>7000</v>
      </c>
      <c r="G23" s="30">
        <f>'JANUARY 20'!W23:W43</f>
        <v>28000</v>
      </c>
      <c r="H23" s="30">
        <f t="shared" si="1"/>
        <v>35000</v>
      </c>
      <c r="I23" s="30">
        <v>7000</v>
      </c>
      <c r="J23" s="30">
        <f t="shared" si="3"/>
        <v>28000</v>
      </c>
      <c r="K23" s="30"/>
      <c r="L23" s="30"/>
      <c r="M23" s="28"/>
      <c r="N23" s="28"/>
    </row>
    <row r="24" spans="1:16" x14ac:dyDescent="0.25">
      <c r="A24" s="28"/>
      <c r="B24" s="30" t="s">
        <v>48</v>
      </c>
      <c r="C24" s="30" t="s">
        <v>69</v>
      </c>
      <c r="D24" s="30"/>
      <c r="E24" s="30"/>
      <c r="F24" s="30">
        <v>4500</v>
      </c>
      <c r="G24" s="30">
        <f>'JANUARY 20'!W24:W44</f>
        <v>0</v>
      </c>
      <c r="H24" s="30">
        <f t="shared" si="1"/>
        <v>4500</v>
      </c>
      <c r="I24" s="30">
        <v>4500</v>
      </c>
      <c r="J24" s="30">
        <f t="shared" si="3"/>
        <v>0</v>
      </c>
      <c r="K24" s="30"/>
      <c r="L24" s="30"/>
      <c r="M24" s="28"/>
      <c r="N24" s="28"/>
    </row>
    <row r="25" spans="1:16" x14ac:dyDescent="0.25">
      <c r="A25" s="28"/>
      <c r="B25" s="30" t="s">
        <v>49</v>
      </c>
      <c r="C25" s="30" t="s">
        <v>98</v>
      </c>
      <c r="D25" s="30"/>
      <c r="E25" s="30"/>
      <c r="F25" s="30"/>
      <c r="G25" s="30">
        <v>3150</v>
      </c>
      <c r="H25" s="30">
        <f t="shared" si="1"/>
        <v>3150</v>
      </c>
      <c r="I25" s="30">
        <v>3000</v>
      </c>
      <c r="J25" s="30">
        <f t="shared" si="3"/>
        <v>150</v>
      </c>
      <c r="K25" s="30"/>
      <c r="L25" s="30"/>
      <c r="M25" s="28" t="s">
        <v>94</v>
      </c>
      <c r="N25" s="28"/>
    </row>
    <row r="26" spans="1:16" x14ac:dyDescent="0.25">
      <c r="A26" s="28"/>
      <c r="B26" s="30"/>
      <c r="C26" s="30"/>
      <c r="D26" s="30"/>
      <c r="E26" s="30"/>
      <c r="F26" s="30"/>
      <c r="G26" s="30"/>
      <c r="H26" s="30">
        <f>D26+E26+F26+G26</f>
        <v>0</v>
      </c>
      <c r="I26" s="30"/>
      <c r="J26" s="30">
        <f t="shared" si="3"/>
        <v>0</v>
      </c>
      <c r="K26" s="30"/>
      <c r="L26" s="30"/>
      <c r="M26" s="28"/>
      <c r="N26" s="28"/>
    </row>
    <row r="27" spans="1:16" x14ac:dyDescent="0.25">
      <c r="A27" s="28"/>
      <c r="B27" s="30" t="s">
        <v>88</v>
      </c>
      <c r="C27" s="30" t="s">
        <v>89</v>
      </c>
      <c r="D27" s="30"/>
      <c r="E27" s="30"/>
      <c r="F27" s="30"/>
      <c r="G27" s="30">
        <v>46100</v>
      </c>
      <c r="H27" s="30">
        <f t="shared" si="1"/>
        <v>46100</v>
      </c>
      <c r="I27" s="30">
        <v>1000</v>
      </c>
      <c r="J27" s="30">
        <f t="shared" si="3"/>
        <v>45100</v>
      </c>
      <c r="K27" s="30">
        <v>1000</v>
      </c>
      <c r="L27" s="30"/>
      <c r="M27" s="28"/>
      <c r="N27" s="28"/>
    </row>
    <row r="28" spans="1:16" x14ac:dyDescent="0.25">
      <c r="A28" s="28"/>
      <c r="B28" s="6"/>
      <c r="C28" s="10" t="s">
        <v>12</v>
      </c>
      <c r="D28" s="10">
        <f>SUM(D4:D5)</f>
        <v>0</v>
      </c>
      <c r="E28" s="10">
        <f>SUM(E5:E27)</f>
        <v>8000</v>
      </c>
      <c r="F28" s="6">
        <f>SUM(F5:F27)</f>
        <v>114200</v>
      </c>
      <c r="G28" s="30">
        <f>SUM(G5:G27)</f>
        <v>124150</v>
      </c>
      <c r="H28" s="30">
        <f>D28+E28+F28+G28</f>
        <v>246350</v>
      </c>
      <c r="I28" s="6">
        <f>SUM(I5:I27)</f>
        <v>118200</v>
      </c>
      <c r="J28" s="6">
        <f>SUM(J5:J27)</f>
        <v>128150</v>
      </c>
      <c r="K28" s="6">
        <f>SUM(K5:K27)</f>
        <v>1000</v>
      </c>
      <c r="L28" s="6">
        <f>SUM(L5:L27)</f>
        <v>0</v>
      </c>
      <c r="M28" s="28"/>
      <c r="N28" s="28"/>
    </row>
    <row r="29" spans="1:16" x14ac:dyDescent="0.25">
      <c r="A29" s="28"/>
      <c r="B29" s="32"/>
      <c r="C29" s="28"/>
      <c r="D29" s="28"/>
      <c r="E29" s="28"/>
      <c r="F29" s="28"/>
      <c r="G29" s="28"/>
      <c r="H29" s="28"/>
      <c r="I29" s="28"/>
      <c r="J29" s="31">
        <f>F28+3000-I28</f>
        <v>-1000</v>
      </c>
      <c r="K29" s="28"/>
      <c r="L29" s="28"/>
      <c r="M29" s="28"/>
      <c r="N29" s="28"/>
    </row>
    <row r="30" spans="1:16" ht="18.75" x14ac:dyDescent="0.3">
      <c r="A30" s="28"/>
      <c r="B30" s="28"/>
      <c r="C30" s="33" t="s">
        <v>13</v>
      </c>
      <c r="D30" s="32"/>
      <c r="E30" s="32"/>
      <c r="F30" s="32"/>
      <c r="G30" s="32"/>
      <c r="H30" s="32"/>
      <c r="I30" s="28"/>
      <c r="J30" s="28"/>
      <c r="K30" s="28"/>
      <c r="L30" s="28"/>
      <c r="M30" s="28"/>
      <c r="N30" s="28"/>
    </row>
    <row r="31" spans="1:16" ht="15.75" x14ac:dyDescent="0.25">
      <c r="A31" s="28"/>
      <c r="B31" s="28"/>
      <c r="C31" s="34" t="s">
        <v>14</v>
      </c>
      <c r="D31" s="34" t="s">
        <v>15</v>
      </c>
      <c r="E31" s="34" t="s">
        <v>16</v>
      </c>
      <c r="F31" s="34" t="s">
        <v>17</v>
      </c>
      <c r="G31" s="34" t="s">
        <v>18</v>
      </c>
      <c r="H31" s="34" t="s">
        <v>15</v>
      </c>
      <c r="I31" s="34" t="s">
        <v>16</v>
      </c>
      <c r="J31" s="34" t="s">
        <v>17</v>
      </c>
      <c r="K31" s="28"/>
      <c r="L31" s="35"/>
      <c r="M31" s="28"/>
      <c r="N31" s="28"/>
    </row>
    <row r="32" spans="1:16" x14ac:dyDescent="0.25">
      <c r="A32" s="28"/>
      <c r="B32" s="28"/>
      <c r="C32" s="30" t="s">
        <v>87</v>
      </c>
      <c r="D32" s="36">
        <f>F28</f>
        <v>114200</v>
      </c>
      <c r="E32" s="37">
        <v>0.1</v>
      </c>
      <c r="F32" s="36"/>
      <c r="G32" s="38" t="s">
        <v>87</v>
      </c>
      <c r="H32" s="36">
        <f>I28</f>
        <v>118200</v>
      </c>
      <c r="I32" s="37">
        <v>0.1</v>
      </c>
      <c r="J32" s="30"/>
      <c r="K32" s="28"/>
      <c r="L32" s="28"/>
      <c r="M32" s="28"/>
      <c r="N32" s="28"/>
    </row>
    <row r="33" spans="1:14" x14ac:dyDescent="0.25">
      <c r="A33" s="28"/>
      <c r="B33" s="28"/>
      <c r="C33" s="30" t="s">
        <v>20</v>
      </c>
      <c r="D33" s="36">
        <f>'JANUARY 20'!E43</f>
        <v>0</v>
      </c>
      <c r="E33" s="30"/>
      <c r="F33" s="30"/>
      <c r="G33" s="30" t="s">
        <v>20</v>
      </c>
      <c r="H33" s="36">
        <f>'JANUARY 20'!I43</f>
        <v>-3000</v>
      </c>
      <c r="I33" s="30"/>
      <c r="J33" s="30"/>
      <c r="K33" s="28"/>
      <c r="L33" s="28"/>
      <c r="M33" s="28"/>
      <c r="N33" s="28"/>
    </row>
    <row r="34" spans="1:14" x14ac:dyDescent="0.25">
      <c r="A34" s="28"/>
      <c r="B34" s="28"/>
      <c r="C34" s="30"/>
      <c r="D34" s="36">
        <f>D28</f>
        <v>0</v>
      </c>
      <c r="E34" s="30"/>
      <c r="F34" s="30"/>
      <c r="G34" s="30"/>
      <c r="H34" s="36"/>
      <c r="I34" s="36"/>
      <c r="J34" s="30"/>
      <c r="K34" s="28"/>
      <c r="L34" s="28"/>
      <c r="M34" s="28"/>
      <c r="N34" s="28"/>
    </row>
    <row r="35" spans="1:14" x14ac:dyDescent="0.25">
      <c r="A35" s="28"/>
      <c r="B35" s="28"/>
      <c r="C35" s="30" t="s">
        <v>4</v>
      </c>
      <c r="D35" s="36"/>
      <c r="E35" s="30"/>
      <c r="F35" s="30"/>
      <c r="G35" s="30"/>
      <c r="H35" s="36"/>
      <c r="I35" s="36"/>
      <c r="J35" s="30"/>
      <c r="K35" s="28"/>
      <c r="L35" s="28"/>
      <c r="M35" s="28"/>
      <c r="N35" s="28"/>
    </row>
    <row r="36" spans="1:14" x14ac:dyDescent="0.25">
      <c r="A36" s="28"/>
      <c r="B36" s="28"/>
      <c r="C36" s="30" t="s">
        <v>21</v>
      </c>
      <c r="D36" s="36">
        <f>K28</f>
        <v>1000</v>
      </c>
      <c r="E36" s="30"/>
      <c r="F36" s="30"/>
      <c r="G36" s="30"/>
      <c r="H36" s="36"/>
      <c r="I36" s="36"/>
      <c r="J36" s="30"/>
      <c r="K36" s="28"/>
      <c r="L36" s="28"/>
      <c r="M36" s="28"/>
      <c r="N36" s="28"/>
    </row>
    <row r="37" spans="1:14" x14ac:dyDescent="0.25">
      <c r="A37" s="28"/>
      <c r="B37" s="28"/>
      <c r="C37" s="30" t="s">
        <v>103</v>
      </c>
      <c r="D37" s="36"/>
      <c r="E37" s="30"/>
      <c r="F37" s="30"/>
      <c r="G37" s="30"/>
      <c r="H37" s="36"/>
      <c r="I37" s="36"/>
      <c r="J37" s="30"/>
      <c r="K37" s="28"/>
      <c r="L37" s="28"/>
      <c r="M37" s="28"/>
      <c r="N37" s="28"/>
    </row>
    <row r="38" spans="1:14" x14ac:dyDescent="0.25">
      <c r="A38" s="28"/>
      <c r="B38" s="28"/>
      <c r="C38" s="30" t="s">
        <v>22</v>
      </c>
      <c r="D38" s="38"/>
      <c r="E38" s="30">
        <f>D32*E32</f>
        <v>11420</v>
      </c>
      <c r="F38" s="30"/>
      <c r="G38" s="30" t="s">
        <v>22</v>
      </c>
      <c r="H38" s="38"/>
      <c r="I38" s="30">
        <f>E38</f>
        <v>11420</v>
      </c>
      <c r="J38" s="30"/>
      <c r="K38" s="28"/>
      <c r="L38" s="28"/>
      <c r="M38" s="28"/>
      <c r="N38" s="28"/>
    </row>
    <row r="39" spans="1:14" x14ac:dyDescent="0.25">
      <c r="A39" s="28"/>
      <c r="B39" s="28"/>
      <c r="C39" s="39" t="s">
        <v>23</v>
      </c>
      <c r="D39" s="30"/>
      <c r="E39" s="30"/>
      <c r="F39" s="30"/>
      <c r="G39" s="39" t="s">
        <v>23</v>
      </c>
      <c r="H39" s="30"/>
      <c r="I39" s="30"/>
      <c r="J39" s="30"/>
      <c r="K39" s="28"/>
      <c r="L39" s="28"/>
      <c r="M39" s="28"/>
      <c r="N39" s="28"/>
    </row>
    <row r="40" spans="1:14" x14ac:dyDescent="0.25">
      <c r="A40" s="28"/>
      <c r="B40" s="28"/>
      <c r="C40" s="40" t="s">
        <v>70</v>
      </c>
      <c r="D40" s="30"/>
      <c r="E40" s="30">
        <f>F14</f>
        <v>6500</v>
      </c>
      <c r="F40" s="30"/>
      <c r="G40" s="40" t="s">
        <v>70</v>
      </c>
      <c r="H40" s="30"/>
      <c r="I40" s="30">
        <f>F14</f>
        <v>6500</v>
      </c>
      <c r="J40" s="30"/>
      <c r="K40" s="28"/>
      <c r="L40" s="28"/>
      <c r="M40" s="28"/>
      <c r="N40" s="28"/>
    </row>
    <row r="41" spans="1:14" x14ac:dyDescent="0.25">
      <c r="A41" s="28"/>
      <c r="B41" s="28"/>
      <c r="C41" s="30" t="s">
        <v>63</v>
      </c>
      <c r="D41" s="37"/>
      <c r="E41" s="30">
        <f>F21</f>
        <v>6200</v>
      </c>
      <c r="F41" s="30"/>
      <c r="G41" s="30" t="s">
        <v>63</v>
      </c>
      <c r="H41" s="37"/>
      <c r="I41" s="30">
        <f>F21</f>
        <v>6200</v>
      </c>
      <c r="J41" s="30"/>
      <c r="K41" s="28"/>
      <c r="L41" s="28"/>
      <c r="M41" s="28"/>
      <c r="N41" s="28"/>
    </row>
    <row r="42" spans="1:14" x14ac:dyDescent="0.25">
      <c r="A42" s="28"/>
      <c r="B42" s="28"/>
      <c r="C42" s="40" t="s">
        <v>71</v>
      </c>
      <c r="D42" s="30"/>
      <c r="E42" s="30">
        <v>3000</v>
      </c>
      <c r="F42" s="30"/>
      <c r="G42" s="40" t="s">
        <v>71</v>
      </c>
      <c r="H42" s="30"/>
      <c r="I42" s="30">
        <v>3000</v>
      </c>
      <c r="J42" s="30"/>
      <c r="K42" s="28"/>
      <c r="L42" s="28"/>
      <c r="M42" s="28"/>
      <c r="N42" s="28"/>
    </row>
    <row r="43" spans="1:14" x14ac:dyDescent="0.25">
      <c r="A43" s="28"/>
      <c r="B43" s="28"/>
      <c r="C43" s="40" t="s">
        <v>96</v>
      </c>
      <c r="D43" s="30"/>
      <c r="E43" s="30">
        <v>81230</v>
      </c>
      <c r="F43" s="30"/>
      <c r="G43" s="40" t="s">
        <v>96</v>
      </c>
      <c r="H43" s="30"/>
      <c r="I43" s="30">
        <v>81230</v>
      </c>
      <c r="J43" s="30"/>
      <c r="K43" s="28"/>
      <c r="L43" s="28"/>
      <c r="M43" s="28"/>
      <c r="N43" s="28"/>
    </row>
    <row r="44" spans="1:14" x14ac:dyDescent="0.25">
      <c r="A44" s="28"/>
      <c r="B44" s="28"/>
      <c r="C44" s="40" t="s">
        <v>104</v>
      </c>
      <c r="D44" s="36"/>
      <c r="E44" s="36">
        <v>5850</v>
      </c>
      <c r="F44" s="36"/>
      <c r="G44" s="40" t="s">
        <v>104</v>
      </c>
      <c r="H44" s="36"/>
      <c r="I44" s="36">
        <v>5850</v>
      </c>
      <c r="J44" s="30"/>
      <c r="K44" s="28"/>
      <c r="L44" s="28"/>
      <c r="M44" s="28"/>
      <c r="N44" s="28"/>
    </row>
    <row r="45" spans="1:14" x14ac:dyDescent="0.25">
      <c r="A45" s="28"/>
      <c r="B45" s="28"/>
      <c r="C45" s="6" t="s">
        <v>12</v>
      </c>
      <c r="D45" s="41">
        <f>D32+D33+D34+D35+D36+D37-E38</f>
        <v>103780</v>
      </c>
      <c r="E45" s="6">
        <f>SUM(E40:E44)</f>
        <v>102780</v>
      </c>
      <c r="F45" s="41">
        <f>D45-E45</f>
        <v>1000</v>
      </c>
      <c r="G45" s="42"/>
      <c r="H45" s="41">
        <f>H32+H33+H37+H34+H36-I38</f>
        <v>103780</v>
      </c>
      <c r="I45" s="41">
        <f>SUM(I40:I44)</f>
        <v>102780</v>
      </c>
      <c r="J45" s="41">
        <f>H45-I45</f>
        <v>1000</v>
      </c>
      <c r="K45" s="28"/>
      <c r="L45" s="28"/>
      <c r="M45" s="28"/>
      <c r="N45" s="28"/>
    </row>
    <row r="46" spans="1:14" x14ac:dyDescent="0.25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</row>
    <row r="47" spans="1:14" x14ac:dyDescent="0.25">
      <c r="A47" s="28"/>
      <c r="B47" s="28"/>
      <c r="C47" s="32" t="s">
        <v>24</v>
      </c>
      <c r="D47" s="28"/>
      <c r="E47" s="32" t="s">
        <v>25</v>
      </c>
      <c r="F47" s="28"/>
      <c r="G47" s="32"/>
      <c r="H47" s="32" t="s">
        <v>26</v>
      </c>
      <c r="I47" s="28"/>
      <c r="J47" s="28"/>
      <c r="K47" s="28"/>
      <c r="L47" s="28"/>
      <c r="M47" s="28"/>
      <c r="N47" s="28"/>
    </row>
    <row r="48" spans="1:14" x14ac:dyDescent="0.25">
      <c r="A48" s="28"/>
      <c r="B48" s="28"/>
      <c r="C48" s="28" t="s">
        <v>27</v>
      </c>
      <c r="D48" s="28"/>
      <c r="E48" s="32" t="s">
        <v>28</v>
      </c>
      <c r="F48" s="28"/>
      <c r="G48" s="32"/>
      <c r="H48" s="11" t="s">
        <v>147</v>
      </c>
      <c r="I48" s="28"/>
      <c r="J48" s="28"/>
      <c r="K48" s="28"/>
      <c r="L48" s="28"/>
      <c r="M48" s="28"/>
      <c r="N48" s="28"/>
    </row>
    <row r="49" spans="1:14" x14ac:dyDescent="0.25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</row>
    <row r="50" spans="1:14" x14ac:dyDescent="0.25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</row>
    <row r="51" spans="1:14" x14ac:dyDescent="0.25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1"/>
  <sheetViews>
    <sheetView workbookViewId="0"/>
  </sheetViews>
  <sheetFormatPr defaultRowHeight="15" x14ac:dyDescent="0.25"/>
  <sheetData>
    <row r="1" spans="1:23" ht="18.75" x14ac:dyDescent="0.25">
      <c r="E1" s="1" t="s">
        <v>50</v>
      </c>
      <c r="F1" s="2"/>
      <c r="G1" s="3"/>
      <c r="H1" s="4"/>
      <c r="Q1" s="1" t="s">
        <v>229</v>
      </c>
      <c r="R1" s="2"/>
      <c r="S1" s="3"/>
      <c r="T1" s="4"/>
    </row>
    <row r="2" spans="1:23" ht="18.75" x14ac:dyDescent="0.25">
      <c r="E2" s="1" t="s">
        <v>0</v>
      </c>
      <c r="F2" s="1"/>
      <c r="G2" s="5"/>
      <c r="H2" s="5"/>
      <c r="Q2" s="1" t="s">
        <v>0</v>
      </c>
      <c r="R2" s="1"/>
      <c r="S2" s="5"/>
      <c r="T2" s="5"/>
    </row>
    <row r="3" spans="1:23" ht="18.75" x14ac:dyDescent="0.25">
      <c r="E3" s="1" t="s">
        <v>270</v>
      </c>
      <c r="F3" s="1"/>
      <c r="G3" s="5"/>
      <c r="H3" s="5"/>
      <c r="I3" t="s">
        <v>250</v>
      </c>
      <c r="Q3" s="1" t="s">
        <v>270</v>
      </c>
      <c r="R3" s="1"/>
      <c r="S3" s="5"/>
      <c r="T3" s="5"/>
    </row>
    <row r="4" spans="1:23" x14ac:dyDescent="0.25">
      <c r="A4" s="6" t="s">
        <v>2</v>
      </c>
      <c r="B4" s="6" t="s">
        <v>3</v>
      </c>
      <c r="C4" s="6"/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  <c r="K4" s="6" t="s">
        <v>101</v>
      </c>
      <c r="M4" s="6" t="s">
        <v>2</v>
      </c>
      <c r="N4" s="6" t="s">
        <v>3</v>
      </c>
      <c r="O4" s="6"/>
      <c r="P4" s="6" t="s">
        <v>4</v>
      </c>
      <c r="Q4" s="6" t="s">
        <v>5</v>
      </c>
      <c r="R4" s="6" t="s">
        <v>6</v>
      </c>
      <c r="S4" s="6" t="s">
        <v>7</v>
      </c>
      <c r="T4" s="6" t="s">
        <v>8</v>
      </c>
      <c r="U4" s="6" t="s">
        <v>9</v>
      </c>
      <c r="V4" s="6" t="s">
        <v>10</v>
      </c>
      <c r="W4" s="6" t="s">
        <v>101</v>
      </c>
    </row>
    <row r="5" spans="1:23" x14ac:dyDescent="0.25">
      <c r="A5" s="7" t="s">
        <v>30</v>
      </c>
      <c r="B5" s="7" t="s">
        <v>232</v>
      </c>
      <c r="C5" s="7"/>
      <c r="D5" s="7"/>
      <c r="E5" s="7">
        <v>4500</v>
      </c>
      <c r="F5" s="7">
        <f>'JULY 21'!I5:I26</f>
        <v>0</v>
      </c>
      <c r="G5" s="7">
        <f>C5+D5+E5+F5</f>
        <v>4500</v>
      </c>
      <c r="H5" s="7">
        <f>3500+1000</f>
        <v>4500</v>
      </c>
      <c r="I5" s="7">
        <f t="shared" ref="I5:I21" si="0">G5-H5</f>
        <v>0</v>
      </c>
      <c r="J5" s="7"/>
      <c r="K5" s="7"/>
      <c r="M5" s="7" t="s">
        <v>177</v>
      </c>
      <c r="N5" s="9" t="s">
        <v>202</v>
      </c>
      <c r="O5" s="7"/>
      <c r="P5" s="7"/>
      <c r="Q5" s="7">
        <v>7000</v>
      </c>
      <c r="R5" s="7">
        <f>'JULY 21'!U5:U31</f>
        <v>0</v>
      </c>
      <c r="S5" s="7">
        <f>O5+P5+Q5+R5</f>
        <v>7000</v>
      </c>
      <c r="T5" s="7">
        <f>7000</f>
        <v>7000</v>
      </c>
      <c r="U5" s="7">
        <f t="shared" ref="U5:U21" si="1">S5-T5</f>
        <v>0</v>
      </c>
      <c r="V5" s="7"/>
      <c r="W5" s="7"/>
    </row>
    <row r="6" spans="1:23" x14ac:dyDescent="0.25">
      <c r="A6" s="7" t="s">
        <v>31</v>
      </c>
      <c r="B6" s="7" t="s">
        <v>52</v>
      </c>
      <c r="C6" s="7"/>
      <c r="D6" s="7"/>
      <c r="E6" s="7">
        <v>3000</v>
      </c>
      <c r="F6" s="7">
        <f>'JULY 21'!I6:I27</f>
        <v>0</v>
      </c>
      <c r="G6" s="7">
        <f>C6+D6+E6+F6</f>
        <v>3000</v>
      </c>
      <c r="H6" s="7">
        <f>3000</f>
        <v>3000</v>
      </c>
      <c r="I6" s="7">
        <f t="shared" si="0"/>
        <v>0</v>
      </c>
      <c r="J6" s="7"/>
      <c r="K6" s="7"/>
      <c r="M6" s="7" t="s">
        <v>88</v>
      </c>
      <c r="N6" s="7"/>
      <c r="O6" s="7"/>
      <c r="P6" s="7"/>
      <c r="Q6" s="7"/>
      <c r="R6" s="7">
        <f>'JULY 21'!U6:U32</f>
        <v>0</v>
      </c>
      <c r="S6" s="7">
        <f>O6+P6+Q6+R6</f>
        <v>0</v>
      </c>
      <c r="T6" s="7"/>
      <c r="U6" s="7">
        <f t="shared" si="1"/>
        <v>0</v>
      </c>
      <c r="V6" s="7"/>
      <c r="W6" s="7"/>
    </row>
    <row r="7" spans="1:23" x14ac:dyDescent="0.25">
      <c r="A7" s="7" t="s">
        <v>32</v>
      </c>
      <c r="B7" s="7" t="s">
        <v>115</v>
      </c>
      <c r="C7" s="7"/>
      <c r="D7" s="7">
        <v>2500</v>
      </c>
      <c r="E7" s="7">
        <v>7500</v>
      </c>
      <c r="F7" s="7"/>
      <c r="G7" s="7">
        <f>C7+D7+E7+F7</f>
        <v>10000</v>
      </c>
      <c r="H7" s="7">
        <v>7500</v>
      </c>
      <c r="I7" s="7">
        <f t="shared" si="0"/>
        <v>2500</v>
      </c>
      <c r="J7" s="7"/>
      <c r="K7" s="7"/>
      <c r="M7" s="7" t="s">
        <v>178</v>
      </c>
      <c r="N7" s="7" t="s">
        <v>203</v>
      </c>
      <c r="O7" s="7"/>
      <c r="P7" s="7"/>
      <c r="Q7" s="7">
        <v>8500</v>
      </c>
      <c r="R7" s="7">
        <f>'JULY 21'!U7:U33</f>
        <v>1000</v>
      </c>
      <c r="S7" s="7">
        <f>O7+P7+Q7+R7</f>
        <v>9500</v>
      </c>
      <c r="T7" s="7">
        <v>8500</v>
      </c>
      <c r="U7" s="7">
        <f t="shared" si="1"/>
        <v>1000</v>
      </c>
      <c r="V7" s="7"/>
      <c r="W7" s="7"/>
    </row>
    <row r="8" spans="1:23" x14ac:dyDescent="0.25">
      <c r="A8" s="7" t="s">
        <v>33</v>
      </c>
      <c r="B8" s="7" t="s">
        <v>54</v>
      </c>
      <c r="C8" s="7"/>
      <c r="D8" s="7"/>
      <c r="E8" s="7">
        <v>6500</v>
      </c>
      <c r="F8" s="7">
        <f>'JULY 21'!I8:I29</f>
        <v>0</v>
      </c>
      <c r="G8" s="7">
        <f>C8+D8+E8+F8</f>
        <v>6500</v>
      </c>
      <c r="H8" s="7">
        <f>6500</f>
        <v>6500</v>
      </c>
      <c r="I8" s="7">
        <f t="shared" si="0"/>
        <v>0</v>
      </c>
      <c r="J8" s="7"/>
      <c r="K8" s="7"/>
      <c r="M8" s="7" t="s">
        <v>179</v>
      </c>
      <c r="N8" s="7" t="s">
        <v>204</v>
      </c>
      <c r="O8" s="7"/>
      <c r="P8" s="7"/>
      <c r="Q8" s="7">
        <v>9000</v>
      </c>
      <c r="R8" s="7">
        <f>'JULY 21'!U8:U34</f>
        <v>0</v>
      </c>
      <c r="S8" s="7">
        <f>O8+P8+Q8+R8</f>
        <v>9000</v>
      </c>
      <c r="T8" s="7">
        <f>9000</f>
        <v>9000</v>
      </c>
      <c r="U8" s="7">
        <f t="shared" si="1"/>
        <v>0</v>
      </c>
      <c r="V8" s="7"/>
      <c r="W8" s="7"/>
    </row>
    <row r="9" spans="1:23" x14ac:dyDescent="0.25">
      <c r="A9" s="7" t="s">
        <v>34</v>
      </c>
      <c r="B9" s="45" t="s">
        <v>265</v>
      </c>
      <c r="C9" s="7"/>
      <c r="D9" s="7">
        <v>1000</v>
      </c>
      <c r="E9" s="7">
        <v>7000</v>
      </c>
      <c r="F9" s="7">
        <f>'JULY 21'!I9:I30</f>
        <v>0</v>
      </c>
      <c r="G9" s="7">
        <f t="shared" ref="G9:G26" si="2">C9+D9+E9+F9</f>
        <v>8000</v>
      </c>
      <c r="H9" s="7">
        <f>5000</f>
        <v>5000</v>
      </c>
      <c r="I9" s="7">
        <f t="shared" si="0"/>
        <v>3000</v>
      </c>
      <c r="J9" s="7"/>
      <c r="K9" s="7"/>
      <c r="M9" s="7" t="s">
        <v>180</v>
      </c>
      <c r="N9" s="7" t="s">
        <v>205</v>
      </c>
      <c r="O9" s="7"/>
      <c r="P9" s="7"/>
      <c r="Q9" s="7">
        <v>8000</v>
      </c>
      <c r="R9" s="7">
        <f>'JULY 21'!U9:U35</f>
        <v>36300</v>
      </c>
      <c r="S9" s="7">
        <f t="shared" ref="S9:S31" si="3">O9+P9+Q9+R9</f>
        <v>44300</v>
      </c>
      <c r="T9" s="7">
        <f>8000</f>
        <v>8000</v>
      </c>
      <c r="U9" s="7">
        <f t="shared" si="1"/>
        <v>36300</v>
      </c>
      <c r="V9" s="7"/>
      <c r="W9" s="7"/>
    </row>
    <row r="10" spans="1:23" x14ac:dyDescent="0.25">
      <c r="A10" s="7" t="s">
        <v>35</v>
      </c>
      <c r="B10" s="7" t="s">
        <v>55</v>
      </c>
      <c r="C10" s="7"/>
      <c r="D10" s="7"/>
      <c r="E10" s="7">
        <v>7000</v>
      </c>
      <c r="F10" s="7">
        <f>'JULY 21'!I10:I31</f>
        <v>1000</v>
      </c>
      <c r="G10" s="7">
        <f t="shared" si="2"/>
        <v>8000</v>
      </c>
      <c r="H10" s="7">
        <f>7000</f>
        <v>7000</v>
      </c>
      <c r="I10" s="7">
        <f t="shared" si="0"/>
        <v>1000</v>
      </c>
      <c r="J10" s="7"/>
      <c r="K10" s="7"/>
      <c r="M10" s="7" t="s">
        <v>181</v>
      </c>
      <c r="N10" s="7" t="s">
        <v>206</v>
      </c>
      <c r="O10" s="7"/>
      <c r="P10" s="7"/>
      <c r="Q10" s="7">
        <v>8500</v>
      </c>
      <c r="R10" s="7">
        <f>'JULY 21'!U10:U36</f>
        <v>11100</v>
      </c>
      <c r="S10" s="7">
        <f t="shared" si="3"/>
        <v>19600</v>
      </c>
      <c r="T10" s="7">
        <f>8500</f>
        <v>8500</v>
      </c>
      <c r="U10" s="7">
        <f t="shared" si="1"/>
        <v>11100</v>
      </c>
      <c r="V10" s="7"/>
      <c r="W10" s="7"/>
    </row>
    <row r="11" spans="1:23" x14ac:dyDescent="0.25">
      <c r="A11" s="7" t="s">
        <v>36</v>
      </c>
      <c r="B11" s="7" t="s">
        <v>56</v>
      </c>
      <c r="C11" s="7"/>
      <c r="D11" s="7"/>
      <c r="E11" s="7">
        <v>7000</v>
      </c>
      <c r="F11" s="7">
        <f>'JULY 21'!I11:I32</f>
        <v>7000</v>
      </c>
      <c r="G11" s="7">
        <f t="shared" si="2"/>
        <v>14000</v>
      </c>
      <c r="H11" s="7"/>
      <c r="I11" s="7">
        <f t="shared" si="0"/>
        <v>14000</v>
      </c>
      <c r="J11" s="7"/>
      <c r="K11" s="7"/>
      <c r="M11" s="7" t="s">
        <v>182</v>
      </c>
      <c r="N11" s="7" t="s">
        <v>207</v>
      </c>
      <c r="O11" s="7"/>
      <c r="P11" s="7"/>
      <c r="Q11" s="7">
        <v>8000</v>
      </c>
      <c r="R11" s="7">
        <f>'JULY 21'!U11:U37</f>
        <v>6500</v>
      </c>
      <c r="S11" s="7">
        <f t="shared" si="3"/>
        <v>14500</v>
      </c>
      <c r="T11" s="7">
        <f>9000</f>
        <v>9000</v>
      </c>
      <c r="U11" s="7">
        <f t="shared" si="1"/>
        <v>5500</v>
      </c>
      <c r="V11" s="7"/>
      <c r="W11" s="7"/>
    </row>
    <row r="12" spans="1:23" x14ac:dyDescent="0.25">
      <c r="A12" s="7" t="s">
        <v>37</v>
      </c>
      <c r="B12" s="8" t="s">
        <v>65</v>
      </c>
      <c r="C12" s="7"/>
      <c r="D12" s="7"/>
      <c r="E12" s="7">
        <v>4500</v>
      </c>
      <c r="F12" s="7">
        <f>'JULY 21'!I12:I33</f>
        <v>100</v>
      </c>
      <c r="G12" s="7">
        <f t="shared" si="2"/>
        <v>4600</v>
      </c>
      <c r="H12" s="7">
        <f>4500</f>
        <v>4500</v>
      </c>
      <c r="I12" s="7">
        <f t="shared" si="0"/>
        <v>100</v>
      </c>
      <c r="J12" s="7"/>
      <c r="K12" s="7"/>
      <c r="M12" s="7" t="s">
        <v>183</v>
      </c>
      <c r="N12" s="8" t="s">
        <v>208</v>
      </c>
      <c r="O12" s="7"/>
      <c r="P12" s="7"/>
      <c r="Q12" s="7">
        <v>8500</v>
      </c>
      <c r="R12" s="7">
        <f>'JULY 21'!U12:U38</f>
        <v>0</v>
      </c>
      <c r="S12" s="7">
        <f t="shared" si="3"/>
        <v>8500</v>
      </c>
      <c r="T12" s="7">
        <v>8500</v>
      </c>
      <c r="U12" s="7">
        <f t="shared" si="1"/>
        <v>0</v>
      </c>
      <c r="V12" s="7"/>
      <c r="W12" s="7"/>
    </row>
    <row r="13" spans="1:23" x14ac:dyDescent="0.25">
      <c r="A13" s="7" t="s">
        <v>38</v>
      </c>
      <c r="B13" s="7" t="s">
        <v>92</v>
      </c>
      <c r="C13" s="7"/>
      <c r="D13" s="7">
        <v>5000</v>
      </c>
      <c r="E13" s="7">
        <v>8000</v>
      </c>
      <c r="F13" s="7"/>
      <c r="G13" s="7">
        <f t="shared" si="2"/>
        <v>13000</v>
      </c>
      <c r="H13" s="7">
        <f>8000</f>
        <v>8000</v>
      </c>
      <c r="I13" s="7">
        <f t="shared" si="0"/>
        <v>5000</v>
      </c>
      <c r="J13" s="7"/>
      <c r="K13" s="7"/>
      <c r="M13" s="7" t="s">
        <v>184</v>
      </c>
      <c r="N13" s="7" t="s">
        <v>252</v>
      </c>
      <c r="O13" s="7"/>
      <c r="P13" s="7"/>
      <c r="Q13" s="7">
        <v>3500</v>
      </c>
      <c r="R13" s="7">
        <f>'JULY 21'!U13:U39</f>
        <v>3500</v>
      </c>
      <c r="S13" s="7">
        <f t="shared" si="3"/>
        <v>7000</v>
      </c>
      <c r="T13" s="7">
        <v>3500</v>
      </c>
      <c r="U13" s="7">
        <f t="shared" si="1"/>
        <v>3500</v>
      </c>
      <c r="V13" s="7"/>
      <c r="W13" s="7"/>
    </row>
    <row r="14" spans="1:23" x14ac:dyDescent="0.25">
      <c r="A14" s="7" t="s">
        <v>39</v>
      </c>
      <c r="B14" s="7" t="s">
        <v>70</v>
      </c>
      <c r="C14" s="7"/>
      <c r="D14" s="7"/>
      <c r="E14" s="7">
        <v>6500</v>
      </c>
      <c r="F14" s="7">
        <f>'JULY 21'!I14:I35</f>
        <v>0</v>
      </c>
      <c r="G14" s="7">
        <f t="shared" si="2"/>
        <v>6500</v>
      </c>
      <c r="H14" s="7">
        <f>5000</f>
        <v>5000</v>
      </c>
      <c r="I14" s="7">
        <f t="shared" si="0"/>
        <v>1500</v>
      </c>
      <c r="J14" s="7"/>
      <c r="K14" s="7"/>
      <c r="M14" s="7" t="s">
        <v>185</v>
      </c>
      <c r="N14" s="7" t="s">
        <v>210</v>
      </c>
      <c r="O14" s="7"/>
      <c r="P14" s="7"/>
      <c r="Q14" s="7">
        <v>5000</v>
      </c>
      <c r="R14" s="7">
        <f>'JULY 21'!U14:U40</f>
        <v>250</v>
      </c>
      <c r="S14" s="7">
        <f t="shared" si="3"/>
        <v>5250</v>
      </c>
      <c r="T14" s="7">
        <f>5000</f>
        <v>5000</v>
      </c>
      <c r="U14" s="7">
        <f t="shared" si="1"/>
        <v>250</v>
      </c>
      <c r="V14" s="7"/>
      <c r="W14" s="7"/>
    </row>
    <row r="15" spans="1:23" x14ac:dyDescent="0.25">
      <c r="A15" s="7" t="s">
        <v>40</v>
      </c>
      <c r="B15" s="7" t="s">
        <v>174</v>
      </c>
      <c r="C15" s="7"/>
      <c r="D15" s="7"/>
      <c r="E15" s="7">
        <v>7500</v>
      </c>
      <c r="F15" s="7">
        <f>'JULY 21'!I15:I36</f>
        <v>0</v>
      </c>
      <c r="G15" s="7">
        <f t="shared" si="2"/>
        <v>7500</v>
      </c>
      <c r="H15" s="7">
        <v>7500</v>
      </c>
      <c r="I15" s="7">
        <f t="shared" si="0"/>
        <v>0</v>
      </c>
      <c r="J15" s="7"/>
      <c r="K15" s="7"/>
      <c r="M15" s="7" t="s">
        <v>186</v>
      </c>
      <c r="N15" s="9" t="s">
        <v>267</v>
      </c>
      <c r="O15" s="7"/>
      <c r="P15" s="7"/>
      <c r="Q15" s="7">
        <v>4000</v>
      </c>
      <c r="R15" s="7">
        <f>'JULY 21'!U15:U41</f>
        <v>0</v>
      </c>
      <c r="S15" s="7">
        <f t="shared" si="3"/>
        <v>4000</v>
      </c>
      <c r="T15" s="7">
        <v>4000</v>
      </c>
      <c r="U15" s="7">
        <f t="shared" si="1"/>
        <v>0</v>
      </c>
      <c r="V15" s="7"/>
      <c r="W15" s="7"/>
    </row>
    <row r="16" spans="1:23" x14ac:dyDescent="0.25">
      <c r="A16" s="7" t="s">
        <v>41</v>
      </c>
      <c r="B16" s="7" t="s">
        <v>58</v>
      </c>
      <c r="C16" s="7"/>
      <c r="D16" s="7"/>
      <c r="E16" s="7">
        <v>7000</v>
      </c>
      <c r="F16" s="7">
        <f>'JULY 21'!I16:I37</f>
        <v>1500</v>
      </c>
      <c r="G16" s="7">
        <f t="shared" si="2"/>
        <v>8500</v>
      </c>
      <c r="H16" s="7">
        <f>7000</f>
        <v>7000</v>
      </c>
      <c r="I16" s="7">
        <f t="shared" si="0"/>
        <v>1500</v>
      </c>
      <c r="J16" s="7"/>
      <c r="K16" s="7"/>
      <c r="M16" s="7" t="s">
        <v>187</v>
      </c>
      <c r="N16" s="7" t="s">
        <v>212</v>
      </c>
      <c r="O16" s="7"/>
      <c r="P16" s="7"/>
      <c r="Q16" s="7">
        <v>4500</v>
      </c>
      <c r="R16" s="7">
        <f>'JULY 21'!U16:U42</f>
        <v>0</v>
      </c>
      <c r="S16" s="7">
        <f t="shared" si="3"/>
        <v>4500</v>
      </c>
      <c r="T16" s="7">
        <f>4500</f>
        <v>4500</v>
      </c>
      <c r="U16" s="7">
        <f t="shared" si="1"/>
        <v>0</v>
      </c>
      <c r="V16" s="7"/>
      <c r="W16" s="7"/>
    </row>
    <row r="17" spans="1:23" x14ac:dyDescent="0.25">
      <c r="A17" s="7" t="s">
        <v>42</v>
      </c>
      <c r="B17" s="7" t="s">
        <v>59</v>
      </c>
      <c r="C17" s="7"/>
      <c r="D17" s="7"/>
      <c r="E17" s="7">
        <v>7000</v>
      </c>
      <c r="F17" s="7">
        <f>'JULY 21'!I17:I38</f>
        <v>3000</v>
      </c>
      <c r="G17" s="7">
        <f t="shared" si="2"/>
        <v>10000</v>
      </c>
      <c r="H17" s="7">
        <f>2000+6000</f>
        <v>8000</v>
      </c>
      <c r="I17" s="7">
        <f>G17-H17</f>
        <v>2000</v>
      </c>
      <c r="J17" s="7"/>
      <c r="K17" s="7"/>
      <c r="M17" s="7" t="s">
        <v>188</v>
      </c>
      <c r="N17" s="45" t="s">
        <v>213</v>
      </c>
      <c r="O17" s="45"/>
      <c r="P17" s="45"/>
      <c r="Q17" s="45"/>
      <c r="R17" s="45">
        <f>'JULY 21'!U17:U43</f>
        <v>40000</v>
      </c>
      <c r="S17" s="45">
        <f>O17+P17+Q17+R17+4000</f>
        <v>44000</v>
      </c>
      <c r="T17" s="45"/>
      <c r="U17" s="45">
        <f t="shared" si="1"/>
        <v>44000</v>
      </c>
      <c r="V17" s="7"/>
      <c r="W17" s="7"/>
    </row>
    <row r="18" spans="1:23" x14ac:dyDescent="0.25">
      <c r="A18" s="7" t="s">
        <v>43</v>
      </c>
      <c r="B18" s="7" t="s">
        <v>230</v>
      </c>
      <c r="C18" s="7"/>
      <c r="D18" s="7"/>
      <c r="E18" s="7">
        <v>5000</v>
      </c>
      <c r="F18" s="7">
        <f>'JULY 21'!I18:I39</f>
        <v>0</v>
      </c>
      <c r="G18" s="7">
        <f t="shared" si="2"/>
        <v>5000</v>
      </c>
      <c r="H18" s="7">
        <f>5000</f>
        <v>5000</v>
      </c>
      <c r="I18" s="7">
        <f t="shared" si="0"/>
        <v>0</v>
      </c>
      <c r="J18" s="7"/>
      <c r="K18" s="7"/>
      <c r="M18" s="7" t="s">
        <v>189</v>
      </c>
      <c r="N18" s="45" t="s">
        <v>209</v>
      </c>
      <c r="O18" s="45"/>
      <c r="P18" s="45"/>
      <c r="Q18" s="45"/>
      <c r="R18" s="45">
        <f>'JULY 21'!U18:U44</f>
        <v>12000</v>
      </c>
      <c r="S18" s="45">
        <f>O18+P18+Q18+R18</f>
        <v>12000</v>
      </c>
      <c r="T18" s="45"/>
      <c r="U18" s="45">
        <f t="shared" si="1"/>
        <v>12000</v>
      </c>
      <c r="V18" s="7"/>
      <c r="W18" s="7"/>
    </row>
    <row r="19" spans="1:23" x14ac:dyDescent="0.25">
      <c r="A19" s="7" t="s">
        <v>44</v>
      </c>
      <c r="B19" s="9" t="s">
        <v>118</v>
      </c>
      <c r="C19" s="7"/>
      <c r="D19" s="7"/>
      <c r="E19" s="7">
        <v>8000</v>
      </c>
      <c r="F19" s="7">
        <f>'JULY 21'!I19:I40</f>
        <v>0</v>
      </c>
      <c r="G19" s="7">
        <f t="shared" si="2"/>
        <v>8000</v>
      </c>
      <c r="H19" s="7">
        <f>8000</f>
        <v>8000</v>
      </c>
      <c r="I19" s="7">
        <f t="shared" si="0"/>
        <v>0</v>
      </c>
      <c r="J19" s="7"/>
      <c r="K19" s="7"/>
      <c r="M19" s="7" t="s">
        <v>190</v>
      </c>
      <c r="N19" s="9" t="s">
        <v>215</v>
      </c>
      <c r="O19" s="7"/>
      <c r="P19" s="7"/>
      <c r="Q19" s="7">
        <v>4000</v>
      </c>
      <c r="R19" s="7">
        <f>'JULY 21'!U19:U45</f>
        <v>5000</v>
      </c>
      <c r="S19" s="7">
        <f t="shared" si="3"/>
        <v>9000</v>
      </c>
      <c r="T19" s="7">
        <f>4000</f>
        <v>4000</v>
      </c>
      <c r="U19" s="7">
        <f t="shared" si="1"/>
        <v>5000</v>
      </c>
      <c r="V19" s="7"/>
      <c r="W19" s="7"/>
    </row>
    <row r="20" spans="1:23" x14ac:dyDescent="0.25">
      <c r="A20" s="7" t="s">
        <v>45</v>
      </c>
      <c r="B20" s="7" t="s">
        <v>175</v>
      </c>
      <c r="C20" s="7"/>
      <c r="D20" s="7"/>
      <c r="E20" s="7">
        <v>7500</v>
      </c>
      <c r="F20" s="7">
        <f>'JULY 21'!I20:I41</f>
        <v>0</v>
      </c>
      <c r="G20" s="7">
        <f t="shared" si="2"/>
        <v>7500</v>
      </c>
      <c r="H20" s="7">
        <f>7500</f>
        <v>7500</v>
      </c>
      <c r="I20" s="7">
        <f t="shared" si="0"/>
        <v>0</v>
      </c>
      <c r="J20" s="7"/>
      <c r="K20" s="7"/>
      <c r="M20" s="7" t="s">
        <v>123</v>
      </c>
      <c r="N20" s="7" t="s">
        <v>231</v>
      </c>
      <c r="O20" s="7"/>
      <c r="P20" s="7"/>
      <c r="Q20" s="7">
        <v>4500</v>
      </c>
      <c r="R20" s="7">
        <f>'JULY 21'!U20:U46</f>
        <v>0</v>
      </c>
      <c r="S20" s="7">
        <f t="shared" si="3"/>
        <v>4500</v>
      </c>
      <c r="T20" s="7">
        <f>4000</f>
        <v>4000</v>
      </c>
      <c r="U20" s="7">
        <f t="shared" si="1"/>
        <v>500</v>
      </c>
      <c r="V20" s="7"/>
      <c r="W20" s="7"/>
    </row>
    <row r="21" spans="1:23" x14ac:dyDescent="0.25">
      <c r="A21" s="7" t="s">
        <v>46</v>
      </c>
      <c r="B21" s="7" t="s">
        <v>132</v>
      </c>
      <c r="C21" s="7"/>
      <c r="D21" s="7"/>
      <c r="E21" s="7">
        <v>6500</v>
      </c>
      <c r="F21" s="7">
        <f>'JULY 21'!I21:I42</f>
        <v>0</v>
      </c>
      <c r="G21" s="7">
        <f t="shared" si="2"/>
        <v>6500</v>
      </c>
      <c r="H21" s="7">
        <v>6500</v>
      </c>
      <c r="I21" s="7">
        <f t="shared" si="0"/>
        <v>0</v>
      </c>
      <c r="J21" s="7"/>
      <c r="K21" s="7"/>
      <c r="M21" s="7" t="s">
        <v>191</v>
      </c>
      <c r="N21" s="7" t="s">
        <v>216</v>
      </c>
      <c r="O21" s="7"/>
      <c r="P21" s="7"/>
      <c r="Q21" s="7">
        <v>4500</v>
      </c>
      <c r="R21" s="7">
        <f>'JULY 21'!U21:U47</f>
        <v>8000</v>
      </c>
      <c r="S21" s="7">
        <f t="shared" si="3"/>
        <v>12500</v>
      </c>
      <c r="T21" s="7">
        <f>6000</f>
        <v>6000</v>
      </c>
      <c r="U21" s="7">
        <f t="shared" si="1"/>
        <v>6500</v>
      </c>
      <c r="V21" s="7"/>
      <c r="W21" s="7"/>
    </row>
    <row r="22" spans="1:23" x14ac:dyDescent="0.25">
      <c r="A22" s="7" t="s">
        <v>47</v>
      </c>
      <c r="B22" s="7" t="s">
        <v>64</v>
      </c>
      <c r="C22" s="7"/>
      <c r="D22" s="7"/>
      <c r="E22" s="7">
        <v>7000</v>
      </c>
      <c r="F22" s="7">
        <f>'JULY 21'!I22:I43</f>
        <v>0</v>
      </c>
      <c r="G22" s="7">
        <f t="shared" si="2"/>
        <v>7000</v>
      </c>
      <c r="H22">
        <f>7000</f>
        <v>7000</v>
      </c>
      <c r="I22" s="7">
        <f>G22-H22</f>
        <v>0</v>
      </c>
      <c r="J22" s="7"/>
      <c r="K22" s="7"/>
      <c r="M22" s="7" t="s">
        <v>192</v>
      </c>
      <c r="N22" s="7" t="s">
        <v>214</v>
      </c>
      <c r="O22" s="7"/>
      <c r="P22" s="7"/>
      <c r="Q22" s="7">
        <v>4000</v>
      </c>
      <c r="R22" s="7">
        <f>'JULY 21'!U22:U48</f>
        <v>0</v>
      </c>
      <c r="S22" s="7">
        <f t="shared" si="3"/>
        <v>4000</v>
      </c>
      <c r="T22">
        <f>4000</f>
        <v>4000</v>
      </c>
      <c r="U22" s="7">
        <f>S22-T22</f>
        <v>0</v>
      </c>
      <c r="V22" s="7"/>
      <c r="W22" s="7"/>
    </row>
    <row r="23" spans="1:23" x14ac:dyDescent="0.25">
      <c r="A23" s="7" t="s">
        <v>66</v>
      </c>
      <c r="B23" s="7" t="s">
        <v>69</v>
      </c>
      <c r="C23" s="7"/>
      <c r="D23" s="7"/>
      <c r="E23" s="7">
        <v>8500</v>
      </c>
      <c r="F23" s="7">
        <f>'JULY 21'!I23:I44</f>
        <v>0</v>
      </c>
      <c r="G23" s="7">
        <f t="shared" si="2"/>
        <v>8500</v>
      </c>
      <c r="H23" s="7">
        <f>8500</f>
        <v>8500</v>
      </c>
      <c r="I23" s="7">
        <f>G23-H23</f>
        <v>0</v>
      </c>
      <c r="J23" s="7"/>
      <c r="K23" s="7"/>
      <c r="M23" s="7" t="s">
        <v>193</v>
      </c>
      <c r="N23" s="45" t="s">
        <v>257</v>
      </c>
      <c r="O23" s="7"/>
      <c r="P23" s="7"/>
      <c r="Q23" s="7">
        <v>4500</v>
      </c>
      <c r="R23" s="7">
        <f>'JULY 21'!U23:U49</f>
        <v>5000</v>
      </c>
      <c r="S23" s="7">
        <f t="shared" si="3"/>
        <v>9500</v>
      </c>
      <c r="T23" s="7">
        <f>4000</f>
        <v>4000</v>
      </c>
      <c r="U23" s="7">
        <f>S23-T23</f>
        <v>5500</v>
      </c>
      <c r="V23" s="7"/>
      <c r="W23" s="7"/>
    </row>
    <row r="24" spans="1:23" x14ac:dyDescent="0.25">
      <c r="A24" s="7" t="s">
        <v>48</v>
      </c>
      <c r="B24" s="7" t="s">
        <v>233</v>
      </c>
      <c r="C24" s="7"/>
      <c r="D24" s="7"/>
      <c r="E24" s="7">
        <v>5000</v>
      </c>
      <c r="F24" s="7">
        <f>'JULY 21'!I24:I45</f>
        <v>0</v>
      </c>
      <c r="G24" s="7">
        <f t="shared" si="2"/>
        <v>5000</v>
      </c>
      <c r="H24" s="7">
        <f>5000</f>
        <v>5000</v>
      </c>
      <c r="I24" s="7">
        <f>G24-H24</f>
        <v>0</v>
      </c>
      <c r="J24" s="7"/>
      <c r="K24" s="7"/>
      <c r="M24" s="7" t="s">
        <v>194</v>
      </c>
      <c r="N24" s="7" t="s">
        <v>256</v>
      </c>
      <c r="O24" s="7"/>
      <c r="P24" s="7"/>
      <c r="Q24" s="7">
        <v>4000</v>
      </c>
      <c r="R24" s="7">
        <f>'JULY 21'!U24:U50</f>
        <v>3300</v>
      </c>
      <c r="S24" s="7">
        <f t="shared" si="3"/>
        <v>7300</v>
      </c>
      <c r="T24" s="7">
        <f>4000</f>
        <v>4000</v>
      </c>
      <c r="U24" s="7">
        <f>S24-T24</f>
        <v>3300</v>
      </c>
      <c r="V24" s="7"/>
      <c r="W24" s="7"/>
    </row>
    <row r="25" spans="1:23" x14ac:dyDescent="0.25">
      <c r="A25" s="7" t="s">
        <v>49</v>
      </c>
      <c r="B25" s="7" t="s">
        <v>273</v>
      </c>
      <c r="C25" s="7"/>
      <c r="D25" s="7"/>
      <c r="E25" s="7">
        <v>8500</v>
      </c>
      <c r="F25" s="7">
        <f>'JULY 21'!I25:I46</f>
        <v>0</v>
      </c>
      <c r="G25" s="7">
        <f t="shared" si="2"/>
        <v>8500</v>
      </c>
      <c r="H25" s="7">
        <v>8500</v>
      </c>
      <c r="I25" s="7">
        <f>G25-H25</f>
        <v>0</v>
      </c>
      <c r="J25" s="7"/>
      <c r="K25" s="7"/>
      <c r="L25" t="s">
        <v>263</v>
      </c>
      <c r="M25" s="7" t="s">
        <v>195</v>
      </c>
      <c r="N25" s="7" t="s">
        <v>218</v>
      </c>
      <c r="O25" s="7"/>
      <c r="P25" s="7"/>
      <c r="Q25" s="7">
        <v>4000</v>
      </c>
      <c r="R25" s="7">
        <f>'JULY 21'!U25:U51</f>
        <v>0</v>
      </c>
      <c r="S25" s="7">
        <f t="shared" si="3"/>
        <v>4000</v>
      </c>
      <c r="T25" s="7">
        <f>4000</f>
        <v>4000</v>
      </c>
      <c r="U25" s="7">
        <f>S25-T25</f>
        <v>0</v>
      </c>
      <c r="V25" s="7"/>
      <c r="W25" s="7"/>
    </row>
    <row r="26" spans="1:23" x14ac:dyDescent="0.25">
      <c r="A26" s="7" t="s">
        <v>88</v>
      </c>
      <c r="B26" s="7" t="s">
        <v>110</v>
      </c>
      <c r="C26" s="7"/>
      <c r="D26" s="7"/>
      <c r="E26" s="7">
        <v>7000</v>
      </c>
      <c r="F26" s="7">
        <f>'JULY 21'!I26:I47</f>
        <v>51600</v>
      </c>
      <c r="G26" s="7">
        <f t="shared" si="2"/>
        <v>58600</v>
      </c>
      <c r="H26" s="7">
        <f>4000+3000</f>
        <v>7000</v>
      </c>
      <c r="I26" s="7">
        <f>G26-H26-45000</f>
        <v>6600</v>
      </c>
      <c r="J26" s="7"/>
      <c r="K26" s="7"/>
      <c r="M26" s="7" t="s">
        <v>196</v>
      </c>
      <c r="N26" s="7" t="s">
        <v>219</v>
      </c>
      <c r="O26" s="7"/>
      <c r="P26" s="7"/>
      <c r="Q26" s="7">
        <v>4000</v>
      </c>
      <c r="R26" s="7">
        <f>'JULY 21'!U26:U52</f>
        <v>4000</v>
      </c>
      <c r="S26" s="7">
        <f t="shared" si="3"/>
        <v>8000</v>
      </c>
      <c r="T26" s="7"/>
      <c r="U26" s="7">
        <f t="shared" ref="U26:U31" si="4">S26-T26</f>
        <v>8000</v>
      </c>
      <c r="V26" s="7"/>
      <c r="W26" s="7"/>
    </row>
    <row r="27" spans="1:23" x14ac:dyDescent="0.25">
      <c r="A27" s="6"/>
      <c r="B27" s="10" t="s">
        <v>12</v>
      </c>
      <c r="C27" s="10">
        <f>SUM(C4:C5)</f>
        <v>0</v>
      </c>
      <c r="D27" s="10">
        <f t="shared" ref="D27:K27" si="5">SUM(D5:D26)</f>
        <v>8500</v>
      </c>
      <c r="E27" s="6">
        <f t="shared" si="5"/>
        <v>146000</v>
      </c>
      <c r="F27" s="7">
        <f>SUM(F5:F26)</f>
        <v>64200</v>
      </c>
      <c r="G27" s="7">
        <f t="shared" si="5"/>
        <v>218700</v>
      </c>
      <c r="H27" s="6">
        <f t="shared" si="5"/>
        <v>136500</v>
      </c>
      <c r="I27" s="6">
        <f t="shared" si="5"/>
        <v>37200</v>
      </c>
      <c r="J27" s="6">
        <f t="shared" si="5"/>
        <v>0</v>
      </c>
      <c r="K27" s="6">
        <f t="shared" si="5"/>
        <v>0</v>
      </c>
      <c r="M27" s="7" t="s">
        <v>197</v>
      </c>
      <c r="N27" s="7" t="s">
        <v>220</v>
      </c>
      <c r="O27" s="7"/>
      <c r="P27" s="7"/>
      <c r="Q27" s="7">
        <v>10000</v>
      </c>
      <c r="R27" s="7">
        <f>'JULY 21'!U27:U53</f>
        <v>0</v>
      </c>
      <c r="S27" s="7">
        <f t="shared" si="3"/>
        <v>10000</v>
      </c>
      <c r="T27" s="7">
        <f>10000</f>
        <v>10000</v>
      </c>
      <c r="U27" s="7">
        <f t="shared" si="4"/>
        <v>0</v>
      </c>
      <c r="V27" s="7"/>
      <c r="W27" s="7"/>
    </row>
    <row r="28" spans="1:23" x14ac:dyDescent="0.25">
      <c r="A28" s="11"/>
      <c r="F28" s="7">
        <f>'MAY 21'!I28:I51</f>
        <v>8700</v>
      </c>
      <c r="I28" s="8">
        <f>I27-F26-D13-D7</f>
        <v>-21900</v>
      </c>
      <c r="M28" s="7" t="s">
        <v>198</v>
      </c>
      <c r="N28" s="7" t="s">
        <v>221</v>
      </c>
      <c r="O28" s="7"/>
      <c r="P28" s="7"/>
      <c r="Q28" s="7">
        <v>8000</v>
      </c>
      <c r="R28" s="7">
        <f>'JULY 21'!U28:U54</f>
        <v>13400</v>
      </c>
      <c r="S28" s="7">
        <f t="shared" si="3"/>
        <v>21400</v>
      </c>
      <c r="T28" s="7">
        <f>8000</f>
        <v>8000</v>
      </c>
      <c r="U28" s="7">
        <f t="shared" si="4"/>
        <v>13400</v>
      </c>
      <c r="V28" s="7"/>
      <c r="W28" s="7"/>
    </row>
    <row r="29" spans="1:23" ht="18.75" x14ac:dyDescent="0.3">
      <c r="B29" s="12" t="s">
        <v>13</v>
      </c>
      <c r="C29" s="44" t="s">
        <v>227</v>
      </c>
      <c r="D29" s="13"/>
      <c r="E29" s="13"/>
      <c r="F29" s="44" t="s">
        <v>228</v>
      </c>
      <c r="G29" s="13"/>
      <c r="H29" s="14"/>
      <c r="I29" s="14"/>
      <c r="M29" s="7" t="s">
        <v>199</v>
      </c>
      <c r="N29" s="7" t="s">
        <v>222</v>
      </c>
      <c r="O29" s="7"/>
      <c r="P29" s="7"/>
      <c r="Q29" s="7">
        <v>8000</v>
      </c>
      <c r="R29" s="7">
        <f>'JULY 21'!U29:U55</f>
        <v>9800</v>
      </c>
      <c r="S29" s="7">
        <f t="shared" si="3"/>
        <v>17800</v>
      </c>
      <c r="T29" s="7">
        <v>8000</v>
      </c>
      <c r="U29" s="7">
        <f t="shared" si="4"/>
        <v>9800</v>
      </c>
      <c r="V29" s="7"/>
      <c r="W29" s="7"/>
    </row>
    <row r="30" spans="1:23" ht="15.75" x14ac:dyDescent="0.25">
      <c r="B30" s="15" t="s">
        <v>14</v>
      </c>
      <c r="C30" s="15" t="s">
        <v>15</v>
      </c>
      <c r="D30" s="15" t="s">
        <v>16</v>
      </c>
      <c r="E30" s="15" t="s">
        <v>17</v>
      </c>
      <c r="F30" s="15" t="s">
        <v>18</v>
      </c>
      <c r="G30" s="15" t="s">
        <v>15</v>
      </c>
      <c r="H30" s="15" t="s">
        <v>16</v>
      </c>
      <c r="I30" s="15" t="s">
        <v>17</v>
      </c>
      <c r="K30" s="25"/>
      <c r="M30" s="7" t="s">
        <v>200</v>
      </c>
      <c r="N30" s="7" t="s">
        <v>223</v>
      </c>
      <c r="O30" s="7"/>
      <c r="P30" s="7"/>
      <c r="Q30" s="7">
        <v>5000</v>
      </c>
      <c r="R30" s="7">
        <f>'JULY 21'!U30:U56</f>
        <v>0</v>
      </c>
      <c r="S30" s="7">
        <f t="shared" si="3"/>
        <v>5000</v>
      </c>
      <c r="T30" s="7">
        <f>5000</f>
        <v>5000</v>
      </c>
      <c r="U30" s="7">
        <f t="shared" si="4"/>
        <v>0</v>
      </c>
      <c r="V30" s="7"/>
      <c r="W30" s="7"/>
    </row>
    <row r="31" spans="1:23" x14ac:dyDescent="0.25">
      <c r="B31" s="9" t="s">
        <v>143</v>
      </c>
      <c r="C31" s="16">
        <f>E27</f>
        <v>146000</v>
      </c>
      <c r="D31" s="17">
        <v>0.1</v>
      </c>
      <c r="E31" s="16"/>
      <c r="F31" s="9" t="s">
        <v>143</v>
      </c>
      <c r="G31" s="16">
        <f>H27</f>
        <v>136500</v>
      </c>
      <c r="H31" s="17">
        <v>0.1</v>
      </c>
      <c r="I31" s="9"/>
      <c r="M31" s="7" t="s">
        <v>201</v>
      </c>
      <c r="N31" s="7" t="s">
        <v>224</v>
      </c>
      <c r="O31" s="7"/>
      <c r="P31" s="7"/>
      <c r="Q31" s="7">
        <v>7500</v>
      </c>
      <c r="R31" s="7">
        <f>'JULY 21'!U31:U57</f>
        <v>55100</v>
      </c>
      <c r="S31" s="7">
        <f t="shared" si="3"/>
        <v>62600</v>
      </c>
      <c r="T31" s="7">
        <f>7500</f>
        <v>7500</v>
      </c>
      <c r="U31" s="7">
        <f t="shared" si="4"/>
        <v>55100</v>
      </c>
      <c r="V31" s="7"/>
      <c r="W31" s="7"/>
    </row>
    <row r="32" spans="1:23" x14ac:dyDescent="0.25">
      <c r="B32" s="9" t="s">
        <v>20</v>
      </c>
      <c r="C32" s="16">
        <f>'JULY 21'!E45</f>
        <v>-72000</v>
      </c>
      <c r="D32" s="9"/>
      <c r="E32" s="9"/>
      <c r="F32" s="9" t="s">
        <v>20</v>
      </c>
      <c r="G32" s="16">
        <f>'JULY 21'!I45</f>
        <v>-87100</v>
      </c>
      <c r="H32" s="9"/>
      <c r="I32" s="9"/>
      <c r="K32" s="26"/>
      <c r="M32" s="6"/>
      <c r="N32" s="10" t="s">
        <v>12</v>
      </c>
      <c r="O32" s="10">
        <f>SUM(O4:O5)</f>
        <v>0</v>
      </c>
      <c r="P32" s="10">
        <f t="shared" ref="P32:W32" si="6">SUM(P5:P31)</f>
        <v>0</v>
      </c>
      <c r="Q32" s="6">
        <f>SUM(Q5:Q31)</f>
        <v>146500</v>
      </c>
      <c r="R32" s="7">
        <f>SUM(R5:R31)</f>
        <v>214250</v>
      </c>
      <c r="S32" s="7">
        <f t="shared" si="6"/>
        <v>364750</v>
      </c>
      <c r="T32" s="6">
        <f t="shared" si="6"/>
        <v>144000</v>
      </c>
      <c r="U32" s="6">
        <f t="shared" si="6"/>
        <v>220750</v>
      </c>
      <c r="V32" s="6">
        <f t="shared" si="6"/>
        <v>0</v>
      </c>
      <c r="W32" s="6">
        <f t="shared" si="6"/>
        <v>0</v>
      </c>
    </row>
    <row r="33" spans="2:24" x14ac:dyDescent="0.25">
      <c r="B33" s="9" t="s">
        <v>163</v>
      </c>
      <c r="C33" s="16"/>
      <c r="D33" s="9"/>
      <c r="E33" s="9"/>
      <c r="F33" s="9"/>
      <c r="G33" s="16"/>
      <c r="H33" s="16"/>
      <c r="I33" s="9"/>
      <c r="K33" s="26"/>
      <c r="M33" s="11"/>
      <c r="R33" s="7">
        <f>'JANUARY 21'!U33:U59</f>
        <v>0</v>
      </c>
      <c r="U33" s="8"/>
    </row>
    <row r="34" spans="2:24" ht="18.75" x14ac:dyDescent="0.3">
      <c r="B34" s="9" t="s">
        <v>21</v>
      </c>
      <c r="C34" s="16">
        <f>J27</f>
        <v>0</v>
      </c>
      <c r="D34" s="9"/>
      <c r="E34" s="9"/>
      <c r="F34" s="9"/>
      <c r="G34" s="16"/>
      <c r="H34" s="16"/>
      <c r="I34" s="9"/>
      <c r="K34" s="26"/>
      <c r="N34" s="12" t="s">
        <v>13</v>
      </c>
      <c r="O34" s="44" t="s">
        <v>227</v>
      </c>
      <c r="P34" s="13"/>
      <c r="Q34" s="13"/>
      <c r="R34" s="44" t="s">
        <v>228</v>
      </c>
      <c r="S34" s="13"/>
      <c r="T34" s="14"/>
      <c r="U34" s="14"/>
    </row>
    <row r="35" spans="2:24" ht="15.75" x14ac:dyDescent="0.25">
      <c r="B35" s="9" t="s">
        <v>102</v>
      </c>
      <c r="C35" s="16">
        <f>K27</f>
        <v>0</v>
      </c>
      <c r="D35" s="9"/>
      <c r="E35" s="9"/>
      <c r="F35" s="9" t="s">
        <v>102</v>
      </c>
      <c r="G35" s="16">
        <f>K27</f>
        <v>0</v>
      </c>
      <c r="H35" s="9"/>
      <c r="I35" s="9"/>
      <c r="K35" s="26"/>
      <c r="N35" s="15" t="s">
        <v>14</v>
      </c>
      <c r="O35" s="15" t="s">
        <v>226</v>
      </c>
      <c r="P35" s="15" t="s">
        <v>16</v>
      </c>
      <c r="Q35" s="15" t="s">
        <v>17</v>
      </c>
      <c r="R35" s="15" t="s">
        <v>18</v>
      </c>
      <c r="S35" s="15" t="s">
        <v>15</v>
      </c>
      <c r="T35" s="15" t="s">
        <v>16</v>
      </c>
      <c r="U35" s="15" t="s">
        <v>17</v>
      </c>
      <c r="W35" s="25"/>
    </row>
    <row r="36" spans="2:24" x14ac:dyDescent="0.25">
      <c r="B36" s="9" t="s">
        <v>97</v>
      </c>
      <c r="C36" s="16">
        <v>0.3</v>
      </c>
      <c r="D36" s="9"/>
      <c r="E36" s="9"/>
      <c r="F36" s="9" t="s">
        <v>97</v>
      </c>
      <c r="G36" s="16">
        <v>0.3</v>
      </c>
      <c r="H36" s="9">
        <f>D36</f>
        <v>0</v>
      </c>
      <c r="I36" s="9"/>
      <c r="N36" s="9" t="s">
        <v>143</v>
      </c>
      <c r="O36" s="16">
        <f>Q32</f>
        <v>146500</v>
      </c>
      <c r="P36" s="17">
        <v>0.1</v>
      </c>
      <c r="Q36" s="16"/>
      <c r="R36" s="9" t="s">
        <v>143</v>
      </c>
      <c r="S36" s="16">
        <f>T32</f>
        <v>144000</v>
      </c>
      <c r="T36" s="17">
        <v>0.1</v>
      </c>
      <c r="U36" s="9"/>
    </row>
    <row r="37" spans="2:24" x14ac:dyDescent="0.25">
      <c r="B37" s="9" t="s">
        <v>22</v>
      </c>
      <c r="C37" s="18"/>
      <c r="D37" s="9">
        <f>C31*D31</f>
        <v>14600</v>
      </c>
      <c r="E37" s="9"/>
      <c r="F37" s="9" t="s">
        <v>22</v>
      </c>
      <c r="G37" s="18"/>
      <c r="H37" s="9">
        <f>D37</f>
        <v>14600</v>
      </c>
      <c r="I37" s="9"/>
      <c r="K37" s="26"/>
      <c r="N37" s="9" t="s">
        <v>20</v>
      </c>
      <c r="O37" s="16">
        <f>'JULY 21'!Q50</f>
        <v>-71960</v>
      </c>
      <c r="P37" s="9"/>
      <c r="Q37" s="9"/>
      <c r="R37" s="7" t="s">
        <v>6</v>
      </c>
      <c r="S37" s="16">
        <f>'JULY 21'!U50</f>
        <v>-96810</v>
      </c>
      <c r="T37" s="9"/>
      <c r="U37" s="9"/>
      <c r="W37" s="26"/>
    </row>
    <row r="38" spans="2:24" x14ac:dyDescent="0.25">
      <c r="B38" s="19" t="s">
        <v>23</v>
      </c>
      <c r="C38" s="9"/>
      <c r="D38" s="9"/>
      <c r="E38" s="9"/>
      <c r="F38" s="19" t="s">
        <v>23</v>
      </c>
      <c r="G38" s="9"/>
      <c r="H38" s="9"/>
      <c r="I38" s="9"/>
      <c r="N38" s="9" t="s">
        <v>163</v>
      </c>
      <c r="O38" s="16">
        <f>P32</f>
        <v>0</v>
      </c>
      <c r="P38" s="9"/>
      <c r="Q38" s="9"/>
      <c r="R38" s="9"/>
      <c r="S38" s="16"/>
      <c r="T38" s="16"/>
      <c r="U38" s="9"/>
      <c r="W38" s="26"/>
    </row>
    <row r="39" spans="2:24" x14ac:dyDescent="0.25">
      <c r="B39" s="20" t="s">
        <v>275</v>
      </c>
      <c r="C39" s="9"/>
      <c r="D39" s="9">
        <v>59400</v>
      </c>
      <c r="E39" s="9"/>
      <c r="F39" s="20" t="s">
        <v>275</v>
      </c>
      <c r="G39" s="9"/>
      <c r="H39" s="9">
        <v>59400</v>
      </c>
      <c r="I39" s="9"/>
      <c r="J39" s="26"/>
      <c r="N39" s="9" t="s">
        <v>21</v>
      </c>
      <c r="O39" s="16">
        <f>V32</f>
        <v>0</v>
      </c>
      <c r="P39" s="9"/>
      <c r="Q39" s="9"/>
      <c r="R39" s="9"/>
      <c r="S39" s="16"/>
      <c r="T39" s="16"/>
      <c r="U39" s="9"/>
      <c r="W39" s="26"/>
    </row>
    <row r="40" spans="2:24" x14ac:dyDescent="0.25">
      <c r="B40" s="7"/>
      <c r="C40" s="9"/>
      <c r="D40" s="7"/>
      <c r="E40" s="7"/>
      <c r="F40" s="7"/>
      <c r="G40" s="9"/>
      <c r="H40" s="7"/>
      <c r="I40" s="9"/>
      <c r="K40" s="26"/>
      <c r="N40" s="9" t="s">
        <v>102</v>
      </c>
      <c r="O40" s="16">
        <f>W32</f>
        <v>0</v>
      </c>
      <c r="P40" s="9"/>
      <c r="Q40" s="9"/>
      <c r="R40" s="9" t="s">
        <v>102</v>
      </c>
      <c r="S40" s="16">
        <f>O40</f>
        <v>0</v>
      </c>
      <c r="T40" s="9"/>
      <c r="U40" s="9"/>
      <c r="W40" s="26"/>
    </row>
    <row r="41" spans="2:24" x14ac:dyDescent="0.25">
      <c r="B41" s="20"/>
      <c r="C41" s="9"/>
      <c r="D41" s="9"/>
      <c r="E41" s="9"/>
      <c r="F41" s="20"/>
      <c r="G41" s="9"/>
      <c r="H41" s="9"/>
      <c r="I41" s="9"/>
      <c r="K41" s="26"/>
      <c r="N41" s="9" t="s">
        <v>22</v>
      </c>
      <c r="O41" s="18"/>
      <c r="P41" s="9">
        <f>P36*O36</f>
        <v>14650</v>
      </c>
      <c r="Q41" s="9"/>
      <c r="R41" s="9" t="s">
        <v>22</v>
      </c>
      <c r="S41" s="18"/>
      <c r="T41" s="9">
        <f>T36*O36</f>
        <v>14650</v>
      </c>
      <c r="U41" s="9"/>
    </row>
    <row r="42" spans="2:24" x14ac:dyDescent="0.25">
      <c r="B42" s="20"/>
      <c r="C42" s="9"/>
      <c r="D42" s="9"/>
      <c r="E42" s="9"/>
      <c r="F42" s="20"/>
      <c r="G42" s="9"/>
      <c r="H42" s="9"/>
      <c r="I42" s="9"/>
      <c r="K42" s="26"/>
      <c r="N42" s="9"/>
      <c r="O42" s="18"/>
      <c r="P42" s="9"/>
      <c r="Q42" s="9"/>
      <c r="R42" s="9"/>
      <c r="S42" s="18"/>
      <c r="T42" s="9"/>
      <c r="U42" s="9"/>
    </row>
    <row r="43" spans="2:24" x14ac:dyDescent="0.25">
      <c r="B43" s="20"/>
      <c r="C43" s="9"/>
      <c r="D43" s="9"/>
      <c r="E43" s="9"/>
      <c r="F43" s="20"/>
      <c r="G43" s="9"/>
      <c r="H43" s="9"/>
      <c r="I43" s="9"/>
      <c r="K43" s="26"/>
      <c r="N43" s="19" t="s">
        <v>23</v>
      </c>
      <c r="O43" s="9"/>
      <c r="P43" s="9"/>
      <c r="Q43" s="9"/>
      <c r="R43" s="19" t="s">
        <v>23</v>
      </c>
      <c r="S43" s="9"/>
      <c r="T43" s="9"/>
      <c r="U43" s="9"/>
    </row>
    <row r="44" spans="2:24" x14ac:dyDescent="0.25">
      <c r="B44" s="20"/>
      <c r="C44" s="16"/>
      <c r="D44" s="16"/>
      <c r="E44" s="16"/>
      <c r="F44" s="20"/>
      <c r="G44" s="9"/>
      <c r="H44" s="16"/>
      <c r="I44" s="9"/>
      <c r="N44" s="20" t="s">
        <v>275</v>
      </c>
      <c r="O44" s="9"/>
      <c r="P44" s="9">
        <v>27600</v>
      </c>
      <c r="Q44" s="9"/>
      <c r="R44" s="20" t="s">
        <v>275</v>
      </c>
      <c r="S44" s="9"/>
      <c r="T44" s="9">
        <v>27600</v>
      </c>
      <c r="U44" s="9"/>
      <c r="V44" s="26"/>
      <c r="W44" s="26"/>
      <c r="X44" s="26"/>
    </row>
    <row r="45" spans="2:24" x14ac:dyDescent="0.25">
      <c r="B45" s="22" t="s">
        <v>12</v>
      </c>
      <c r="C45" s="23">
        <f>C31+C32+C33+C34+C35-D37-D36</f>
        <v>59400</v>
      </c>
      <c r="D45" s="22">
        <f>SUM(D39:D44)</f>
        <v>59400</v>
      </c>
      <c r="E45" s="23">
        <f>C45-D45</f>
        <v>0</v>
      </c>
      <c r="F45" s="24"/>
      <c r="G45" s="23">
        <f>G31+G32+G35-H36-H37</f>
        <v>34800</v>
      </c>
      <c r="H45" s="23">
        <f>SUM(H39:H44)</f>
        <v>59400</v>
      </c>
      <c r="I45" s="23">
        <f>G45-H45</f>
        <v>-24600</v>
      </c>
      <c r="N45" s="7"/>
      <c r="O45" s="21"/>
      <c r="P45" s="7"/>
      <c r="Q45" s="7"/>
      <c r="R45" s="7"/>
      <c r="S45" s="21"/>
      <c r="T45" s="7"/>
      <c r="U45" s="9"/>
      <c r="W45" s="26"/>
    </row>
    <row r="46" spans="2:24" x14ac:dyDescent="0.25">
      <c r="E46" s="26">
        <f>E45-C32</f>
        <v>72000</v>
      </c>
      <c r="I46" s="26"/>
      <c r="K46" s="26"/>
      <c r="N46" s="20"/>
      <c r="O46" s="9"/>
      <c r="P46" s="9"/>
      <c r="Q46" s="9"/>
      <c r="R46" s="20"/>
      <c r="S46" s="9"/>
      <c r="T46" s="9"/>
      <c r="U46" s="9"/>
      <c r="W46" s="26"/>
    </row>
    <row r="47" spans="2:24" x14ac:dyDescent="0.25">
      <c r="B47" s="11" t="s">
        <v>24</v>
      </c>
      <c r="D47" s="11" t="s">
        <v>25</v>
      </c>
      <c r="F47" s="11"/>
      <c r="G47" s="11" t="s">
        <v>26</v>
      </c>
      <c r="I47" s="26"/>
      <c r="K47" s="26"/>
      <c r="L47" s="26"/>
      <c r="N47" s="20"/>
      <c r="O47" s="9"/>
      <c r="P47" s="9"/>
      <c r="Q47" s="9"/>
      <c r="R47" s="20"/>
      <c r="S47" s="9"/>
      <c r="T47" s="9"/>
      <c r="U47" s="9"/>
      <c r="W47" s="26"/>
    </row>
    <row r="48" spans="2:24" x14ac:dyDescent="0.25">
      <c r="B48" t="s">
        <v>27</v>
      </c>
      <c r="D48" s="11" t="s">
        <v>28</v>
      </c>
      <c r="F48" s="11"/>
      <c r="G48" s="11" t="s">
        <v>147</v>
      </c>
      <c r="I48" s="26"/>
      <c r="N48" s="20"/>
      <c r="O48" s="9"/>
      <c r="P48" s="9"/>
      <c r="Q48" s="9"/>
      <c r="R48" s="20"/>
      <c r="S48" s="9"/>
      <c r="T48" s="9"/>
      <c r="U48" s="9"/>
      <c r="W48" s="26"/>
    </row>
    <row r="49" spans="6:24" x14ac:dyDescent="0.25">
      <c r="N49" s="20"/>
      <c r="O49" s="16"/>
      <c r="P49" s="16"/>
      <c r="Q49" s="16"/>
      <c r="R49" s="20"/>
      <c r="S49" s="16"/>
      <c r="T49" s="16"/>
      <c r="U49" s="9"/>
      <c r="V49" s="26"/>
      <c r="W49" s="26"/>
    </row>
    <row r="50" spans="6:24" x14ac:dyDescent="0.25">
      <c r="F50" s="26"/>
      <c r="I50" s="26"/>
      <c r="J50" s="26"/>
      <c r="N50" s="22" t="s">
        <v>12</v>
      </c>
      <c r="O50" s="23">
        <f>O36+O37+O38+O39+O40-P42-P41</f>
        <v>59890</v>
      </c>
      <c r="P50" s="22">
        <f>SUM(P44:P49)</f>
        <v>27600</v>
      </c>
      <c r="Q50" s="23">
        <f>O50-P50</f>
        <v>32290</v>
      </c>
      <c r="R50" s="24"/>
      <c r="S50" s="23">
        <f>S36+S37+S40-T41</f>
        <v>32540</v>
      </c>
      <c r="T50" s="23">
        <f>SUM(T44:T49)</f>
        <v>27600</v>
      </c>
      <c r="U50" s="23">
        <f>S50-T50</f>
        <v>4940</v>
      </c>
      <c r="W50" s="26"/>
    </row>
    <row r="51" spans="6:24" x14ac:dyDescent="0.25">
      <c r="W51" s="26"/>
    </row>
    <row r="52" spans="6:24" x14ac:dyDescent="0.25">
      <c r="N52" s="11" t="s">
        <v>24</v>
      </c>
      <c r="P52" s="11" t="s">
        <v>25</v>
      </c>
      <c r="R52" s="11"/>
      <c r="S52" s="11" t="s">
        <v>26</v>
      </c>
      <c r="W52" s="26"/>
    </row>
    <row r="53" spans="6:24" x14ac:dyDescent="0.25">
      <c r="N53" t="s">
        <v>27</v>
      </c>
      <c r="P53" s="11" t="s">
        <v>28</v>
      </c>
      <c r="R53" s="11"/>
      <c r="S53" s="11" t="s">
        <v>147</v>
      </c>
      <c r="U53" s="26"/>
    </row>
    <row r="54" spans="6:24" x14ac:dyDescent="0.25">
      <c r="G54" s="26"/>
      <c r="L54" s="26"/>
      <c r="M54" s="26"/>
      <c r="V54" s="26"/>
    </row>
    <row r="55" spans="6:24" x14ac:dyDescent="0.25">
      <c r="I55" s="26"/>
      <c r="J55" s="26"/>
      <c r="K55" s="26"/>
      <c r="L55" s="26"/>
      <c r="M55" s="26"/>
      <c r="Q55" s="26"/>
      <c r="T55" s="26"/>
      <c r="V55" s="26"/>
    </row>
    <row r="56" spans="6:24" x14ac:dyDescent="0.25">
      <c r="I56" s="26"/>
      <c r="K56" s="26"/>
      <c r="L56" s="26"/>
      <c r="Q56" s="26"/>
      <c r="T56" s="26"/>
    </row>
    <row r="57" spans="6:24" x14ac:dyDescent="0.25">
      <c r="M57" s="26"/>
    </row>
    <row r="59" spans="6:24" x14ac:dyDescent="0.25">
      <c r="K59" s="26"/>
      <c r="M59" s="26">
        <f>Q32+E27</f>
        <v>292500</v>
      </c>
    </row>
    <row r="60" spans="6:24" x14ac:dyDescent="0.25">
      <c r="L60" t="s">
        <v>248</v>
      </c>
      <c r="M60">
        <f>H37+P41</f>
        <v>29250</v>
      </c>
      <c r="P60" s="26"/>
      <c r="Q60">
        <f>H39-M68</f>
        <v>-27600</v>
      </c>
    </row>
    <row r="61" spans="6:24" x14ac:dyDescent="0.25">
      <c r="M61" s="26">
        <f>M59-M60</f>
        <v>263250</v>
      </c>
    </row>
    <row r="62" spans="6:24" x14ac:dyDescent="0.25">
      <c r="M62">
        <v>200000</v>
      </c>
    </row>
    <row r="63" spans="6:24" x14ac:dyDescent="0.25">
      <c r="I63" s="26">
        <f>E45+Q50</f>
        <v>32290</v>
      </c>
      <c r="M63" s="26">
        <f>M61-M62</f>
        <v>63250</v>
      </c>
      <c r="V63">
        <f>4000/30</f>
        <v>133.33333333333334</v>
      </c>
    </row>
    <row r="64" spans="6:24" x14ac:dyDescent="0.25">
      <c r="M64">
        <f>60600</f>
        <v>60600</v>
      </c>
      <c r="V64">
        <f>V63*19</f>
        <v>2533.3333333333335</v>
      </c>
      <c r="W64">
        <f>3*4000</f>
        <v>12000</v>
      </c>
      <c r="X64">
        <f>W64+W65</f>
        <v>14500</v>
      </c>
    </row>
    <row r="65" spans="12:23" x14ac:dyDescent="0.25">
      <c r="M65" s="26">
        <f>M63+M64</f>
        <v>123850</v>
      </c>
      <c r="W65">
        <v>2500</v>
      </c>
    </row>
    <row r="66" spans="12:23" x14ac:dyDescent="0.25">
      <c r="M66">
        <v>4560</v>
      </c>
      <c r="W66">
        <v>1500</v>
      </c>
    </row>
    <row r="67" spans="12:23" x14ac:dyDescent="0.25">
      <c r="L67" t="s">
        <v>274</v>
      </c>
      <c r="M67" s="26">
        <f>M65-M66</f>
        <v>119290</v>
      </c>
      <c r="W67">
        <v>1500</v>
      </c>
    </row>
    <row r="68" spans="12:23" x14ac:dyDescent="0.25">
      <c r="L68" t="s">
        <v>8</v>
      </c>
      <c r="M68">
        <v>87000</v>
      </c>
      <c r="W68">
        <f>SUM(W64:W67)</f>
        <v>17500</v>
      </c>
    </row>
    <row r="69" spans="12:23" x14ac:dyDescent="0.25">
      <c r="M69" s="26">
        <f>M67-M68</f>
        <v>32290</v>
      </c>
      <c r="W69">
        <v>1600</v>
      </c>
    </row>
    <row r="70" spans="12:23" x14ac:dyDescent="0.25">
      <c r="M70">
        <v>24000</v>
      </c>
      <c r="W70">
        <f>W68+W69</f>
        <v>19100</v>
      </c>
    </row>
    <row r="71" spans="12:23" x14ac:dyDescent="0.25">
      <c r="M71" s="26">
        <f>M69-M70</f>
        <v>8290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9"/>
  <sheetViews>
    <sheetView workbookViewId="0"/>
  </sheetViews>
  <sheetFormatPr defaultRowHeight="15" x14ac:dyDescent="0.25"/>
  <sheetData>
    <row r="1" spans="1:22" ht="18.75" x14ac:dyDescent="0.25">
      <c r="E1" s="1" t="s">
        <v>50</v>
      </c>
      <c r="F1" s="2"/>
      <c r="G1" s="3"/>
      <c r="H1" s="4"/>
      <c r="I1" s="46" t="s">
        <v>278</v>
      </c>
      <c r="J1" s="46"/>
      <c r="K1" s="46"/>
      <c r="Q1" s="1" t="s">
        <v>229</v>
      </c>
      <c r="R1" s="2"/>
      <c r="S1" s="3"/>
      <c r="T1" s="4"/>
    </row>
    <row r="2" spans="1:22" ht="18.75" x14ac:dyDescent="0.25">
      <c r="E2" s="1" t="s">
        <v>0</v>
      </c>
      <c r="F2" s="1"/>
      <c r="G2" s="5"/>
      <c r="H2" s="5"/>
      <c r="I2" s="46"/>
      <c r="J2" s="46"/>
      <c r="K2" s="46"/>
      <c r="Q2" s="1" t="s">
        <v>0</v>
      </c>
      <c r="R2" s="1"/>
      <c r="S2" s="5"/>
      <c r="T2" s="5"/>
    </row>
    <row r="3" spans="1:22" ht="18.75" x14ac:dyDescent="0.25">
      <c r="E3" s="1" t="s">
        <v>276</v>
      </c>
      <c r="F3" s="1"/>
      <c r="G3" s="5"/>
      <c r="H3" s="5"/>
      <c r="I3" t="s">
        <v>250</v>
      </c>
      <c r="Q3" s="1" t="s">
        <v>276</v>
      </c>
      <c r="R3" s="1"/>
      <c r="S3" s="5"/>
      <c r="T3" s="5"/>
    </row>
    <row r="4" spans="1:22" x14ac:dyDescent="0.25">
      <c r="A4" s="6" t="s">
        <v>2</v>
      </c>
      <c r="B4" s="6" t="s">
        <v>3</v>
      </c>
      <c r="C4" s="6"/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  <c r="K4" s="6" t="s">
        <v>101</v>
      </c>
      <c r="M4" s="6" t="s">
        <v>2</v>
      </c>
      <c r="N4" s="6" t="s">
        <v>3</v>
      </c>
      <c r="O4" s="6"/>
      <c r="P4" s="6" t="s">
        <v>4</v>
      </c>
      <c r="Q4" s="6" t="s">
        <v>5</v>
      </c>
      <c r="R4" s="6" t="s">
        <v>6</v>
      </c>
      <c r="S4" s="6" t="s">
        <v>7</v>
      </c>
      <c r="T4" s="6" t="s">
        <v>8</v>
      </c>
      <c r="U4" s="6" t="s">
        <v>9</v>
      </c>
      <c r="V4" s="6" t="s">
        <v>10</v>
      </c>
    </row>
    <row r="5" spans="1:22" x14ac:dyDescent="0.25">
      <c r="A5" s="7" t="s">
        <v>30</v>
      </c>
      <c r="B5" s="7" t="s">
        <v>232</v>
      </c>
      <c r="C5" s="7"/>
      <c r="D5" s="7"/>
      <c r="E5" s="7">
        <v>4500</v>
      </c>
      <c r="F5" s="7">
        <f>'AUGUST 21'!I5:I26</f>
        <v>0</v>
      </c>
      <c r="G5" s="7">
        <f>C5+D5+E5+F5</f>
        <v>4500</v>
      </c>
      <c r="H5" s="7">
        <f>1500+3000</f>
        <v>4500</v>
      </c>
      <c r="I5" s="7">
        <f t="shared" ref="I5:I21" si="0">G5-H5</f>
        <v>0</v>
      </c>
      <c r="J5" s="7"/>
      <c r="K5" s="7"/>
      <c r="M5" s="7" t="s">
        <v>177</v>
      </c>
      <c r="N5" s="9" t="s">
        <v>202</v>
      </c>
      <c r="O5" s="7"/>
      <c r="P5" s="7"/>
      <c r="Q5" s="7">
        <v>7000</v>
      </c>
      <c r="R5" s="7">
        <f>'AUGUST 21'!U5:U31</f>
        <v>0</v>
      </c>
      <c r="S5" s="7">
        <f>O5+P5+Q5+R5</f>
        <v>7000</v>
      </c>
      <c r="T5" s="7">
        <v>7000</v>
      </c>
      <c r="U5" s="7">
        <f t="shared" ref="U5:U21" si="1">S5-T5</f>
        <v>0</v>
      </c>
      <c r="V5" s="7"/>
    </row>
    <row r="6" spans="1:22" x14ac:dyDescent="0.25">
      <c r="A6" s="7" t="s">
        <v>31</v>
      </c>
      <c r="B6" s="7" t="s">
        <v>52</v>
      </c>
      <c r="C6" s="7"/>
      <c r="D6" s="7"/>
      <c r="E6" s="7">
        <v>3000</v>
      </c>
      <c r="F6" s="7">
        <f>'AUGUST 21'!I6:I27</f>
        <v>0</v>
      </c>
      <c r="G6" s="7">
        <f>C6+D6+E6+F6</f>
        <v>3000</v>
      </c>
      <c r="H6" s="7">
        <f>3000</f>
        <v>3000</v>
      </c>
      <c r="I6" s="7">
        <f t="shared" si="0"/>
        <v>0</v>
      </c>
      <c r="J6" s="7"/>
      <c r="K6" s="7"/>
      <c r="M6" s="7" t="s">
        <v>88</v>
      </c>
      <c r="N6" s="7"/>
      <c r="O6" s="7"/>
      <c r="P6" s="7"/>
      <c r="Q6" s="7"/>
      <c r="R6" s="7">
        <f>'AUGUST 21'!U6:U32</f>
        <v>0</v>
      </c>
      <c r="S6" s="7">
        <f>O6+P6+Q6+R6</f>
        <v>0</v>
      </c>
      <c r="T6" s="7"/>
      <c r="U6" s="7">
        <f t="shared" si="1"/>
        <v>0</v>
      </c>
      <c r="V6" s="7"/>
    </row>
    <row r="7" spans="1:22" x14ac:dyDescent="0.25">
      <c r="A7" s="7" t="s">
        <v>32</v>
      </c>
      <c r="B7" s="7" t="s">
        <v>115</v>
      </c>
      <c r="C7" s="7"/>
      <c r="D7" s="7">
        <v>2500</v>
      </c>
      <c r="E7" s="7">
        <v>7500</v>
      </c>
      <c r="F7" s="7"/>
      <c r="G7" s="7">
        <f>C7+D7+E7+F7</f>
        <v>10000</v>
      </c>
      <c r="H7" s="7">
        <f>7500</f>
        <v>7500</v>
      </c>
      <c r="I7" s="7">
        <f t="shared" si="0"/>
        <v>2500</v>
      </c>
      <c r="J7" s="7"/>
      <c r="K7" s="7"/>
      <c r="M7" s="7" t="s">
        <v>178</v>
      </c>
      <c r="N7" s="7" t="s">
        <v>203</v>
      </c>
      <c r="O7" s="7"/>
      <c r="P7" s="7"/>
      <c r="Q7" s="7">
        <v>8500</v>
      </c>
      <c r="R7" s="7">
        <f>'AUGUST 21'!U7:U33</f>
        <v>1000</v>
      </c>
      <c r="S7" s="7">
        <f>O7+P7+Q7+R7</f>
        <v>9500</v>
      </c>
      <c r="T7" s="7">
        <f>8500</f>
        <v>8500</v>
      </c>
      <c r="U7" s="7">
        <f t="shared" si="1"/>
        <v>1000</v>
      </c>
      <c r="V7" s="7"/>
    </row>
    <row r="8" spans="1:22" x14ac:dyDescent="0.25">
      <c r="A8" s="7" t="s">
        <v>33</v>
      </c>
      <c r="B8" s="7" t="s">
        <v>54</v>
      </c>
      <c r="C8" s="7"/>
      <c r="D8" s="7"/>
      <c r="E8" s="7">
        <v>6500</v>
      </c>
      <c r="F8" s="7">
        <f>'AUGUST 21'!I8:I29</f>
        <v>0</v>
      </c>
      <c r="G8" s="7">
        <f>C8+D8+E8+F8</f>
        <v>6500</v>
      </c>
      <c r="H8" s="7">
        <f>6500</f>
        <v>6500</v>
      </c>
      <c r="I8" s="7">
        <f t="shared" si="0"/>
        <v>0</v>
      </c>
      <c r="J8" s="7"/>
      <c r="K8" s="7"/>
      <c r="M8" s="7" t="s">
        <v>179</v>
      </c>
      <c r="N8" s="7" t="s">
        <v>204</v>
      </c>
      <c r="O8" s="7"/>
      <c r="P8" s="7"/>
      <c r="Q8" s="7">
        <v>9000</v>
      </c>
      <c r="R8" s="7">
        <f>'AUGUST 21'!U8:U34</f>
        <v>0</v>
      </c>
      <c r="S8" s="7">
        <f>O8+P8+Q8+R8</f>
        <v>9000</v>
      </c>
      <c r="T8" s="7">
        <v>9000</v>
      </c>
      <c r="U8" s="7">
        <f t="shared" si="1"/>
        <v>0</v>
      </c>
      <c r="V8" s="7"/>
    </row>
    <row r="9" spans="1:22" x14ac:dyDescent="0.25">
      <c r="A9" s="7" t="s">
        <v>34</v>
      </c>
      <c r="B9" s="9" t="s">
        <v>265</v>
      </c>
      <c r="C9" s="7"/>
      <c r="D9" s="7">
        <v>1000</v>
      </c>
      <c r="E9" s="7">
        <v>7000</v>
      </c>
      <c r="F9" s="7">
        <f>'AUGUST 21'!I9:I30</f>
        <v>3000</v>
      </c>
      <c r="G9" s="7">
        <f t="shared" ref="G9:G26" si="2">C9+D9+E9+F9</f>
        <v>11000</v>
      </c>
      <c r="H9" s="7">
        <f>4000</f>
        <v>4000</v>
      </c>
      <c r="I9" s="7">
        <f t="shared" si="0"/>
        <v>7000</v>
      </c>
      <c r="J9" s="7"/>
      <c r="K9" s="7"/>
      <c r="M9" s="7" t="s">
        <v>180</v>
      </c>
      <c r="N9" s="7" t="s">
        <v>205</v>
      </c>
      <c r="O9" s="7"/>
      <c r="P9" s="7"/>
      <c r="Q9" s="7">
        <v>8000</v>
      </c>
      <c r="R9" s="7">
        <f>'AUGUST 21'!U9:U35</f>
        <v>36300</v>
      </c>
      <c r="S9" s="7">
        <f t="shared" ref="S9:S31" si="3">O9+P9+Q9+R9</f>
        <v>44300</v>
      </c>
      <c r="T9" s="7">
        <f>8000</f>
        <v>8000</v>
      </c>
      <c r="U9" s="7">
        <f t="shared" si="1"/>
        <v>36300</v>
      </c>
      <c r="V9" s="7"/>
    </row>
    <row r="10" spans="1:22" x14ac:dyDescent="0.25">
      <c r="A10" s="7" t="s">
        <v>35</v>
      </c>
      <c r="B10" s="7" t="s">
        <v>55</v>
      </c>
      <c r="C10" s="7"/>
      <c r="D10" s="7"/>
      <c r="E10" s="7">
        <v>7000</v>
      </c>
      <c r="F10" s="7">
        <f>'AUGUST 21'!I10:I31</f>
        <v>1000</v>
      </c>
      <c r="G10" s="7">
        <f t="shared" si="2"/>
        <v>8000</v>
      </c>
      <c r="H10" s="7">
        <f>7000</f>
        <v>7000</v>
      </c>
      <c r="I10" s="7">
        <f t="shared" si="0"/>
        <v>1000</v>
      </c>
      <c r="J10" s="7"/>
      <c r="K10" s="7"/>
      <c r="M10" s="7" t="s">
        <v>181</v>
      </c>
      <c r="N10" s="7" t="s">
        <v>206</v>
      </c>
      <c r="O10" s="7"/>
      <c r="P10" s="7"/>
      <c r="Q10" s="7">
        <v>8500</v>
      </c>
      <c r="R10" s="7">
        <f>'AUGUST 21'!U10:U36</f>
        <v>11100</v>
      </c>
      <c r="S10" s="7">
        <f t="shared" si="3"/>
        <v>19600</v>
      </c>
      <c r="T10" s="7">
        <f>8500</f>
        <v>8500</v>
      </c>
      <c r="U10" s="7">
        <f t="shared" si="1"/>
        <v>11100</v>
      </c>
      <c r="V10" s="7"/>
    </row>
    <row r="11" spans="1:22" x14ac:dyDescent="0.25">
      <c r="A11" s="7" t="s">
        <v>36</v>
      </c>
      <c r="B11" s="7" t="s">
        <v>56</v>
      </c>
      <c r="C11" s="7"/>
      <c r="D11" s="7"/>
      <c r="E11" s="7"/>
      <c r="F11" s="7">
        <f>'AUGUST 21'!I11:I32</f>
        <v>14000</v>
      </c>
      <c r="G11" s="7">
        <f t="shared" si="2"/>
        <v>14000</v>
      </c>
      <c r="H11" s="7"/>
      <c r="I11" s="7">
        <f t="shared" si="0"/>
        <v>14000</v>
      </c>
      <c r="J11" s="7"/>
      <c r="K11" s="7"/>
      <c r="M11" s="7" t="s">
        <v>182</v>
      </c>
      <c r="N11" s="7" t="s">
        <v>207</v>
      </c>
      <c r="O11" s="7"/>
      <c r="P11" s="7"/>
      <c r="Q11" s="7">
        <v>8000</v>
      </c>
      <c r="R11" s="7">
        <f>'AUGUST 21'!U11:U37</f>
        <v>5500</v>
      </c>
      <c r="S11" s="7">
        <f t="shared" si="3"/>
        <v>13500</v>
      </c>
      <c r="T11" s="7">
        <f>9000</f>
        <v>9000</v>
      </c>
      <c r="U11" s="7">
        <f t="shared" si="1"/>
        <v>4500</v>
      </c>
      <c r="V11" s="7"/>
    </row>
    <row r="12" spans="1:22" x14ac:dyDescent="0.25">
      <c r="A12" s="7" t="s">
        <v>37</v>
      </c>
      <c r="B12" s="8" t="s">
        <v>65</v>
      </c>
      <c r="C12" s="7"/>
      <c r="D12" s="7"/>
      <c r="E12" s="7">
        <v>4500</v>
      </c>
      <c r="F12" s="7">
        <f>'AUGUST 21'!I12:I33</f>
        <v>100</v>
      </c>
      <c r="G12" s="7">
        <f t="shared" si="2"/>
        <v>4600</v>
      </c>
      <c r="H12" s="7">
        <f>4500</f>
        <v>4500</v>
      </c>
      <c r="I12" s="7">
        <f t="shared" si="0"/>
        <v>100</v>
      </c>
      <c r="J12" s="7"/>
      <c r="K12" s="7"/>
      <c r="M12" s="7" t="s">
        <v>183</v>
      </c>
      <c r="N12" s="8" t="s">
        <v>208</v>
      </c>
      <c r="O12" s="7"/>
      <c r="P12" s="7"/>
      <c r="Q12" s="7">
        <v>8500</v>
      </c>
      <c r="R12" s="7">
        <f>'AUGUST 21'!U12:U38</f>
        <v>0</v>
      </c>
      <c r="S12" s="7">
        <f t="shared" si="3"/>
        <v>8500</v>
      </c>
      <c r="T12" s="7">
        <v>8500</v>
      </c>
      <c r="U12" s="7">
        <f t="shared" si="1"/>
        <v>0</v>
      </c>
      <c r="V12" s="7"/>
    </row>
    <row r="13" spans="1:22" x14ac:dyDescent="0.25">
      <c r="A13" s="7" t="s">
        <v>38</v>
      </c>
      <c r="B13" s="7" t="s">
        <v>92</v>
      </c>
      <c r="C13" s="7"/>
      <c r="D13" s="7">
        <v>5000</v>
      </c>
      <c r="E13" s="7">
        <v>8000</v>
      </c>
      <c r="F13" s="7"/>
      <c r="G13" s="7">
        <f t="shared" si="2"/>
        <v>13000</v>
      </c>
      <c r="H13" s="7">
        <v>8000</v>
      </c>
      <c r="I13" s="7">
        <f t="shared" si="0"/>
        <v>5000</v>
      </c>
      <c r="J13" s="7"/>
      <c r="K13" s="7"/>
      <c r="M13" s="7" t="s">
        <v>184</v>
      </c>
      <c r="N13" s="7" t="s">
        <v>279</v>
      </c>
      <c r="O13" s="7"/>
      <c r="P13" s="7"/>
      <c r="Q13" s="7">
        <v>3500</v>
      </c>
      <c r="R13" s="7">
        <f>'AUGUST 21'!U13:U39</f>
        <v>3500</v>
      </c>
      <c r="S13" s="7">
        <f t="shared" si="3"/>
        <v>7000</v>
      </c>
      <c r="T13" s="7">
        <f>3500+3500</f>
        <v>7000</v>
      </c>
      <c r="U13" s="7">
        <f t="shared" si="1"/>
        <v>0</v>
      </c>
      <c r="V13" s="7"/>
    </row>
    <row r="14" spans="1:22" x14ac:dyDescent="0.25">
      <c r="A14" s="7" t="s">
        <v>39</v>
      </c>
      <c r="B14" s="7" t="s">
        <v>70</v>
      </c>
      <c r="C14" s="7"/>
      <c r="D14" s="7"/>
      <c r="E14" s="7">
        <v>6500</v>
      </c>
      <c r="F14" s="7">
        <f>'AUGUST 21'!I14:I35</f>
        <v>1500</v>
      </c>
      <c r="G14" s="7">
        <f t="shared" si="2"/>
        <v>8000</v>
      </c>
      <c r="H14" s="7">
        <v>6500</v>
      </c>
      <c r="I14" s="7">
        <f t="shared" si="0"/>
        <v>1500</v>
      </c>
      <c r="J14" s="7"/>
      <c r="K14" s="7"/>
      <c r="M14" s="7" t="s">
        <v>185</v>
      </c>
      <c r="N14" s="7" t="s">
        <v>210</v>
      </c>
      <c r="O14" s="7"/>
      <c r="P14" s="7"/>
      <c r="Q14" s="7">
        <v>5000</v>
      </c>
      <c r="R14" s="7">
        <f>'AUGUST 21'!U14:U40</f>
        <v>250</v>
      </c>
      <c r="S14" s="7">
        <f t="shared" si="3"/>
        <v>5250</v>
      </c>
      <c r="T14" s="7">
        <v>5000</v>
      </c>
      <c r="U14" s="7">
        <f t="shared" si="1"/>
        <v>250</v>
      </c>
      <c r="V14" s="7"/>
    </row>
    <row r="15" spans="1:22" x14ac:dyDescent="0.25">
      <c r="A15" s="7" t="s">
        <v>40</v>
      </c>
      <c r="B15" s="7" t="s">
        <v>174</v>
      </c>
      <c r="C15" s="7"/>
      <c r="D15" s="7"/>
      <c r="E15" s="7">
        <v>7500</v>
      </c>
      <c r="F15" s="7">
        <f>'AUGUST 21'!I15:I36</f>
        <v>0</v>
      </c>
      <c r="G15" s="7">
        <f t="shared" si="2"/>
        <v>7500</v>
      </c>
      <c r="H15" s="7">
        <v>7500</v>
      </c>
      <c r="I15" s="7">
        <f t="shared" si="0"/>
        <v>0</v>
      </c>
      <c r="J15" s="7"/>
      <c r="K15" s="7"/>
      <c r="M15" s="7" t="s">
        <v>186</v>
      </c>
      <c r="N15" s="9" t="s">
        <v>267</v>
      </c>
      <c r="O15" s="7"/>
      <c r="P15" s="7"/>
      <c r="Q15" s="7">
        <v>4000</v>
      </c>
      <c r="R15" s="7">
        <f>'AUGUST 21'!U15:U41</f>
        <v>0</v>
      </c>
      <c r="S15" s="7">
        <f t="shared" si="3"/>
        <v>4000</v>
      </c>
      <c r="T15" s="7">
        <f>4000</f>
        <v>4000</v>
      </c>
      <c r="U15" s="7">
        <f t="shared" si="1"/>
        <v>0</v>
      </c>
      <c r="V15" s="7"/>
    </row>
    <row r="16" spans="1:22" x14ac:dyDescent="0.25">
      <c r="A16" s="7" t="s">
        <v>41</v>
      </c>
      <c r="B16" s="7" t="s">
        <v>58</v>
      </c>
      <c r="C16" s="7"/>
      <c r="D16" s="7"/>
      <c r="E16" s="7">
        <v>7000</v>
      </c>
      <c r="F16" s="7">
        <f>'AUGUST 21'!I16:I37</f>
        <v>1500</v>
      </c>
      <c r="G16" s="7">
        <f t="shared" si="2"/>
        <v>8500</v>
      </c>
      <c r="H16" s="7">
        <f>7000</f>
        <v>7000</v>
      </c>
      <c r="I16" s="7">
        <f t="shared" si="0"/>
        <v>1500</v>
      </c>
      <c r="J16" s="7"/>
      <c r="K16" s="7"/>
      <c r="M16" s="7" t="s">
        <v>187</v>
      </c>
      <c r="N16" s="7" t="s">
        <v>212</v>
      </c>
      <c r="O16" s="7"/>
      <c r="P16" s="7"/>
      <c r="Q16" s="7">
        <v>4500</v>
      </c>
      <c r="R16" s="7">
        <f>'AUGUST 21'!U16:U42</f>
        <v>0</v>
      </c>
      <c r="S16" s="7">
        <f t="shared" si="3"/>
        <v>4500</v>
      </c>
      <c r="T16" s="7">
        <f>4500</f>
        <v>4500</v>
      </c>
      <c r="U16" s="7">
        <f t="shared" si="1"/>
        <v>0</v>
      </c>
      <c r="V16" s="7"/>
    </row>
    <row r="17" spans="1:22" x14ac:dyDescent="0.25">
      <c r="A17" s="7" t="s">
        <v>42</v>
      </c>
      <c r="B17" s="7" t="s">
        <v>59</v>
      </c>
      <c r="C17" s="7"/>
      <c r="D17" s="7"/>
      <c r="E17" s="7">
        <v>7000</v>
      </c>
      <c r="F17" s="7">
        <f>'AUGUST 21'!I17:I38</f>
        <v>2000</v>
      </c>
      <c r="G17" s="7">
        <f t="shared" si="2"/>
        <v>9000</v>
      </c>
      <c r="H17" s="7">
        <f>8000</f>
        <v>8000</v>
      </c>
      <c r="I17" s="7">
        <f>G17-H17</f>
        <v>1000</v>
      </c>
      <c r="J17" s="7"/>
      <c r="K17" s="7"/>
      <c r="M17" s="7" t="s">
        <v>188</v>
      </c>
      <c r="N17" s="45" t="s">
        <v>213</v>
      </c>
      <c r="O17" s="45"/>
      <c r="P17" s="45"/>
      <c r="Q17" s="45"/>
      <c r="R17" s="7">
        <f>'AUGUST 21'!U17:U43</f>
        <v>44000</v>
      </c>
      <c r="S17" s="45">
        <f>O17+P17+Q17+R17+4000</f>
        <v>48000</v>
      </c>
      <c r="T17" s="45"/>
      <c r="U17" s="45">
        <f t="shared" si="1"/>
        <v>48000</v>
      </c>
      <c r="V17" s="7"/>
    </row>
    <row r="18" spans="1:22" x14ac:dyDescent="0.25">
      <c r="A18" s="7" t="s">
        <v>43</v>
      </c>
      <c r="B18" s="7" t="s">
        <v>230</v>
      </c>
      <c r="C18" s="7"/>
      <c r="D18" s="7"/>
      <c r="E18" s="7">
        <v>5000</v>
      </c>
      <c r="F18" s="7">
        <f>'AUGUST 21'!I18:I39</f>
        <v>0</v>
      </c>
      <c r="G18" s="7">
        <f t="shared" si="2"/>
        <v>5000</v>
      </c>
      <c r="H18" s="7">
        <f>5000</f>
        <v>5000</v>
      </c>
      <c r="I18" s="7">
        <f t="shared" si="0"/>
        <v>0</v>
      </c>
      <c r="J18" s="7"/>
      <c r="K18" s="7"/>
      <c r="M18" s="7" t="s">
        <v>189</v>
      </c>
      <c r="N18" s="45" t="s">
        <v>209</v>
      </c>
      <c r="O18" s="45"/>
      <c r="P18" s="45"/>
      <c r="Q18" s="45"/>
      <c r="R18" s="7">
        <f>'AUGUST 21'!U18:U44</f>
        <v>12000</v>
      </c>
      <c r="S18" s="45">
        <f>O18+P18+Q18+R18</f>
        <v>12000</v>
      </c>
      <c r="T18" s="45"/>
      <c r="U18" s="45">
        <f t="shared" si="1"/>
        <v>12000</v>
      </c>
      <c r="V18" s="7"/>
    </row>
    <row r="19" spans="1:22" x14ac:dyDescent="0.25">
      <c r="A19" s="7" t="s">
        <v>44</v>
      </c>
      <c r="B19" s="9" t="s">
        <v>118</v>
      </c>
      <c r="C19" s="7"/>
      <c r="D19" s="7"/>
      <c r="E19" s="7">
        <v>8000</v>
      </c>
      <c r="F19" s="7">
        <f>'AUGUST 21'!I19:I40</f>
        <v>0</v>
      </c>
      <c r="G19" s="7">
        <f t="shared" si="2"/>
        <v>8000</v>
      </c>
      <c r="H19" s="7">
        <v>8000</v>
      </c>
      <c r="I19" s="7">
        <f t="shared" si="0"/>
        <v>0</v>
      </c>
      <c r="J19" s="7"/>
      <c r="K19" s="7"/>
      <c r="M19" s="7" t="s">
        <v>190</v>
      </c>
      <c r="N19" s="9" t="s">
        <v>215</v>
      </c>
      <c r="O19" s="7"/>
      <c r="P19" s="7"/>
      <c r="Q19" s="7">
        <v>4000</v>
      </c>
      <c r="R19" s="7">
        <f>'AUGUST 21'!U19:U45</f>
        <v>5000</v>
      </c>
      <c r="S19" s="7">
        <f t="shared" si="3"/>
        <v>9000</v>
      </c>
      <c r="T19" s="7">
        <v>4000</v>
      </c>
      <c r="U19" s="7">
        <f t="shared" si="1"/>
        <v>5000</v>
      </c>
      <c r="V19" s="7"/>
    </row>
    <row r="20" spans="1:22" x14ac:dyDescent="0.25">
      <c r="A20" s="7" t="s">
        <v>45</v>
      </c>
      <c r="B20" s="7" t="s">
        <v>175</v>
      </c>
      <c r="C20" s="7"/>
      <c r="D20" s="7"/>
      <c r="E20" s="7"/>
      <c r="F20" s="7">
        <f>'AUGUST 21'!I20:I41</f>
        <v>0</v>
      </c>
      <c r="G20" s="7">
        <f t="shared" si="2"/>
        <v>0</v>
      </c>
      <c r="H20" s="7"/>
      <c r="I20" s="7">
        <f t="shared" si="0"/>
        <v>0</v>
      </c>
      <c r="J20" s="7" t="s">
        <v>282</v>
      </c>
      <c r="K20" s="7"/>
      <c r="M20" s="7" t="s">
        <v>123</v>
      </c>
      <c r="N20" s="7" t="s">
        <v>231</v>
      </c>
      <c r="O20" s="7"/>
      <c r="P20" s="7"/>
      <c r="Q20" s="7">
        <v>4500</v>
      </c>
      <c r="R20" s="7">
        <f>'AUGUST 21'!U20:U46</f>
        <v>500</v>
      </c>
      <c r="S20" s="7">
        <f t="shared" si="3"/>
        <v>5000</v>
      </c>
      <c r="T20" s="7">
        <v>5000</v>
      </c>
      <c r="U20" s="7">
        <f t="shared" si="1"/>
        <v>0</v>
      </c>
      <c r="V20" s="7"/>
    </row>
    <row r="21" spans="1:22" x14ac:dyDescent="0.25">
      <c r="A21" s="7" t="s">
        <v>46</v>
      </c>
      <c r="B21" s="7" t="s">
        <v>132</v>
      </c>
      <c r="C21" s="7"/>
      <c r="D21" s="7"/>
      <c r="E21" s="7">
        <v>6500</v>
      </c>
      <c r="F21" s="7">
        <f>'AUGUST 21'!I21:I42</f>
        <v>0</v>
      </c>
      <c r="G21" s="7">
        <f t="shared" si="2"/>
        <v>6500</v>
      </c>
      <c r="H21" s="7">
        <f>6500</f>
        <v>6500</v>
      </c>
      <c r="I21" s="7">
        <f t="shared" si="0"/>
        <v>0</v>
      </c>
      <c r="J21" s="7"/>
      <c r="K21" s="7"/>
      <c r="M21" s="7" t="s">
        <v>191</v>
      </c>
      <c r="N21" s="7" t="s">
        <v>216</v>
      </c>
      <c r="O21" s="7"/>
      <c r="P21" s="7"/>
      <c r="Q21" s="7">
        <v>4500</v>
      </c>
      <c r="R21" s="7">
        <f>'AUGUST 21'!U21:U47</f>
        <v>6500</v>
      </c>
      <c r="S21" s="7">
        <f t="shared" si="3"/>
        <v>11000</v>
      </c>
      <c r="T21" s="7">
        <f>6000</f>
        <v>6000</v>
      </c>
      <c r="U21" s="7">
        <f t="shared" si="1"/>
        <v>5000</v>
      </c>
      <c r="V21" s="7">
        <v>1500</v>
      </c>
    </row>
    <row r="22" spans="1:22" x14ac:dyDescent="0.25">
      <c r="A22" s="7" t="s">
        <v>47</v>
      </c>
      <c r="B22" s="7" t="s">
        <v>64</v>
      </c>
      <c r="C22" s="7"/>
      <c r="D22" s="7"/>
      <c r="E22" s="7">
        <v>7000</v>
      </c>
      <c r="F22" s="7">
        <f>'AUGUST 21'!I22:I43</f>
        <v>0</v>
      </c>
      <c r="G22" s="7">
        <f t="shared" si="2"/>
        <v>7000</v>
      </c>
      <c r="H22">
        <f>7000</f>
        <v>7000</v>
      </c>
      <c r="I22" s="7">
        <f>G22-H22</f>
        <v>0</v>
      </c>
      <c r="J22" s="7"/>
      <c r="K22" s="7"/>
      <c r="M22" s="7" t="s">
        <v>192</v>
      </c>
      <c r="N22" s="7" t="s">
        <v>214</v>
      </c>
      <c r="O22" s="7"/>
      <c r="P22" s="7"/>
      <c r="Q22" s="7">
        <v>4000</v>
      </c>
      <c r="R22" s="7">
        <f>'AUGUST 21'!U22:U48</f>
        <v>0</v>
      </c>
      <c r="S22" s="7">
        <f t="shared" si="3"/>
        <v>4000</v>
      </c>
      <c r="T22">
        <f>4000</f>
        <v>4000</v>
      </c>
      <c r="U22" s="7">
        <f>S22-T22</f>
        <v>0</v>
      </c>
      <c r="V22" s="7"/>
    </row>
    <row r="23" spans="1:22" x14ac:dyDescent="0.25">
      <c r="A23" s="7" t="s">
        <v>66</v>
      </c>
      <c r="B23" s="7" t="s">
        <v>69</v>
      </c>
      <c r="C23" s="7"/>
      <c r="D23" s="7"/>
      <c r="E23" s="7">
        <v>8500</v>
      </c>
      <c r="F23" s="7">
        <f>'AUGUST 21'!I23:I44</f>
        <v>0</v>
      </c>
      <c r="G23" s="7">
        <f t="shared" si="2"/>
        <v>8500</v>
      </c>
      <c r="H23" s="7">
        <v>8500</v>
      </c>
      <c r="I23" s="7">
        <f>G23-H23</f>
        <v>0</v>
      </c>
      <c r="J23" s="7"/>
      <c r="K23" s="7"/>
      <c r="M23" s="7" t="s">
        <v>193</v>
      </c>
      <c r="N23" s="45" t="s">
        <v>257</v>
      </c>
      <c r="O23" s="7"/>
      <c r="P23" s="7"/>
      <c r="Q23" s="7">
        <v>4500</v>
      </c>
      <c r="R23" s="7">
        <f>'AUGUST 21'!U23:U49</f>
        <v>5500</v>
      </c>
      <c r="S23" s="7">
        <f t="shared" si="3"/>
        <v>10000</v>
      </c>
      <c r="T23" s="7">
        <f>4500+500</f>
        <v>5000</v>
      </c>
      <c r="U23" s="7">
        <f>S23-T23</f>
        <v>5000</v>
      </c>
      <c r="V23" s="7"/>
    </row>
    <row r="24" spans="1:22" x14ac:dyDescent="0.25">
      <c r="A24" s="7" t="s">
        <v>48</v>
      </c>
      <c r="B24" s="7" t="s">
        <v>233</v>
      </c>
      <c r="C24" s="7"/>
      <c r="D24" s="7"/>
      <c r="E24" s="7">
        <v>5000</v>
      </c>
      <c r="F24" s="7">
        <f>'AUGUST 21'!I24:I45</f>
        <v>0</v>
      </c>
      <c r="G24" s="7">
        <f t="shared" si="2"/>
        <v>5000</v>
      </c>
      <c r="H24" s="7">
        <f>5000</f>
        <v>5000</v>
      </c>
      <c r="I24" s="7">
        <f>G24-H24</f>
        <v>0</v>
      </c>
      <c r="J24" s="7"/>
      <c r="K24" s="7"/>
      <c r="M24" s="7" t="s">
        <v>194</v>
      </c>
      <c r="N24" s="7" t="s">
        <v>256</v>
      </c>
      <c r="O24" s="7"/>
      <c r="P24" s="7"/>
      <c r="Q24" s="7">
        <v>4000</v>
      </c>
      <c r="R24" s="7">
        <f>'AUGUST 21'!U24:U50</f>
        <v>3300</v>
      </c>
      <c r="S24" s="7">
        <f t="shared" si="3"/>
        <v>7300</v>
      </c>
      <c r="T24" s="7">
        <v>5000</v>
      </c>
      <c r="U24" s="7">
        <f>S24-T24</f>
        <v>2300</v>
      </c>
      <c r="V24" s="7"/>
    </row>
    <row r="25" spans="1:22" x14ac:dyDescent="0.25">
      <c r="A25" s="7" t="s">
        <v>49</v>
      </c>
      <c r="B25" s="7" t="s">
        <v>273</v>
      </c>
      <c r="C25" s="7"/>
      <c r="D25" s="7"/>
      <c r="E25" s="7">
        <v>8500</v>
      </c>
      <c r="F25" s="7">
        <f>'AUGUST 21'!I25:I46</f>
        <v>0</v>
      </c>
      <c r="G25" s="7">
        <f t="shared" si="2"/>
        <v>8500</v>
      </c>
      <c r="H25" s="7">
        <v>8500</v>
      </c>
      <c r="I25" s="7">
        <f>G25-H25</f>
        <v>0</v>
      </c>
      <c r="J25" s="7"/>
      <c r="K25" s="7"/>
      <c r="L25" t="s">
        <v>263</v>
      </c>
      <c r="M25" s="7" t="s">
        <v>195</v>
      </c>
      <c r="N25" s="7" t="s">
        <v>218</v>
      </c>
      <c r="O25" s="7"/>
      <c r="P25" s="7"/>
      <c r="Q25" s="7">
        <v>4000</v>
      </c>
      <c r="R25" s="7">
        <f>'AUGUST 21'!U25:U51</f>
        <v>0</v>
      </c>
      <c r="S25" s="7">
        <f t="shared" si="3"/>
        <v>4000</v>
      </c>
      <c r="T25" s="7">
        <f>4000</f>
        <v>4000</v>
      </c>
      <c r="U25" s="7">
        <f>S25-T25</f>
        <v>0</v>
      </c>
      <c r="V25" s="7"/>
    </row>
    <row r="26" spans="1:22" x14ac:dyDescent="0.25">
      <c r="A26" s="7" t="s">
        <v>88</v>
      </c>
      <c r="B26" s="7" t="s">
        <v>110</v>
      </c>
      <c r="C26" s="7"/>
      <c r="D26" s="7"/>
      <c r="E26" s="7">
        <v>7000</v>
      </c>
      <c r="F26" s="7">
        <f>'AUGUST 21'!I26:I47</f>
        <v>6600</v>
      </c>
      <c r="G26" s="7">
        <f t="shared" si="2"/>
        <v>13600</v>
      </c>
      <c r="H26" s="7">
        <f>2000+1000+4000</f>
        <v>7000</v>
      </c>
      <c r="I26" s="7">
        <f>G26-H26</f>
        <v>6600</v>
      </c>
      <c r="J26" s="7"/>
      <c r="K26" s="7"/>
      <c r="M26" s="7" t="s">
        <v>196</v>
      </c>
      <c r="N26" s="7" t="s">
        <v>219</v>
      </c>
      <c r="O26" s="7"/>
      <c r="P26" s="7"/>
      <c r="Q26" s="7">
        <v>4000</v>
      </c>
      <c r="R26" s="7">
        <f>'AUGUST 21'!U26:U52</f>
        <v>8000</v>
      </c>
      <c r="S26" s="7">
        <f t="shared" si="3"/>
        <v>12000</v>
      </c>
      <c r="T26" s="7">
        <f>4000</f>
        <v>4000</v>
      </c>
      <c r="U26" s="7">
        <f t="shared" ref="U26:U31" si="4">S26-T26</f>
        <v>8000</v>
      </c>
      <c r="V26" s="7"/>
    </row>
    <row r="27" spans="1:22" x14ac:dyDescent="0.25">
      <c r="A27" s="6"/>
      <c r="B27" s="10" t="s">
        <v>12</v>
      </c>
      <c r="C27" s="10">
        <f>SUM(C4:C5)</f>
        <v>0</v>
      </c>
      <c r="D27" s="10">
        <f t="shared" ref="D27:K27" si="5">SUM(D5:D26)</f>
        <v>8500</v>
      </c>
      <c r="E27" s="6">
        <f t="shared" si="5"/>
        <v>131500</v>
      </c>
      <c r="F27" s="7">
        <f>SUM(F5:F26)</f>
        <v>29700</v>
      </c>
      <c r="G27" s="7">
        <f t="shared" si="5"/>
        <v>169700</v>
      </c>
      <c r="H27" s="6">
        <f>SUM(H5:H26)</f>
        <v>129500</v>
      </c>
      <c r="I27" s="6">
        <f t="shared" si="5"/>
        <v>40200</v>
      </c>
      <c r="J27" s="6">
        <f t="shared" si="5"/>
        <v>0</v>
      </c>
      <c r="K27" s="6">
        <f t="shared" si="5"/>
        <v>0</v>
      </c>
      <c r="M27" s="7" t="s">
        <v>197</v>
      </c>
      <c r="N27" s="7" t="s">
        <v>220</v>
      </c>
      <c r="O27" s="7"/>
      <c r="P27" s="7"/>
      <c r="Q27" s="7"/>
      <c r="R27" s="7">
        <f>'AUGUST 21'!U27:U53</f>
        <v>0</v>
      </c>
      <c r="S27" s="7">
        <f t="shared" si="3"/>
        <v>0</v>
      </c>
      <c r="T27" s="7"/>
      <c r="U27" s="7">
        <f t="shared" si="4"/>
        <v>0</v>
      </c>
      <c r="V27" s="7"/>
    </row>
    <row r="28" spans="1:22" x14ac:dyDescent="0.25">
      <c r="A28" s="11"/>
      <c r="F28" s="7">
        <f>'MAY 21'!I28:I51</f>
        <v>8700</v>
      </c>
      <c r="I28" s="8">
        <f>I27-F26-D13-D7</f>
        <v>26100</v>
      </c>
      <c r="M28" s="7" t="s">
        <v>198</v>
      </c>
      <c r="N28" s="7" t="s">
        <v>221</v>
      </c>
      <c r="O28" s="7"/>
      <c r="P28" s="7"/>
      <c r="Q28" s="7">
        <v>8000</v>
      </c>
      <c r="R28" s="7">
        <f>'AUGUST 21'!U28:U54</f>
        <v>13400</v>
      </c>
      <c r="S28" s="7">
        <f t="shared" si="3"/>
        <v>21400</v>
      </c>
      <c r="T28" s="7">
        <f>8300</f>
        <v>8300</v>
      </c>
      <c r="U28" s="7">
        <f t="shared" si="4"/>
        <v>13100</v>
      </c>
      <c r="V28" s="7"/>
    </row>
    <row r="29" spans="1:22" ht="18.75" x14ac:dyDescent="0.3">
      <c r="B29" s="12" t="s">
        <v>13</v>
      </c>
      <c r="C29" s="44" t="s">
        <v>227</v>
      </c>
      <c r="D29" s="13"/>
      <c r="E29" s="13"/>
      <c r="F29" s="44" t="s">
        <v>228</v>
      </c>
      <c r="G29" s="13"/>
      <c r="H29" s="14"/>
      <c r="I29" s="14"/>
      <c r="M29" s="7" t="s">
        <v>199</v>
      </c>
      <c r="N29" s="7" t="s">
        <v>222</v>
      </c>
      <c r="O29" s="7"/>
      <c r="P29" s="7"/>
      <c r="Q29" s="7">
        <v>8000</v>
      </c>
      <c r="R29" s="7">
        <f>'AUGUST 21'!U29:U55</f>
        <v>9800</v>
      </c>
      <c r="S29" s="7">
        <f t="shared" si="3"/>
        <v>17800</v>
      </c>
      <c r="T29" s="7">
        <f>3000+5000</f>
        <v>8000</v>
      </c>
      <c r="U29" s="7">
        <f t="shared" si="4"/>
        <v>9800</v>
      </c>
      <c r="V29" s="7"/>
    </row>
    <row r="30" spans="1:22" ht="15.75" x14ac:dyDescent="0.25">
      <c r="B30" s="15" t="s">
        <v>14</v>
      </c>
      <c r="C30" s="15" t="s">
        <v>15</v>
      </c>
      <c r="D30" s="15" t="s">
        <v>16</v>
      </c>
      <c r="E30" s="15" t="s">
        <v>17</v>
      </c>
      <c r="F30" s="15" t="s">
        <v>18</v>
      </c>
      <c r="G30" s="15" t="s">
        <v>15</v>
      </c>
      <c r="H30" s="15" t="s">
        <v>16</v>
      </c>
      <c r="I30" s="15" t="s">
        <v>17</v>
      </c>
      <c r="K30" s="25"/>
      <c r="M30" s="7" t="s">
        <v>200</v>
      </c>
      <c r="N30" s="7" t="s">
        <v>223</v>
      </c>
      <c r="O30" s="7"/>
      <c r="P30" s="7"/>
      <c r="Q30" s="7">
        <v>5000</v>
      </c>
      <c r="R30" s="7">
        <f>'AUGUST 21'!U30:U56</f>
        <v>0</v>
      </c>
      <c r="S30" s="7">
        <f t="shared" si="3"/>
        <v>5000</v>
      </c>
      <c r="T30" s="7">
        <f>5000</f>
        <v>5000</v>
      </c>
      <c r="U30" s="7">
        <f t="shared" si="4"/>
        <v>0</v>
      </c>
      <c r="V30" s="7"/>
    </row>
    <row r="31" spans="1:22" x14ac:dyDescent="0.25">
      <c r="B31" s="9" t="s">
        <v>277</v>
      </c>
      <c r="C31" s="16">
        <f>E27</f>
        <v>131500</v>
      </c>
      <c r="D31" s="17">
        <v>0.1</v>
      </c>
      <c r="E31" s="16"/>
      <c r="F31" s="9" t="s">
        <v>277</v>
      </c>
      <c r="G31" s="16">
        <f>H27</f>
        <v>129500</v>
      </c>
      <c r="H31" s="17">
        <v>0.1</v>
      </c>
      <c r="I31" s="9"/>
      <c r="M31" s="7" t="s">
        <v>201</v>
      </c>
      <c r="N31" s="7" t="s">
        <v>224</v>
      </c>
      <c r="O31" s="7"/>
      <c r="P31" s="7"/>
      <c r="Q31" s="7">
        <v>7500</v>
      </c>
      <c r="R31" s="7">
        <f>'JULY 21'!U31:U57</f>
        <v>55100</v>
      </c>
      <c r="S31" s="7">
        <f t="shared" si="3"/>
        <v>62600</v>
      </c>
      <c r="T31" s="7">
        <f>3500+2000</f>
        <v>5500</v>
      </c>
      <c r="U31" s="7">
        <f t="shared" si="4"/>
        <v>57100</v>
      </c>
      <c r="V31" s="7"/>
    </row>
    <row r="32" spans="1:22" x14ac:dyDescent="0.25">
      <c r="B32" s="9" t="s">
        <v>20</v>
      </c>
      <c r="C32" s="16">
        <f>'AUGUST 21'!E45</f>
        <v>0</v>
      </c>
      <c r="D32" s="9"/>
      <c r="E32" s="9"/>
      <c r="F32" s="9" t="s">
        <v>20</v>
      </c>
      <c r="G32" s="16">
        <f>'AUGUST 21'!I45</f>
        <v>-24600</v>
      </c>
      <c r="H32" s="9"/>
      <c r="I32" s="9"/>
      <c r="K32" s="26"/>
      <c r="M32" s="6"/>
      <c r="N32" s="10" t="s">
        <v>12</v>
      </c>
      <c r="O32" s="10">
        <f>SUM(O4:O5)</f>
        <v>0</v>
      </c>
      <c r="P32" s="10">
        <f t="shared" ref="P32:V32" si="6">SUM(P5:P31)</f>
        <v>0</v>
      </c>
      <c r="Q32" s="6">
        <f>SUM(Q5:Q31)</f>
        <v>136500</v>
      </c>
      <c r="R32" s="7">
        <f>SUM(R5:R31)</f>
        <v>220750</v>
      </c>
      <c r="S32" s="7">
        <f t="shared" si="6"/>
        <v>361250</v>
      </c>
      <c r="T32" s="6">
        <f t="shared" si="6"/>
        <v>142800</v>
      </c>
      <c r="U32" s="6">
        <f t="shared" si="6"/>
        <v>218450</v>
      </c>
      <c r="V32" s="6">
        <f t="shared" si="6"/>
        <v>1500</v>
      </c>
    </row>
    <row r="33" spans="2:22" x14ac:dyDescent="0.25">
      <c r="B33" s="9" t="s">
        <v>163</v>
      </c>
      <c r="C33" s="16"/>
      <c r="D33" s="9"/>
      <c r="E33" s="9"/>
      <c r="F33" s="9"/>
      <c r="G33" s="16"/>
      <c r="H33" s="16"/>
      <c r="I33" s="9"/>
      <c r="K33" s="26"/>
      <c r="M33" s="11"/>
      <c r="R33" s="7">
        <f>'JANUARY 21'!U33:U59</f>
        <v>0</v>
      </c>
      <c r="U33" s="8"/>
    </row>
    <row r="34" spans="2:22" ht="18.75" x14ac:dyDescent="0.3">
      <c r="B34" s="9" t="s">
        <v>21</v>
      </c>
      <c r="C34" s="16">
        <f>J27</f>
        <v>0</v>
      </c>
      <c r="D34" s="9"/>
      <c r="E34" s="9"/>
      <c r="F34" s="9"/>
      <c r="G34" s="16"/>
      <c r="H34" s="16"/>
      <c r="I34" s="9"/>
      <c r="K34" s="26"/>
      <c r="N34" s="12" t="s">
        <v>13</v>
      </c>
      <c r="O34" s="44" t="s">
        <v>227</v>
      </c>
      <c r="P34" s="13"/>
      <c r="Q34" s="13"/>
      <c r="R34" s="44" t="s">
        <v>228</v>
      </c>
      <c r="S34" s="13"/>
      <c r="T34" s="14"/>
      <c r="U34" s="14"/>
    </row>
    <row r="35" spans="2:22" ht="15.75" x14ac:dyDescent="0.25">
      <c r="B35" s="9" t="s">
        <v>102</v>
      </c>
      <c r="C35" s="16">
        <f>K27</f>
        <v>0</v>
      </c>
      <c r="D35" s="9"/>
      <c r="E35" s="9"/>
      <c r="F35" s="9" t="s">
        <v>102</v>
      </c>
      <c r="G35" s="16">
        <f>K27</f>
        <v>0</v>
      </c>
      <c r="H35" s="9"/>
      <c r="I35" s="9"/>
      <c r="K35" s="26"/>
      <c r="N35" s="15" t="s">
        <v>14</v>
      </c>
      <c r="O35" s="15" t="s">
        <v>226</v>
      </c>
      <c r="P35" s="15" t="s">
        <v>16</v>
      </c>
      <c r="Q35" s="15" t="s">
        <v>17</v>
      </c>
      <c r="R35" s="15" t="s">
        <v>18</v>
      </c>
      <c r="S35" s="15" t="s">
        <v>15</v>
      </c>
      <c r="T35" s="15" t="s">
        <v>16</v>
      </c>
      <c r="U35" s="15" t="s">
        <v>17</v>
      </c>
    </row>
    <row r="36" spans="2:22" x14ac:dyDescent="0.25">
      <c r="B36" s="9" t="s">
        <v>97</v>
      </c>
      <c r="C36" s="16">
        <v>0.3</v>
      </c>
      <c r="D36" s="9"/>
      <c r="E36" s="9"/>
      <c r="F36" s="9" t="s">
        <v>97</v>
      </c>
      <c r="G36" s="16">
        <v>0.3</v>
      </c>
      <c r="H36" s="9">
        <f>D36</f>
        <v>0</v>
      </c>
      <c r="I36" s="9"/>
      <c r="N36" s="9" t="s">
        <v>151</v>
      </c>
      <c r="O36" s="16">
        <f>Q32</f>
        <v>136500</v>
      </c>
      <c r="P36" s="17">
        <v>0.1</v>
      </c>
      <c r="Q36" s="16"/>
      <c r="R36" s="9" t="s">
        <v>151</v>
      </c>
      <c r="S36" s="16">
        <f>T32</f>
        <v>142800</v>
      </c>
      <c r="T36" s="17">
        <v>0.1</v>
      </c>
      <c r="U36" s="9"/>
    </row>
    <row r="37" spans="2:22" x14ac:dyDescent="0.25">
      <c r="B37" s="9" t="s">
        <v>22</v>
      </c>
      <c r="C37" s="18"/>
      <c r="D37" s="9">
        <f>C31*D31</f>
        <v>13150</v>
      </c>
      <c r="E37" s="9"/>
      <c r="F37" s="9" t="s">
        <v>22</v>
      </c>
      <c r="G37" s="18"/>
      <c r="H37" s="9">
        <f>D37</f>
        <v>13150</v>
      </c>
      <c r="I37" s="9"/>
      <c r="K37" s="26"/>
      <c r="N37" s="9" t="s">
        <v>20</v>
      </c>
      <c r="O37" s="16">
        <f>'AUGUST 21'!Q50</f>
        <v>32290</v>
      </c>
      <c r="P37" s="9"/>
      <c r="Q37" s="9"/>
      <c r="R37" s="7" t="s">
        <v>6</v>
      </c>
      <c r="S37" s="16">
        <f>'AUGUST 21'!U50</f>
        <v>4940</v>
      </c>
      <c r="T37" s="9"/>
      <c r="U37" s="9"/>
    </row>
    <row r="38" spans="2:22" x14ac:dyDescent="0.25">
      <c r="B38" s="19" t="s">
        <v>23</v>
      </c>
      <c r="C38" s="9"/>
      <c r="D38" s="9"/>
      <c r="E38" s="9"/>
      <c r="F38" s="19" t="s">
        <v>23</v>
      </c>
      <c r="G38" s="9"/>
      <c r="H38" s="9"/>
      <c r="I38" s="9"/>
      <c r="N38" s="9" t="s">
        <v>163</v>
      </c>
      <c r="O38" s="16">
        <f>P32</f>
        <v>0</v>
      </c>
      <c r="P38" s="9"/>
      <c r="Q38" s="9"/>
      <c r="R38" s="9"/>
      <c r="S38" s="16"/>
      <c r="T38" s="16"/>
      <c r="U38" s="9"/>
    </row>
    <row r="39" spans="2:22" x14ac:dyDescent="0.25">
      <c r="B39" s="20" t="s">
        <v>281</v>
      </c>
      <c r="C39" s="9"/>
      <c r="D39" s="9">
        <v>72000</v>
      </c>
      <c r="E39" s="9"/>
      <c r="F39" s="20" t="s">
        <v>281</v>
      </c>
      <c r="G39" s="9"/>
      <c r="H39" s="9">
        <v>72000</v>
      </c>
      <c r="I39" s="9"/>
      <c r="J39" s="26"/>
      <c r="N39" s="9" t="s">
        <v>21</v>
      </c>
      <c r="O39" s="16">
        <f>V32</f>
        <v>1500</v>
      </c>
      <c r="P39" s="9"/>
      <c r="Q39" s="9"/>
      <c r="R39" s="9"/>
      <c r="S39" s="16"/>
      <c r="T39" s="16"/>
      <c r="U39" s="9"/>
    </row>
    <row r="40" spans="2:22" x14ac:dyDescent="0.25">
      <c r="B40" s="7"/>
      <c r="C40" s="9"/>
      <c r="D40" s="7"/>
      <c r="E40" s="7"/>
      <c r="F40" s="7"/>
      <c r="G40" s="9"/>
      <c r="H40" s="7"/>
      <c r="I40" s="9"/>
      <c r="K40" s="26"/>
      <c r="N40" s="9" t="s">
        <v>102</v>
      </c>
      <c r="O40" s="16">
        <f>W32</f>
        <v>0</v>
      </c>
      <c r="P40" s="9"/>
      <c r="Q40" s="9"/>
      <c r="R40" s="9" t="s">
        <v>102</v>
      </c>
      <c r="S40" s="16">
        <f>O40</f>
        <v>0</v>
      </c>
      <c r="T40" s="9"/>
      <c r="U40" s="9"/>
    </row>
    <row r="41" spans="2:22" x14ac:dyDescent="0.25">
      <c r="B41" s="20"/>
      <c r="C41" s="9"/>
      <c r="D41" s="9"/>
      <c r="E41" s="9"/>
      <c r="F41" s="20"/>
      <c r="G41" s="9"/>
      <c r="H41" s="9"/>
      <c r="I41" s="9"/>
      <c r="K41" s="26"/>
      <c r="N41" s="9" t="s">
        <v>22</v>
      </c>
      <c r="O41" s="18"/>
      <c r="P41" s="9">
        <f>P36*O36</f>
        <v>13650</v>
      </c>
      <c r="Q41" s="9"/>
      <c r="R41" s="9" t="s">
        <v>22</v>
      </c>
      <c r="S41" s="18"/>
      <c r="T41" s="9">
        <f>T36*O36</f>
        <v>13650</v>
      </c>
      <c r="U41" s="9"/>
    </row>
    <row r="42" spans="2:22" x14ac:dyDescent="0.25">
      <c r="B42" s="20"/>
      <c r="C42" s="9"/>
      <c r="D42" s="9"/>
      <c r="E42" s="9"/>
      <c r="F42" s="20"/>
      <c r="G42" s="9"/>
      <c r="H42" s="9"/>
      <c r="I42" s="9"/>
      <c r="K42" s="26"/>
      <c r="N42" s="9"/>
      <c r="O42" s="18"/>
      <c r="P42" s="9"/>
      <c r="Q42" s="9"/>
      <c r="R42" s="9"/>
      <c r="S42" s="18"/>
      <c r="T42" s="9"/>
      <c r="U42" s="9"/>
    </row>
    <row r="43" spans="2:22" x14ac:dyDescent="0.25">
      <c r="B43" s="20"/>
      <c r="C43" s="9"/>
      <c r="D43" s="9"/>
      <c r="E43" s="9"/>
      <c r="F43" s="20"/>
      <c r="G43" s="9"/>
      <c r="H43" s="9"/>
      <c r="I43" s="9"/>
      <c r="K43" s="26"/>
      <c r="N43" s="19" t="s">
        <v>23</v>
      </c>
      <c r="O43" s="9"/>
      <c r="P43" s="9"/>
      <c r="Q43" s="9"/>
      <c r="R43" s="19" t="s">
        <v>23</v>
      </c>
      <c r="S43" s="9"/>
      <c r="T43" s="9"/>
      <c r="U43" s="9"/>
    </row>
    <row r="44" spans="2:22" x14ac:dyDescent="0.25">
      <c r="B44" s="20"/>
      <c r="C44" s="16"/>
      <c r="D44" s="16"/>
      <c r="E44" s="16"/>
      <c r="F44" s="20"/>
      <c r="G44" s="9"/>
      <c r="H44" s="16"/>
      <c r="I44" s="9"/>
      <c r="N44" s="20"/>
      <c r="O44" s="9"/>
      <c r="P44" s="9"/>
      <c r="Q44" s="9"/>
      <c r="R44" s="20"/>
      <c r="S44" s="9"/>
      <c r="T44" s="9"/>
      <c r="U44" s="9"/>
      <c r="V44" s="26"/>
    </row>
    <row r="45" spans="2:22" x14ac:dyDescent="0.25">
      <c r="B45" s="22" t="s">
        <v>12</v>
      </c>
      <c r="C45" s="23">
        <f>C31+C32+C33+C34+C35-D37-D36</f>
        <v>118350</v>
      </c>
      <c r="D45" s="22">
        <f>SUM(D39:D44)</f>
        <v>72000</v>
      </c>
      <c r="E45" s="23">
        <f>C45-D45</f>
        <v>46350</v>
      </c>
      <c r="F45" s="24"/>
      <c r="G45" s="23">
        <f>G31+G32+G35-H36-H37</f>
        <v>91750</v>
      </c>
      <c r="H45" s="23">
        <f>SUM(H39:H44)</f>
        <v>72000</v>
      </c>
      <c r="I45" s="23">
        <f>G45-H45</f>
        <v>19750</v>
      </c>
      <c r="N45" s="7" t="s">
        <v>280</v>
      </c>
      <c r="O45" s="21"/>
      <c r="P45" s="7">
        <v>32290</v>
      </c>
      <c r="Q45" s="7"/>
      <c r="R45" s="7" t="s">
        <v>280</v>
      </c>
      <c r="S45" s="21"/>
      <c r="T45" s="7">
        <v>32290</v>
      </c>
      <c r="U45" s="9"/>
    </row>
    <row r="46" spans="2:22" x14ac:dyDescent="0.25">
      <c r="E46" s="26">
        <f>E45-C32</f>
        <v>46350</v>
      </c>
      <c r="I46" s="26"/>
      <c r="K46" s="26"/>
      <c r="N46" s="20" t="s">
        <v>281</v>
      </c>
      <c r="O46" s="9"/>
      <c r="P46" s="9">
        <v>98000</v>
      </c>
      <c r="Q46" s="9"/>
      <c r="R46" s="20" t="s">
        <v>281</v>
      </c>
      <c r="S46" s="9"/>
      <c r="T46" s="9">
        <v>98000</v>
      </c>
      <c r="U46" s="9"/>
    </row>
    <row r="47" spans="2:22" x14ac:dyDescent="0.25">
      <c r="B47" s="11" t="s">
        <v>24</v>
      </c>
      <c r="D47" s="11" t="s">
        <v>25</v>
      </c>
      <c r="F47" s="11"/>
      <c r="G47" s="11" t="s">
        <v>26</v>
      </c>
      <c r="I47" s="26"/>
      <c r="K47" s="26"/>
      <c r="L47" s="26"/>
      <c r="N47" s="20"/>
      <c r="O47" s="9"/>
      <c r="P47" s="9"/>
      <c r="Q47" s="9"/>
      <c r="R47" s="20"/>
      <c r="S47" s="9"/>
      <c r="T47" s="9"/>
      <c r="U47" s="9"/>
    </row>
    <row r="48" spans="2:22" x14ac:dyDescent="0.25">
      <c r="B48" t="s">
        <v>27</v>
      </c>
      <c r="D48" s="11" t="s">
        <v>28</v>
      </c>
      <c r="F48" s="11"/>
      <c r="G48" s="11" t="s">
        <v>147</v>
      </c>
      <c r="I48" s="26"/>
      <c r="N48" s="20"/>
      <c r="O48" s="9"/>
      <c r="P48" s="9"/>
      <c r="Q48" s="9"/>
      <c r="R48" s="20"/>
      <c r="S48" s="9"/>
      <c r="T48" s="9"/>
      <c r="U48" s="9"/>
    </row>
    <row r="49" spans="6:22" x14ac:dyDescent="0.25">
      <c r="N49" s="20"/>
      <c r="O49" s="16"/>
      <c r="P49" s="16"/>
      <c r="Q49" s="16"/>
      <c r="R49" s="20"/>
      <c r="S49" s="16"/>
      <c r="T49" s="16"/>
      <c r="U49" s="9"/>
      <c r="V49" s="26"/>
    </row>
    <row r="50" spans="6:22" x14ac:dyDescent="0.25">
      <c r="F50" s="26"/>
      <c r="I50" s="26"/>
      <c r="J50" s="26"/>
      <c r="N50" s="22" t="s">
        <v>12</v>
      </c>
      <c r="O50" s="23">
        <f>O36+O37+O38+O39+O40-P42-P41</f>
        <v>156640</v>
      </c>
      <c r="P50" s="22">
        <f>SUM(P44:P49)</f>
        <v>130290</v>
      </c>
      <c r="Q50" s="23">
        <f>O50-P50</f>
        <v>26350</v>
      </c>
      <c r="R50" s="24"/>
      <c r="S50" s="23">
        <f>S36+S37+S40-T41</f>
        <v>134090</v>
      </c>
      <c r="T50" s="23">
        <f>SUM(T44:T49)</f>
        <v>130290</v>
      </c>
      <c r="U50" s="23">
        <f>S50-T50</f>
        <v>3800</v>
      </c>
    </row>
    <row r="52" spans="6:22" x14ac:dyDescent="0.25">
      <c r="N52" s="11" t="s">
        <v>24</v>
      </c>
      <c r="P52" s="11" t="s">
        <v>25</v>
      </c>
      <c r="R52" s="11"/>
      <c r="S52" s="11" t="s">
        <v>26</v>
      </c>
    </row>
    <row r="53" spans="6:22" x14ac:dyDescent="0.25">
      <c r="N53" t="s">
        <v>27</v>
      </c>
      <c r="P53" s="11" t="s">
        <v>28</v>
      </c>
      <c r="R53" s="11"/>
      <c r="S53" s="11" t="s">
        <v>147</v>
      </c>
      <c r="U53" s="26"/>
    </row>
    <row r="54" spans="6:22" x14ac:dyDescent="0.25">
      <c r="G54" s="26"/>
      <c r="L54" s="26"/>
      <c r="M54" s="26"/>
      <c r="V54" s="26"/>
    </row>
    <row r="55" spans="6:22" x14ac:dyDescent="0.25">
      <c r="I55" s="26"/>
      <c r="J55" s="26"/>
      <c r="K55" s="26"/>
      <c r="L55" s="26"/>
      <c r="M55" s="26"/>
      <c r="Q55" s="26"/>
      <c r="T55" s="26"/>
      <c r="V55" s="26"/>
    </row>
    <row r="56" spans="6:22" x14ac:dyDescent="0.25">
      <c r="I56" s="26"/>
      <c r="K56" s="26"/>
      <c r="L56" s="26"/>
      <c r="Q56" s="26"/>
      <c r="T56" s="26"/>
    </row>
    <row r="57" spans="6:22" x14ac:dyDescent="0.25">
      <c r="M57" s="26"/>
    </row>
    <row r="59" spans="6:22" x14ac:dyDescent="0.25">
      <c r="K59" s="26"/>
      <c r="M59" s="26">
        <f>Q32+E27</f>
        <v>268000</v>
      </c>
    </row>
    <row r="60" spans="6:22" x14ac:dyDescent="0.25">
      <c r="L60" t="s">
        <v>248</v>
      </c>
      <c r="M60">
        <f>H37+P41</f>
        <v>26800</v>
      </c>
      <c r="P60" s="26"/>
      <c r="Q60">
        <f>H39-M68</f>
        <v>72000</v>
      </c>
    </row>
    <row r="61" spans="6:22" x14ac:dyDescent="0.25">
      <c r="M61" s="26">
        <f>M59-M60</f>
        <v>241200</v>
      </c>
    </row>
    <row r="62" spans="6:22" x14ac:dyDescent="0.25">
      <c r="F62" s="26"/>
      <c r="L62" t="s">
        <v>21</v>
      </c>
      <c r="M62">
        <v>1500</v>
      </c>
      <c r="Q62" s="26">
        <f>U50+I45</f>
        <v>23550</v>
      </c>
    </row>
    <row r="63" spans="6:22" x14ac:dyDescent="0.25">
      <c r="M63" s="26">
        <f>M61+M62</f>
        <v>242700</v>
      </c>
      <c r="P63" s="26">
        <f>E45+Q50</f>
        <v>72700</v>
      </c>
    </row>
    <row r="64" spans="6:22" x14ac:dyDescent="0.25">
      <c r="K64" t="s">
        <v>281</v>
      </c>
      <c r="M64">
        <v>170000</v>
      </c>
      <c r="N64">
        <f>P46+D39</f>
        <v>170000</v>
      </c>
      <c r="R64" s="26">
        <f>P63-Q62</f>
        <v>49150</v>
      </c>
    </row>
    <row r="65" spans="8:16" x14ac:dyDescent="0.25">
      <c r="H65" s="26"/>
      <c r="M65" s="26">
        <f>M63-M64</f>
        <v>72700</v>
      </c>
    </row>
    <row r="69" spans="8:16" x14ac:dyDescent="0.25">
      <c r="P69">
        <f>170000-98000</f>
        <v>72000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1"/>
  <sheetViews>
    <sheetView workbookViewId="0"/>
  </sheetViews>
  <sheetFormatPr defaultRowHeight="15" x14ac:dyDescent="0.25"/>
  <sheetData>
    <row r="1" spans="1:22" ht="18.75" x14ac:dyDescent="0.25">
      <c r="E1" s="1" t="s">
        <v>50</v>
      </c>
      <c r="F1" s="2"/>
      <c r="G1" s="3"/>
      <c r="H1" s="4"/>
      <c r="I1" s="46" t="s">
        <v>278</v>
      </c>
      <c r="J1" s="46"/>
      <c r="K1" s="46"/>
      <c r="Q1" s="1" t="s">
        <v>229</v>
      </c>
      <c r="R1" s="2"/>
      <c r="S1" s="3"/>
      <c r="T1" s="4"/>
    </row>
    <row r="2" spans="1:22" ht="18.75" x14ac:dyDescent="0.25">
      <c r="E2" s="1" t="s">
        <v>0</v>
      </c>
      <c r="F2" s="1"/>
      <c r="G2" s="5"/>
      <c r="H2" s="5"/>
      <c r="I2" s="46"/>
      <c r="J2" s="46"/>
      <c r="K2" s="46"/>
      <c r="Q2" s="1" t="s">
        <v>0</v>
      </c>
      <c r="R2" s="1"/>
      <c r="S2" s="5"/>
      <c r="T2" s="5"/>
    </row>
    <row r="3" spans="1:22" ht="18.75" x14ac:dyDescent="0.25">
      <c r="E3" s="1" t="s">
        <v>285</v>
      </c>
      <c r="F3" s="1"/>
      <c r="G3" s="5"/>
      <c r="H3" s="5"/>
      <c r="I3" t="s">
        <v>250</v>
      </c>
      <c r="Q3" s="1" t="s">
        <v>285</v>
      </c>
      <c r="R3" s="1"/>
      <c r="S3" s="5"/>
      <c r="T3" s="5"/>
    </row>
    <row r="4" spans="1:22" x14ac:dyDescent="0.25">
      <c r="A4" s="6" t="s">
        <v>2</v>
      </c>
      <c r="B4" s="6" t="s">
        <v>3</v>
      </c>
      <c r="C4" s="6"/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  <c r="K4" s="6" t="s">
        <v>101</v>
      </c>
      <c r="M4" s="6" t="s">
        <v>2</v>
      </c>
      <c r="N4" s="6" t="s">
        <v>3</v>
      </c>
      <c r="O4" s="6"/>
      <c r="P4" s="6" t="s">
        <v>4</v>
      </c>
      <c r="Q4" s="6" t="s">
        <v>5</v>
      </c>
      <c r="R4" s="6" t="s">
        <v>6</v>
      </c>
      <c r="S4" s="6" t="s">
        <v>7</v>
      </c>
      <c r="T4" s="6" t="s">
        <v>8</v>
      </c>
      <c r="U4" s="6" t="s">
        <v>9</v>
      </c>
      <c r="V4" s="6" t="s">
        <v>10</v>
      </c>
    </row>
    <row r="5" spans="1:22" x14ac:dyDescent="0.25">
      <c r="A5" s="7" t="s">
        <v>30</v>
      </c>
      <c r="B5" s="7" t="s">
        <v>232</v>
      </c>
      <c r="C5" s="7"/>
      <c r="D5" s="7"/>
      <c r="E5" s="7">
        <v>4500</v>
      </c>
      <c r="F5" s="7">
        <f>'SEPTEMBER 21'!I5:I28</f>
        <v>0</v>
      </c>
      <c r="G5" s="7">
        <f>C5+D5+E5+F5</f>
        <v>4500</v>
      </c>
      <c r="H5" s="7">
        <v>4500</v>
      </c>
      <c r="I5" s="7">
        <f t="shared" ref="I5:I21" si="0">G5-H5</f>
        <v>0</v>
      </c>
      <c r="J5" s="7"/>
      <c r="K5" s="7"/>
      <c r="M5" s="7" t="s">
        <v>177</v>
      </c>
      <c r="N5" s="9" t="s">
        <v>202</v>
      </c>
      <c r="O5" s="7"/>
      <c r="P5" s="7"/>
      <c r="Q5" s="7">
        <v>7000</v>
      </c>
      <c r="R5" s="7">
        <f>'SEPTEMBER 21'!U5:U32</f>
        <v>0</v>
      </c>
      <c r="S5" s="7">
        <f>O5+P5+Q5+R5</f>
        <v>7000</v>
      </c>
      <c r="T5" s="7">
        <f>1400</f>
        <v>1400</v>
      </c>
      <c r="U5" s="7">
        <f t="shared" ref="U5:U21" si="1">S5-T5</f>
        <v>5600</v>
      </c>
      <c r="V5" s="7"/>
    </row>
    <row r="6" spans="1:22" x14ac:dyDescent="0.25">
      <c r="A6" s="7" t="s">
        <v>31</v>
      </c>
      <c r="B6" s="7" t="s">
        <v>52</v>
      </c>
      <c r="C6" s="7"/>
      <c r="D6" s="7"/>
      <c r="E6" s="7">
        <v>3000</v>
      </c>
      <c r="F6" s="7">
        <f>'SEPTEMBER 21'!I6:I29</f>
        <v>0</v>
      </c>
      <c r="G6" s="7">
        <f>C6+D6+E6+F6</f>
        <v>3000</v>
      </c>
      <c r="H6" s="7">
        <v>3000</v>
      </c>
      <c r="I6" s="7">
        <f t="shared" si="0"/>
        <v>0</v>
      </c>
      <c r="J6" s="7"/>
      <c r="K6" s="7"/>
      <c r="M6" s="7" t="s">
        <v>88</v>
      </c>
      <c r="N6" s="7"/>
      <c r="O6" s="7"/>
      <c r="P6" s="7"/>
      <c r="Q6" s="7"/>
      <c r="R6" s="7">
        <f>'SEPTEMBER 21'!U6:U33</f>
        <v>0</v>
      </c>
      <c r="S6" s="7">
        <f>O6+P6+Q6+R6</f>
        <v>0</v>
      </c>
      <c r="T6" s="7"/>
      <c r="U6" s="7">
        <f t="shared" si="1"/>
        <v>0</v>
      </c>
      <c r="V6" s="7"/>
    </row>
    <row r="7" spans="1:22" x14ac:dyDescent="0.25">
      <c r="A7" s="7" t="s">
        <v>32</v>
      </c>
      <c r="B7" s="7" t="s">
        <v>115</v>
      </c>
      <c r="C7" s="7"/>
      <c r="D7" s="7">
        <v>2500</v>
      </c>
      <c r="E7" s="7">
        <v>7500</v>
      </c>
      <c r="F7" s="7"/>
      <c r="G7" s="7">
        <f>C7+D7+E7+F7</f>
        <v>10000</v>
      </c>
      <c r="H7" s="7"/>
      <c r="I7" s="7">
        <f t="shared" si="0"/>
        <v>10000</v>
      </c>
      <c r="J7" s="7"/>
      <c r="K7" s="7"/>
      <c r="M7" s="7" t="s">
        <v>178</v>
      </c>
      <c r="N7" s="7" t="s">
        <v>203</v>
      </c>
      <c r="O7" s="7"/>
      <c r="P7" s="7"/>
      <c r="Q7" s="7">
        <v>8500</v>
      </c>
      <c r="R7" s="7">
        <f>'SEPTEMBER 21'!U7:U34</f>
        <v>1000</v>
      </c>
      <c r="S7" s="7">
        <f>O7+P7+Q7+R7</f>
        <v>9500</v>
      </c>
      <c r="T7" s="7">
        <v>8500</v>
      </c>
      <c r="U7" s="7">
        <f t="shared" si="1"/>
        <v>1000</v>
      </c>
      <c r="V7" s="7"/>
    </row>
    <row r="8" spans="1:22" x14ac:dyDescent="0.25">
      <c r="A8" s="7" t="s">
        <v>33</v>
      </c>
      <c r="B8" s="7" t="s">
        <v>54</v>
      </c>
      <c r="C8" s="7"/>
      <c r="D8" s="7"/>
      <c r="E8" s="7">
        <v>6500</v>
      </c>
      <c r="F8" s="7">
        <f>'SEPTEMBER 21'!I8:I31</f>
        <v>0</v>
      </c>
      <c r="G8" s="7">
        <f>C8+D8+E8+F8</f>
        <v>6500</v>
      </c>
      <c r="H8" s="7">
        <v>6500</v>
      </c>
      <c r="I8" s="7">
        <f t="shared" si="0"/>
        <v>0</v>
      </c>
      <c r="J8" s="7"/>
      <c r="K8" s="7"/>
      <c r="M8" s="7" t="s">
        <v>179</v>
      </c>
      <c r="N8" s="7" t="s">
        <v>204</v>
      </c>
      <c r="O8" s="7"/>
      <c r="P8" s="7"/>
      <c r="Q8" s="7">
        <v>9000</v>
      </c>
      <c r="R8" s="7">
        <f>'SEPTEMBER 21'!U8:U35</f>
        <v>0</v>
      </c>
      <c r="S8" s="7">
        <f>O8+P8+Q8+R8</f>
        <v>9000</v>
      </c>
      <c r="T8" s="7">
        <v>9000</v>
      </c>
      <c r="U8" s="7">
        <f t="shared" si="1"/>
        <v>0</v>
      </c>
      <c r="V8" s="7"/>
    </row>
    <row r="9" spans="1:22" x14ac:dyDescent="0.25">
      <c r="A9" s="7" t="s">
        <v>34</v>
      </c>
      <c r="B9" s="9" t="s">
        <v>265</v>
      </c>
      <c r="C9" s="7"/>
      <c r="D9" s="7">
        <v>1000</v>
      </c>
      <c r="E9" s="7">
        <v>7000</v>
      </c>
      <c r="F9" s="7">
        <v>6000</v>
      </c>
      <c r="G9" s="7">
        <f t="shared" ref="G9:G26" si="2">C9+D9+E9+F9</f>
        <v>14000</v>
      </c>
      <c r="H9" s="7">
        <f>5000+6000+1000</f>
        <v>12000</v>
      </c>
      <c r="I9" s="7">
        <f t="shared" si="0"/>
        <v>2000</v>
      </c>
      <c r="J9" s="7"/>
      <c r="K9" s="7"/>
      <c r="M9" s="7" t="s">
        <v>180</v>
      </c>
      <c r="N9" s="7" t="s">
        <v>205</v>
      </c>
      <c r="O9" s="7"/>
      <c r="P9" s="7"/>
      <c r="Q9" s="7">
        <v>8000</v>
      </c>
      <c r="R9" s="7">
        <f>'SEPTEMBER 21'!U9:U36</f>
        <v>36300</v>
      </c>
      <c r="S9" s="7">
        <f t="shared" ref="S9:S31" si="3">O9+P9+Q9+R9</f>
        <v>44300</v>
      </c>
      <c r="T9" s="7">
        <v>8000</v>
      </c>
      <c r="U9" s="7">
        <f t="shared" si="1"/>
        <v>36300</v>
      </c>
      <c r="V9" s="7"/>
    </row>
    <row r="10" spans="1:22" x14ac:dyDescent="0.25">
      <c r="A10" s="7" t="s">
        <v>35</v>
      </c>
      <c r="B10" s="7" t="s">
        <v>55</v>
      </c>
      <c r="C10" s="7"/>
      <c r="D10" s="7"/>
      <c r="E10" s="7">
        <v>7000</v>
      </c>
      <c r="F10" s="7">
        <f>'SEPTEMBER 21'!I10:I33</f>
        <v>1000</v>
      </c>
      <c r="G10" s="7">
        <f t="shared" si="2"/>
        <v>8000</v>
      </c>
      <c r="H10" s="7">
        <v>7000</v>
      </c>
      <c r="I10" s="7">
        <f t="shared" si="0"/>
        <v>1000</v>
      </c>
      <c r="J10" s="7"/>
      <c r="K10" s="7"/>
      <c r="M10" s="7" t="s">
        <v>181</v>
      </c>
      <c r="N10" s="7" t="s">
        <v>206</v>
      </c>
      <c r="O10" s="7"/>
      <c r="P10" s="7"/>
      <c r="Q10" s="7">
        <v>8500</v>
      </c>
      <c r="R10" s="7">
        <f>'SEPTEMBER 21'!U10:U37</f>
        <v>11100</v>
      </c>
      <c r="S10" s="7">
        <f t="shared" si="3"/>
        <v>19600</v>
      </c>
      <c r="T10" s="7">
        <v>8500</v>
      </c>
      <c r="U10" s="7">
        <f t="shared" si="1"/>
        <v>11100</v>
      </c>
      <c r="V10" s="7"/>
    </row>
    <row r="11" spans="1:22" x14ac:dyDescent="0.25">
      <c r="A11" s="7" t="s">
        <v>36</v>
      </c>
      <c r="B11" s="7" t="s">
        <v>56</v>
      </c>
      <c r="C11" s="7"/>
      <c r="D11" s="7"/>
      <c r="E11" s="7">
        <v>7000</v>
      </c>
      <c r="F11" s="7">
        <f>'SEPTEMBER 21'!I11:I34</f>
        <v>14000</v>
      </c>
      <c r="G11" s="7">
        <f t="shared" si="2"/>
        <v>21000</v>
      </c>
      <c r="H11" s="7">
        <v>10000</v>
      </c>
      <c r="I11" s="7">
        <f t="shared" si="0"/>
        <v>11000</v>
      </c>
      <c r="J11" s="7"/>
      <c r="K11" s="7"/>
      <c r="M11" s="7" t="s">
        <v>182</v>
      </c>
      <c r="N11" s="7" t="s">
        <v>207</v>
      </c>
      <c r="O11" s="7"/>
      <c r="P11" s="7"/>
      <c r="Q11" s="7">
        <v>8000</v>
      </c>
      <c r="R11" s="7">
        <f>'SEPTEMBER 21'!U11:U38</f>
        <v>4500</v>
      </c>
      <c r="S11" s="7">
        <f t="shared" si="3"/>
        <v>12500</v>
      </c>
      <c r="T11" s="7">
        <v>9000</v>
      </c>
      <c r="U11" s="7">
        <f t="shared" si="1"/>
        <v>3500</v>
      </c>
      <c r="V11" s="7"/>
    </row>
    <row r="12" spans="1:22" x14ac:dyDescent="0.25">
      <c r="A12" s="7" t="s">
        <v>37</v>
      </c>
      <c r="B12" s="8" t="s">
        <v>65</v>
      </c>
      <c r="C12" s="7"/>
      <c r="D12" s="7"/>
      <c r="E12" s="7">
        <v>4500</v>
      </c>
      <c r="F12" s="7">
        <f>'SEPTEMBER 21'!I12:I35</f>
        <v>100</v>
      </c>
      <c r="G12" s="7">
        <f t="shared" si="2"/>
        <v>4600</v>
      </c>
      <c r="H12" s="7">
        <v>4500</v>
      </c>
      <c r="I12" s="7">
        <f t="shared" si="0"/>
        <v>100</v>
      </c>
      <c r="J12" s="7"/>
      <c r="K12" s="7"/>
      <c r="M12" s="7" t="s">
        <v>183</v>
      </c>
      <c r="N12" s="8" t="s">
        <v>208</v>
      </c>
      <c r="O12" s="7"/>
      <c r="P12" s="7"/>
      <c r="Q12" s="7">
        <v>8500</v>
      </c>
      <c r="R12" s="7">
        <f>'SEPTEMBER 21'!U12:U39</f>
        <v>0</v>
      </c>
      <c r="S12" s="7">
        <f t="shared" si="3"/>
        <v>8500</v>
      </c>
      <c r="T12" s="7">
        <v>8500</v>
      </c>
      <c r="U12" s="7">
        <f t="shared" si="1"/>
        <v>0</v>
      </c>
      <c r="V12" s="7"/>
    </row>
    <row r="13" spans="1:22" x14ac:dyDescent="0.25">
      <c r="A13" s="7" t="s">
        <v>38</v>
      </c>
      <c r="B13" s="7" t="s">
        <v>92</v>
      </c>
      <c r="C13" s="7"/>
      <c r="D13" s="7">
        <v>5000</v>
      </c>
      <c r="E13" s="7">
        <v>8000</v>
      </c>
      <c r="F13" s="7"/>
      <c r="G13" s="7">
        <f t="shared" si="2"/>
        <v>13000</v>
      </c>
      <c r="H13" s="7">
        <v>8000</v>
      </c>
      <c r="I13" s="7">
        <f t="shared" si="0"/>
        <v>5000</v>
      </c>
      <c r="J13" s="7"/>
      <c r="K13" s="7"/>
      <c r="M13" s="7" t="s">
        <v>184</v>
      </c>
      <c r="N13" s="7" t="s">
        <v>279</v>
      </c>
      <c r="O13" s="7"/>
      <c r="P13" s="7"/>
      <c r="Q13" s="7">
        <v>3500</v>
      </c>
      <c r="R13" s="7">
        <f>'SEPTEMBER 21'!U13:U40</f>
        <v>0</v>
      </c>
      <c r="S13" s="7">
        <f t="shared" si="3"/>
        <v>3500</v>
      </c>
      <c r="T13" s="7">
        <v>3500</v>
      </c>
      <c r="U13" s="7">
        <f t="shared" si="1"/>
        <v>0</v>
      </c>
      <c r="V13" s="7"/>
    </row>
    <row r="14" spans="1:22" x14ac:dyDescent="0.25">
      <c r="A14" s="7" t="s">
        <v>39</v>
      </c>
      <c r="B14" s="7" t="s">
        <v>70</v>
      </c>
      <c r="C14" s="7"/>
      <c r="D14" s="7"/>
      <c r="E14" s="7">
        <v>6500</v>
      </c>
      <c r="F14" s="7">
        <f>'SEPTEMBER 21'!I14:I37</f>
        <v>1500</v>
      </c>
      <c r="G14" s="7">
        <f t="shared" si="2"/>
        <v>8000</v>
      </c>
      <c r="H14" s="7">
        <v>6500</v>
      </c>
      <c r="I14" s="7">
        <f t="shared" si="0"/>
        <v>1500</v>
      </c>
      <c r="J14" s="7"/>
      <c r="K14" s="7"/>
      <c r="M14" s="7" t="s">
        <v>185</v>
      </c>
      <c r="N14" s="7" t="s">
        <v>210</v>
      </c>
      <c r="O14" s="7"/>
      <c r="P14" s="7"/>
      <c r="Q14" s="7">
        <v>5000</v>
      </c>
      <c r="R14" s="7">
        <f>'SEPTEMBER 21'!U14:U41</f>
        <v>250</v>
      </c>
      <c r="S14" s="7">
        <f t="shared" si="3"/>
        <v>5250</v>
      </c>
      <c r="T14" s="7">
        <f>5250</f>
        <v>5250</v>
      </c>
      <c r="U14" s="7">
        <f t="shared" si="1"/>
        <v>0</v>
      </c>
      <c r="V14" s="7"/>
    </row>
    <row r="15" spans="1:22" x14ac:dyDescent="0.25">
      <c r="A15" s="7" t="s">
        <v>40</v>
      </c>
      <c r="B15" s="7" t="s">
        <v>174</v>
      </c>
      <c r="C15" s="7"/>
      <c r="D15" s="7"/>
      <c r="E15" s="7">
        <v>7500</v>
      </c>
      <c r="F15" s="7">
        <f>'SEPTEMBER 21'!I15:I38</f>
        <v>0</v>
      </c>
      <c r="G15" s="7">
        <f t="shared" si="2"/>
        <v>7500</v>
      </c>
      <c r="H15" s="7">
        <v>7500</v>
      </c>
      <c r="I15" s="7">
        <f t="shared" si="0"/>
        <v>0</v>
      </c>
      <c r="J15" s="7"/>
      <c r="K15" s="7"/>
      <c r="M15" s="7" t="s">
        <v>186</v>
      </c>
      <c r="N15" s="9" t="s">
        <v>267</v>
      </c>
      <c r="O15" s="7"/>
      <c r="P15" s="7"/>
      <c r="Q15" s="7">
        <v>4000</v>
      </c>
      <c r="R15" s="7">
        <f>'SEPTEMBER 21'!U15:U42</f>
        <v>0</v>
      </c>
      <c r="S15" s="7">
        <f t="shared" si="3"/>
        <v>4000</v>
      </c>
      <c r="T15" s="7">
        <v>4000</v>
      </c>
      <c r="U15" s="7">
        <f t="shared" si="1"/>
        <v>0</v>
      </c>
      <c r="V15" s="7"/>
    </row>
    <row r="16" spans="1:22" x14ac:dyDescent="0.25">
      <c r="A16" s="7" t="s">
        <v>41</v>
      </c>
      <c r="B16" s="7" t="s">
        <v>58</v>
      </c>
      <c r="C16" s="7"/>
      <c r="D16" s="7"/>
      <c r="E16" s="7">
        <v>7000</v>
      </c>
      <c r="F16" s="7">
        <f>'SEPTEMBER 21'!I16:I39</f>
        <v>1500</v>
      </c>
      <c r="G16" s="7">
        <f t="shared" si="2"/>
        <v>8500</v>
      </c>
      <c r="H16" s="7">
        <v>7000</v>
      </c>
      <c r="I16" s="7">
        <f t="shared" si="0"/>
        <v>1500</v>
      </c>
      <c r="J16" s="7"/>
      <c r="K16" s="7"/>
      <c r="M16" s="7" t="s">
        <v>187</v>
      </c>
      <c r="N16" s="7" t="s">
        <v>212</v>
      </c>
      <c r="O16" s="7"/>
      <c r="P16" s="7"/>
      <c r="Q16" s="7">
        <v>4500</v>
      </c>
      <c r="R16" s="7">
        <f>'SEPTEMBER 21'!U16:U43</f>
        <v>0</v>
      </c>
      <c r="S16" s="7">
        <f t="shared" si="3"/>
        <v>4500</v>
      </c>
      <c r="T16" s="7">
        <v>4500</v>
      </c>
      <c r="U16" s="7">
        <f t="shared" si="1"/>
        <v>0</v>
      </c>
      <c r="V16" s="7"/>
    </row>
    <row r="17" spans="1:22" x14ac:dyDescent="0.25">
      <c r="A17" s="7" t="s">
        <v>42</v>
      </c>
      <c r="B17" s="7" t="s">
        <v>59</v>
      </c>
      <c r="C17" s="7"/>
      <c r="D17" s="7"/>
      <c r="E17" s="7">
        <v>7000</v>
      </c>
      <c r="F17" s="7">
        <f>'SEPTEMBER 21'!I17:I40</f>
        <v>1000</v>
      </c>
      <c r="G17" s="7">
        <f t="shared" si="2"/>
        <v>8000</v>
      </c>
      <c r="H17" s="7">
        <f>4000</f>
        <v>4000</v>
      </c>
      <c r="I17" s="7">
        <f>G17-H17</f>
        <v>4000</v>
      </c>
      <c r="J17" s="7"/>
      <c r="K17" s="7"/>
      <c r="M17" s="7" t="s">
        <v>188</v>
      </c>
      <c r="N17" s="45" t="s">
        <v>213</v>
      </c>
      <c r="O17" s="45"/>
      <c r="P17" s="45"/>
      <c r="Q17" s="45"/>
      <c r="R17" s="7">
        <f>'SEPTEMBER 21'!U17:U44</f>
        <v>48000</v>
      </c>
      <c r="S17" s="45">
        <f>O17+P17+Q17+R17+4000</f>
        <v>52000</v>
      </c>
      <c r="T17" s="45"/>
      <c r="U17" s="45">
        <f t="shared" si="1"/>
        <v>52000</v>
      </c>
      <c r="V17" s="7"/>
    </row>
    <row r="18" spans="1:22" x14ac:dyDescent="0.25">
      <c r="A18" s="7" t="s">
        <v>43</v>
      </c>
      <c r="B18" s="7" t="s">
        <v>230</v>
      </c>
      <c r="C18" s="7"/>
      <c r="D18" s="7"/>
      <c r="E18" s="7">
        <v>5000</v>
      </c>
      <c r="F18" s="7">
        <f>'SEPTEMBER 21'!I18:I41</f>
        <v>0</v>
      </c>
      <c r="G18" s="7">
        <f t="shared" si="2"/>
        <v>5000</v>
      </c>
      <c r="H18" s="7">
        <v>5000</v>
      </c>
      <c r="I18" s="7">
        <f t="shared" si="0"/>
        <v>0</v>
      </c>
      <c r="J18" s="7"/>
      <c r="K18" s="7"/>
      <c r="M18" s="7" t="s">
        <v>189</v>
      </c>
      <c r="N18" s="45" t="s">
        <v>209</v>
      </c>
      <c r="O18" s="45"/>
      <c r="P18" s="45"/>
      <c r="Q18" s="45"/>
      <c r="R18" s="7">
        <f>'SEPTEMBER 21'!U18:U45</f>
        <v>12000</v>
      </c>
      <c r="S18" s="45">
        <f>O18+P18+Q18+R18</f>
        <v>12000</v>
      </c>
      <c r="T18" s="45"/>
      <c r="U18" s="45">
        <f t="shared" si="1"/>
        <v>12000</v>
      </c>
      <c r="V18" s="7"/>
    </row>
    <row r="19" spans="1:22" x14ac:dyDescent="0.25">
      <c r="A19" s="7" t="s">
        <v>44</v>
      </c>
      <c r="B19" s="9" t="s">
        <v>118</v>
      </c>
      <c r="C19" s="7"/>
      <c r="D19" s="7"/>
      <c r="E19" s="7">
        <v>8000</v>
      </c>
      <c r="F19" s="7">
        <f>'SEPTEMBER 21'!I19:I42</f>
        <v>0</v>
      </c>
      <c r="G19" s="7">
        <f t="shared" si="2"/>
        <v>8000</v>
      </c>
      <c r="H19" s="7">
        <v>8000</v>
      </c>
      <c r="I19" s="7">
        <f t="shared" si="0"/>
        <v>0</v>
      </c>
      <c r="J19" s="7"/>
      <c r="K19" s="7"/>
      <c r="M19" s="7" t="s">
        <v>190</v>
      </c>
      <c r="N19" s="9" t="s">
        <v>215</v>
      </c>
      <c r="O19" s="7"/>
      <c r="P19" s="7"/>
      <c r="Q19" s="7">
        <v>4000</v>
      </c>
      <c r="R19" s="7">
        <f>'SEPTEMBER 21'!U19:U46</f>
        <v>5000</v>
      </c>
      <c r="S19" s="7">
        <f t="shared" si="3"/>
        <v>9000</v>
      </c>
      <c r="T19" s="7">
        <f>4000</f>
        <v>4000</v>
      </c>
      <c r="U19" s="7">
        <f t="shared" si="1"/>
        <v>5000</v>
      </c>
      <c r="V19" s="7"/>
    </row>
    <row r="20" spans="1:22" x14ac:dyDescent="0.25">
      <c r="A20" s="7" t="s">
        <v>45</v>
      </c>
      <c r="B20" s="7"/>
      <c r="C20" s="7"/>
      <c r="D20" s="7"/>
      <c r="E20" s="7"/>
      <c r="F20" s="7">
        <f>'SEPTEMBER 21'!I20:I43</f>
        <v>0</v>
      </c>
      <c r="G20" s="7">
        <f t="shared" si="2"/>
        <v>0</v>
      </c>
      <c r="H20" s="7"/>
      <c r="I20" s="7">
        <f t="shared" si="0"/>
        <v>0</v>
      </c>
      <c r="J20" s="7"/>
      <c r="K20" s="7"/>
      <c r="M20" s="7" t="s">
        <v>123</v>
      </c>
      <c r="N20" s="7" t="s">
        <v>231</v>
      </c>
      <c r="O20" s="7"/>
      <c r="P20" s="7"/>
      <c r="Q20" s="7">
        <v>4500</v>
      </c>
      <c r="R20" s="7">
        <f>'SEPTEMBER 21'!U20:U47</f>
        <v>0</v>
      </c>
      <c r="S20" s="7">
        <f t="shared" si="3"/>
        <v>4500</v>
      </c>
      <c r="T20" s="7">
        <v>4500</v>
      </c>
      <c r="U20" s="7">
        <f t="shared" si="1"/>
        <v>0</v>
      </c>
      <c r="V20" s="7"/>
    </row>
    <row r="21" spans="1:22" x14ac:dyDescent="0.25">
      <c r="A21" s="7" t="s">
        <v>46</v>
      </c>
      <c r="B21" s="7" t="s">
        <v>132</v>
      </c>
      <c r="C21" s="7"/>
      <c r="D21" s="7"/>
      <c r="E21" s="7">
        <v>6500</v>
      </c>
      <c r="F21" s="7">
        <f>'SEPTEMBER 21'!I21:I44</f>
        <v>0</v>
      </c>
      <c r="G21" s="7">
        <f t="shared" si="2"/>
        <v>6500</v>
      </c>
      <c r="H21" s="7">
        <v>6500</v>
      </c>
      <c r="I21" s="7">
        <f t="shared" si="0"/>
        <v>0</v>
      </c>
      <c r="J21" s="7"/>
      <c r="K21" s="7"/>
      <c r="M21" s="7" t="s">
        <v>191</v>
      </c>
      <c r="N21" s="7" t="s">
        <v>216</v>
      </c>
      <c r="O21" s="7"/>
      <c r="P21" s="7"/>
      <c r="Q21" s="7">
        <v>4500</v>
      </c>
      <c r="R21" s="7">
        <f>'SEPTEMBER 21'!U21:U48</f>
        <v>5000</v>
      </c>
      <c r="S21" s="7">
        <f t="shared" si="3"/>
        <v>9500</v>
      </c>
      <c r="T21" s="7">
        <v>4500</v>
      </c>
      <c r="U21" s="7">
        <f t="shared" si="1"/>
        <v>5000</v>
      </c>
      <c r="V21" s="7"/>
    </row>
    <row r="22" spans="1:22" x14ac:dyDescent="0.25">
      <c r="A22" s="7" t="s">
        <v>47</v>
      </c>
      <c r="B22" s="7" t="s">
        <v>64</v>
      </c>
      <c r="C22" s="7"/>
      <c r="D22" s="7"/>
      <c r="E22" s="7">
        <v>7000</v>
      </c>
      <c r="F22" s="7">
        <f>'SEPTEMBER 21'!I22:I45</f>
        <v>0</v>
      </c>
      <c r="G22" s="7">
        <f t="shared" si="2"/>
        <v>7000</v>
      </c>
      <c r="H22" s="8">
        <v>7000</v>
      </c>
      <c r="I22" s="7">
        <f>G22-H22</f>
        <v>0</v>
      </c>
      <c r="J22" s="7"/>
      <c r="K22" s="7"/>
      <c r="M22" s="7" t="s">
        <v>192</v>
      </c>
      <c r="N22" s="7" t="s">
        <v>214</v>
      </c>
      <c r="O22" s="7"/>
      <c r="P22" s="7"/>
      <c r="Q22" s="7">
        <v>4000</v>
      </c>
      <c r="R22" s="7">
        <f>'SEPTEMBER 21'!U22:U49</f>
        <v>0</v>
      </c>
      <c r="S22" s="7">
        <f t="shared" si="3"/>
        <v>4000</v>
      </c>
      <c r="T22">
        <v>4000</v>
      </c>
      <c r="U22" s="7">
        <f>S22-T22</f>
        <v>0</v>
      </c>
      <c r="V22" s="7"/>
    </row>
    <row r="23" spans="1:22" x14ac:dyDescent="0.25">
      <c r="A23" s="7" t="s">
        <v>66</v>
      </c>
      <c r="B23" s="7" t="s">
        <v>69</v>
      </c>
      <c r="C23" s="7"/>
      <c r="D23" s="7"/>
      <c r="E23" s="7">
        <v>8500</v>
      </c>
      <c r="F23" s="7">
        <f>'SEPTEMBER 21'!I23:I46</f>
        <v>0</v>
      </c>
      <c r="G23" s="7">
        <f t="shared" si="2"/>
        <v>8500</v>
      </c>
      <c r="H23" s="7">
        <v>8500</v>
      </c>
      <c r="I23" s="7">
        <f>G23-H23</f>
        <v>0</v>
      </c>
      <c r="J23" s="7"/>
      <c r="K23" s="7"/>
      <c r="M23" s="7" t="s">
        <v>193</v>
      </c>
      <c r="N23" s="45" t="s">
        <v>257</v>
      </c>
      <c r="O23" s="7"/>
      <c r="P23" s="7"/>
      <c r="Q23" s="7">
        <v>4500</v>
      </c>
      <c r="R23" s="7">
        <f>'SEPTEMBER 21'!U23:U50</f>
        <v>5000</v>
      </c>
      <c r="S23" s="7">
        <f t="shared" si="3"/>
        <v>9500</v>
      </c>
      <c r="T23" s="7">
        <v>6000</v>
      </c>
      <c r="U23" s="7">
        <f>S23-T23</f>
        <v>3500</v>
      </c>
      <c r="V23" s="7"/>
    </row>
    <row r="24" spans="1:22" x14ac:dyDescent="0.25">
      <c r="A24" s="7" t="s">
        <v>48</v>
      </c>
      <c r="B24" s="7" t="s">
        <v>233</v>
      </c>
      <c r="C24" s="7"/>
      <c r="D24" s="7"/>
      <c r="E24" s="7">
        <v>5000</v>
      </c>
      <c r="F24" s="7">
        <f>'SEPTEMBER 21'!I24:I47</f>
        <v>0</v>
      </c>
      <c r="G24" s="7">
        <f t="shared" si="2"/>
        <v>5000</v>
      </c>
      <c r="H24" s="7">
        <v>5000</v>
      </c>
      <c r="I24" s="7">
        <f>G24-H24</f>
        <v>0</v>
      </c>
      <c r="J24" s="7"/>
      <c r="K24" s="7"/>
      <c r="M24" s="7" t="s">
        <v>194</v>
      </c>
      <c r="N24" s="7" t="s">
        <v>256</v>
      </c>
      <c r="O24" s="7"/>
      <c r="P24" s="7"/>
      <c r="Q24" s="7">
        <v>4000</v>
      </c>
      <c r="R24" s="7">
        <f>'SEPTEMBER 21'!U24:U51</f>
        <v>2300</v>
      </c>
      <c r="S24" s="7">
        <f t="shared" si="3"/>
        <v>6300</v>
      </c>
      <c r="T24" s="7">
        <f>4000+2300</f>
        <v>6300</v>
      </c>
      <c r="U24" s="7">
        <f>S24-T24</f>
        <v>0</v>
      </c>
      <c r="V24" s="7"/>
    </row>
    <row r="25" spans="1:22" x14ac:dyDescent="0.25">
      <c r="A25" s="7" t="s">
        <v>49</v>
      </c>
      <c r="B25" s="7" t="s">
        <v>273</v>
      </c>
      <c r="C25" s="7"/>
      <c r="D25" s="7"/>
      <c r="E25" s="7">
        <v>8500</v>
      </c>
      <c r="F25" s="7">
        <f>'SEPTEMBER 21'!I25:I48</f>
        <v>0</v>
      </c>
      <c r="G25" s="7">
        <f t="shared" si="2"/>
        <v>8500</v>
      </c>
      <c r="H25" s="7">
        <v>8500</v>
      </c>
      <c r="I25" s="7">
        <f>G25-H25</f>
        <v>0</v>
      </c>
      <c r="J25" s="7"/>
      <c r="K25" s="7"/>
      <c r="L25" t="s">
        <v>263</v>
      </c>
      <c r="M25" s="7" t="s">
        <v>195</v>
      </c>
      <c r="N25" s="7" t="s">
        <v>218</v>
      </c>
      <c r="O25" s="7"/>
      <c r="P25" s="7"/>
      <c r="Q25" s="7">
        <v>4000</v>
      </c>
      <c r="R25" s="7">
        <f>'SEPTEMBER 21'!U25:U52</f>
        <v>0</v>
      </c>
      <c r="S25" s="7">
        <f t="shared" si="3"/>
        <v>4000</v>
      </c>
      <c r="T25" s="7">
        <v>4000</v>
      </c>
      <c r="U25" s="7">
        <f>S25-T25</f>
        <v>0</v>
      </c>
      <c r="V25" s="7"/>
    </row>
    <row r="26" spans="1:22" x14ac:dyDescent="0.25">
      <c r="A26" s="7" t="s">
        <v>88</v>
      </c>
      <c r="B26" s="7" t="s">
        <v>110</v>
      </c>
      <c r="C26" s="7"/>
      <c r="D26" s="7"/>
      <c r="E26" s="7">
        <v>7000</v>
      </c>
      <c r="F26" s="7">
        <f>'SEPTEMBER 21'!I26:I49</f>
        <v>6600</v>
      </c>
      <c r="G26" s="7">
        <f t="shared" si="2"/>
        <v>13600</v>
      </c>
      <c r="H26" s="7">
        <v>7000</v>
      </c>
      <c r="I26" s="7">
        <f>G26-H26</f>
        <v>6600</v>
      </c>
      <c r="J26" s="7"/>
      <c r="K26" s="7"/>
      <c r="M26" s="7" t="s">
        <v>196</v>
      </c>
      <c r="N26" s="7" t="s">
        <v>219</v>
      </c>
      <c r="O26" s="7"/>
      <c r="P26" s="7"/>
      <c r="Q26" s="7"/>
      <c r="R26" s="7">
        <f>'SEPTEMBER 21'!U26:U53</f>
        <v>8000</v>
      </c>
      <c r="S26" s="7">
        <f t="shared" si="3"/>
        <v>8000</v>
      </c>
      <c r="T26" s="7"/>
      <c r="U26" s="7">
        <f t="shared" ref="U26:U31" si="4">S26-T26</f>
        <v>8000</v>
      </c>
      <c r="V26" s="7"/>
    </row>
    <row r="27" spans="1:22" x14ac:dyDescent="0.25">
      <c r="A27" s="6"/>
      <c r="B27" s="10" t="s">
        <v>12</v>
      </c>
      <c r="C27" s="10">
        <f>SUM(C4:C5)</f>
        <v>0</v>
      </c>
      <c r="D27" s="10">
        <f t="shared" ref="D27:K27" si="5">SUM(D5:D26)</f>
        <v>8500</v>
      </c>
      <c r="E27" s="6">
        <f t="shared" si="5"/>
        <v>138500</v>
      </c>
      <c r="F27" s="7">
        <f>'SEPTEMBER 21'!I27:I50</f>
        <v>40200</v>
      </c>
      <c r="G27" s="7">
        <f t="shared" si="5"/>
        <v>178700</v>
      </c>
      <c r="H27" s="6">
        <f t="shared" si="5"/>
        <v>136000</v>
      </c>
      <c r="I27" s="6">
        <f t="shared" si="5"/>
        <v>42700</v>
      </c>
      <c r="J27" s="6">
        <f t="shared" si="5"/>
        <v>0</v>
      </c>
      <c r="K27" s="6">
        <f t="shared" si="5"/>
        <v>0</v>
      </c>
      <c r="M27" s="7" t="s">
        <v>197</v>
      </c>
      <c r="N27" s="7" t="s">
        <v>222</v>
      </c>
      <c r="O27" s="7"/>
      <c r="P27" s="7"/>
      <c r="Q27" s="7">
        <v>10000</v>
      </c>
      <c r="R27" s="7">
        <v>9800</v>
      </c>
      <c r="S27" s="7">
        <f t="shared" si="3"/>
        <v>19800</v>
      </c>
      <c r="T27" s="7">
        <f>10000</f>
        <v>10000</v>
      </c>
      <c r="U27" s="7">
        <f t="shared" si="4"/>
        <v>9800</v>
      </c>
      <c r="V27" s="7"/>
    </row>
    <row r="28" spans="1:22" x14ac:dyDescent="0.25">
      <c r="A28" s="11"/>
      <c r="F28" s="7">
        <f>'SEPTEMBER 21'!I28:I51</f>
        <v>26100</v>
      </c>
      <c r="I28" s="8">
        <f>I27-F26-D13-D7</f>
        <v>28600</v>
      </c>
      <c r="M28" s="7" t="s">
        <v>198</v>
      </c>
      <c r="N28" s="7" t="s">
        <v>221</v>
      </c>
      <c r="O28" s="7"/>
      <c r="P28" s="7"/>
      <c r="Q28" s="7">
        <v>8000</v>
      </c>
      <c r="R28" s="7">
        <f>'SEPTEMBER 21'!U28:U55</f>
        <v>13100</v>
      </c>
      <c r="S28" s="7">
        <f t="shared" si="3"/>
        <v>21100</v>
      </c>
      <c r="T28" s="7">
        <v>8200</v>
      </c>
      <c r="U28" s="7">
        <f t="shared" si="4"/>
        <v>12900</v>
      </c>
      <c r="V28" s="7">
        <v>200</v>
      </c>
    </row>
    <row r="29" spans="1:22" ht="18.75" x14ac:dyDescent="0.3">
      <c r="B29" s="12" t="s">
        <v>13</v>
      </c>
      <c r="C29" s="44" t="s">
        <v>227</v>
      </c>
      <c r="D29" s="13"/>
      <c r="E29" s="13"/>
      <c r="F29" s="44" t="s">
        <v>228</v>
      </c>
      <c r="G29" s="13"/>
      <c r="H29" s="14"/>
      <c r="I29" s="14"/>
      <c r="M29" s="7" t="s">
        <v>199</v>
      </c>
      <c r="N29" s="7" t="s">
        <v>283</v>
      </c>
      <c r="O29" s="7"/>
      <c r="P29" s="7"/>
      <c r="Q29" s="7">
        <v>8500</v>
      </c>
      <c r="R29" s="7"/>
      <c r="S29" s="7">
        <f t="shared" si="3"/>
        <v>8500</v>
      </c>
      <c r="T29" s="7">
        <v>8500</v>
      </c>
      <c r="U29" s="7">
        <f t="shared" si="4"/>
        <v>0</v>
      </c>
      <c r="V29" s="7"/>
    </row>
    <row r="30" spans="1:22" ht="15.75" x14ac:dyDescent="0.25">
      <c r="B30" s="15" t="s">
        <v>14</v>
      </c>
      <c r="C30" s="15" t="s">
        <v>15</v>
      </c>
      <c r="D30" s="15" t="s">
        <v>16</v>
      </c>
      <c r="E30" s="15" t="s">
        <v>17</v>
      </c>
      <c r="F30" s="15" t="s">
        <v>18</v>
      </c>
      <c r="G30" s="15" t="s">
        <v>15</v>
      </c>
      <c r="H30" s="15" t="s">
        <v>16</v>
      </c>
      <c r="I30" s="15" t="s">
        <v>17</v>
      </c>
      <c r="K30" s="25"/>
      <c r="M30" s="7" t="s">
        <v>200</v>
      </c>
      <c r="N30" s="7" t="s">
        <v>223</v>
      </c>
      <c r="O30" s="7"/>
      <c r="P30" s="7"/>
      <c r="Q30" s="7">
        <v>5000</v>
      </c>
      <c r="R30" s="7">
        <f>'SEPTEMBER 21'!U30:U57</f>
        <v>0</v>
      </c>
      <c r="S30" s="7">
        <f t="shared" si="3"/>
        <v>5000</v>
      </c>
      <c r="T30" s="7">
        <v>5000</v>
      </c>
      <c r="U30" s="7">
        <f t="shared" si="4"/>
        <v>0</v>
      </c>
      <c r="V30" s="7"/>
    </row>
    <row r="31" spans="1:22" x14ac:dyDescent="0.25">
      <c r="B31" s="9" t="s">
        <v>162</v>
      </c>
      <c r="C31" s="16">
        <f>E27</f>
        <v>138500</v>
      </c>
      <c r="D31" s="17">
        <v>0.1</v>
      </c>
      <c r="E31" s="16"/>
      <c r="F31" s="9" t="s">
        <v>162</v>
      </c>
      <c r="G31" s="16">
        <f>H27</f>
        <v>136000</v>
      </c>
      <c r="H31" s="17">
        <v>0.1</v>
      </c>
      <c r="I31" s="9"/>
      <c r="M31" s="7" t="s">
        <v>201</v>
      </c>
      <c r="N31" s="7" t="s">
        <v>224</v>
      </c>
      <c r="O31" s="7"/>
      <c r="P31" s="7"/>
      <c r="Q31" s="7">
        <v>7500</v>
      </c>
      <c r="R31" s="7">
        <f>'SEPTEMBER 21'!U31:U58</f>
        <v>57100</v>
      </c>
      <c r="S31" s="7">
        <f t="shared" si="3"/>
        <v>64600</v>
      </c>
      <c r="T31" s="7">
        <f>500+6500</f>
        <v>7000</v>
      </c>
      <c r="U31" s="7">
        <f t="shared" si="4"/>
        <v>57600</v>
      </c>
      <c r="V31" s="7"/>
    </row>
    <row r="32" spans="1:22" x14ac:dyDescent="0.25">
      <c r="B32" s="9" t="s">
        <v>20</v>
      </c>
      <c r="C32" s="16">
        <f>'SEPTEMBER 21'!E45</f>
        <v>46350</v>
      </c>
      <c r="D32" s="9"/>
      <c r="E32" s="9"/>
      <c r="F32" s="9" t="s">
        <v>20</v>
      </c>
      <c r="G32" s="16">
        <f>'SEPTEMBER 21'!I45</f>
        <v>19750</v>
      </c>
      <c r="H32" s="9"/>
      <c r="I32" s="9"/>
      <c r="K32" s="26"/>
      <c r="M32" s="6"/>
      <c r="N32" s="10" t="s">
        <v>12</v>
      </c>
      <c r="O32" s="10">
        <f>SUM(O4:O5)</f>
        <v>0</v>
      </c>
      <c r="P32" s="10">
        <f t="shared" ref="P32:V32" si="6">SUM(P5:P31)</f>
        <v>0</v>
      </c>
      <c r="Q32" s="6">
        <f>SUM(Q5:Q31)</f>
        <v>143000</v>
      </c>
      <c r="R32" s="7">
        <f>'SEPTEMBER 21'!U32:U59</f>
        <v>218450</v>
      </c>
      <c r="S32" s="7">
        <f t="shared" si="6"/>
        <v>365450</v>
      </c>
      <c r="T32" s="6">
        <f t="shared" si="6"/>
        <v>142150</v>
      </c>
      <c r="U32" s="6">
        <f t="shared" si="6"/>
        <v>223300</v>
      </c>
      <c r="V32" s="6">
        <f t="shared" si="6"/>
        <v>200</v>
      </c>
    </row>
    <row r="33" spans="2:22" x14ac:dyDescent="0.25">
      <c r="B33" s="9" t="s">
        <v>163</v>
      </c>
      <c r="C33" s="16"/>
      <c r="D33" s="9"/>
      <c r="E33" s="9"/>
      <c r="F33" s="9"/>
      <c r="G33" s="16"/>
      <c r="H33" s="16"/>
      <c r="I33" s="9"/>
      <c r="K33" s="26"/>
      <c r="M33" s="11"/>
      <c r="R33" s="7">
        <f>'SEPTEMBER 21'!U33:U60</f>
        <v>0</v>
      </c>
      <c r="U33" s="8"/>
    </row>
    <row r="34" spans="2:22" ht="18.75" x14ac:dyDescent="0.3">
      <c r="B34" s="9" t="s">
        <v>21</v>
      </c>
      <c r="C34" s="16">
        <f>J27</f>
        <v>0</v>
      </c>
      <c r="D34" s="9"/>
      <c r="E34" s="9"/>
      <c r="F34" s="9"/>
      <c r="G34" s="16"/>
      <c r="H34" s="16"/>
      <c r="I34" s="9"/>
      <c r="K34" s="26"/>
      <c r="N34" s="12" t="s">
        <v>13</v>
      </c>
      <c r="O34" s="44" t="s">
        <v>227</v>
      </c>
      <c r="P34" s="13"/>
      <c r="Q34" s="13"/>
      <c r="R34" s="44" t="s">
        <v>228</v>
      </c>
      <c r="S34" s="13"/>
      <c r="T34" s="14"/>
      <c r="U34" s="14"/>
    </row>
    <row r="35" spans="2:22" ht="15.75" x14ac:dyDescent="0.25">
      <c r="B35" s="9" t="s">
        <v>102</v>
      </c>
      <c r="C35" s="16">
        <f>K27</f>
        <v>0</v>
      </c>
      <c r="D35" s="9"/>
      <c r="E35" s="9"/>
      <c r="F35" s="9" t="s">
        <v>102</v>
      </c>
      <c r="G35" s="16">
        <f>K27</f>
        <v>0</v>
      </c>
      <c r="H35" s="9"/>
      <c r="I35" s="9"/>
      <c r="K35" s="26"/>
      <c r="N35" s="15" t="s">
        <v>14</v>
      </c>
      <c r="O35" s="15" t="s">
        <v>226</v>
      </c>
      <c r="P35" s="15" t="s">
        <v>16</v>
      </c>
      <c r="Q35" s="15" t="s">
        <v>17</v>
      </c>
      <c r="R35" s="15" t="s">
        <v>18</v>
      </c>
      <c r="S35" s="15" t="s">
        <v>15</v>
      </c>
      <c r="T35" s="15" t="s">
        <v>16</v>
      </c>
      <c r="U35" s="15" t="s">
        <v>17</v>
      </c>
    </row>
    <row r="36" spans="2:22" x14ac:dyDescent="0.25">
      <c r="B36" s="9" t="s">
        <v>97</v>
      </c>
      <c r="C36" s="16">
        <v>0.3</v>
      </c>
      <c r="D36" s="9"/>
      <c r="E36" s="9"/>
      <c r="F36" s="9" t="s">
        <v>97</v>
      </c>
      <c r="G36" s="16">
        <v>0.3</v>
      </c>
      <c r="H36" s="9">
        <f>D36</f>
        <v>0</v>
      </c>
      <c r="I36" s="9"/>
      <c r="N36" s="9" t="s">
        <v>162</v>
      </c>
      <c r="O36" s="16">
        <f>Q32</f>
        <v>143000</v>
      </c>
      <c r="P36" s="17">
        <v>0.1</v>
      </c>
      <c r="Q36" s="16"/>
      <c r="R36" s="9" t="s">
        <v>162</v>
      </c>
      <c r="S36" s="16">
        <f>T32</f>
        <v>142150</v>
      </c>
      <c r="T36" s="17">
        <v>0.1</v>
      </c>
      <c r="U36" s="9"/>
    </row>
    <row r="37" spans="2:22" x14ac:dyDescent="0.25">
      <c r="B37" s="9" t="s">
        <v>22</v>
      </c>
      <c r="C37" s="18"/>
      <c r="D37" s="9">
        <f>C31*D31</f>
        <v>13850</v>
      </c>
      <c r="E37" s="9"/>
      <c r="F37" s="9" t="s">
        <v>22</v>
      </c>
      <c r="G37" s="18"/>
      <c r="H37" s="9">
        <f>D37</f>
        <v>13850</v>
      </c>
      <c r="I37" s="9"/>
      <c r="K37" s="26"/>
      <c r="N37" s="9" t="s">
        <v>20</v>
      </c>
      <c r="O37" s="16">
        <f>'SEPTEMBER 21'!Q50</f>
        <v>26350</v>
      </c>
      <c r="P37" s="9"/>
      <c r="Q37" s="9"/>
      <c r="R37" s="7" t="s">
        <v>6</v>
      </c>
      <c r="S37" s="16">
        <f>'SEPTEMBER 21'!U50</f>
        <v>3800</v>
      </c>
      <c r="T37" s="9"/>
      <c r="U37" s="9"/>
    </row>
    <row r="38" spans="2:22" x14ac:dyDescent="0.25">
      <c r="B38" s="19" t="s">
        <v>23</v>
      </c>
      <c r="C38" s="9"/>
      <c r="D38" s="9"/>
      <c r="E38" s="9"/>
      <c r="F38" s="19" t="s">
        <v>23</v>
      </c>
      <c r="G38" s="9"/>
      <c r="H38" s="9"/>
      <c r="I38" s="9"/>
      <c r="N38" s="9" t="s">
        <v>163</v>
      </c>
      <c r="O38" s="16">
        <f>P32</f>
        <v>0</v>
      </c>
      <c r="P38" s="9"/>
      <c r="Q38" s="9"/>
      <c r="R38" s="9"/>
      <c r="S38" s="16"/>
      <c r="T38" s="16"/>
      <c r="U38" s="9"/>
    </row>
    <row r="39" spans="2:22" x14ac:dyDescent="0.25">
      <c r="B39" s="20" t="s">
        <v>287</v>
      </c>
      <c r="C39" s="9"/>
      <c r="D39" s="9">
        <v>46350</v>
      </c>
      <c r="E39" s="9"/>
      <c r="F39" s="20" t="s">
        <v>287</v>
      </c>
      <c r="G39" s="9"/>
      <c r="H39" s="9">
        <v>46350</v>
      </c>
      <c r="I39" s="9"/>
      <c r="J39" s="26"/>
      <c r="N39" s="9" t="s">
        <v>21</v>
      </c>
      <c r="O39" s="16">
        <f>V32</f>
        <v>200</v>
      </c>
      <c r="P39" s="9"/>
      <c r="Q39" s="9"/>
      <c r="R39" s="9"/>
      <c r="S39" s="16"/>
      <c r="T39" s="16"/>
      <c r="U39" s="9"/>
    </row>
    <row r="40" spans="2:22" x14ac:dyDescent="0.25">
      <c r="B40" s="7" t="s">
        <v>288</v>
      </c>
      <c r="C40" s="9"/>
      <c r="D40" s="7">
        <v>70000</v>
      </c>
      <c r="E40" s="7"/>
      <c r="F40" s="7" t="s">
        <v>288</v>
      </c>
      <c r="G40" s="9"/>
      <c r="H40" s="7">
        <v>70000</v>
      </c>
      <c r="I40" s="9"/>
      <c r="K40" s="26"/>
      <c r="N40" s="9" t="s">
        <v>102</v>
      </c>
      <c r="O40" s="16">
        <f>W32</f>
        <v>0</v>
      </c>
      <c r="P40" s="9"/>
      <c r="Q40" s="9"/>
      <c r="R40" s="9" t="s">
        <v>102</v>
      </c>
      <c r="S40" s="16">
        <f>O40</f>
        <v>0</v>
      </c>
      <c r="T40" s="9"/>
      <c r="U40" s="9"/>
    </row>
    <row r="41" spans="2:22" x14ac:dyDescent="0.25">
      <c r="B41" s="20" t="s">
        <v>289</v>
      </c>
      <c r="C41" s="9"/>
      <c r="D41" s="9">
        <v>22000</v>
      </c>
      <c r="E41" s="9"/>
      <c r="F41" s="20" t="s">
        <v>289</v>
      </c>
      <c r="G41" s="9"/>
      <c r="H41" s="9">
        <v>22000</v>
      </c>
      <c r="I41" s="9"/>
      <c r="K41" s="26"/>
      <c r="N41" s="9" t="s">
        <v>22</v>
      </c>
      <c r="O41" s="18"/>
      <c r="P41" s="9">
        <f>P36*O36</f>
        <v>14300</v>
      </c>
      <c r="Q41" s="9"/>
      <c r="R41" s="9" t="s">
        <v>22</v>
      </c>
      <c r="S41" s="18"/>
      <c r="T41" s="9">
        <f>T36*O36</f>
        <v>14300</v>
      </c>
      <c r="U41" s="9"/>
    </row>
    <row r="42" spans="2:22" x14ac:dyDescent="0.25">
      <c r="B42" s="20"/>
      <c r="C42" s="9"/>
      <c r="D42" s="9"/>
      <c r="E42" s="9"/>
      <c r="F42" s="20"/>
      <c r="G42" s="9"/>
      <c r="H42" s="9"/>
      <c r="I42" s="9"/>
      <c r="K42" s="26"/>
      <c r="N42" s="9"/>
      <c r="O42" s="18"/>
      <c r="P42" s="9"/>
      <c r="Q42" s="9"/>
      <c r="R42" s="9"/>
      <c r="S42" s="18"/>
      <c r="T42" s="9"/>
      <c r="U42" s="9"/>
    </row>
    <row r="43" spans="2:22" x14ac:dyDescent="0.25">
      <c r="B43" s="20"/>
      <c r="C43" s="9"/>
      <c r="D43" s="9"/>
      <c r="E43" s="9"/>
      <c r="F43" s="20"/>
      <c r="G43" s="9"/>
      <c r="H43" s="9"/>
      <c r="I43" s="9"/>
      <c r="K43" s="26"/>
      <c r="N43" s="19" t="s">
        <v>23</v>
      </c>
      <c r="O43" s="9"/>
      <c r="P43" s="9"/>
      <c r="Q43" s="9"/>
      <c r="R43" s="19" t="s">
        <v>23</v>
      </c>
      <c r="S43" s="9"/>
      <c r="T43" s="9"/>
      <c r="U43" s="9"/>
    </row>
    <row r="44" spans="2:22" x14ac:dyDescent="0.25">
      <c r="B44" s="20"/>
      <c r="C44" s="16"/>
      <c r="D44" s="16"/>
      <c r="E44" s="16"/>
      <c r="F44" s="20"/>
      <c r="G44" s="9"/>
      <c r="H44" s="16"/>
      <c r="I44" s="9"/>
      <c r="N44" s="20"/>
      <c r="O44" s="9"/>
      <c r="P44" s="9"/>
      <c r="Q44" s="9"/>
      <c r="R44" s="20"/>
      <c r="S44" s="9"/>
      <c r="T44" s="9"/>
      <c r="U44" s="9"/>
      <c r="V44" s="26"/>
    </row>
    <row r="45" spans="2:22" x14ac:dyDescent="0.25">
      <c r="B45" s="22" t="s">
        <v>12</v>
      </c>
      <c r="C45" s="23">
        <f>C31+C32+C33+C34+C35-D37-D36</f>
        <v>171000</v>
      </c>
      <c r="D45" s="22">
        <f>SUM(D39:D44)</f>
        <v>138350</v>
      </c>
      <c r="E45" s="23">
        <f>C45-D45</f>
        <v>32650</v>
      </c>
      <c r="F45" s="24"/>
      <c r="G45" s="23">
        <f>G31+G32+G35-H36-H37</f>
        <v>141900</v>
      </c>
      <c r="H45" s="23">
        <f>SUM(H39:H44)</f>
        <v>138350</v>
      </c>
      <c r="I45" s="23">
        <f>G45-H45</f>
        <v>3550</v>
      </c>
      <c r="N45" s="20" t="s">
        <v>287</v>
      </c>
      <c r="O45" s="9"/>
      <c r="P45" s="7">
        <v>26350</v>
      </c>
      <c r="Q45" s="7"/>
      <c r="R45" s="20" t="s">
        <v>287</v>
      </c>
      <c r="S45" s="9"/>
      <c r="T45" s="7">
        <v>26350</v>
      </c>
      <c r="U45" s="9"/>
    </row>
    <row r="46" spans="2:22" x14ac:dyDescent="0.25">
      <c r="E46" s="26">
        <f>E45-C32</f>
        <v>-13700</v>
      </c>
      <c r="I46" s="26"/>
      <c r="K46" s="26"/>
      <c r="N46" s="20" t="s">
        <v>289</v>
      </c>
      <c r="O46" s="9"/>
      <c r="P46" s="9">
        <v>103000</v>
      </c>
      <c r="Q46" s="9"/>
      <c r="R46" s="20" t="s">
        <v>289</v>
      </c>
      <c r="S46" s="9"/>
      <c r="T46" s="9">
        <v>103000</v>
      </c>
      <c r="U46" s="9"/>
    </row>
    <row r="47" spans="2:22" x14ac:dyDescent="0.25">
      <c r="B47" s="11" t="s">
        <v>24</v>
      </c>
      <c r="D47" s="11" t="s">
        <v>25</v>
      </c>
      <c r="F47" s="11"/>
      <c r="G47" s="11" t="s">
        <v>26</v>
      </c>
      <c r="I47" s="26"/>
      <c r="K47" s="26"/>
      <c r="L47" s="26"/>
      <c r="N47" s="20" t="s">
        <v>290</v>
      </c>
      <c r="O47" s="9"/>
      <c r="P47" s="9">
        <v>2300</v>
      </c>
      <c r="Q47" s="9"/>
      <c r="R47" s="20" t="s">
        <v>290</v>
      </c>
      <c r="S47" s="9"/>
      <c r="T47" s="9">
        <v>2300</v>
      </c>
      <c r="U47" s="9"/>
    </row>
    <row r="48" spans="2:22" x14ac:dyDescent="0.25">
      <c r="B48" t="s">
        <v>27</v>
      </c>
      <c r="D48" s="11" t="s">
        <v>28</v>
      </c>
      <c r="F48" s="11"/>
      <c r="G48" s="11" t="s">
        <v>147</v>
      </c>
      <c r="I48" s="26"/>
      <c r="N48" s="20"/>
      <c r="O48" s="9"/>
      <c r="P48" s="9"/>
      <c r="Q48" s="9"/>
      <c r="R48" s="20"/>
      <c r="S48" s="9"/>
      <c r="T48" s="9"/>
      <c r="U48" s="9"/>
    </row>
    <row r="49" spans="6:22" x14ac:dyDescent="0.25">
      <c r="N49" s="20"/>
      <c r="O49" s="16"/>
      <c r="P49" s="16"/>
      <c r="Q49" s="16"/>
      <c r="R49" s="20"/>
      <c r="S49" s="16"/>
      <c r="T49" s="16"/>
      <c r="U49" s="9"/>
      <c r="V49" s="26"/>
    </row>
    <row r="50" spans="6:22" x14ac:dyDescent="0.25">
      <c r="F50" s="26"/>
      <c r="I50" s="26"/>
      <c r="J50" s="26"/>
      <c r="N50" s="22" t="s">
        <v>12</v>
      </c>
      <c r="O50" s="23">
        <f>O36+O37+O38+O39+O40-P42-P41</f>
        <v>155250</v>
      </c>
      <c r="P50" s="22">
        <f>SUM(P44:P49)</f>
        <v>131650</v>
      </c>
      <c r="Q50" s="23">
        <f>O50-P50</f>
        <v>23600</v>
      </c>
      <c r="R50" s="24"/>
      <c r="S50" s="23">
        <f>S36+S37+S40-T41</f>
        <v>131650</v>
      </c>
      <c r="T50" s="23">
        <f>SUM(T44:T49)</f>
        <v>131650</v>
      </c>
      <c r="U50" s="23">
        <f>S50-T50</f>
        <v>0</v>
      </c>
    </row>
    <row r="52" spans="6:22" x14ac:dyDescent="0.25">
      <c r="N52" s="11" t="s">
        <v>24</v>
      </c>
      <c r="P52" s="11" t="s">
        <v>25</v>
      </c>
      <c r="R52" s="11"/>
      <c r="S52" s="11" t="s">
        <v>26</v>
      </c>
    </row>
    <row r="53" spans="6:22" x14ac:dyDescent="0.25">
      <c r="N53" t="s">
        <v>27</v>
      </c>
      <c r="P53" s="11" t="s">
        <v>28</v>
      </c>
      <c r="R53" s="11"/>
      <c r="S53" s="11" t="s">
        <v>147</v>
      </c>
      <c r="U53" s="26"/>
    </row>
    <row r="56" spans="6:22" x14ac:dyDescent="0.25">
      <c r="I56" s="26">
        <f>E45+Q50</f>
        <v>56250</v>
      </c>
    </row>
    <row r="61" spans="6:22" x14ac:dyDescent="0.25">
      <c r="R61">
        <f>Q32+E27</f>
        <v>281500</v>
      </c>
    </row>
    <row r="62" spans="6:22" x14ac:dyDescent="0.25">
      <c r="R62">
        <f>P36*R61</f>
        <v>28150</v>
      </c>
    </row>
    <row r="63" spans="6:22" x14ac:dyDescent="0.25">
      <c r="R63">
        <f>R61-R62</f>
        <v>253350</v>
      </c>
    </row>
    <row r="64" spans="6:22" x14ac:dyDescent="0.25">
      <c r="R64" s="26">
        <f>O39</f>
        <v>200</v>
      </c>
    </row>
    <row r="65" spans="11:20" x14ac:dyDescent="0.25">
      <c r="R65" s="26">
        <f>R63+R64</f>
        <v>253550</v>
      </c>
    </row>
    <row r="66" spans="11:20" x14ac:dyDescent="0.25">
      <c r="R66">
        <f>70000</f>
        <v>70000</v>
      </c>
    </row>
    <row r="67" spans="11:20" x14ac:dyDescent="0.25">
      <c r="K67" s="26"/>
      <c r="R67" s="26">
        <f>R65-R66</f>
        <v>183550</v>
      </c>
      <c r="T67">
        <f>R66+R68</f>
        <v>195000</v>
      </c>
    </row>
    <row r="68" spans="11:20" x14ac:dyDescent="0.25">
      <c r="Q68" s="26">
        <f>I45+U50</f>
        <v>3550</v>
      </c>
      <c r="R68">
        <v>125000</v>
      </c>
      <c r="T68" s="26">
        <f>T67+R69</f>
        <v>253550</v>
      </c>
    </row>
    <row r="69" spans="11:20" x14ac:dyDescent="0.25">
      <c r="R69" s="26">
        <f>R67-R68</f>
        <v>58550</v>
      </c>
    </row>
    <row r="70" spans="11:20" x14ac:dyDescent="0.25">
      <c r="R70">
        <v>2300</v>
      </c>
    </row>
    <row r="71" spans="11:20" x14ac:dyDescent="0.25">
      <c r="R71" s="26">
        <f>R69-R70</f>
        <v>56250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7"/>
  <sheetViews>
    <sheetView workbookViewId="0">
      <selection activeCell="I43" sqref="I43"/>
    </sheetView>
  </sheetViews>
  <sheetFormatPr defaultRowHeight="15" x14ac:dyDescent="0.25"/>
  <sheetData>
    <row r="1" spans="1:22" ht="18.75" x14ac:dyDescent="0.25">
      <c r="E1" s="1" t="s">
        <v>50</v>
      </c>
      <c r="F1" s="2"/>
      <c r="G1" s="3"/>
      <c r="H1" s="4"/>
      <c r="I1" s="46" t="s">
        <v>278</v>
      </c>
      <c r="J1" s="46"/>
      <c r="K1" s="46"/>
      <c r="Q1" s="1" t="s">
        <v>229</v>
      </c>
      <c r="R1" s="2"/>
      <c r="S1" s="3"/>
      <c r="T1" s="4"/>
    </row>
    <row r="2" spans="1:22" ht="18.75" x14ac:dyDescent="0.25">
      <c r="E2" s="1" t="s">
        <v>0</v>
      </c>
      <c r="F2" s="1"/>
      <c r="G2" s="5"/>
      <c r="H2" s="5"/>
      <c r="I2" s="46"/>
      <c r="J2" s="46"/>
      <c r="K2" s="46"/>
      <c r="Q2" s="1" t="s">
        <v>0</v>
      </c>
      <c r="R2" s="1"/>
      <c r="S2" s="5"/>
      <c r="T2" s="5"/>
    </row>
    <row r="3" spans="1:22" ht="18.75" x14ac:dyDescent="0.25">
      <c r="E3" s="1" t="s">
        <v>284</v>
      </c>
      <c r="F3" s="1"/>
      <c r="G3" s="5"/>
      <c r="H3" s="5"/>
      <c r="I3" t="s">
        <v>250</v>
      </c>
      <c r="Q3" s="1" t="s">
        <v>284</v>
      </c>
      <c r="R3" s="1"/>
      <c r="S3" s="5"/>
      <c r="T3" s="5"/>
    </row>
    <row r="4" spans="1:22" x14ac:dyDescent="0.25">
      <c r="A4" s="6" t="s">
        <v>2</v>
      </c>
      <c r="B4" s="6" t="s">
        <v>3</v>
      </c>
      <c r="C4" s="6"/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  <c r="K4" s="6" t="s">
        <v>101</v>
      </c>
      <c r="M4" s="6" t="s">
        <v>2</v>
      </c>
      <c r="N4" s="6" t="s">
        <v>3</v>
      </c>
      <c r="O4" s="6"/>
      <c r="P4" s="6" t="s">
        <v>4</v>
      </c>
      <c r="Q4" s="6" t="s">
        <v>5</v>
      </c>
      <c r="R4" s="6" t="s">
        <v>6</v>
      </c>
      <c r="S4" s="6" t="s">
        <v>7</v>
      </c>
      <c r="T4" s="6" t="s">
        <v>8</v>
      </c>
      <c r="U4" s="6" t="s">
        <v>9</v>
      </c>
      <c r="V4" s="6" t="s">
        <v>10</v>
      </c>
    </row>
    <row r="5" spans="1:22" x14ac:dyDescent="0.25">
      <c r="A5" s="7" t="s">
        <v>30</v>
      </c>
      <c r="B5" s="7" t="s">
        <v>232</v>
      </c>
      <c r="C5" s="7"/>
      <c r="D5" s="7"/>
      <c r="E5" s="7">
        <v>4500</v>
      </c>
      <c r="F5" s="7">
        <f>'OCTOBER 21'!I5</f>
        <v>0</v>
      </c>
      <c r="G5" s="7">
        <f>C5+D5+E5+F5</f>
        <v>4500</v>
      </c>
      <c r="H5" s="7">
        <v>4500</v>
      </c>
      <c r="I5" s="7">
        <f t="shared" ref="I5:I21" si="0">G5-H5</f>
        <v>0</v>
      </c>
      <c r="J5" s="7"/>
      <c r="K5" s="7"/>
      <c r="M5" s="7" t="s">
        <v>177</v>
      </c>
      <c r="N5" s="9" t="s">
        <v>202</v>
      </c>
      <c r="O5" s="7"/>
      <c r="P5" s="7"/>
      <c r="Q5" s="7">
        <v>7000</v>
      </c>
      <c r="R5" s="7">
        <f>'OCTOBER 21'!U5</f>
        <v>5600</v>
      </c>
      <c r="S5" s="7">
        <f>O5+P5+Q5+R5</f>
        <v>12600</v>
      </c>
      <c r="T5" s="7">
        <f>1400+7000+4200</f>
        <v>12600</v>
      </c>
      <c r="U5" s="7">
        <f t="shared" ref="U5:U21" si="1">S5-T5</f>
        <v>0</v>
      </c>
      <c r="V5" s="7"/>
    </row>
    <row r="6" spans="1:22" x14ac:dyDescent="0.25">
      <c r="A6" s="7" t="s">
        <v>31</v>
      </c>
      <c r="B6" s="7" t="s">
        <v>52</v>
      </c>
      <c r="C6" s="7"/>
      <c r="D6" s="7"/>
      <c r="E6" s="7">
        <v>3000</v>
      </c>
      <c r="F6" s="7">
        <f>'OCTOBER 21'!I6</f>
        <v>0</v>
      </c>
      <c r="G6" s="7">
        <f>C6+D6+E6+F6</f>
        <v>3000</v>
      </c>
      <c r="H6" s="7">
        <v>3000</v>
      </c>
      <c r="I6" s="7">
        <f t="shared" si="0"/>
        <v>0</v>
      </c>
      <c r="J6" s="7"/>
      <c r="K6" s="7"/>
      <c r="M6" s="7" t="s">
        <v>88</v>
      </c>
      <c r="N6" s="7"/>
      <c r="O6" s="7"/>
      <c r="P6" s="7"/>
      <c r="Q6" s="7"/>
      <c r="R6" s="7">
        <f>'OCTOBER 21'!U6</f>
        <v>0</v>
      </c>
      <c r="S6" s="7">
        <f>O6+P6+Q6+R6</f>
        <v>0</v>
      </c>
      <c r="T6" s="7"/>
      <c r="U6" s="7">
        <f t="shared" si="1"/>
        <v>0</v>
      </c>
      <c r="V6" s="7"/>
    </row>
    <row r="7" spans="1:22" x14ac:dyDescent="0.25">
      <c r="A7" s="7" t="s">
        <v>32</v>
      </c>
      <c r="B7" s="7" t="s">
        <v>115</v>
      </c>
      <c r="C7" s="7"/>
      <c r="D7" s="7">
        <v>2500</v>
      </c>
      <c r="E7" s="7">
        <v>7500</v>
      </c>
      <c r="F7" s="7">
        <v>7500</v>
      </c>
      <c r="G7" s="7">
        <f>C7+D7+E7+F7</f>
        <v>17500</v>
      </c>
      <c r="H7" s="7">
        <f>5000</f>
        <v>5000</v>
      </c>
      <c r="I7" s="7">
        <f t="shared" si="0"/>
        <v>12500</v>
      </c>
      <c r="J7" s="7"/>
      <c r="K7" s="7"/>
      <c r="M7" s="7" t="s">
        <v>178</v>
      </c>
      <c r="N7" s="7" t="s">
        <v>203</v>
      </c>
      <c r="O7" s="7"/>
      <c r="P7" s="7"/>
      <c r="Q7" s="7">
        <v>8500</v>
      </c>
      <c r="R7" s="7">
        <f>'OCTOBER 21'!U7</f>
        <v>1000</v>
      </c>
      <c r="S7" s="7">
        <f>O7+P7+Q7+R7</f>
        <v>9500</v>
      </c>
      <c r="T7" s="7">
        <v>8500</v>
      </c>
      <c r="U7" s="7">
        <f t="shared" si="1"/>
        <v>1000</v>
      </c>
      <c r="V7" s="7"/>
    </row>
    <row r="8" spans="1:22" x14ac:dyDescent="0.25">
      <c r="A8" s="7" t="s">
        <v>33</v>
      </c>
      <c r="B8" s="7" t="s">
        <v>54</v>
      </c>
      <c r="C8" s="7"/>
      <c r="D8" s="7"/>
      <c r="E8" s="7">
        <v>6500</v>
      </c>
      <c r="F8" s="7">
        <f>'OCTOBER 21'!I8</f>
        <v>0</v>
      </c>
      <c r="G8" s="7">
        <f>C8+D8+E8+F8</f>
        <v>6500</v>
      </c>
      <c r="H8" s="7">
        <v>6500</v>
      </c>
      <c r="I8" s="7">
        <f t="shared" si="0"/>
        <v>0</v>
      </c>
      <c r="J8" s="7"/>
      <c r="K8" s="7"/>
      <c r="M8" s="7" t="s">
        <v>179</v>
      </c>
      <c r="N8" s="7" t="s">
        <v>204</v>
      </c>
      <c r="O8" s="7"/>
      <c r="P8" s="7"/>
      <c r="Q8" s="7">
        <v>9000</v>
      </c>
      <c r="R8" s="7">
        <f>'OCTOBER 21'!U8</f>
        <v>0</v>
      </c>
      <c r="S8" s="7">
        <f>O8+P8+Q8+R8</f>
        <v>9000</v>
      </c>
      <c r="T8" s="7">
        <v>9000</v>
      </c>
      <c r="U8" s="7">
        <f t="shared" si="1"/>
        <v>0</v>
      </c>
      <c r="V8" s="7"/>
    </row>
    <row r="9" spans="1:22" x14ac:dyDescent="0.25">
      <c r="A9" s="7" t="s">
        <v>34</v>
      </c>
      <c r="B9" s="9" t="s">
        <v>265</v>
      </c>
      <c r="C9" s="7"/>
      <c r="D9" s="7">
        <v>1000</v>
      </c>
      <c r="E9" s="7">
        <v>7000</v>
      </c>
      <c r="F9" s="7">
        <f>'OCTOBER 21'!I9</f>
        <v>2000</v>
      </c>
      <c r="G9" s="7">
        <f t="shared" ref="G9:G26" si="2">C9+D9+E9+F9</f>
        <v>10000</v>
      </c>
      <c r="H9" s="7">
        <f>3000+4000</f>
        <v>7000</v>
      </c>
      <c r="I9" s="7">
        <f t="shared" si="0"/>
        <v>3000</v>
      </c>
      <c r="J9" s="7"/>
      <c r="K9" s="7"/>
      <c r="M9" s="7" t="s">
        <v>180</v>
      </c>
      <c r="N9" s="7" t="s">
        <v>205</v>
      </c>
      <c r="O9" s="7"/>
      <c r="P9" s="7"/>
      <c r="Q9" s="7">
        <v>8000</v>
      </c>
      <c r="R9" s="7">
        <f>'OCTOBER 21'!U9</f>
        <v>36300</v>
      </c>
      <c r="S9" s="7">
        <f t="shared" ref="S9:S31" si="3">O9+P9+Q9+R9</f>
        <v>44300</v>
      </c>
      <c r="T9" s="7">
        <v>10000</v>
      </c>
      <c r="U9" s="7">
        <f t="shared" si="1"/>
        <v>34300</v>
      </c>
      <c r="V9" s="7">
        <v>2000</v>
      </c>
    </row>
    <row r="10" spans="1:22" x14ac:dyDescent="0.25">
      <c r="A10" s="7" t="s">
        <v>35</v>
      </c>
      <c r="B10" s="7" t="s">
        <v>55</v>
      </c>
      <c r="C10" s="7"/>
      <c r="D10" s="7"/>
      <c r="E10" s="7">
        <v>7000</v>
      </c>
      <c r="F10" s="7">
        <f>'OCTOBER 21'!I10</f>
        <v>1000</v>
      </c>
      <c r="G10" s="7">
        <f t="shared" si="2"/>
        <v>8000</v>
      </c>
      <c r="H10" s="7">
        <v>7000</v>
      </c>
      <c r="I10" s="7">
        <f t="shared" si="0"/>
        <v>1000</v>
      </c>
      <c r="J10" s="7"/>
      <c r="K10" s="7"/>
      <c r="M10" s="7" t="s">
        <v>181</v>
      </c>
      <c r="N10" s="7" t="s">
        <v>206</v>
      </c>
      <c r="O10" s="7"/>
      <c r="P10" s="7"/>
      <c r="Q10" s="7">
        <v>8500</v>
      </c>
      <c r="R10" s="7">
        <f>'OCTOBER 21'!U10</f>
        <v>11100</v>
      </c>
      <c r="S10" s="7">
        <f t="shared" si="3"/>
        <v>19600</v>
      </c>
      <c r="T10" s="7">
        <v>8500</v>
      </c>
      <c r="U10" s="7">
        <f t="shared" si="1"/>
        <v>11100</v>
      </c>
      <c r="V10" s="7"/>
    </row>
    <row r="11" spans="1:22" x14ac:dyDescent="0.25">
      <c r="A11" s="7" t="s">
        <v>36</v>
      </c>
      <c r="B11" s="7" t="s">
        <v>56</v>
      </c>
      <c r="C11" s="7"/>
      <c r="D11" s="7"/>
      <c r="E11" s="7">
        <v>14000</v>
      </c>
      <c r="F11" s="7">
        <f>'OCTOBER 21'!I11</f>
        <v>11000</v>
      </c>
      <c r="G11" s="7">
        <f t="shared" si="2"/>
        <v>25000</v>
      </c>
      <c r="H11" s="7">
        <v>13000</v>
      </c>
      <c r="I11" s="7">
        <f t="shared" si="0"/>
        <v>12000</v>
      </c>
      <c r="J11" s="7"/>
      <c r="K11" s="7"/>
      <c r="M11" s="7" t="s">
        <v>182</v>
      </c>
      <c r="N11" s="7" t="s">
        <v>207</v>
      </c>
      <c r="O11" s="7"/>
      <c r="P11" s="7"/>
      <c r="Q11" s="7">
        <v>8000</v>
      </c>
      <c r="R11" s="7">
        <f>'OCTOBER 21'!U11</f>
        <v>3500</v>
      </c>
      <c r="S11" s="7">
        <f t="shared" si="3"/>
        <v>11500</v>
      </c>
      <c r="T11" s="7">
        <v>7000</v>
      </c>
      <c r="U11" s="7">
        <f t="shared" si="1"/>
        <v>4500</v>
      </c>
      <c r="V11" s="7"/>
    </row>
    <row r="12" spans="1:22" x14ac:dyDescent="0.25">
      <c r="A12" s="7" t="s">
        <v>37</v>
      </c>
      <c r="B12" s="8" t="s">
        <v>65</v>
      </c>
      <c r="C12" s="7"/>
      <c r="D12" s="7"/>
      <c r="E12" s="7">
        <v>4500</v>
      </c>
      <c r="F12" s="7">
        <f>'OCTOBER 21'!I12</f>
        <v>100</v>
      </c>
      <c r="G12" s="7">
        <f t="shared" si="2"/>
        <v>4600</v>
      </c>
      <c r="H12" s="7">
        <v>4500</v>
      </c>
      <c r="I12" s="7">
        <f t="shared" si="0"/>
        <v>100</v>
      </c>
      <c r="J12" s="7"/>
      <c r="K12" s="7"/>
      <c r="M12" s="7" t="s">
        <v>183</v>
      </c>
      <c r="N12" s="8" t="s">
        <v>208</v>
      </c>
      <c r="O12" s="7"/>
      <c r="P12" s="7"/>
      <c r="Q12" s="7">
        <v>8500</v>
      </c>
      <c r="R12" s="7">
        <f>'OCTOBER 21'!U12</f>
        <v>0</v>
      </c>
      <c r="S12" s="7">
        <f t="shared" si="3"/>
        <v>8500</v>
      </c>
      <c r="T12" s="7"/>
      <c r="U12" s="7">
        <f t="shared" si="1"/>
        <v>8500</v>
      </c>
      <c r="V12" s="7"/>
    </row>
    <row r="13" spans="1:22" x14ac:dyDescent="0.25">
      <c r="A13" s="7" t="s">
        <v>38</v>
      </c>
      <c r="B13" s="7" t="s">
        <v>92</v>
      </c>
      <c r="C13" s="7"/>
      <c r="D13" s="7">
        <v>5000</v>
      </c>
      <c r="E13" s="7">
        <v>8000</v>
      </c>
      <c r="F13" s="7"/>
      <c r="G13" s="7">
        <f t="shared" si="2"/>
        <v>13000</v>
      </c>
      <c r="H13" s="7">
        <v>8000</v>
      </c>
      <c r="I13" s="7">
        <f t="shared" si="0"/>
        <v>5000</v>
      </c>
      <c r="J13" s="7"/>
      <c r="K13" s="7"/>
      <c r="M13" s="7" t="s">
        <v>184</v>
      </c>
      <c r="N13" s="7" t="s">
        <v>279</v>
      </c>
      <c r="O13" s="7"/>
      <c r="P13" s="7"/>
      <c r="Q13" s="7">
        <v>3500</v>
      </c>
      <c r="R13" s="7">
        <f>'OCTOBER 21'!U13</f>
        <v>0</v>
      </c>
      <c r="S13" s="7">
        <f t="shared" si="3"/>
        <v>3500</v>
      </c>
      <c r="T13" s="7">
        <v>3500</v>
      </c>
      <c r="U13" s="7">
        <f t="shared" si="1"/>
        <v>0</v>
      </c>
      <c r="V13" s="7"/>
    </row>
    <row r="14" spans="1:22" x14ac:dyDescent="0.25">
      <c r="A14" s="7" t="s">
        <v>39</v>
      </c>
      <c r="B14" s="7" t="s">
        <v>70</v>
      </c>
      <c r="C14" s="7"/>
      <c r="D14" s="7"/>
      <c r="E14" s="7">
        <v>6500</v>
      </c>
      <c r="F14" s="7">
        <f>'OCTOBER 21'!I14</f>
        <v>1500</v>
      </c>
      <c r="G14" s="7">
        <f t="shared" si="2"/>
        <v>8000</v>
      </c>
      <c r="H14" s="7">
        <f>6500+1500</f>
        <v>8000</v>
      </c>
      <c r="I14" s="7">
        <f t="shared" si="0"/>
        <v>0</v>
      </c>
      <c r="J14" s="7"/>
      <c r="K14" s="7"/>
      <c r="M14" s="7" t="s">
        <v>185</v>
      </c>
      <c r="N14" s="7" t="s">
        <v>210</v>
      </c>
      <c r="O14" s="7"/>
      <c r="P14" s="7"/>
      <c r="Q14" s="7">
        <v>5000</v>
      </c>
      <c r="R14" s="7">
        <f>'OCTOBER 21'!U14</f>
        <v>0</v>
      </c>
      <c r="S14" s="7">
        <f t="shared" si="3"/>
        <v>5000</v>
      </c>
      <c r="T14" s="7">
        <v>5000</v>
      </c>
      <c r="U14" s="7">
        <f t="shared" si="1"/>
        <v>0</v>
      </c>
      <c r="V14" s="7"/>
    </row>
    <row r="15" spans="1:22" x14ac:dyDescent="0.25">
      <c r="A15" s="7" t="s">
        <v>40</v>
      </c>
      <c r="B15" s="7" t="s">
        <v>174</v>
      </c>
      <c r="C15" s="7"/>
      <c r="D15" s="7"/>
      <c r="E15" s="7">
        <v>7500</v>
      </c>
      <c r="F15" s="7">
        <f>'OCTOBER 21'!I15</f>
        <v>0</v>
      </c>
      <c r="G15" s="7">
        <f t="shared" si="2"/>
        <v>7500</v>
      </c>
      <c r="H15" s="7">
        <v>7500</v>
      </c>
      <c r="I15" s="7">
        <f t="shared" si="0"/>
        <v>0</v>
      </c>
      <c r="J15" s="7"/>
      <c r="K15" s="7"/>
      <c r="M15" s="7" t="s">
        <v>186</v>
      </c>
      <c r="N15" s="9" t="s">
        <v>267</v>
      </c>
      <c r="O15" s="7"/>
      <c r="P15" s="7"/>
      <c r="Q15" s="7">
        <v>4000</v>
      </c>
      <c r="R15" s="7">
        <f>'OCTOBER 21'!U15</f>
        <v>0</v>
      </c>
      <c r="S15" s="7">
        <f t="shared" si="3"/>
        <v>4000</v>
      </c>
      <c r="T15" s="7">
        <v>4000</v>
      </c>
      <c r="U15" s="7">
        <f t="shared" si="1"/>
        <v>0</v>
      </c>
      <c r="V15" s="7"/>
    </row>
    <row r="16" spans="1:22" x14ac:dyDescent="0.25">
      <c r="A16" s="7" t="s">
        <v>41</v>
      </c>
      <c r="B16" s="7" t="s">
        <v>58</v>
      </c>
      <c r="C16" s="7"/>
      <c r="D16" s="7"/>
      <c r="E16" s="7">
        <v>7000</v>
      </c>
      <c r="F16" s="7">
        <f>'OCTOBER 21'!I16</f>
        <v>1500</v>
      </c>
      <c r="G16" s="7">
        <f t="shared" si="2"/>
        <v>8500</v>
      </c>
      <c r="H16" s="7">
        <v>7000</v>
      </c>
      <c r="I16" s="7">
        <f t="shared" si="0"/>
        <v>1500</v>
      </c>
      <c r="J16" s="7"/>
      <c r="K16" s="7"/>
      <c r="M16" s="7" t="s">
        <v>187</v>
      </c>
      <c r="N16" s="7" t="s">
        <v>212</v>
      </c>
      <c r="O16" s="7"/>
      <c r="P16" s="7"/>
      <c r="Q16" s="7">
        <v>4500</v>
      </c>
      <c r="R16" s="7">
        <f>'OCTOBER 21'!U16</f>
        <v>0</v>
      </c>
      <c r="S16" s="7">
        <f t="shared" si="3"/>
        <v>4500</v>
      </c>
      <c r="T16" s="7">
        <v>4500</v>
      </c>
      <c r="U16" s="7">
        <f t="shared" si="1"/>
        <v>0</v>
      </c>
      <c r="V16" s="7"/>
    </row>
    <row r="17" spans="1:22" x14ac:dyDescent="0.25">
      <c r="A17" s="7" t="s">
        <v>42</v>
      </c>
      <c r="B17" s="7" t="s">
        <v>59</v>
      </c>
      <c r="C17" s="7"/>
      <c r="D17" s="7"/>
      <c r="E17" s="7">
        <v>7000</v>
      </c>
      <c r="F17" s="7">
        <f>'OCTOBER 21'!I17</f>
        <v>4000</v>
      </c>
      <c r="G17" s="7">
        <f t="shared" si="2"/>
        <v>11000</v>
      </c>
      <c r="H17" s="7">
        <f>4000+5000+1500</f>
        <v>10500</v>
      </c>
      <c r="I17" s="7">
        <f>G17-H17</f>
        <v>500</v>
      </c>
      <c r="J17" s="7"/>
      <c r="K17" s="7"/>
      <c r="M17" s="7" t="s">
        <v>188</v>
      </c>
      <c r="N17" s="45" t="s">
        <v>213</v>
      </c>
      <c r="O17" s="45"/>
      <c r="P17" s="45"/>
      <c r="Q17" s="45"/>
      <c r="R17" s="7">
        <f>'OCTOBER 21'!U17</f>
        <v>52000</v>
      </c>
      <c r="S17" s="45">
        <f>O17+P17+Q17+R17+4000</f>
        <v>56000</v>
      </c>
      <c r="T17" s="7"/>
      <c r="U17" s="45">
        <f t="shared" si="1"/>
        <v>56000</v>
      </c>
      <c r="V17" s="7"/>
    </row>
    <row r="18" spans="1:22" x14ac:dyDescent="0.25">
      <c r="A18" s="7" t="s">
        <v>43</v>
      </c>
      <c r="B18" s="7" t="s">
        <v>230</v>
      </c>
      <c r="C18" s="7"/>
      <c r="D18" s="7"/>
      <c r="E18" s="7">
        <v>5000</v>
      </c>
      <c r="F18" s="7">
        <f>'OCTOBER 21'!I18</f>
        <v>0</v>
      </c>
      <c r="G18" s="7">
        <f t="shared" si="2"/>
        <v>5000</v>
      </c>
      <c r="H18" s="7">
        <v>5000</v>
      </c>
      <c r="I18" s="7">
        <f t="shared" si="0"/>
        <v>0</v>
      </c>
      <c r="J18" s="7"/>
      <c r="K18" s="7"/>
      <c r="M18" s="7" t="s">
        <v>189</v>
      </c>
      <c r="N18" s="45" t="s">
        <v>293</v>
      </c>
      <c r="O18" s="45"/>
      <c r="P18" s="45"/>
      <c r="Q18" s="45"/>
      <c r="R18" s="7"/>
      <c r="S18" s="45">
        <f>O18+P18+Q18+R18</f>
        <v>0</v>
      </c>
      <c r="T18" s="7"/>
      <c r="U18" s="45">
        <f t="shared" si="1"/>
        <v>0</v>
      </c>
      <c r="V18" s="7"/>
    </row>
    <row r="19" spans="1:22" x14ac:dyDescent="0.25">
      <c r="A19" s="7" t="s">
        <v>44</v>
      </c>
      <c r="B19" s="9" t="s">
        <v>118</v>
      </c>
      <c r="C19" s="7"/>
      <c r="D19" s="7"/>
      <c r="E19" s="7">
        <v>8000</v>
      </c>
      <c r="F19" s="7">
        <f>'OCTOBER 21'!I19</f>
        <v>0</v>
      </c>
      <c r="G19" s="7">
        <f t="shared" si="2"/>
        <v>8000</v>
      </c>
      <c r="H19" s="7">
        <v>8000</v>
      </c>
      <c r="I19" s="7">
        <f t="shared" si="0"/>
        <v>0</v>
      </c>
      <c r="J19" s="7"/>
      <c r="K19" s="7"/>
      <c r="M19" s="7" t="s">
        <v>190</v>
      </c>
      <c r="N19" s="9" t="s">
        <v>215</v>
      </c>
      <c r="O19" s="7"/>
      <c r="P19" s="7"/>
      <c r="Q19" s="7">
        <v>4000</v>
      </c>
      <c r="R19" s="7">
        <f>'OCTOBER 21'!U19</f>
        <v>5000</v>
      </c>
      <c r="S19" s="7">
        <f t="shared" si="3"/>
        <v>9000</v>
      </c>
      <c r="T19" s="7">
        <v>6000</v>
      </c>
      <c r="U19" s="7">
        <f t="shared" si="1"/>
        <v>3000</v>
      </c>
      <c r="V19" s="7"/>
    </row>
    <row r="20" spans="1:22" x14ac:dyDescent="0.25">
      <c r="A20" s="7" t="s">
        <v>45</v>
      </c>
      <c r="B20" s="7" t="s">
        <v>252</v>
      </c>
      <c r="C20" s="7"/>
      <c r="D20" s="7">
        <v>7500</v>
      </c>
      <c r="E20" s="7">
        <v>7500</v>
      </c>
      <c r="F20" s="7">
        <f>'OCTOBER 21'!I20</f>
        <v>0</v>
      </c>
      <c r="G20" s="7">
        <f t="shared" si="2"/>
        <v>15000</v>
      </c>
      <c r="H20" s="7">
        <v>15000</v>
      </c>
      <c r="I20" s="7">
        <f t="shared" si="0"/>
        <v>0</v>
      </c>
      <c r="J20" s="7"/>
      <c r="K20" s="7"/>
      <c r="M20" s="7" t="s">
        <v>123</v>
      </c>
      <c r="N20" s="7" t="s">
        <v>231</v>
      </c>
      <c r="O20" s="7"/>
      <c r="P20" s="7"/>
      <c r="Q20" s="7">
        <v>4500</v>
      </c>
      <c r="R20" s="7">
        <f>'OCTOBER 21'!U20</f>
        <v>0</v>
      </c>
      <c r="S20" s="7">
        <f t="shared" si="3"/>
        <v>4500</v>
      </c>
      <c r="T20" s="7">
        <v>4500</v>
      </c>
      <c r="U20" s="7">
        <f t="shared" si="1"/>
        <v>0</v>
      </c>
      <c r="V20" s="7"/>
    </row>
    <row r="21" spans="1:22" x14ac:dyDescent="0.25">
      <c r="A21" s="7" t="s">
        <v>46</v>
      </c>
      <c r="B21" s="7" t="s">
        <v>132</v>
      </c>
      <c r="C21" s="7"/>
      <c r="D21" s="7"/>
      <c r="E21" s="7">
        <v>6500</v>
      </c>
      <c r="F21" s="7">
        <f>'OCTOBER 21'!I21</f>
        <v>0</v>
      </c>
      <c r="G21" s="7">
        <f t="shared" si="2"/>
        <v>6500</v>
      </c>
      <c r="H21" s="7">
        <v>6500</v>
      </c>
      <c r="I21" s="7">
        <f t="shared" si="0"/>
        <v>0</v>
      </c>
      <c r="J21" s="7"/>
      <c r="K21" s="7"/>
      <c r="M21" s="7" t="s">
        <v>191</v>
      </c>
      <c r="N21" s="7" t="s">
        <v>216</v>
      </c>
      <c r="O21" s="7"/>
      <c r="P21" s="7"/>
      <c r="Q21" s="7">
        <v>4500</v>
      </c>
      <c r="R21" s="7">
        <f>'OCTOBER 21'!U21</f>
        <v>5000</v>
      </c>
      <c r="S21" s="7">
        <f t="shared" si="3"/>
        <v>9500</v>
      </c>
      <c r="T21" s="7">
        <v>3500</v>
      </c>
      <c r="U21" s="7">
        <f t="shared" si="1"/>
        <v>6000</v>
      </c>
      <c r="V21" s="7"/>
    </row>
    <row r="22" spans="1:22" x14ac:dyDescent="0.25">
      <c r="A22" s="7" t="s">
        <v>47</v>
      </c>
      <c r="B22" s="7" t="s">
        <v>64</v>
      </c>
      <c r="C22" s="7"/>
      <c r="D22" s="7"/>
      <c r="E22" s="7">
        <v>7000</v>
      </c>
      <c r="F22" s="7">
        <f>'OCTOBER 21'!I22</f>
        <v>0</v>
      </c>
      <c r="G22" s="7">
        <f t="shared" si="2"/>
        <v>7000</v>
      </c>
      <c r="H22" s="7">
        <v>7000</v>
      </c>
      <c r="I22" s="7">
        <f>G22-H22</f>
        <v>0</v>
      </c>
      <c r="J22" s="7"/>
      <c r="K22" s="7"/>
      <c r="M22" s="7" t="s">
        <v>192</v>
      </c>
      <c r="N22" s="7" t="s">
        <v>214</v>
      </c>
      <c r="O22" s="7"/>
      <c r="P22" s="7"/>
      <c r="Q22" s="7">
        <v>4000</v>
      </c>
      <c r="R22" s="7">
        <f>'OCTOBER 21'!U22</f>
        <v>0</v>
      </c>
      <c r="S22" s="7">
        <f t="shared" si="3"/>
        <v>4000</v>
      </c>
      <c r="T22" s="7">
        <v>4000</v>
      </c>
      <c r="U22" s="7">
        <f>S22-T22</f>
        <v>0</v>
      </c>
      <c r="V22" s="7"/>
    </row>
    <row r="23" spans="1:22" x14ac:dyDescent="0.25">
      <c r="A23" s="7" t="s">
        <v>66</v>
      </c>
      <c r="B23" s="7" t="s">
        <v>69</v>
      </c>
      <c r="C23" s="7"/>
      <c r="D23" s="7"/>
      <c r="E23" s="7">
        <v>8500</v>
      </c>
      <c r="F23" s="7">
        <f>'OCTOBER 21'!I23</f>
        <v>0</v>
      </c>
      <c r="G23" s="7">
        <f t="shared" si="2"/>
        <v>8500</v>
      </c>
      <c r="H23" s="7">
        <v>8500</v>
      </c>
      <c r="I23" s="7">
        <f>G23-H23</f>
        <v>0</v>
      </c>
      <c r="J23" s="7"/>
      <c r="K23" s="7"/>
      <c r="M23" s="7" t="s">
        <v>193</v>
      </c>
      <c r="N23" s="45" t="s">
        <v>257</v>
      </c>
      <c r="O23" s="7"/>
      <c r="P23" s="7"/>
      <c r="Q23" s="7">
        <v>4500</v>
      </c>
      <c r="R23" s="7">
        <f>'OCTOBER 21'!U23</f>
        <v>3500</v>
      </c>
      <c r="S23" s="7">
        <f t="shared" si="3"/>
        <v>8000</v>
      </c>
      <c r="T23" s="7">
        <f>3000+4000</f>
        <v>7000</v>
      </c>
      <c r="U23" s="7">
        <f>S23-T23</f>
        <v>1000</v>
      </c>
      <c r="V23" s="7"/>
    </row>
    <row r="24" spans="1:22" x14ac:dyDescent="0.25">
      <c r="A24" s="7" t="s">
        <v>48</v>
      </c>
      <c r="B24" s="7" t="s">
        <v>233</v>
      </c>
      <c r="C24" s="7"/>
      <c r="D24" s="7"/>
      <c r="E24" s="7">
        <v>5000</v>
      </c>
      <c r="F24" s="7">
        <f>'OCTOBER 21'!I24</f>
        <v>0</v>
      </c>
      <c r="G24" s="7">
        <f t="shared" si="2"/>
        <v>5000</v>
      </c>
      <c r="H24" s="7">
        <v>5000</v>
      </c>
      <c r="I24" s="7">
        <f>G24-H24</f>
        <v>0</v>
      </c>
      <c r="J24" s="7"/>
      <c r="K24" s="7"/>
      <c r="M24" s="7" t="s">
        <v>194</v>
      </c>
      <c r="N24" s="7" t="s">
        <v>256</v>
      </c>
      <c r="O24" s="7"/>
      <c r="P24" s="7"/>
      <c r="Q24" s="7">
        <v>4000</v>
      </c>
      <c r="R24" s="7">
        <f>'OCTOBER 21'!U24</f>
        <v>0</v>
      </c>
      <c r="S24" s="7">
        <f t="shared" si="3"/>
        <v>4000</v>
      </c>
      <c r="T24" s="7">
        <v>4000</v>
      </c>
      <c r="U24" s="7">
        <f>S24-T24</f>
        <v>0</v>
      </c>
      <c r="V24" s="7"/>
    </row>
    <row r="25" spans="1:22" x14ac:dyDescent="0.25">
      <c r="A25" s="7" t="s">
        <v>49</v>
      </c>
      <c r="B25" s="7" t="s">
        <v>273</v>
      </c>
      <c r="C25" s="7"/>
      <c r="D25" s="7"/>
      <c r="E25" s="7">
        <v>8500</v>
      </c>
      <c r="F25" s="7">
        <f>'OCTOBER 21'!I25</f>
        <v>0</v>
      </c>
      <c r="G25" s="7">
        <f t="shared" si="2"/>
        <v>8500</v>
      </c>
      <c r="H25" s="7">
        <v>8500</v>
      </c>
      <c r="I25" s="7">
        <f>G25-H25</f>
        <v>0</v>
      </c>
      <c r="J25" s="7"/>
      <c r="K25" s="7"/>
      <c r="M25" s="7" t="s">
        <v>195</v>
      </c>
      <c r="N25" s="7" t="s">
        <v>218</v>
      </c>
      <c r="O25" s="7"/>
      <c r="P25" s="7"/>
      <c r="Q25" s="7">
        <v>4000</v>
      </c>
      <c r="R25" s="7">
        <f>'OCTOBER 21'!U25</f>
        <v>0</v>
      </c>
      <c r="S25" s="7">
        <f t="shared" si="3"/>
        <v>4000</v>
      </c>
      <c r="T25" s="7">
        <v>4000</v>
      </c>
      <c r="U25" s="7">
        <f>S25-T25</f>
        <v>0</v>
      </c>
      <c r="V25" s="7"/>
    </row>
    <row r="26" spans="1:22" x14ac:dyDescent="0.25">
      <c r="A26" s="7" t="s">
        <v>88</v>
      </c>
      <c r="B26" s="7" t="s">
        <v>110</v>
      </c>
      <c r="C26" s="7"/>
      <c r="D26" s="7"/>
      <c r="E26" s="7">
        <v>7000</v>
      </c>
      <c r="F26" s="7">
        <f>'OCTOBER 21'!I26</f>
        <v>6600</v>
      </c>
      <c r="G26" s="7">
        <f t="shared" si="2"/>
        <v>13600</v>
      </c>
      <c r="H26" s="7">
        <f>6000+1000</f>
        <v>7000</v>
      </c>
      <c r="I26" s="7">
        <f>G26-H26</f>
        <v>6600</v>
      </c>
      <c r="J26" s="7"/>
      <c r="K26" s="7"/>
      <c r="M26" s="7" t="s">
        <v>196</v>
      </c>
      <c r="N26" s="7" t="s">
        <v>219</v>
      </c>
      <c r="O26" s="7"/>
      <c r="P26" s="7"/>
      <c r="Q26" s="7">
        <v>4000</v>
      </c>
      <c r="R26" s="7">
        <f>'OCTOBER 21'!U26</f>
        <v>8000</v>
      </c>
      <c r="S26" s="7">
        <f t="shared" si="3"/>
        <v>12000</v>
      </c>
      <c r="T26" s="7">
        <v>8000</v>
      </c>
      <c r="U26" s="7">
        <f t="shared" ref="U26:U31" si="4">S26-T26</f>
        <v>4000</v>
      </c>
      <c r="V26" s="7"/>
    </row>
    <row r="27" spans="1:22" x14ac:dyDescent="0.25">
      <c r="A27" s="6"/>
      <c r="B27" s="10" t="s">
        <v>12</v>
      </c>
      <c r="C27" s="10">
        <f>SUM(C4:C5)</f>
        <v>0</v>
      </c>
      <c r="D27" s="10">
        <f t="shared" ref="D27:K27" si="5">SUM(D5:D26)</f>
        <v>16000</v>
      </c>
      <c r="E27" s="6">
        <f t="shared" si="5"/>
        <v>153000</v>
      </c>
      <c r="F27" s="7">
        <f>'SEPTEMBER 21'!I27:I50</f>
        <v>40200</v>
      </c>
      <c r="G27" s="7">
        <f t="shared" si="5"/>
        <v>204200</v>
      </c>
      <c r="H27" s="6">
        <f t="shared" si="5"/>
        <v>162000</v>
      </c>
      <c r="I27" s="6">
        <f t="shared" si="5"/>
        <v>42200</v>
      </c>
      <c r="J27" s="6">
        <f t="shared" si="5"/>
        <v>0</v>
      </c>
      <c r="K27" s="6">
        <f t="shared" si="5"/>
        <v>0</v>
      </c>
      <c r="M27" s="7" t="s">
        <v>197</v>
      </c>
      <c r="N27" s="7" t="s">
        <v>222</v>
      </c>
      <c r="O27" s="7"/>
      <c r="P27" s="7"/>
      <c r="Q27" s="7">
        <v>10000</v>
      </c>
      <c r="R27" s="7">
        <f>'OCTOBER 21'!U27</f>
        <v>9800</v>
      </c>
      <c r="S27" s="7">
        <f t="shared" si="3"/>
        <v>19800</v>
      </c>
      <c r="T27" s="7">
        <f>10000+1000+8800</f>
        <v>19800</v>
      </c>
      <c r="U27" s="7">
        <f t="shared" si="4"/>
        <v>0</v>
      </c>
      <c r="V27" s="7"/>
    </row>
    <row r="28" spans="1:22" x14ac:dyDescent="0.25">
      <c r="A28" s="11"/>
      <c r="F28" s="7">
        <f>'SEPTEMBER 21'!I28:I51</f>
        <v>26100</v>
      </c>
      <c r="I28" s="8">
        <f>I27-F26-D13-D7</f>
        <v>28100</v>
      </c>
      <c r="M28" s="7" t="s">
        <v>198</v>
      </c>
      <c r="N28" s="7" t="s">
        <v>221</v>
      </c>
      <c r="O28" s="7"/>
      <c r="P28" s="7"/>
      <c r="Q28" s="7">
        <v>8000</v>
      </c>
      <c r="R28" s="7">
        <f>'OCTOBER 21'!U28</f>
        <v>12900</v>
      </c>
      <c r="S28" s="7">
        <f t="shared" si="3"/>
        <v>20900</v>
      </c>
      <c r="T28" s="7">
        <f>8000+1000+9000</f>
        <v>18000</v>
      </c>
      <c r="U28" s="7">
        <f t="shared" si="4"/>
        <v>2900</v>
      </c>
      <c r="V28" s="7"/>
    </row>
    <row r="29" spans="1:22" ht="18.75" x14ac:dyDescent="0.3">
      <c r="B29" s="12" t="s">
        <v>13</v>
      </c>
      <c r="C29" s="44" t="s">
        <v>227</v>
      </c>
      <c r="D29" s="13"/>
      <c r="E29" s="13"/>
      <c r="F29" s="44" t="s">
        <v>228</v>
      </c>
      <c r="G29" s="13"/>
      <c r="H29" s="14"/>
      <c r="I29" s="14"/>
      <c r="M29" s="7" t="s">
        <v>199</v>
      </c>
      <c r="N29" s="7" t="s">
        <v>283</v>
      </c>
      <c r="O29" s="7"/>
      <c r="P29" s="7"/>
      <c r="Q29" s="7">
        <v>8500</v>
      </c>
      <c r="R29" s="7">
        <f>'OCTOBER 21'!U29</f>
        <v>0</v>
      </c>
      <c r="S29" s="7">
        <f t="shared" si="3"/>
        <v>8500</v>
      </c>
      <c r="T29" s="7">
        <v>8500</v>
      </c>
      <c r="U29" s="7">
        <f t="shared" si="4"/>
        <v>0</v>
      </c>
      <c r="V29" s="7"/>
    </row>
    <row r="30" spans="1:22" ht="15.75" x14ac:dyDescent="0.25">
      <c r="B30" s="15" t="s">
        <v>14</v>
      </c>
      <c r="C30" s="15" t="s">
        <v>15</v>
      </c>
      <c r="D30" s="15" t="s">
        <v>16</v>
      </c>
      <c r="E30" s="15" t="s">
        <v>17</v>
      </c>
      <c r="F30" s="15" t="s">
        <v>18</v>
      </c>
      <c r="G30" s="15" t="s">
        <v>15</v>
      </c>
      <c r="H30" s="15" t="s">
        <v>16</v>
      </c>
      <c r="I30" s="15" t="s">
        <v>17</v>
      </c>
      <c r="K30" s="25"/>
      <c r="M30" s="7" t="s">
        <v>200</v>
      </c>
      <c r="N30" s="7" t="s">
        <v>223</v>
      </c>
      <c r="O30" s="7"/>
      <c r="P30" s="7"/>
      <c r="Q30" s="7">
        <v>5000</v>
      </c>
      <c r="R30" s="7">
        <f>'OCTOBER 21'!U30</f>
        <v>0</v>
      </c>
      <c r="S30" s="7">
        <f t="shared" si="3"/>
        <v>5000</v>
      </c>
      <c r="T30" s="7">
        <v>5000</v>
      </c>
      <c r="U30" s="7">
        <f t="shared" si="4"/>
        <v>0</v>
      </c>
      <c r="V30" s="7"/>
    </row>
    <row r="31" spans="1:22" x14ac:dyDescent="0.25">
      <c r="B31" s="9" t="s">
        <v>286</v>
      </c>
      <c r="C31" s="16">
        <f>E27</f>
        <v>153000</v>
      </c>
      <c r="D31" s="17">
        <v>0.1</v>
      </c>
      <c r="E31" s="16"/>
      <c r="F31" s="9" t="s">
        <v>286</v>
      </c>
      <c r="G31" s="16">
        <f>H27</f>
        <v>162000</v>
      </c>
      <c r="H31" s="17">
        <v>0.1</v>
      </c>
      <c r="I31" s="9"/>
      <c r="M31" s="7" t="s">
        <v>201</v>
      </c>
      <c r="N31" s="7" t="s">
        <v>224</v>
      </c>
      <c r="O31" s="7"/>
      <c r="P31" s="7"/>
      <c r="Q31" s="7">
        <v>7500</v>
      </c>
      <c r="R31" s="7">
        <f>'OCTOBER 21'!U31</f>
        <v>57600</v>
      </c>
      <c r="S31" s="7">
        <f t="shared" si="3"/>
        <v>65100</v>
      </c>
      <c r="T31" s="7">
        <f>6500</f>
        <v>6500</v>
      </c>
      <c r="U31" s="7">
        <f t="shared" si="4"/>
        <v>58600</v>
      </c>
      <c r="V31" s="7"/>
    </row>
    <row r="32" spans="1:22" x14ac:dyDescent="0.25">
      <c r="B32" s="9" t="s">
        <v>20</v>
      </c>
      <c r="C32" s="16">
        <f>'OCTOBER 21'!E45</f>
        <v>32650</v>
      </c>
      <c r="D32" s="9"/>
      <c r="E32" s="9"/>
      <c r="F32" s="9" t="s">
        <v>20</v>
      </c>
      <c r="G32" s="16">
        <f>'OCTOBER 21'!I45</f>
        <v>3550</v>
      </c>
      <c r="H32" s="9"/>
      <c r="I32" s="9"/>
      <c r="K32" s="26"/>
      <c r="M32" s="6"/>
      <c r="N32" s="10" t="s">
        <v>12</v>
      </c>
      <c r="O32" s="10">
        <f>SUM(O4:O5)</f>
        <v>0</v>
      </c>
      <c r="P32" s="10">
        <f t="shared" ref="P32:V32" si="6">SUM(P5:P31)</f>
        <v>0</v>
      </c>
      <c r="Q32" s="6">
        <f>SUM(Q5:Q31)</f>
        <v>147000</v>
      </c>
      <c r="R32" s="7">
        <f>'SEPTEMBER 21'!U32:U59</f>
        <v>218450</v>
      </c>
      <c r="S32" s="7">
        <f t="shared" si="6"/>
        <v>362300</v>
      </c>
      <c r="T32" s="6">
        <f t="shared" si="6"/>
        <v>171400</v>
      </c>
      <c r="U32" s="6">
        <f t="shared" si="6"/>
        <v>190900</v>
      </c>
      <c r="V32" s="6">
        <f t="shared" si="6"/>
        <v>2000</v>
      </c>
    </row>
    <row r="33" spans="2:22" x14ac:dyDescent="0.25">
      <c r="B33" s="9" t="s">
        <v>163</v>
      </c>
      <c r="C33" s="16">
        <v>7500</v>
      </c>
      <c r="D33" s="9"/>
      <c r="E33" s="9"/>
      <c r="F33" s="9"/>
      <c r="G33" s="16"/>
      <c r="H33" s="16"/>
      <c r="I33" s="9"/>
      <c r="K33" s="26"/>
      <c r="M33" s="11"/>
      <c r="R33" s="7">
        <f>'SEPTEMBER 21'!U33:U60</f>
        <v>0</v>
      </c>
      <c r="U33" s="8"/>
    </row>
    <row r="34" spans="2:22" ht="18.75" x14ac:dyDescent="0.3">
      <c r="B34" s="9" t="s">
        <v>21</v>
      </c>
      <c r="C34" s="16">
        <f>J27</f>
        <v>0</v>
      </c>
      <c r="D34" s="9"/>
      <c r="E34" s="9"/>
      <c r="F34" s="9"/>
      <c r="G34" s="16"/>
      <c r="H34" s="16"/>
      <c r="I34" s="9"/>
      <c r="K34" s="26"/>
      <c r="N34" s="12" t="s">
        <v>13</v>
      </c>
      <c r="O34" s="44" t="s">
        <v>227</v>
      </c>
      <c r="P34" s="13"/>
      <c r="Q34" s="13"/>
      <c r="R34" s="44" t="s">
        <v>228</v>
      </c>
      <c r="S34" s="13"/>
      <c r="T34" s="14"/>
      <c r="U34" s="14"/>
    </row>
    <row r="35" spans="2:22" ht="15.75" x14ac:dyDescent="0.25">
      <c r="B35" s="9" t="s">
        <v>102</v>
      </c>
      <c r="C35" s="16">
        <f>K27</f>
        <v>0</v>
      </c>
      <c r="D35" s="9"/>
      <c r="E35" s="9"/>
      <c r="F35" s="9" t="s">
        <v>102</v>
      </c>
      <c r="G35" s="16">
        <f>K27</f>
        <v>0</v>
      </c>
      <c r="H35" s="9"/>
      <c r="I35" s="9"/>
      <c r="K35" s="26"/>
      <c r="N35" s="15" t="s">
        <v>14</v>
      </c>
      <c r="O35" s="15" t="s">
        <v>226</v>
      </c>
      <c r="P35" s="15" t="s">
        <v>16</v>
      </c>
      <c r="Q35" s="15" t="s">
        <v>17</v>
      </c>
      <c r="R35" s="15" t="s">
        <v>18</v>
      </c>
      <c r="S35" s="15" t="s">
        <v>15</v>
      </c>
      <c r="T35" s="15" t="s">
        <v>16</v>
      </c>
      <c r="U35" s="15" t="s">
        <v>17</v>
      </c>
    </row>
    <row r="36" spans="2:22" x14ac:dyDescent="0.25">
      <c r="B36" s="9" t="s">
        <v>97</v>
      </c>
      <c r="C36" s="16">
        <v>0.3</v>
      </c>
      <c r="D36" s="9"/>
      <c r="E36" s="9"/>
      <c r="F36" s="9" t="s">
        <v>97</v>
      </c>
      <c r="G36" s="16">
        <v>0.3</v>
      </c>
      <c r="H36" s="9">
        <f>D36</f>
        <v>0</v>
      </c>
      <c r="I36" s="9"/>
      <c r="N36" s="9" t="s">
        <v>286</v>
      </c>
      <c r="O36" s="16">
        <f>Q32</f>
        <v>147000</v>
      </c>
      <c r="P36" s="17">
        <v>0.1</v>
      </c>
      <c r="Q36" s="16"/>
      <c r="R36" s="9" t="s">
        <v>286</v>
      </c>
      <c r="S36" s="16">
        <f>T32</f>
        <v>171400</v>
      </c>
      <c r="T36" s="17">
        <v>0.1</v>
      </c>
      <c r="U36" s="9"/>
    </row>
    <row r="37" spans="2:22" x14ac:dyDescent="0.25">
      <c r="B37" s="9" t="s">
        <v>22</v>
      </c>
      <c r="C37" s="18"/>
      <c r="D37" s="9">
        <f>C31*D31</f>
        <v>15300</v>
      </c>
      <c r="E37" s="9"/>
      <c r="F37" s="9" t="s">
        <v>22</v>
      </c>
      <c r="G37" s="18"/>
      <c r="H37" s="9">
        <f>D37</f>
        <v>15300</v>
      </c>
      <c r="I37" s="9"/>
      <c r="K37" s="26"/>
      <c r="N37" s="9" t="s">
        <v>20</v>
      </c>
      <c r="O37" s="16">
        <f>'OCTOBER 21'!Q50</f>
        <v>23600</v>
      </c>
      <c r="P37" s="9"/>
      <c r="Q37" s="9"/>
      <c r="R37" s="7" t="s">
        <v>6</v>
      </c>
      <c r="S37" s="16">
        <f>'OCTOBER 21'!U50</f>
        <v>0</v>
      </c>
      <c r="T37" s="9"/>
      <c r="U37" s="9"/>
    </row>
    <row r="38" spans="2:22" x14ac:dyDescent="0.25">
      <c r="B38" s="19" t="s">
        <v>23</v>
      </c>
      <c r="C38" s="9"/>
      <c r="D38" s="9"/>
      <c r="E38" s="9"/>
      <c r="F38" s="19" t="s">
        <v>23</v>
      </c>
      <c r="G38" s="9"/>
      <c r="H38" s="9"/>
      <c r="I38" s="9"/>
      <c r="N38" s="9" t="s">
        <v>163</v>
      </c>
      <c r="O38" s="16">
        <f>P32</f>
        <v>0</v>
      </c>
      <c r="P38" s="9"/>
      <c r="Q38" s="9"/>
      <c r="R38" s="9"/>
      <c r="S38" s="16"/>
      <c r="T38" s="16"/>
      <c r="U38" s="9"/>
    </row>
    <row r="39" spans="2:22" x14ac:dyDescent="0.25">
      <c r="B39" s="20" t="s">
        <v>291</v>
      </c>
      <c r="C39" s="9"/>
      <c r="D39" s="9">
        <v>32650</v>
      </c>
      <c r="E39" s="9"/>
      <c r="F39" s="20" t="s">
        <v>291</v>
      </c>
      <c r="G39" s="9"/>
      <c r="H39" s="9">
        <v>32650</v>
      </c>
      <c r="I39" s="9"/>
      <c r="J39" s="26"/>
      <c r="N39" s="9" t="s">
        <v>21</v>
      </c>
      <c r="O39" s="16">
        <f>V32</f>
        <v>2000</v>
      </c>
      <c r="P39" s="9"/>
      <c r="Q39" s="9"/>
      <c r="R39" s="9"/>
      <c r="S39" s="16"/>
      <c r="T39" s="16"/>
      <c r="U39" s="9"/>
    </row>
    <row r="40" spans="2:22" x14ac:dyDescent="0.25">
      <c r="B40" s="7" t="s">
        <v>292</v>
      </c>
      <c r="C40" s="9"/>
      <c r="D40" s="7">
        <v>145200</v>
      </c>
      <c r="E40" s="7"/>
      <c r="F40" s="7" t="s">
        <v>292</v>
      </c>
      <c r="G40" s="9"/>
      <c r="H40" s="7">
        <v>145200</v>
      </c>
      <c r="I40" s="9"/>
      <c r="K40" s="26"/>
      <c r="N40" s="9" t="s">
        <v>102</v>
      </c>
      <c r="O40" s="16">
        <f>W32</f>
        <v>0</v>
      </c>
      <c r="P40" s="9"/>
      <c r="Q40" s="9"/>
      <c r="R40" s="9" t="s">
        <v>102</v>
      </c>
      <c r="S40" s="16">
        <f>O40</f>
        <v>0</v>
      </c>
      <c r="T40" s="9"/>
      <c r="U40" s="9"/>
    </row>
    <row r="41" spans="2:22" x14ac:dyDescent="0.25">
      <c r="B41" s="20"/>
      <c r="C41" s="9"/>
      <c r="D41" s="9"/>
      <c r="E41" s="9"/>
      <c r="F41" s="20"/>
      <c r="G41" s="9"/>
      <c r="H41" s="9"/>
      <c r="I41" s="9"/>
      <c r="K41" s="26"/>
      <c r="N41" s="9" t="s">
        <v>22</v>
      </c>
      <c r="O41" s="18"/>
      <c r="P41" s="9">
        <f>P36*O36</f>
        <v>14700</v>
      </c>
      <c r="Q41" s="9"/>
      <c r="R41" s="9" t="s">
        <v>22</v>
      </c>
      <c r="S41" s="18"/>
      <c r="T41" s="9">
        <f>T36*O36</f>
        <v>14700</v>
      </c>
      <c r="U41" s="9"/>
    </row>
    <row r="42" spans="2:22" x14ac:dyDescent="0.25">
      <c r="B42" s="20"/>
      <c r="C42" s="9"/>
      <c r="D42" s="9"/>
      <c r="E42" s="9"/>
      <c r="F42" s="20"/>
      <c r="G42" s="9"/>
      <c r="H42" s="9"/>
      <c r="I42" s="9"/>
      <c r="K42" s="26"/>
      <c r="N42" s="9"/>
      <c r="O42" s="18"/>
      <c r="P42" s="9"/>
      <c r="Q42" s="9"/>
      <c r="R42" s="9"/>
      <c r="S42" s="18"/>
      <c r="T42" s="9"/>
      <c r="U42" s="9"/>
    </row>
    <row r="43" spans="2:22" x14ac:dyDescent="0.25">
      <c r="B43" s="20"/>
      <c r="C43" s="9"/>
      <c r="D43" s="9"/>
      <c r="E43" s="9"/>
      <c r="F43" s="20"/>
      <c r="G43" s="9"/>
      <c r="H43" s="9"/>
      <c r="I43" s="9"/>
      <c r="K43" s="26"/>
      <c r="N43" s="19" t="s">
        <v>23</v>
      </c>
      <c r="O43" s="9"/>
      <c r="P43" s="9"/>
      <c r="Q43" s="9"/>
      <c r="R43" s="19" t="s">
        <v>23</v>
      </c>
      <c r="S43" s="9"/>
      <c r="T43" s="9"/>
      <c r="U43" s="9"/>
    </row>
    <row r="44" spans="2:22" x14ac:dyDescent="0.25">
      <c r="B44" s="20"/>
      <c r="C44" s="16"/>
      <c r="D44" s="16"/>
      <c r="E44" s="16"/>
      <c r="F44" s="20"/>
      <c r="G44" s="9"/>
      <c r="H44" s="16"/>
      <c r="I44" s="9"/>
      <c r="N44" s="20"/>
      <c r="O44" s="9"/>
      <c r="P44" s="9"/>
      <c r="Q44" s="9"/>
      <c r="R44" s="20"/>
      <c r="S44" s="9"/>
      <c r="T44" s="9"/>
      <c r="U44" s="9"/>
      <c r="V44" s="26"/>
    </row>
    <row r="45" spans="2:22" x14ac:dyDescent="0.25">
      <c r="B45" s="22" t="s">
        <v>12</v>
      </c>
      <c r="C45" s="23">
        <f>C31+C32+C33+C34+C35-D37-D36</f>
        <v>177850</v>
      </c>
      <c r="D45" s="22">
        <f>SUM(D39:D44)</f>
        <v>177850</v>
      </c>
      <c r="E45" s="23">
        <f>C45-D45</f>
        <v>0</v>
      </c>
      <c r="F45" s="24"/>
      <c r="G45" s="23">
        <f>G31+G32+G35-H36-H37</f>
        <v>150250</v>
      </c>
      <c r="H45" s="23">
        <f>SUM(H39:H44)</f>
        <v>177850</v>
      </c>
      <c r="I45" s="23">
        <f>G45-H45</f>
        <v>-27600</v>
      </c>
      <c r="N45" s="7" t="s">
        <v>291</v>
      </c>
      <c r="O45" s="21"/>
      <c r="P45" s="7">
        <v>23600</v>
      </c>
      <c r="Q45" s="7"/>
      <c r="R45" s="7" t="s">
        <v>291</v>
      </c>
      <c r="S45" s="21"/>
      <c r="T45" s="7">
        <v>23600</v>
      </c>
      <c r="U45" s="9"/>
    </row>
    <row r="46" spans="2:22" x14ac:dyDescent="0.25">
      <c r="E46" s="26">
        <f>E45-C32</f>
        <v>-32650</v>
      </c>
      <c r="I46" s="26"/>
      <c r="K46" s="26"/>
      <c r="N46" s="20" t="s">
        <v>292</v>
      </c>
      <c r="O46" s="9"/>
      <c r="P46" s="9">
        <v>41800</v>
      </c>
      <c r="Q46" s="9"/>
      <c r="R46" s="20" t="s">
        <v>292</v>
      </c>
      <c r="S46" s="9"/>
      <c r="T46" s="9">
        <v>41800</v>
      </c>
      <c r="U46" s="9"/>
    </row>
    <row r="47" spans="2:22" x14ac:dyDescent="0.25">
      <c r="B47" s="11" t="s">
        <v>24</v>
      </c>
      <c r="D47" s="11" t="s">
        <v>25</v>
      </c>
      <c r="F47" s="11"/>
      <c r="G47" s="11" t="s">
        <v>26</v>
      </c>
      <c r="I47" s="26"/>
      <c r="K47" s="26"/>
      <c r="L47" s="26"/>
      <c r="N47" s="20" t="s">
        <v>295</v>
      </c>
      <c r="O47" s="9"/>
      <c r="P47" s="9">
        <v>76300</v>
      </c>
      <c r="Q47" s="9"/>
      <c r="R47" s="20" t="s">
        <v>295</v>
      </c>
      <c r="S47" s="9"/>
      <c r="T47" s="9">
        <v>76300</v>
      </c>
      <c r="U47" s="9"/>
    </row>
    <row r="48" spans="2:22" x14ac:dyDescent="0.25">
      <c r="B48" t="s">
        <v>27</v>
      </c>
      <c r="D48" s="11" t="s">
        <v>28</v>
      </c>
      <c r="F48" s="11"/>
      <c r="G48" s="11" t="s">
        <v>147</v>
      </c>
      <c r="I48" s="26"/>
      <c r="N48" s="20"/>
      <c r="O48" s="9"/>
      <c r="P48" s="9"/>
      <c r="Q48" s="9"/>
      <c r="R48" s="20"/>
      <c r="S48" s="9"/>
      <c r="T48" s="9"/>
      <c r="U48" s="9"/>
    </row>
    <row r="49" spans="6:22" x14ac:dyDescent="0.25">
      <c r="N49" s="20"/>
      <c r="O49" s="16"/>
      <c r="P49" s="16"/>
      <c r="Q49" s="16"/>
      <c r="R49" s="20"/>
      <c r="S49" s="16"/>
      <c r="T49" s="16"/>
      <c r="U49" s="9"/>
      <c r="V49" s="26"/>
    </row>
    <row r="50" spans="6:22" x14ac:dyDescent="0.25">
      <c r="F50" s="26"/>
      <c r="I50" s="26"/>
      <c r="J50" s="26"/>
      <c r="N50" s="22" t="s">
        <v>12</v>
      </c>
      <c r="O50" s="23">
        <f>O36+O37+O38+O39+O40-P42-P41</f>
        <v>157900</v>
      </c>
      <c r="P50" s="22">
        <f>SUM(P44:P49)</f>
        <v>141700</v>
      </c>
      <c r="Q50" s="23">
        <f>O50-P50</f>
        <v>16200</v>
      </c>
      <c r="R50" s="24"/>
      <c r="S50" s="23">
        <f>S36+S37+S40-T41</f>
        <v>156700</v>
      </c>
      <c r="T50" s="23">
        <f>SUM(T44:T49)</f>
        <v>141700</v>
      </c>
      <c r="U50" s="23">
        <f>S50-T50</f>
        <v>15000</v>
      </c>
    </row>
    <row r="52" spans="6:22" x14ac:dyDescent="0.25">
      <c r="N52" s="11" t="s">
        <v>24</v>
      </c>
      <c r="P52" s="11" t="s">
        <v>25</v>
      </c>
      <c r="R52" s="11"/>
      <c r="S52" s="11" t="s">
        <v>26</v>
      </c>
    </row>
    <row r="53" spans="6:22" x14ac:dyDescent="0.25">
      <c r="N53" t="s">
        <v>27</v>
      </c>
      <c r="P53" s="11" t="s">
        <v>28</v>
      </c>
      <c r="R53" s="11"/>
      <c r="S53" s="11" t="s">
        <v>147</v>
      </c>
      <c r="U53" s="26"/>
      <c r="V53" s="26">
        <f>U50+I45</f>
        <v>-12600</v>
      </c>
    </row>
    <row r="54" spans="6:22" x14ac:dyDescent="0.25">
      <c r="F54">
        <f>187000-D40</f>
        <v>41800</v>
      </c>
    </row>
    <row r="56" spans="6:22" x14ac:dyDescent="0.25">
      <c r="U56" s="26"/>
    </row>
    <row r="57" spans="6:22" x14ac:dyDescent="0.25">
      <c r="G57" s="26">
        <f>E45+Q50</f>
        <v>16200</v>
      </c>
    </row>
    <row r="58" spans="6:22" x14ac:dyDescent="0.25">
      <c r="N58">
        <f>Q32</f>
        <v>147000</v>
      </c>
    </row>
    <row r="59" spans="6:22" x14ac:dyDescent="0.25">
      <c r="N59">
        <f>E27</f>
        <v>153000</v>
      </c>
      <c r="P59">
        <f>P46+P47+H40</f>
        <v>263300</v>
      </c>
    </row>
    <row r="60" spans="6:22" x14ac:dyDescent="0.25">
      <c r="N60">
        <f>N58+N59</f>
        <v>300000</v>
      </c>
    </row>
    <row r="61" spans="6:22" x14ac:dyDescent="0.25">
      <c r="J61">
        <f>D40+P46</f>
        <v>187000</v>
      </c>
      <c r="N61">
        <f>P36*N60</f>
        <v>30000</v>
      </c>
    </row>
    <row r="62" spans="6:22" x14ac:dyDescent="0.25">
      <c r="N62">
        <f>N60-N61</f>
        <v>270000</v>
      </c>
    </row>
    <row r="63" spans="6:22" x14ac:dyDescent="0.25">
      <c r="M63" t="s">
        <v>4</v>
      </c>
      <c r="N63">
        <v>7500</v>
      </c>
    </row>
    <row r="64" spans="6:22" x14ac:dyDescent="0.25">
      <c r="M64" t="s">
        <v>21</v>
      </c>
      <c r="N64">
        <v>2000</v>
      </c>
    </row>
    <row r="65" spans="14:14" x14ac:dyDescent="0.25">
      <c r="N65">
        <f>N62+N63+N64</f>
        <v>279500</v>
      </c>
    </row>
    <row r="66" spans="14:14" x14ac:dyDescent="0.25">
      <c r="N66">
        <v>187000</v>
      </c>
    </row>
    <row r="67" spans="14:14" x14ac:dyDescent="0.25">
      <c r="N67">
        <f>N65-N66</f>
        <v>92500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4"/>
  <sheetViews>
    <sheetView tabSelected="1" topLeftCell="D22" workbookViewId="0">
      <selection activeCell="U53" sqref="U53"/>
    </sheetView>
  </sheetViews>
  <sheetFormatPr defaultRowHeight="15" x14ac:dyDescent="0.25"/>
  <sheetData>
    <row r="1" spans="1:22" ht="18.75" x14ac:dyDescent="0.25">
      <c r="E1" s="1" t="s">
        <v>50</v>
      </c>
      <c r="F1" s="2"/>
      <c r="G1" s="3"/>
      <c r="H1" s="4"/>
      <c r="I1" s="46" t="s">
        <v>278</v>
      </c>
      <c r="J1" s="46"/>
      <c r="K1" s="46"/>
      <c r="Q1" s="1" t="s">
        <v>229</v>
      </c>
      <c r="R1" s="2"/>
      <c r="S1" s="3"/>
      <c r="T1" s="4"/>
    </row>
    <row r="2" spans="1:22" ht="18.75" x14ac:dyDescent="0.25">
      <c r="E2" s="1" t="s">
        <v>0</v>
      </c>
      <c r="F2" s="1"/>
      <c r="G2" s="5"/>
      <c r="H2" s="5"/>
      <c r="I2" s="46"/>
      <c r="J2" s="46"/>
      <c r="K2" s="46"/>
      <c r="Q2" s="1" t="s">
        <v>0</v>
      </c>
      <c r="R2" s="1"/>
      <c r="S2" s="5"/>
      <c r="T2" s="5"/>
    </row>
    <row r="3" spans="1:22" ht="18.75" x14ac:dyDescent="0.25">
      <c r="E3" s="1" t="s">
        <v>284</v>
      </c>
      <c r="F3" s="1"/>
      <c r="G3" s="5"/>
      <c r="H3" s="5"/>
      <c r="I3" t="s">
        <v>250</v>
      </c>
      <c r="Q3" s="1" t="s">
        <v>284</v>
      </c>
      <c r="R3" s="1"/>
      <c r="S3" s="5"/>
      <c r="T3" s="5"/>
    </row>
    <row r="4" spans="1:22" x14ac:dyDescent="0.25">
      <c r="A4" s="6" t="s">
        <v>2</v>
      </c>
      <c r="B4" s="6" t="s">
        <v>3</v>
      </c>
      <c r="C4" s="6"/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  <c r="K4" s="6" t="s">
        <v>101</v>
      </c>
      <c r="M4" s="6" t="s">
        <v>2</v>
      </c>
      <c r="N4" s="6" t="s">
        <v>3</v>
      </c>
      <c r="O4" s="6"/>
      <c r="P4" s="6" t="s">
        <v>4</v>
      </c>
      <c r="Q4" s="6" t="s">
        <v>5</v>
      </c>
      <c r="R4" s="6" t="s">
        <v>6</v>
      </c>
      <c r="S4" s="6" t="s">
        <v>7</v>
      </c>
      <c r="T4" s="6" t="s">
        <v>8</v>
      </c>
      <c r="U4" s="6" t="s">
        <v>9</v>
      </c>
      <c r="V4" s="6" t="s">
        <v>10</v>
      </c>
    </row>
    <row r="5" spans="1:22" x14ac:dyDescent="0.25">
      <c r="A5" s="7" t="s">
        <v>30</v>
      </c>
      <c r="B5" s="7" t="s">
        <v>232</v>
      </c>
      <c r="C5" s="7"/>
      <c r="D5" s="7"/>
      <c r="E5" s="7">
        <v>4500</v>
      </c>
      <c r="F5" s="7">
        <f>NOVEMBER!I5:I26</f>
        <v>0</v>
      </c>
      <c r="G5" s="7">
        <f>C5+D5+E5+F5</f>
        <v>4500</v>
      </c>
      <c r="H5" s="7"/>
      <c r="I5" s="7">
        <f t="shared" ref="I5:I21" si="0">G5-H5</f>
        <v>4500</v>
      </c>
      <c r="J5" s="7"/>
      <c r="K5" s="7"/>
      <c r="M5" s="7" t="s">
        <v>177</v>
      </c>
      <c r="N5" s="9" t="s">
        <v>202</v>
      </c>
      <c r="O5" s="7"/>
      <c r="P5" s="7"/>
      <c r="Q5" s="7">
        <v>7000</v>
      </c>
      <c r="R5" s="7">
        <f>NOVEMBER!U5:U31</f>
        <v>0</v>
      </c>
      <c r="S5" s="7">
        <f>O5+P5+Q5+R5</f>
        <v>7000</v>
      </c>
      <c r="T5" s="7">
        <f>6500+500</f>
        <v>7000</v>
      </c>
      <c r="U5" s="7">
        <f t="shared" ref="U5:U21" si="1">S5-T5</f>
        <v>0</v>
      </c>
      <c r="V5" s="7"/>
    </row>
    <row r="6" spans="1:22" x14ac:dyDescent="0.25">
      <c r="A6" s="7" t="s">
        <v>31</v>
      </c>
      <c r="B6" s="7" t="s">
        <v>52</v>
      </c>
      <c r="C6" s="7"/>
      <c r="D6" s="7"/>
      <c r="E6" s="7">
        <v>3000</v>
      </c>
      <c r="F6" s="7">
        <f>NOVEMBER!I6:I27</f>
        <v>0</v>
      </c>
      <c r="G6" s="7">
        <f>C6+D6+E6+F6</f>
        <v>3000</v>
      </c>
      <c r="H6" s="7">
        <v>3000</v>
      </c>
      <c r="I6" s="7">
        <f t="shared" si="0"/>
        <v>0</v>
      </c>
      <c r="J6" s="7"/>
      <c r="K6" s="7"/>
      <c r="M6" s="7" t="s">
        <v>88</v>
      </c>
      <c r="N6" s="7"/>
      <c r="O6" s="7"/>
      <c r="P6" s="7"/>
      <c r="Q6" s="7"/>
      <c r="R6" s="7">
        <f>NOVEMBER!U6:U32</f>
        <v>0</v>
      </c>
      <c r="S6" s="7">
        <f>O6+P6+Q6+R6</f>
        <v>0</v>
      </c>
      <c r="T6" s="7"/>
      <c r="U6" s="7">
        <f t="shared" si="1"/>
        <v>0</v>
      </c>
      <c r="V6" s="7"/>
    </row>
    <row r="7" spans="1:22" x14ac:dyDescent="0.25">
      <c r="A7" s="7" t="s">
        <v>32</v>
      </c>
      <c r="B7" s="7" t="s">
        <v>115</v>
      </c>
      <c r="C7" s="7"/>
      <c r="D7" s="7">
        <v>2500</v>
      </c>
      <c r="E7" s="7">
        <v>7500</v>
      </c>
      <c r="F7" s="7">
        <v>10000</v>
      </c>
      <c r="G7" s="7">
        <f>C7+D7+E7+F7</f>
        <v>20000</v>
      </c>
      <c r="H7" s="7">
        <f>5000+9000</f>
        <v>14000</v>
      </c>
      <c r="I7" s="7">
        <f t="shared" si="0"/>
        <v>6000</v>
      </c>
      <c r="J7" s="7"/>
      <c r="K7" s="7"/>
      <c r="M7" s="7" t="s">
        <v>178</v>
      </c>
      <c r="N7" s="7" t="s">
        <v>203</v>
      </c>
      <c r="O7" s="7"/>
      <c r="P7" s="7"/>
      <c r="Q7" s="7">
        <v>8500</v>
      </c>
      <c r="R7" s="7">
        <f>NOVEMBER!U7:U33</f>
        <v>1000</v>
      </c>
      <c r="S7" s="7">
        <f>O7+P7+Q7+R7</f>
        <v>9500</v>
      </c>
      <c r="T7" s="7">
        <v>8500</v>
      </c>
      <c r="U7" s="7">
        <f t="shared" si="1"/>
        <v>1000</v>
      </c>
      <c r="V7" s="7"/>
    </row>
    <row r="8" spans="1:22" x14ac:dyDescent="0.25">
      <c r="A8" s="7" t="s">
        <v>33</v>
      </c>
      <c r="B8" s="7" t="s">
        <v>54</v>
      </c>
      <c r="C8" s="7"/>
      <c r="D8" s="7"/>
      <c r="E8" s="7">
        <v>6500</v>
      </c>
      <c r="F8" s="7">
        <f>NOVEMBER!I8:I29</f>
        <v>0</v>
      </c>
      <c r="G8" s="7">
        <f>C8+D8+E8+F8</f>
        <v>6500</v>
      </c>
      <c r="H8" s="7">
        <v>6500</v>
      </c>
      <c r="I8" s="7">
        <f t="shared" si="0"/>
        <v>0</v>
      </c>
      <c r="J8" s="7"/>
      <c r="K8" s="7"/>
      <c r="M8" s="7" t="s">
        <v>179</v>
      </c>
      <c r="N8" s="7" t="s">
        <v>204</v>
      </c>
      <c r="O8" s="7"/>
      <c r="P8" s="7"/>
      <c r="Q8" s="7">
        <v>9000</v>
      </c>
      <c r="R8" s="7">
        <f>NOVEMBER!U8:U34</f>
        <v>0</v>
      </c>
      <c r="S8" s="7">
        <f>O8+P8+Q8+R8</f>
        <v>9000</v>
      </c>
      <c r="T8" s="7">
        <v>9000</v>
      </c>
      <c r="U8" s="7">
        <f t="shared" si="1"/>
        <v>0</v>
      </c>
      <c r="V8" s="7"/>
    </row>
    <row r="9" spans="1:22" x14ac:dyDescent="0.25">
      <c r="A9" s="7" t="s">
        <v>34</v>
      </c>
      <c r="B9" s="9" t="s">
        <v>265</v>
      </c>
      <c r="C9" s="7"/>
      <c r="D9" s="7">
        <v>1000</v>
      </c>
      <c r="E9" s="7">
        <v>7000</v>
      </c>
      <c r="F9" s="7">
        <f>NOVEMBER!I9:I30</f>
        <v>3000</v>
      </c>
      <c r="G9" s="7">
        <f t="shared" ref="G9:G26" si="2">C9+D9+E9+F9</f>
        <v>11000</v>
      </c>
      <c r="H9" s="7">
        <v>3000</v>
      </c>
      <c r="I9" s="7">
        <f t="shared" si="0"/>
        <v>8000</v>
      </c>
      <c r="J9" s="7"/>
      <c r="K9" s="7"/>
      <c r="M9" s="7" t="s">
        <v>180</v>
      </c>
      <c r="N9" s="7" t="s">
        <v>205</v>
      </c>
      <c r="O9" s="7"/>
      <c r="P9" s="7"/>
      <c r="Q9" s="7">
        <v>8000</v>
      </c>
      <c r="R9" s="7">
        <f>NOVEMBER!U9:U35</f>
        <v>34300</v>
      </c>
      <c r="S9" s="7">
        <f t="shared" ref="S9:S31" si="3">O9+P9+Q9+R9</f>
        <v>42300</v>
      </c>
      <c r="T9" s="7">
        <v>8000</v>
      </c>
      <c r="U9" s="7">
        <f t="shared" si="1"/>
        <v>34300</v>
      </c>
      <c r="V9" s="7"/>
    </row>
    <row r="10" spans="1:22" x14ac:dyDescent="0.25">
      <c r="A10" s="7" t="s">
        <v>35</v>
      </c>
      <c r="B10" s="7" t="s">
        <v>55</v>
      </c>
      <c r="C10" s="7"/>
      <c r="D10" s="7"/>
      <c r="E10" s="7">
        <v>7000</v>
      </c>
      <c r="F10" s="7">
        <f>NOVEMBER!I10:I31</f>
        <v>1000</v>
      </c>
      <c r="G10" s="7">
        <f t="shared" si="2"/>
        <v>8000</v>
      </c>
      <c r="H10" s="7">
        <v>7000</v>
      </c>
      <c r="I10" s="7">
        <f t="shared" si="0"/>
        <v>1000</v>
      </c>
      <c r="J10" s="7"/>
      <c r="K10" s="7"/>
      <c r="M10" s="7" t="s">
        <v>181</v>
      </c>
      <c r="N10" s="7" t="s">
        <v>206</v>
      </c>
      <c r="O10" s="7"/>
      <c r="P10" s="7"/>
      <c r="Q10" s="7">
        <v>8500</v>
      </c>
      <c r="R10" s="7">
        <f>NOVEMBER!U10:U36</f>
        <v>11100</v>
      </c>
      <c r="S10" s="7">
        <f t="shared" si="3"/>
        <v>19600</v>
      </c>
      <c r="T10" s="7">
        <v>8500</v>
      </c>
      <c r="U10" s="7">
        <f t="shared" si="1"/>
        <v>11100</v>
      </c>
      <c r="V10" s="7"/>
    </row>
    <row r="11" spans="1:22" x14ac:dyDescent="0.25">
      <c r="A11" s="7" t="s">
        <v>36</v>
      </c>
      <c r="B11" s="7" t="s">
        <v>56</v>
      </c>
      <c r="C11" s="7"/>
      <c r="D11" s="7"/>
      <c r="E11" s="7">
        <v>7000</v>
      </c>
      <c r="F11" s="7">
        <f>NOVEMBER!I11:I32</f>
        <v>12000</v>
      </c>
      <c r="G11" s="7">
        <f t="shared" si="2"/>
        <v>19000</v>
      </c>
      <c r="H11" s="7"/>
      <c r="I11" s="7">
        <f t="shared" si="0"/>
        <v>19000</v>
      </c>
      <c r="J11" s="7"/>
      <c r="K11" s="7"/>
      <c r="M11" s="7" t="s">
        <v>182</v>
      </c>
      <c r="N11" s="7" t="s">
        <v>207</v>
      </c>
      <c r="O11" s="7"/>
      <c r="P11" s="7"/>
      <c r="Q11" s="7">
        <v>8000</v>
      </c>
      <c r="R11" s="7">
        <f>NOVEMBER!U11:U37</f>
        <v>4500</v>
      </c>
      <c r="S11" s="7">
        <f t="shared" si="3"/>
        <v>12500</v>
      </c>
      <c r="T11" s="7">
        <v>10000</v>
      </c>
      <c r="U11" s="7">
        <f t="shared" si="1"/>
        <v>2500</v>
      </c>
      <c r="V11" s="7"/>
    </row>
    <row r="12" spans="1:22" x14ac:dyDescent="0.25">
      <c r="A12" s="7" t="s">
        <v>37</v>
      </c>
      <c r="B12" s="8" t="s">
        <v>65</v>
      </c>
      <c r="C12" s="7"/>
      <c r="D12" s="7"/>
      <c r="E12" s="7">
        <v>4500</v>
      </c>
      <c r="F12" s="7">
        <f>NOVEMBER!I12:I33</f>
        <v>100</v>
      </c>
      <c r="G12" s="7">
        <f t="shared" si="2"/>
        <v>4600</v>
      </c>
      <c r="H12" s="7">
        <v>4500</v>
      </c>
      <c r="I12" s="7">
        <f t="shared" si="0"/>
        <v>100</v>
      </c>
      <c r="J12" s="7"/>
      <c r="K12" s="7"/>
      <c r="M12" s="7" t="s">
        <v>183</v>
      </c>
      <c r="N12" s="8" t="s">
        <v>208</v>
      </c>
      <c r="O12" s="7"/>
      <c r="P12" s="7"/>
      <c r="Q12" s="7">
        <v>8500</v>
      </c>
      <c r="R12" s="7">
        <f>NOVEMBER!U12:U38</f>
        <v>8500</v>
      </c>
      <c r="S12" s="7">
        <f t="shared" si="3"/>
        <v>17000</v>
      </c>
      <c r="T12" s="7">
        <v>17000</v>
      </c>
      <c r="U12" s="7">
        <f t="shared" si="1"/>
        <v>0</v>
      </c>
      <c r="V12" s="7"/>
    </row>
    <row r="13" spans="1:22" x14ac:dyDescent="0.25">
      <c r="A13" s="7" t="s">
        <v>38</v>
      </c>
      <c r="B13" s="7" t="s">
        <v>92</v>
      </c>
      <c r="C13" s="7"/>
      <c r="D13" s="7">
        <v>5000</v>
      </c>
      <c r="E13" s="7">
        <v>8000</v>
      </c>
      <c r="F13" s="7">
        <f>NOVEMBER!I13:I34</f>
        <v>5000</v>
      </c>
      <c r="G13" s="7">
        <f t="shared" si="2"/>
        <v>18000</v>
      </c>
      <c r="H13" s="7">
        <v>8000</v>
      </c>
      <c r="I13" s="7">
        <f t="shared" si="0"/>
        <v>10000</v>
      </c>
      <c r="J13" s="7"/>
      <c r="K13" s="7"/>
      <c r="M13" s="7" t="s">
        <v>184</v>
      </c>
      <c r="N13" s="7" t="s">
        <v>279</v>
      </c>
      <c r="O13" s="7"/>
      <c r="P13" s="7"/>
      <c r="Q13" s="7">
        <v>3500</v>
      </c>
      <c r="R13" s="7">
        <f>NOVEMBER!U13:U39</f>
        <v>0</v>
      </c>
      <c r="S13" s="7">
        <f t="shared" si="3"/>
        <v>3500</v>
      </c>
      <c r="T13" s="7">
        <v>3500</v>
      </c>
      <c r="U13" s="7">
        <f t="shared" si="1"/>
        <v>0</v>
      </c>
      <c r="V13" s="7"/>
    </row>
    <row r="14" spans="1:22" x14ac:dyDescent="0.25">
      <c r="A14" s="7" t="s">
        <v>39</v>
      </c>
      <c r="B14" s="7" t="s">
        <v>70</v>
      </c>
      <c r="C14" s="7"/>
      <c r="D14" s="7"/>
      <c r="E14" s="7">
        <v>6500</v>
      </c>
      <c r="F14" s="7">
        <f>NOVEMBER!I14:I35</f>
        <v>0</v>
      </c>
      <c r="G14" s="7">
        <f t="shared" si="2"/>
        <v>6500</v>
      </c>
      <c r="H14" s="7">
        <v>6500</v>
      </c>
      <c r="I14" s="7">
        <f t="shared" si="0"/>
        <v>0</v>
      </c>
      <c r="J14" s="7"/>
      <c r="K14" s="7"/>
      <c r="M14" s="7" t="s">
        <v>185</v>
      </c>
      <c r="N14" s="7" t="s">
        <v>210</v>
      </c>
      <c r="O14" s="7"/>
      <c r="P14" s="7"/>
      <c r="Q14" s="7">
        <v>5000</v>
      </c>
      <c r="R14" s="7">
        <f>NOVEMBER!U14:U40</f>
        <v>0</v>
      </c>
      <c r="S14" s="7">
        <f t="shared" si="3"/>
        <v>5000</v>
      </c>
      <c r="T14" s="7">
        <v>5000</v>
      </c>
      <c r="U14" s="7">
        <f t="shared" si="1"/>
        <v>0</v>
      </c>
      <c r="V14" s="7"/>
    </row>
    <row r="15" spans="1:22" x14ac:dyDescent="0.25">
      <c r="A15" s="7" t="s">
        <v>40</v>
      </c>
      <c r="B15" s="7" t="s">
        <v>174</v>
      </c>
      <c r="C15" s="7"/>
      <c r="D15" s="7"/>
      <c r="E15" s="7">
        <v>7500</v>
      </c>
      <c r="F15" s="7">
        <f>NOVEMBER!I15:I36</f>
        <v>0</v>
      </c>
      <c r="G15" s="7">
        <f t="shared" si="2"/>
        <v>7500</v>
      </c>
      <c r="H15" s="7">
        <v>7500</v>
      </c>
      <c r="I15" s="7">
        <f t="shared" si="0"/>
        <v>0</v>
      </c>
      <c r="J15" s="7"/>
      <c r="K15" s="7"/>
      <c r="M15" s="7" t="s">
        <v>186</v>
      </c>
      <c r="N15" s="9" t="s">
        <v>267</v>
      </c>
      <c r="O15" s="7"/>
      <c r="P15" s="7"/>
      <c r="Q15" s="7">
        <v>4000</v>
      </c>
      <c r="R15" s="7">
        <f>NOVEMBER!U15:U41</f>
        <v>0</v>
      </c>
      <c r="S15" s="7">
        <f t="shared" si="3"/>
        <v>4000</v>
      </c>
      <c r="T15" s="7">
        <v>4000</v>
      </c>
      <c r="U15" s="7">
        <f t="shared" si="1"/>
        <v>0</v>
      </c>
      <c r="V15" s="7"/>
    </row>
    <row r="16" spans="1:22" x14ac:dyDescent="0.25">
      <c r="A16" s="7" t="s">
        <v>41</v>
      </c>
      <c r="B16" s="7" t="s">
        <v>58</v>
      </c>
      <c r="C16" s="7"/>
      <c r="D16" s="7"/>
      <c r="E16" s="7">
        <v>7000</v>
      </c>
      <c r="F16" s="7">
        <f>NOVEMBER!I16:I37</f>
        <v>1500</v>
      </c>
      <c r="G16" s="7">
        <f t="shared" si="2"/>
        <v>8500</v>
      </c>
      <c r="H16" s="7">
        <v>7000</v>
      </c>
      <c r="I16" s="7">
        <f t="shared" si="0"/>
        <v>1500</v>
      </c>
      <c r="J16" s="7"/>
      <c r="K16" s="7"/>
      <c r="M16" s="7" t="s">
        <v>187</v>
      </c>
      <c r="N16" s="7" t="s">
        <v>212</v>
      </c>
      <c r="O16" s="7"/>
      <c r="P16" s="7"/>
      <c r="Q16" s="7">
        <v>4500</v>
      </c>
      <c r="R16" s="7">
        <f>NOVEMBER!U16:U42</f>
        <v>0</v>
      </c>
      <c r="S16" s="7">
        <f t="shared" si="3"/>
        <v>4500</v>
      </c>
      <c r="T16" s="7">
        <v>4500</v>
      </c>
      <c r="U16" s="7">
        <f t="shared" si="1"/>
        <v>0</v>
      </c>
      <c r="V16" s="7"/>
    </row>
    <row r="17" spans="1:22" x14ac:dyDescent="0.25">
      <c r="A17" s="7" t="s">
        <v>42</v>
      </c>
      <c r="B17" s="7" t="s">
        <v>59</v>
      </c>
      <c r="C17" s="7"/>
      <c r="D17" s="7"/>
      <c r="E17" s="7">
        <v>7000</v>
      </c>
      <c r="F17" s="7">
        <f>NOVEMBER!I17:I38</f>
        <v>500</v>
      </c>
      <c r="G17" s="7">
        <f t="shared" si="2"/>
        <v>7500</v>
      </c>
      <c r="H17" s="7"/>
      <c r="I17" s="7">
        <f>G17-H17</f>
        <v>7500</v>
      </c>
      <c r="J17" s="7"/>
      <c r="K17" s="7"/>
      <c r="M17" s="7" t="s">
        <v>188</v>
      </c>
      <c r="N17" s="45" t="s">
        <v>213</v>
      </c>
      <c r="O17" s="45"/>
      <c r="P17" s="45"/>
      <c r="Q17" s="45"/>
      <c r="R17" s="7">
        <f>NOVEMBER!U17:U43</f>
        <v>56000</v>
      </c>
      <c r="S17" s="45">
        <f>O17+P17+Q17+R17+4000</f>
        <v>60000</v>
      </c>
      <c r="T17" s="7"/>
      <c r="U17" s="45">
        <f t="shared" si="1"/>
        <v>60000</v>
      </c>
      <c r="V17" s="7"/>
    </row>
    <row r="18" spans="1:22" x14ac:dyDescent="0.25">
      <c r="A18" s="7" t="s">
        <v>43</v>
      </c>
      <c r="B18" s="7" t="s">
        <v>230</v>
      </c>
      <c r="C18" s="7"/>
      <c r="D18" s="7"/>
      <c r="E18" s="7">
        <v>5000</v>
      </c>
      <c r="F18" s="7">
        <f>NOVEMBER!I18:I39</f>
        <v>0</v>
      </c>
      <c r="G18" s="7">
        <f t="shared" si="2"/>
        <v>5000</v>
      </c>
      <c r="H18" s="7">
        <v>5000</v>
      </c>
      <c r="I18" s="7">
        <f t="shared" si="0"/>
        <v>0</v>
      </c>
      <c r="J18" s="7"/>
      <c r="K18" s="7"/>
      <c r="M18" s="7" t="s">
        <v>189</v>
      </c>
      <c r="N18" s="45" t="s">
        <v>293</v>
      </c>
      <c r="O18" s="45"/>
      <c r="P18" s="45"/>
      <c r="Q18" s="45">
        <v>4500</v>
      </c>
      <c r="R18" s="7">
        <f>NOVEMBER!U18:U44</f>
        <v>0</v>
      </c>
      <c r="S18" s="45">
        <f>O18+P18+Q18+R18</f>
        <v>4500</v>
      </c>
      <c r="T18" s="7">
        <v>4500</v>
      </c>
      <c r="U18" s="45">
        <f t="shared" si="1"/>
        <v>0</v>
      </c>
      <c r="V18" s="7"/>
    </row>
    <row r="19" spans="1:22" x14ac:dyDescent="0.25">
      <c r="A19" s="7" t="s">
        <v>44</v>
      </c>
      <c r="B19" s="9" t="s">
        <v>118</v>
      </c>
      <c r="C19" s="7"/>
      <c r="D19" s="7"/>
      <c r="E19" s="7">
        <v>8000</v>
      </c>
      <c r="F19" s="7">
        <f>NOVEMBER!I19:I40</f>
        <v>0</v>
      </c>
      <c r="G19" s="7">
        <f t="shared" si="2"/>
        <v>8000</v>
      </c>
      <c r="H19" s="7">
        <v>8000</v>
      </c>
      <c r="I19" s="7">
        <f t="shared" si="0"/>
        <v>0</v>
      </c>
      <c r="J19" s="7"/>
      <c r="K19" s="7"/>
      <c r="M19" s="7" t="s">
        <v>190</v>
      </c>
      <c r="N19" s="9" t="s">
        <v>215</v>
      </c>
      <c r="O19" s="7"/>
      <c r="P19" s="7"/>
      <c r="Q19" s="7">
        <v>4000</v>
      </c>
      <c r="R19" s="7">
        <f>NOVEMBER!U19:U45</f>
        <v>3000</v>
      </c>
      <c r="S19" s="7">
        <f t="shared" si="3"/>
        <v>7000</v>
      </c>
      <c r="T19" s="7"/>
      <c r="U19" s="7">
        <f t="shared" si="1"/>
        <v>7000</v>
      </c>
      <c r="V19" s="7"/>
    </row>
    <row r="20" spans="1:22" x14ac:dyDescent="0.25">
      <c r="A20" s="7" t="s">
        <v>45</v>
      </c>
      <c r="B20" s="7" t="s">
        <v>294</v>
      </c>
      <c r="C20" s="7"/>
      <c r="D20" s="7"/>
      <c r="E20" s="7">
        <v>7500</v>
      </c>
      <c r="F20" s="7">
        <f>NOVEMBER!I20:I41</f>
        <v>0</v>
      </c>
      <c r="G20" s="7">
        <f t="shared" si="2"/>
        <v>7500</v>
      </c>
      <c r="H20" s="7">
        <v>3000</v>
      </c>
      <c r="I20" s="7">
        <f t="shared" si="0"/>
        <v>4500</v>
      </c>
      <c r="J20" s="7"/>
      <c r="K20" s="7"/>
      <c r="M20" s="7" t="s">
        <v>123</v>
      </c>
      <c r="N20" s="7" t="s">
        <v>231</v>
      </c>
      <c r="O20" s="7"/>
      <c r="P20" s="7"/>
      <c r="Q20" s="7">
        <v>4500</v>
      </c>
      <c r="R20" s="7">
        <f>NOVEMBER!U20:U46</f>
        <v>0</v>
      </c>
      <c r="S20" s="7">
        <f t="shared" si="3"/>
        <v>4500</v>
      </c>
      <c r="T20" s="7">
        <v>4500</v>
      </c>
      <c r="U20" s="7">
        <f t="shared" si="1"/>
        <v>0</v>
      </c>
      <c r="V20" s="7"/>
    </row>
    <row r="21" spans="1:22" x14ac:dyDescent="0.25">
      <c r="A21" s="7" t="s">
        <v>46</v>
      </c>
      <c r="B21" s="7" t="s">
        <v>132</v>
      </c>
      <c r="C21" s="7"/>
      <c r="D21" s="7"/>
      <c r="E21" s="7">
        <v>6500</v>
      </c>
      <c r="F21" s="7">
        <f>NOVEMBER!I21:I42</f>
        <v>0</v>
      </c>
      <c r="G21" s="7">
        <f t="shared" si="2"/>
        <v>6500</v>
      </c>
      <c r="H21" s="7">
        <v>6500</v>
      </c>
      <c r="I21" s="7">
        <f t="shared" si="0"/>
        <v>0</v>
      </c>
      <c r="J21" s="7"/>
      <c r="K21" s="7"/>
      <c r="M21" s="7" t="s">
        <v>191</v>
      </c>
      <c r="N21" s="7" t="s">
        <v>216</v>
      </c>
      <c r="O21" s="7"/>
      <c r="P21" s="7"/>
      <c r="Q21" s="7">
        <v>4500</v>
      </c>
      <c r="R21" s="7">
        <f>NOVEMBER!U21:U47</f>
        <v>6000</v>
      </c>
      <c r="S21" s="7">
        <f t="shared" si="3"/>
        <v>10500</v>
      </c>
      <c r="T21" s="7">
        <v>4200</v>
      </c>
      <c r="U21" s="7">
        <f t="shared" si="1"/>
        <v>6300</v>
      </c>
      <c r="V21" s="7"/>
    </row>
    <row r="22" spans="1:22" x14ac:dyDescent="0.25">
      <c r="A22" s="7" t="s">
        <v>47</v>
      </c>
      <c r="B22" s="7" t="s">
        <v>64</v>
      </c>
      <c r="C22" s="7"/>
      <c r="D22" s="7"/>
      <c r="E22" s="7">
        <v>7000</v>
      </c>
      <c r="F22" s="7">
        <f>NOVEMBER!I22:I43</f>
        <v>0</v>
      </c>
      <c r="G22" s="7">
        <f t="shared" si="2"/>
        <v>7000</v>
      </c>
      <c r="H22" s="7">
        <v>7000</v>
      </c>
      <c r="I22" s="7">
        <v>4</v>
      </c>
      <c r="J22" s="7"/>
      <c r="K22" s="7"/>
      <c r="M22" s="7" t="s">
        <v>192</v>
      </c>
      <c r="N22" s="7" t="s">
        <v>214</v>
      </c>
      <c r="O22" s="7"/>
      <c r="P22" s="7"/>
      <c r="Q22" s="7">
        <v>4000</v>
      </c>
      <c r="R22" s="7">
        <f>NOVEMBER!U22:U48</f>
        <v>0</v>
      </c>
      <c r="S22" s="7">
        <f t="shared" si="3"/>
        <v>4000</v>
      </c>
      <c r="T22" s="7">
        <v>4000</v>
      </c>
      <c r="U22" s="7">
        <f>S22-T22</f>
        <v>0</v>
      </c>
      <c r="V22" s="7"/>
    </row>
    <row r="23" spans="1:22" x14ac:dyDescent="0.25">
      <c r="A23" s="7" t="s">
        <v>66</v>
      </c>
      <c r="B23" s="7" t="s">
        <v>69</v>
      </c>
      <c r="C23" s="7"/>
      <c r="D23" s="7"/>
      <c r="E23" s="7">
        <v>8500</v>
      </c>
      <c r="F23" s="7">
        <f>NOVEMBER!I23:I44</f>
        <v>0</v>
      </c>
      <c r="G23" s="7">
        <f t="shared" si="2"/>
        <v>8500</v>
      </c>
      <c r="H23" s="7">
        <v>8500</v>
      </c>
      <c r="I23" s="7">
        <f>G23-H23</f>
        <v>0</v>
      </c>
      <c r="J23" s="7"/>
      <c r="K23" s="7"/>
      <c r="M23" s="7" t="s">
        <v>193</v>
      </c>
      <c r="N23" s="45" t="s">
        <v>257</v>
      </c>
      <c r="O23" s="7"/>
      <c r="P23" s="7"/>
      <c r="Q23" s="7">
        <v>4500</v>
      </c>
      <c r="R23" s="7">
        <f>NOVEMBER!U23:U49</f>
        <v>1000</v>
      </c>
      <c r="S23" s="7">
        <f t="shared" si="3"/>
        <v>5500</v>
      </c>
      <c r="T23" s="7"/>
      <c r="U23" s="7">
        <f>S23-T23</f>
        <v>5500</v>
      </c>
      <c r="V23" s="7"/>
    </row>
    <row r="24" spans="1:22" x14ac:dyDescent="0.25">
      <c r="A24" s="7" t="s">
        <v>48</v>
      </c>
      <c r="B24" s="7" t="s">
        <v>233</v>
      </c>
      <c r="C24" s="7"/>
      <c r="D24" s="7"/>
      <c r="E24" s="7">
        <v>5000</v>
      </c>
      <c r="F24" s="7">
        <f>NOVEMBER!I24:I45</f>
        <v>0</v>
      </c>
      <c r="G24" s="7">
        <f t="shared" si="2"/>
        <v>5000</v>
      </c>
      <c r="H24" s="7">
        <v>5000</v>
      </c>
      <c r="I24" s="7">
        <f>G24-H24</f>
        <v>0</v>
      </c>
      <c r="J24" s="7"/>
      <c r="K24" s="7"/>
      <c r="M24" s="7" t="s">
        <v>194</v>
      </c>
      <c r="N24" s="7" t="s">
        <v>256</v>
      </c>
      <c r="O24" s="7"/>
      <c r="P24" s="7"/>
      <c r="Q24" s="7">
        <v>4000</v>
      </c>
      <c r="R24" s="7">
        <f>NOVEMBER!U24:U50</f>
        <v>0</v>
      </c>
      <c r="S24" s="7">
        <f t="shared" si="3"/>
        <v>4000</v>
      </c>
      <c r="T24" s="7">
        <v>4000</v>
      </c>
      <c r="U24" s="7">
        <f>S24-T24</f>
        <v>0</v>
      </c>
      <c r="V24" s="7"/>
    </row>
    <row r="25" spans="1:22" x14ac:dyDescent="0.25">
      <c r="A25" s="7" t="s">
        <v>49</v>
      </c>
      <c r="B25" s="7" t="s">
        <v>273</v>
      </c>
      <c r="C25" s="7"/>
      <c r="D25" s="7"/>
      <c r="E25" s="7">
        <v>8500</v>
      </c>
      <c r="F25" s="7">
        <f>NOVEMBER!I25:I46</f>
        <v>0</v>
      </c>
      <c r="G25" s="7">
        <f t="shared" si="2"/>
        <v>8500</v>
      </c>
      <c r="H25" s="7">
        <v>8500</v>
      </c>
      <c r="I25" s="7">
        <f>G25-H25</f>
        <v>0</v>
      </c>
      <c r="J25" s="7"/>
      <c r="K25" s="7"/>
      <c r="M25" s="7" t="s">
        <v>195</v>
      </c>
      <c r="N25" s="7" t="s">
        <v>218</v>
      </c>
      <c r="O25" s="7"/>
      <c r="P25" s="7"/>
      <c r="Q25" s="7">
        <v>4000</v>
      </c>
      <c r="R25" s="7">
        <f>NOVEMBER!U25:U51</f>
        <v>0</v>
      </c>
      <c r="S25" s="7">
        <f t="shared" si="3"/>
        <v>4000</v>
      </c>
      <c r="T25" s="7">
        <v>4000</v>
      </c>
      <c r="U25" s="7">
        <f>S25-T25</f>
        <v>0</v>
      </c>
      <c r="V25" s="7"/>
    </row>
    <row r="26" spans="1:22" x14ac:dyDescent="0.25">
      <c r="A26" s="7" t="s">
        <v>88</v>
      </c>
      <c r="B26" s="7" t="s">
        <v>110</v>
      </c>
      <c r="C26" s="7"/>
      <c r="D26" s="7"/>
      <c r="E26" s="7">
        <v>7000</v>
      </c>
      <c r="F26" s="7">
        <f>NOVEMBER!I26:I47</f>
        <v>6600</v>
      </c>
      <c r="G26" s="7">
        <f t="shared" si="2"/>
        <v>13600</v>
      </c>
      <c r="H26" s="7">
        <f>5000+2000</f>
        <v>7000</v>
      </c>
      <c r="I26" s="7">
        <f>G26-H26</f>
        <v>6600</v>
      </c>
      <c r="J26" s="7"/>
      <c r="K26" s="7"/>
      <c r="M26" s="7" t="s">
        <v>196</v>
      </c>
      <c r="N26" s="7" t="s">
        <v>219</v>
      </c>
      <c r="O26" s="7"/>
      <c r="P26" s="7"/>
      <c r="Q26" s="7">
        <v>4000</v>
      </c>
      <c r="R26" s="7">
        <f>NOVEMBER!U26:U52</f>
        <v>4000</v>
      </c>
      <c r="S26" s="7">
        <f t="shared" si="3"/>
        <v>8000</v>
      </c>
      <c r="T26" s="7"/>
      <c r="U26" s="7">
        <f t="shared" ref="U26:U31" si="4">S26-T26</f>
        <v>8000</v>
      </c>
      <c r="V26" s="7"/>
    </row>
    <row r="27" spans="1:22" x14ac:dyDescent="0.25">
      <c r="A27" s="6"/>
      <c r="B27" s="10" t="s">
        <v>12</v>
      </c>
      <c r="C27" s="10">
        <f>SUM(C4:C5)</f>
        <v>0</v>
      </c>
      <c r="D27" s="10">
        <f t="shared" ref="D27:K27" si="5">SUM(D5:D26)</f>
        <v>8500</v>
      </c>
      <c r="E27" s="6">
        <f t="shared" si="5"/>
        <v>146000</v>
      </c>
      <c r="F27" s="7">
        <f>SUM(F5:F26)</f>
        <v>39700</v>
      </c>
      <c r="G27" s="7">
        <f t="shared" si="5"/>
        <v>194200</v>
      </c>
      <c r="H27" s="6">
        <f t="shared" si="5"/>
        <v>125500</v>
      </c>
      <c r="I27" s="6">
        <f t="shared" si="5"/>
        <v>68704</v>
      </c>
      <c r="J27" s="6">
        <f t="shared" si="5"/>
        <v>0</v>
      </c>
      <c r="K27" s="6">
        <f t="shared" si="5"/>
        <v>0</v>
      </c>
      <c r="M27" s="7" t="s">
        <v>197</v>
      </c>
      <c r="N27" s="7" t="s">
        <v>222</v>
      </c>
      <c r="O27" s="7"/>
      <c r="P27" s="7"/>
      <c r="Q27" s="7">
        <v>10000</v>
      </c>
      <c r="R27" s="7">
        <f>NOVEMBER!U27:U53</f>
        <v>0</v>
      </c>
      <c r="S27" s="7">
        <f t="shared" si="3"/>
        <v>10000</v>
      </c>
      <c r="T27" s="7">
        <v>10000</v>
      </c>
      <c r="U27" s="7">
        <f t="shared" si="4"/>
        <v>0</v>
      </c>
      <c r="V27" s="7"/>
    </row>
    <row r="28" spans="1:22" x14ac:dyDescent="0.25">
      <c r="A28" s="11"/>
      <c r="F28" s="7">
        <f>'SEPTEMBER 21'!I28:I51</f>
        <v>26100</v>
      </c>
      <c r="I28" s="8">
        <f>I27-F26-D13-D7</f>
        <v>54604</v>
      </c>
      <c r="M28" s="7" t="s">
        <v>198</v>
      </c>
      <c r="N28" s="7" t="s">
        <v>221</v>
      </c>
      <c r="O28" s="7"/>
      <c r="P28" s="7"/>
      <c r="Q28" s="7">
        <v>8000</v>
      </c>
      <c r="R28" s="7">
        <f>NOVEMBER!U28:U54</f>
        <v>2900</v>
      </c>
      <c r="S28" s="7">
        <f t="shared" si="3"/>
        <v>10900</v>
      </c>
      <c r="T28" s="7">
        <v>8500</v>
      </c>
      <c r="U28" s="7">
        <f t="shared" si="4"/>
        <v>2400</v>
      </c>
      <c r="V28" s="7">
        <v>500</v>
      </c>
    </row>
    <row r="29" spans="1:22" ht="18.75" x14ac:dyDescent="0.3">
      <c r="B29" s="12" t="s">
        <v>13</v>
      </c>
      <c r="C29" s="44" t="s">
        <v>227</v>
      </c>
      <c r="D29" s="13"/>
      <c r="E29" s="13"/>
      <c r="F29" s="44" t="s">
        <v>228</v>
      </c>
      <c r="G29" s="13"/>
      <c r="H29" s="14"/>
      <c r="I29" s="14"/>
      <c r="M29" s="7" t="s">
        <v>199</v>
      </c>
      <c r="N29" s="7" t="s">
        <v>283</v>
      </c>
      <c r="O29" s="7"/>
      <c r="P29" s="7"/>
      <c r="Q29" s="7">
        <v>8500</v>
      </c>
      <c r="R29" s="7">
        <f>NOVEMBER!U29:U55</f>
        <v>0</v>
      </c>
      <c r="S29" s="7">
        <f t="shared" si="3"/>
        <v>8500</v>
      </c>
      <c r="T29" s="7">
        <v>8500</v>
      </c>
      <c r="U29" s="7">
        <f t="shared" si="4"/>
        <v>0</v>
      </c>
      <c r="V29" s="7"/>
    </row>
    <row r="30" spans="1:22" ht="15.75" x14ac:dyDescent="0.25">
      <c r="B30" s="15" t="s">
        <v>14</v>
      </c>
      <c r="C30" s="15" t="s">
        <v>15</v>
      </c>
      <c r="D30" s="15" t="s">
        <v>16</v>
      </c>
      <c r="E30" s="15" t="s">
        <v>17</v>
      </c>
      <c r="F30" s="15" t="s">
        <v>18</v>
      </c>
      <c r="G30" s="15" t="s">
        <v>15</v>
      </c>
      <c r="H30" s="15" t="s">
        <v>16</v>
      </c>
      <c r="I30" s="15" t="s">
        <v>17</v>
      </c>
      <c r="K30" s="25"/>
      <c r="M30" s="7" t="s">
        <v>200</v>
      </c>
      <c r="N30" s="7" t="s">
        <v>223</v>
      </c>
      <c r="O30" s="7"/>
      <c r="P30" s="7"/>
      <c r="Q30" s="7">
        <v>5000</v>
      </c>
      <c r="R30" s="7">
        <f>NOVEMBER!U30:U56</f>
        <v>0</v>
      </c>
      <c r="S30" s="7">
        <f t="shared" si="3"/>
        <v>5000</v>
      </c>
      <c r="T30" s="7">
        <v>5000</v>
      </c>
      <c r="U30" s="7">
        <f t="shared" si="4"/>
        <v>0</v>
      </c>
      <c r="V30" s="7"/>
    </row>
    <row r="31" spans="1:22" x14ac:dyDescent="0.25">
      <c r="B31" s="9" t="s">
        <v>286</v>
      </c>
      <c r="C31" s="16">
        <f>E27</f>
        <v>146000</v>
      </c>
      <c r="D31" s="17">
        <v>0.1</v>
      </c>
      <c r="E31" s="16"/>
      <c r="F31" s="9" t="s">
        <v>286</v>
      </c>
      <c r="G31" s="16">
        <f>H27</f>
        <v>125500</v>
      </c>
      <c r="H31" s="17">
        <v>0.1</v>
      </c>
      <c r="I31" s="9"/>
      <c r="M31" s="7" t="s">
        <v>201</v>
      </c>
      <c r="N31" s="7" t="s">
        <v>224</v>
      </c>
      <c r="O31" s="7"/>
      <c r="P31" s="7"/>
      <c r="Q31" s="7">
        <v>7500</v>
      </c>
      <c r="R31" s="7">
        <f>NOVEMBER!U31:U57</f>
        <v>58600</v>
      </c>
      <c r="S31" s="7">
        <f t="shared" si="3"/>
        <v>66100</v>
      </c>
      <c r="T31" s="7">
        <v>3000</v>
      </c>
      <c r="U31" s="7">
        <f t="shared" si="4"/>
        <v>63100</v>
      </c>
      <c r="V31" s="7"/>
    </row>
    <row r="32" spans="1:22" x14ac:dyDescent="0.25">
      <c r="B32" s="9" t="s">
        <v>20</v>
      </c>
      <c r="C32" s="16">
        <f>NOVEMBER!E45</f>
        <v>0</v>
      </c>
      <c r="D32" s="9"/>
      <c r="E32" s="9"/>
      <c r="F32" s="9" t="s">
        <v>20</v>
      </c>
      <c r="G32" s="16">
        <f>NOVEMBER!I45</f>
        <v>-27600</v>
      </c>
      <c r="H32" s="9"/>
      <c r="I32" s="9"/>
      <c r="K32" s="26"/>
      <c r="M32" s="6"/>
      <c r="N32" s="10" t="s">
        <v>12</v>
      </c>
      <c r="O32" s="10">
        <f>SUM(O4:O5)</f>
        <v>0</v>
      </c>
      <c r="P32" s="10">
        <f t="shared" ref="P32:V32" si="6">SUM(P5:P31)</f>
        <v>0</v>
      </c>
      <c r="Q32" s="6">
        <f>SUM(Q5:Q31)</f>
        <v>151500</v>
      </c>
      <c r="R32" s="7">
        <f>SUM(R5:R31)</f>
        <v>190900</v>
      </c>
      <c r="S32" s="7">
        <f t="shared" si="6"/>
        <v>346400</v>
      </c>
      <c r="T32" s="6">
        <f t="shared" si="6"/>
        <v>145200</v>
      </c>
      <c r="U32" s="6">
        <f t="shared" si="6"/>
        <v>201200</v>
      </c>
      <c r="V32" s="6">
        <f t="shared" si="6"/>
        <v>500</v>
      </c>
    </row>
    <row r="33" spans="2:22" x14ac:dyDescent="0.25">
      <c r="B33" s="9" t="s">
        <v>163</v>
      </c>
      <c r="C33" s="16"/>
      <c r="D33" s="9"/>
      <c r="E33" s="9"/>
      <c r="F33" s="9"/>
      <c r="G33" s="16"/>
      <c r="H33" s="16"/>
      <c r="I33" s="9"/>
      <c r="K33" s="26"/>
      <c r="M33" s="11"/>
      <c r="R33" s="7">
        <f>'SEPTEMBER 21'!U33:U60</f>
        <v>0</v>
      </c>
      <c r="U33" s="8"/>
    </row>
    <row r="34" spans="2:22" ht="18.75" x14ac:dyDescent="0.3">
      <c r="B34" s="9" t="s">
        <v>21</v>
      </c>
      <c r="C34" s="16">
        <f>J27</f>
        <v>0</v>
      </c>
      <c r="D34" s="9"/>
      <c r="E34" s="9"/>
      <c r="F34" s="9"/>
      <c r="G34" s="16"/>
      <c r="H34" s="16"/>
      <c r="I34" s="9"/>
      <c r="K34" s="26"/>
      <c r="N34" s="12" t="s">
        <v>13</v>
      </c>
      <c r="O34" s="44" t="s">
        <v>227</v>
      </c>
      <c r="P34" s="13"/>
      <c r="Q34" s="13"/>
      <c r="R34" s="44" t="s">
        <v>228</v>
      </c>
      <c r="S34" s="13"/>
      <c r="T34" s="14"/>
      <c r="U34" s="14"/>
    </row>
    <row r="35" spans="2:22" ht="15.75" x14ac:dyDescent="0.25">
      <c r="B35" s="9" t="s">
        <v>102</v>
      </c>
      <c r="C35" s="16">
        <f>K27</f>
        <v>0</v>
      </c>
      <c r="D35" s="9"/>
      <c r="E35" s="9"/>
      <c r="F35" s="9" t="s">
        <v>102</v>
      </c>
      <c r="G35" s="16">
        <f>K27</f>
        <v>0</v>
      </c>
      <c r="H35" s="9"/>
      <c r="I35" s="9"/>
      <c r="K35" s="26"/>
      <c r="N35" s="15" t="s">
        <v>14</v>
      </c>
      <c r="O35" s="15" t="s">
        <v>226</v>
      </c>
      <c r="P35" s="15" t="s">
        <v>16</v>
      </c>
      <c r="Q35" s="15" t="s">
        <v>17</v>
      </c>
      <c r="R35" s="15" t="s">
        <v>18</v>
      </c>
      <c r="S35" s="15" t="s">
        <v>15</v>
      </c>
      <c r="T35" s="15" t="s">
        <v>16</v>
      </c>
      <c r="U35" s="15" t="s">
        <v>17</v>
      </c>
    </row>
    <row r="36" spans="2:22" x14ac:dyDescent="0.25">
      <c r="B36" s="9" t="s">
        <v>97</v>
      </c>
      <c r="C36" s="16">
        <v>0.3</v>
      </c>
      <c r="D36" s="9"/>
      <c r="E36" s="9"/>
      <c r="F36" s="9" t="s">
        <v>97</v>
      </c>
      <c r="G36" s="16">
        <v>0.3</v>
      </c>
      <c r="H36" s="9">
        <f>D36</f>
        <v>0</v>
      </c>
      <c r="I36" s="9"/>
      <c r="N36" s="9" t="s">
        <v>286</v>
      </c>
      <c r="O36" s="16">
        <f>Q32</f>
        <v>151500</v>
      </c>
      <c r="P36" s="17">
        <v>0.1</v>
      </c>
      <c r="Q36" s="16"/>
      <c r="R36" s="9" t="s">
        <v>286</v>
      </c>
      <c r="S36" s="16">
        <f>T32</f>
        <v>145200</v>
      </c>
      <c r="T36" s="17">
        <v>0.1</v>
      </c>
      <c r="U36" s="9"/>
    </row>
    <row r="37" spans="2:22" x14ac:dyDescent="0.25">
      <c r="B37" s="9" t="s">
        <v>22</v>
      </c>
      <c r="C37" s="18"/>
      <c r="D37" s="9">
        <f>C31*D31</f>
        <v>14600</v>
      </c>
      <c r="E37" s="9"/>
      <c r="F37" s="9" t="s">
        <v>22</v>
      </c>
      <c r="G37" s="18"/>
      <c r="H37" s="9">
        <f>D37</f>
        <v>14600</v>
      </c>
      <c r="I37" s="9"/>
      <c r="K37" s="26"/>
      <c r="N37" s="9" t="s">
        <v>20</v>
      </c>
      <c r="O37" s="16">
        <f>NOVEMBER!Q50</f>
        <v>16200</v>
      </c>
      <c r="P37" s="9"/>
      <c r="Q37" s="9"/>
      <c r="R37" s="7" t="s">
        <v>6</v>
      </c>
      <c r="S37" s="16">
        <f>NOVEMBER!U50</f>
        <v>15000</v>
      </c>
      <c r="T37" s="9"/>
      <c r="U37" s="9"/>
    </row>
    <row r="38" spans="2:22" x14ac:dyDescent="0.25">
      <c r="B38" s="19" t="s">
        <v>23</v>
      </c>
      <c r="C38" s="9"/>
      <c r="D38" s="9"/>
      <c r="E38" s="9"/>
      <c r="F38" s="19" t="s">
        <v>23</v>
      </c>
      <c r="G38" s="9"/>
      <c r="H38" s="9"/>
      <c r="I38" s="9"/>
      <c r="N38" s="9" t="s">
        <v>163</v>
      </c>
      <c r="O38" s="16">
        <f>P32</f>
        <v>0</v>
      </c>
      <c r="P38" s="9"/>
      <c r="Q38" s="9"/>
      <c r="R38" s="9"/>
      <c r="S38" s="16"/>
      <c r="T38" s="16"/>
      <c r="U38" s="9"/>
    </row>
    <row r="39" spans="2:22" x14ac:dyDescent="0.25">
      <c r="B39" s="20" t="s">
        <v>296</v>
      </c>
      <c r="C39" s="9"/>
      <c r="D39" s="9">
        <v>131400</v>
      </c>
      <c r="E39" s="9"/>
      <c r="F39" s="20" t="s">
        <v>296</v>
      </c>
      <c r="G39" s="9"/>
      <c r="H39" s="9">
        <v>131400</v>
      </c>
      <c r="I39" s="9"/>
      <c r="J39" s="26"/>
      <c r="N39" s="9" t="s">
        <v>21</v>
      </c>
      <c r="O39" s="16">
        <f>V32</f>
        <v>500</v>
      </c>
      <c r="P39" s="9"/>
      <c r="Q39" s="9"/>
      <c r="R39" s="9"/>
      <c r="S39" s="16"/>
      <c r="T39" s="16"/>
      <c r="U39" s="9"/>
    </row>
    <row r="40" spans="2:22" x14ac:dyDescent="0.25">
      <c r="B40" s="7"/>
      <c r="C40" s="9"/>
      <c r="D40" s="7"/>
      <c r="E40" s="7"/>
      <c r="F40" s="7"/>
      <c r="G40" s="9"/>
      <c r="H40" s="7"/>
      <c r="I40" s="9"/>
      <c r="K40" s="26"/>
      <c r="N40" s="9" t="s">
        <v>102</v>
      </c>
      <c r="O40" s="16">
        <f>W32</f>
        <v>0</v>
      </c>
      <c r="P40" s="9"/>
      <c r="Q40" s="9"/>
      <c r="R40" s="9" t="s">
        <v>102</v>
      </c>
      <c r="S40" s="16">
        <f>O40</f>
        <v>0</v>
      </c>
      <c r="T40" s="9"/>
      <c r="U40" s="9"/>
    </row>
    <row r="41" spans="2:22" x14ac:dyDescent="0.25">
      <c r="B41" s="20"/>
      <c r="C41" s="9"/>
      <c r="D41" s="9"/>
      <c r="E41" s="9"/>
      <c r="F41" s="20"/>
      <c r="G41" s="9"/>
      <c r="H41" s="9"/>
      <c r="I41" s="9"/>
      <c r="K41" s="26"/>
      <c r="N41" s="9" t="s">
        <v>22</v>
      </c>
      <c r="O41" s="18"/>
      <c r="P41" s="9">
        <f>P36*O36</f>
        <v>15150</v>
      </c>
      <c r="Q41" s="9"/>
      <c r="R41" s="9" t="s">
        <v>22</v>
      </c>
      <c r="S41" s="18"/>
      <c r="T41" s="9">
        <f>T36*O36</f>
        <v>15150</v>
      </c>
      <c r="U41" s="9"/>
    </row>
    <row r="42" spans="2:22" x14ac:dyDescent="0.25">
      <c r="B42" s="20"/>
      <c r="C42" s="9"/>
      <c r="D42" s="9"/>
      <c r="E42" s="9"/>
      <c r="F42" s="20"/>
      <c r="G42" s="9"/>
      <c r="H42" s="9"/>
      <c r="I42" s="9"/>
      <c r="K42" s="26"/>
      <c r="N42" s="9"/>
      <c r="O42" s="18"/>
      <c r="P42" s="9"/>
      <c r="Q42" s="9"/>
      <c r="R42" s="9"/>
      <c r="S42" s="18"/>
      <c r="T42" s="9"/>
      <c r="U42" s="9"/>
    </row>
    <row r="43" spans="2:22" x14ac:dyDescent="0.25">
      <c r="B43" s="20"/>
      <c r="C43" s="9"/>
      <c r="D43" s="9"/>
      <c r="E43" s="9"/>
      <c r="F43" s="20"/>
      <c r="G43" s="9"/>
      <c r="H43" s="9"/>
      <c r="I43" s="9"/>
      <c r="K43" s="26"/>
      <c r="N43" s="19" t="s">
        <v>23</v>
      </c>
      <c r="O43" s="9"/>
      <c r="P43" s="9"/>
      <c r="Q43" s="9"/>
      <c r="R43" s="19" t="s">
        <v>23</v>
      </c>
      <c r="S43" s="9"/>
      <c r="T43" s="9"/>
      <c r="U43" s="9"/>
    </row>
    <row r="44" spans="2:22" x14ac:dyDescent="0.25">
      <c r="B44" s="20"/>
      <c r="C44" s="16"/>
      <c r="D44" s="16"/>
      <c r="E44" s="16"/>
      <c r="F44" s="20"/>
      <c r="G44" s="9"/>
      <c r="H44" s="16"/>
      <c r="I44" s="9"/>
      <c r="N44" s="20" t="s">
        <v>296</v>
      </c>
      <c r="O44" s="9"/>
      <c r="P44" s="9">
        <f>61100+7500</f>
        <v>68600</v>
      </c>
      <c r="Q44" s="9"/>
      <c r="R44" s="20" t="s">
        <v>296</v>
      </c>
      <c r="S44" s="9"/>
      <c r="T44" s="9">
        <f>61100+7500</f>
        <v>68600</v>
      </c>
      <c r="U44" s="9"/>
      <c r="V44" s="26"/>
    </row>
    <row r="45" spans="2:22" x14ac:dyDescent="0.25">
      <c r="B45" s="22" t="s">
        <v>12</v>
      </c>
      <c r="C45" s="23">
        <f>C31+C32+C33+C34+C35-D37-D36</f>
        <v>131400</v>
      </c>
      <c r="D45" s="22">
        <f>SUM(D39:D44)</f>
        <v>131400</v>
      </c>
      <c r="E45" s="23">
        <f>C45-D45</f>
        <v>0</v>
      </c>
      <c r="F45" s="24"/>
      <c r="G45" s="23">
        <f>G31+G32+G35-H36-H37</f>
        <v>83300</v>
      </c>
      <c r="H45" s="23">
        <f>SUM(H39:H44)</f>
        <v>131400</v>
      </c>
      <c r="I45" s="23">
        <f>G45-H45</f>
        <v>-48100</v>
      </c>
      <c r="N45" s="7"/>
      <c r="O45" s="21"/>
      <c r="P45" s="7"/>
      <c r="Q45" s="7"/>
      <c r="R45" s="7"/>
      <c r="S45" s="21"/>
      <c r="T45" s="7"/>
      <c r="U45" s="9"/>
    </row>
    <row r="46" spans="2:22" x14ac:dyDescent="0.25">
      <c r="E46" s="26">
        <f>E45-C32</f>
        <v>0</v>
      </c>
      <c r="I46" s="26"/>
      <c r="K46" s="26"/>
      <c r="N46" s="20"/>
      <c r="O46" s="9"/>
      <c r="P46" s="9"/>
      <c r="Q46" s="9"/>
      <c r="R46" s="20"/>
      <c r="S46" s="9"/>
      <c r="T46" s="9"/>
      <c r="U46" s="9"/>
    </row>
    <row r="47" spans="2:22" x14ac:dyDescent="0.25">
      <c r="B47" s="11" t="s">
        <v>24</v>
      </c>
      <c r="D47" s="11" t="s">
        <v>25</v>
      </c>
      <c r="F47" s="11"/>
      <c r="G47" s="11" t="s">
        <v>26</v>
      </c>
      <c r="I47" s="26"/>
      <c r="K47" s="26"/>
      <c r="L47" s="26"/>
      <c r="N47" s="20"/>
      <c r="O47" s="9"/>
      <c r="P47" s="9"/>
      <c r="Q47" s="9"/>
      <c r="R47" s="20"/>
      <c r="S47" s="9"/>
      <c r="T47" s="9"/>
      <c r="U47" s="9"/>
    </row>
    <row r="48" spans="2:22" x14ac:dyDescent="0.25">
      <c r="B48" t="s">
        <v>27</v>
      </c>
      <c r="D48" s="11" t="s">
        <v>28</v>
      </c>
      <c r="F48" s="11"/>
      <c r="G48" s="11" t="s">
        <v>147</v>
      </c>
      <c r="I48" s="26"/>
      <c r="N48" s="20"/>
      <c r="O48" s="9"/>
      <c r="P48" s="9"/>
      <c r="Q48" s="9"/>
      <c r="R48" s="20"/>
      <c r="S48" s="9"/>
      <c r="T48" s="9"/>
      <c r="U48" s="9"/>
    </row>
    <row r="49" spans="6:22" x14ac:dyDescent="0.25">
      <c r="N49" s="20"/>
      <c r="O49" s="16"/>
      <c r="P49" s="16"/>
      <c r="Q49" s="16"/>
      <c r="R49" s="20"/>
      <c r="S49" s="16"/>
      <c r="T49" s="16"/>
      <c r="U49" s="9"/>
      <c r="V49" s="26"/>
    </row>
    <row r="50" spans="6:22" x14ac:dyDescent="0.25">
      <c r="F50" s="26"/>
      <c r="I50" s="26"/>
      <c r="J50" s="26"/>
      <c r="K50">
        <f>138900-D39</f>
        <v>7500</v>
      </c>
      <c r="N50" s="22" t="s">
        <v>12</v>
      </c>
      <c r="O50" s="23">
        <f>O36+O37+O38+O39+O40-P42-P41</f>
        <v>153050</v>
      </c>
      <c r="P50" s="22">
        <f>SUM(P44:P49)</f>
        <v>68600</v>
      </c>
      <c r="Q50" s="23">
        <f>O50-P50</f>
        <v>84450</v>
      </c>
      <c r="R50" s="24"/>
      <c r="S50" s="23">
        <f>S36+S37+S40-T41</f>
        <v>145050</v>
      </c>
      <c r="T50" s="23">
        <f>SUM(T44:T49)</f>
        <v>68600</v>
      </c>
      <c r="U50" s="23">
        <f>S50-T50</f>
        <v>76450</v>
      </c>
    </row>
    <row r="52" spans="6:22" x14ac:dyDescent="0.25">
      <c r="N52" s="11" t="s">
        <v>24</v>
      </c>
      <c r="P52" s="11" t="s">
        <v>25</v>
      </c>
      <c r="R52" s="11"/>
      <c r="S52" s="11" t="s">
        <v>26</v>
      </c>
    </row>
    <row r="53" spans="6:22" x14ac:dyDescent="0.25">
      <c r="N53" t="s">
        <v>27</v>
      </c>
      <c r="P53" s="11" t="s">
        <v>28</v>
      </c>
      <c r="R53" s="11"/>
      <c r="S53" s="11" t="s">
        <v>147</v>
      </c>
      <c r="U53" s="26"/>
    </row>
    <row r="54" spans="6:22" x14ac:dyDescent="0.25">
      <c r="F54">
        <f>187000-D40</f>
        <v>187000</v>
      </c>
    </row>
    <row r="56" spans="6:22" x14ac:dyDescent="0.25">
      <c r="T56" s="26"/>
    </row>
    <row r="57" spans="6:22" x14ac:dyDescent="0.25">
      <c r="G57" s="26">
        <f>E45+Q50</f>
        <v>84450</v>
      </c>
      <c r="L57">
        <f>H39-200000</f>
        <v>-68600</v>
      </c>
    </row>
    <row r="58" spans="6:22" x14ac:dyDescent="0.25">
      <c r="N58">
        <f>Q32</f>
        <v>151500</v>
      </c>
    </row>
    <row r="59" spans="6:22" x14ac:dyDescent="0.25">
      <c r="N59">
        <f>E27</f>
        <v>146000</v>
      </c>
    </row>
    <row r="60" spans="6:22" x14ac:dyDescent="0.25">
      <c r="N60">
        <f>N58+N59</f>
        <v>297500</v>
      </c>
    </row>
    <row r="61" spans="6:22" x14ac:dyDescent="0.25">
      <c r="J61">
        <f>D40+P46</f>
        <v>0</v>
      </c>
      <c r="N61">
        <f>P36*N60</f>
        <v>29750</v>
      </c>
    </row>
    <row r="62" spans="6:22" x14ac:dyDescent="0.25">
      <c r="N62">
        <f>N60-N61</f>
        <v>267750</v>
      </c>
    </row>
    <row r="63" spans="6:22" x14ac:dyDescent="0.25">
      <c r="N63">
        <v>200000</v>
      </c>
    </row>
    <row r="64" spans="6:22" x14ac:dyDescent="0.25">
      <c r="N64">
        <f>N62-N63</f>
        <v>67750</v>
      </c>
      <c r="P64">
        <f>67750+12000</f>
        <v>79750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6"/>
  <sheetViews>
    <sheetView workbookViewId="0"/>
  </sheetViews>
  <sheetFormatPr defaultRowHeight="15" x14ac:dyDescent="0.25"/>
  <sheetData>
    <row r="1" spans="2:12" ht="18.75" x14ac:dyDescent="0.25">
      <c r="F1" s="1" t="s">
        <v>50</v>
      </c>
      <c r="G1" s="2"/>
      <c r="H1" s="3"/>
      <c r="I1" s="4"/>
    </row>
    <row r="2" spans="2:12" ht="18.75" x14ac:dyDescent="0.25">
      <c r="F2" s="1" t="s">
        <v>0</v>
      </c>
      <c r="G2" s="1"/>
      <c r="H2" s="5"/>
      <c r="I2" s="5"/>
    </row>
    <row r="3" spans="2:12" ht="18.75" x14ac:dyDescent="0.25">
      <c r="F3" s="1" t="s">
        <v>108</v>
      </c>
      <c r="G3" s="1"/>
      <c r="H3" s="5"/>
      <c r="I3" s="5"/>
    </row>
    <row r="4" spans="2:12" x14ac:dyDescent="0.25">
      <c r="B4" s="6" t="s">
        <v>2</v>
      </c>
      <c r="C4" s="6" t="s">
        <v>3</v>
      </c>
      <c r="D4" s="6"/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9</v>
      </c>
      <c r="K4" s="6" t="s">
        <v>10</v>
      </c>
      <c r="L4" s="6" t="s">
        <v>101</v>
      </c>
    </row>
    <row r="5" spans="2:12" x14ac:dyDescent="0.25">
      <c r="B5" s="7" t="s">
        <v>30</v>
      </c>
      <c r="C5" s="7" t="s">
        <v>51</v>
      </c>
      <c r="D5" s="7"/>
      <c r="E5" s="7"/>
      <c r="F5" s="7">
        <v>4500</v>
      </c>
      <c r="G5" s="7">
        <f>'FEBRUARY 20'!J5:J27</f>
        <v>900</v>
      </c>
      <c r="H5" s="7">
        <f>D5+E5+F5+G5</f>
        <v>5400</v>
      </c>
      <c r="I5" s="7">
        <v>4500</v>
      </c>
      <c r="J5" s="7">
        <f t="shared" ref="J5:J12" si="0">H5-I5</f>
        <v>900</v>
      </c>
      <c r="K5" s="7"/>
      <c r="L5" s="7"/>
    </row>
    <row r="6" spans="2:12" x14ac:dyDescent="0.25">
      <c r="B6" s="7" t="s">
        <v>31</v>
      </c>
      <c r="C6" s="7" t="s">
        <v>52</v>
      </c>
      <c r="D6" s="7"/>
      <c r="E6" s="7"/>
      <c r="F6" s="7">
        <v>3000</v>
      </c>
      <c r="G6" s="7">
        <f>'FEBRUARY 20'!J6:J28</f>
        <v>0</v>
      </c>
      <c r="H6" s="7">
        <f>D6+E6+F6+G6</f>
        <v>3000</v>
      </c>
      <c r="I6" s="7">
        <v>3000</v>
      </c>
      <c r="J6" s="7">
        <f t="shared" si="0"/>
        <v>0</v>
      </c>
      <c r="K6" s="7"/>
      <c r="L6" s="7"/>
    </row>
    <row r="7" spans="2:12" x14ac:dyDescent="0.25">
      <c r="B7" s="7" t="s">
        <v>32</v>
      </c>
      <c r="C7" s="7" t="s">
        <v>114</v>
      </c>
      <c r="D7" s="7"/>
      <c r="E7" s="7"/>
      <c r="F7" s="7">
        <v>7500</v>
      </c>
      <c r="G7" s="7">
        <f>'FEBRUARY 20'!J7:J29</f>
        <v>0</v>
      </c>
      <c r="H7" s="7">
        <f>D7+E7+F7+G7</f>
        <v>7500</v>
      </c>
      <c r="I7" s="7">
        <v>7500</v>
      </c>
      <c r="J7" s="7">
        <f t="shared" si="0"/>
        <v>0</v>
      </c>
      <c r="K7" s="7"/>
      <c r="L7" s="7"/>
    </row>
    <row r="8" spans="2:12" x14ac:dyDescent="0.25">
      <c r="B8" s="7" t="s">
        <v>33</v>
      </c>
      <c r="C8" s="7" t="s">
        <v>53</v>
      </c>
      <c r="D8" s="7"/>
      <c r="E8" s="7"/>
      <c r="F8" s="7">
        <v>6500</v>
      </c>
      <c r="G8" s="7">
        <f>'FEBRUARY 20'!J8:J30</f>
        <v>0</v>
      </c>
      <c r="H8" s="7">
        <f>D8+E8+F8+G8</f>
        <v>6500</v>
      </c>
      <c r="I8" s="7">
        <v>6500</v>
      </c>
      <c r="J8" s="7">
        <f t="shared" si="0"/>
        <v>0</v>
      </c>
      <c r="K8" s="7"/>
      <c r="L8" s="7"/>
    </row>
    <row r="9" spans="2:12" x14ac:dyDescent="0.25">
      <c r="B9" s="7" t="s">
        <v>34</v>
      </c>
      <c r="C9" s="7" t="s">
        <v>54</v>
      </c>
      <c r="D9" s="7"/>
      <c r="E9" s="7"/>
      <c r="F9" s="7">
        <v>6500</v>
      </c>
      <c r="G9" s="7">
        <f>'FEBRUARY 20'!J9:J31</f>
        <v>0</v>
      </c>
      <c r="H9" s="7">
        <f t="shared" ref="H9:H26" si="1">D9+E9+F9+G9</f>
        <v>6500</v>
      </c>
      <c r="I9" s="7">
        <v>6500</v>
      </c>
      <c r="J9" s="7">
        <f t="shared" si="0"/>
        <v>0</v>
      </c>
      <c r="K9" s="7"/>
      <c r="L9" s="7"/>
    </row>
    <row r="10" spans="2:12" x14ac:dyDescent="0.25">
      <c r="B10" s="7" t="s">
        <v>35</v>
      </c>
      <c r="C10" s="7" t="s">
        <v>55</v>
      </c>
      <c r="D10" s="7"/>
      <c r="E10" s="7"/>
      <c r="F10" s="7">
        <v>9000</v>
      </c>
      <c r="G10" s="7">
        <f>'FEBRUARY 20'!J10:J32</f>
        <v>0</v>
      </c>
      <c r="H10" s="7">
        <f t="shared" si="1"/>
        <v>9000</v>
      </c>
      <c r="I10" s="7">
        <v>9000</v>
      </c>
      <c r="J10" s="7">
        <f t="shared" si="0"/>
        <v>0</v>
      </c>
      <c r="K10" s="7"/>
      <c r="L10" s="7"/>
    </row>
    <row r="11" spans="2:12" x14ac:dyDescent="0.25">
      <c r="B11" s="7" t="s">
        <v>36</v>
      </c>
      <c r="C11" s="7" t="s">
        <v>56</v>
      </c>
      <c r="D11" s="7"/>
      <c r="E11" s="7"/>
      <c r="F11" s="7">
        <v>7000</v>
      </c>
      <c r="G11" s="7">
        <f>'FEBRUARY 20'!J11:J33</f>
        <v>0</v>
      </c>
      <c r="H11" s="7">
        <f t="shared" si="1"/>
        <v>7000</v>
      </c>
      <c r="I11" s="7">
        <v>7000</v>
      </c>
      <c r="J11" s="7">
        <f t="shared" si="0"/>
        <v>0</v>
      </c>
      <c r="K11" s="7"/>
      <c r="L11" s="7"/>
    </row>
    <row r="12" spans="2:12" x14ac:dyDescent="0.25">
      <c r="B12" s="7" t="s">
        <v>37</v>
      </c>
      <c r="C12" s="8" t="s">
        <v>65</v>
      </c>
      <c r="D12" s="7"/>
      <c r="E12" s="7"/>
      <c r="F12" s="7">
        <v>4500</v>
      </c>
      <c r="G12" s="7">
        <f>'FEBRUARY 20'!J12:J34</f>
        <v>100</v>
      </c>
      <c r="H12" s="7">
        <f t="shared" si="1"/>
        <v>4600</v>
      </c>
      <c r="I12" s="7">
        <v>4500</v>
      </c>
      <c r="J12" s="7">
        <f t="shared" si="0"/>
        <v>100</v>
      </c>
      <c r="K12" s="7"/>
      <c r="L12" s="7"/>
    </row>
    <row r="13" spans="2:12" x14ac:dyDescent="0.25">
      <c r="B13" s="7" t="s">
        <v>38</v>
      </c>
      <c r="C13" s="7" t="s">
        <v>92</v>
      </c>
      <c r="D13" s="7"/>
      <c r="E13" s="7"/>
      <c r="F13" s="7">
        <v>8000</v>
      </c>
      <c r="G13" s="7">
        <v>8000</v>
      </c>
      <c r="H13" s="7">
        <f t="shared" si="1"/>
        <v>16000</v>
      </c>
      <c r="I13" s="7">
        <v>8000</v>
      </c>
      <c r="J13" s="7">
        <f t="shared" ref="J13:J21" si="2">H13-I13</f>
        <v>8000</v>
      </c>
      <c r="K13" s="7"/>
      <c r="L13" s="7"/>
    </row>
    <row r="14" spans="2:12" x14ac:dyDescent="0.25">
      <c r="B14" s="7" t="s">
        <v>39</v>
      </c>
      <c r="C14" s="7" t="s">
        <v>70</v>
      </c>
      <c r="D14" s="7"/>
      <c r="E14" s="7"/>
      <c r="F14" s="7">
        <v>6500</v>
      </c>
      <c r="G14" s="7">
        <f>'FEBRUARY 20'!J14:J36</f>
        <v>350</v>
      </c>
      <c r="H14" s="7">
        <f t="shared" si="1"/>
        <v>6850</v>
      </c>
      <c r="I14" s="7">
        <v>6500</v>
      </c>
      <c r="J14" s="7">
        <f t="shared" si="2"/>
        <v>350</v>
      </c>
      <c r="K14" s="7"/>
      <c r="L14" s="7"/>
    </row>
    <row r="15" spans="2:12" x14ac:dyDescent="0.25">
      <c r="B15" s="7" t="s">
        <v>40</v>
      </c>
      <c r="C15" s="7" t="s">
        <v>84</v>
      </c>
      <c r="D15" s="7"/>
      <c r="E15" s="7"/>
      <c r="F15" s="7">
        <v>6500</v>
      </c>
      <c r="G15" s="7">
        <f>'FEBRUARY 20'!J15:J37</f>
        <v>0</v>
      </c>
      <c r="H15" s="7">
        <f t="shared" si="1"/>
        <v>6500</v>
      </c>
      <c r="I15" s="7">
        <v>6500</v>
      </c>
      <c r="J15" s="7">
        <f t="shared" si="2"/>
        <v>0</v>
      </c>
      <c r="K15" s="7"/>
      <c r="L15" s="7"/>
    </row>
    <row r="16" spans="2:12" x14ac:dyDescent="0.25">
      <c r="B16" s="7" t="s">
        <v>41</v>
      </c>
      <c r="C16" s="7" t="s">
        <v>58</v>
      </c>
      <c r="D16" s="7"/>
      <c r="E16" s="7"/>
      <c r="F16" s="7">
        <v>7000</v>
      </c>
      <c r="G16" s="7">
        <f>'FEBRUARY 20'!J16:J38</f>
        <v>0</v>
      </c>
      <c r="H16" s="7">
        <f t="shared" si="1"/>
        <v>7000</v>
      </c>
      <c r="I16" s="7">
        <v>7000</v>
      </c>
      <c r="J16" s="7">
        <f t="shared" si="2"/>
        <v>0</v>
      </c>
      <c r="K16" s="7"/>
      <c r="L16" s="7"/>
    </row>
    <row r="17" spans="2:15" x14ac:dyDescent="0.25">
      <c r="B17" s="7" t="s">
        <v>42</v>
      </c>
      <c r="C17" s="7" t="s">
        <v>59</v>
      </c>
      <c r="D17" s="7"/>
      <c r="E17" s="7"/>
      <c r="F17" s="7">
        <v>7000</v>
      </c>
      <c r="G17" s="7">
        <f>'FEBRUARY 20'!J17:J39</f>
        <v>5850</v>
      </c>
      <c r="H17" s="7">
        <f t="shared" si="1"/>
        <v>12850</v>
      </c>
      <c r="I17" s="7">
        <v>7000</v>
      </c>
      <c r="J17" s="7">
        <f t="shared" si="2"/>
        <v>5850</v>
      </c>
      <c r="K17" s="7"/>
      <c r="L17" s="7"/>
    </row>
    <row r="18" spans="2:15" x14ac:dyDescent="0.25">
      <c r="B18" s="7" t="s">
        <v>43</v>
      </c>
      <c r="C18" s="7" t="s">
        <v>60</v>
      </c>
      <c r="D18" s="7"/>
      <c r="E18" s="7"/>
      <c r="F18" s="7"/>
      <c r="G18" s="7">
        <f>'FEBRUARY 20'!J18:J40</f>
        <v>0</v>
      </c>
      <c r="H18" s="7">
        <f t="shared" si="1"/>
        <v>0</v>
      </c>
      <c r="I18" s="7"/>
      <c r="J18" s="7">
        <f t="shared" si="2"/>
        <v>0</v>
      </c>
      <c r="K18" s="7"/>
      <c r="L18" s="7"/>
    </row>
    <row r="19" spans="2:15" x14ac:dyDescent="0.25">
      <c r="B19" s="7" t="s">
        <v>44</v>
      </c>
      <c r="C19" s="9" t="s">
        <v>61</v>
      </c>
      <c r="D19" s="7"/>
      <c r="E19" s="7"/>
      <c r="F19" s="7">
        <v>7000</v>
      </c>
      <c r="G19" s="7">
        <f>'FEBRUARY 20'!J19:J41</f>
        <v>0</v>
      </c>
      <c r="H19" s="7">
        <f t="shared" si="1"/>
        <v>7000</v>
      </c>
      <c r="I19" s="7">
        <v>7000</v>
      </c>
      <c r="J19" s="7">
        <f t="shared" si="2"/>
        <v>0</v>
      </c>
      <c r="K19" s="7"/>
      <c r="L19" s="7"/>
    </row>
    <row r="20" spans="2:15" x14ac:dyDescent="0.25">
      <c r="B20" s="7" t="s">
        <v>45</v>
      </c>
      <c r="C20" s="7" t="s">
        <v>105</v>
      </c>
      <c r="D20" s="7"/>
      <c r="E20" s="7">
        <v>7500</v>
      </c>
      <c r="F20" s="7">
        <v>7500</v>
      </c>
      <c r="G20" s="7"/>
      <c r="H20" s="7">
        <f t="shared" si="1"/>
        <v>15000</v>
      </c>
      <c r="I20" s="7">
        <v>15000</v>
      </c>
      <c r="J20" s="7">
        <f t="shared" si="2"/>
        <v>0</v>
      </c>
      <c r="K20" s="7"/>
      <c r="L20" s="7">
        <v>1000</v>
      </c>
    </row>
    <row r="21" spans="2:15" x14ac:dyDescent="0.25">
      <c r="B21" s="7" t="s">
        <v>46</v>
      </c>
      <c r="C21" s="7" t="s">
        <v>76</v>
      </c>
      <c r="D21" s="7"/>
      <c r="E21" s="7"/>
      <c r="F21" s="7"/>
      <c r="G21" s="7">
        <f>'FEBRUARY 20'!J21:J43</f>
        <v>0</v>
      </c>
      <c r="H21" s="7">
        <f t="shared" si="1"/>
        <v>0</v>
      </c>
      <c r="I21" s="7"/>
      <c r="J21" s="7">
        <f t="shared" si="2"/>
        <v>0</v>
      </c>
      <c r="K21" s="7"/>
      <c r="L21" s="7"/>
    </row>
    <row r="22" spans="2:15" x14ac:dyDescent="0.25">
      <c r="B22" s="7" t="s">
        <v>47</v>
      </c>
      <c r="C22" s="7" t="s">
        <v>64</v>
      </c>
      <c r="D22" s="7"/>
      <c r="E22" s="7"/>
      <c r="F22" s="7">
        <v>7000</v>
      </c>
      <c r="G22" s="7">
        <f>'FEBRUARY 20'!J22:J44</f>
        <v>0</v>
      </c>
      <c r="H22" s="7">
        <f t="shared" si="1"/>
        <v>7000</v>
      </c>
      <c r="I22" s="7">
        <v>7000</v>
      </c>
      <c r="J22" s="7">
        <f>H22-I22</f>
        <v>0</v>
      </c>
      <c r="K22" s="7"/>
      <c r="L22" s="7"/>
    </row>
    <row r="23" spans="2:15" x14ac:dyDescent="0.25">
      <c r="B23" s="7" t="s">
        <v>66</v>
      </c>
      <c r="C23" s="7" t="s">
        <v>67</v>
      </c>
      <c r="D23" s="7"/>
      <c r="E23" s="7"/>
      <c r="F23" s="7">
        <v>7000</v>
      </c>
      <c r="G23" s="7">
        <f>'FEBRUARY 20'!J23:J45</f>
        <v>28000</v>
      </c>
      <c r="H23" s="7">
        <f t="shared" si="1"/>
        <v>35000</v>
      </c>
      <c r="I23" s="7">
        <f>1500+8500</f>
        <v>10000</v>
      </c>
      <c r="J23" s="7">
        <f>H23-I23</f>
        <v>25000</v>
      </c>
      <c r="K23" s="7">
        <f>1500+1500</f>
        <v>3000</v>
      </c>
      <c r="L23" s="7"/>
    </row>
    <row r="24" spans="2:15" x14ac:dyDescent="0.25">
      <c r="B24" s="7" t="s">
        <v>48</v>
      </c>
      <c r="C24" s="7" t="s">
        <v>69</v>
      </c>
      <c r="D24" s="7"/>
      <c r="E24" s="7"/>
      <c r="F24" s="7">
        <v>4500</v>
      </c>
      <c r="G24" s="7">
        <f>'FEBRUARY 20'!J24:J46</f>
        <v>0</v>
      </c>
      <c r="H24" s="7">
        <f t="shared" si="1"/>
        <v>4500</v>
      </c>
      <c r="I24" s="7">
        <v>4500</v>
      </c>
      <c r="J24" s="7">
        <f>H24-I24</f>
        <v>0</v>
      </c>
      <c r="K24" s="7"/>
      <c r="L24" s="7"/>
    </row>
    <row r="25" spans="2:15" x14ac:dyDescent="0.25">
      <c r="B25" s="7" t="s">
        <v>49</v>
      </c>
      <c r="C25" s="7" t="s">
        <v>100</v>
      </c>
      <c r="D25" s="7"/>
      <c r="E25" s="7">
        <v>8000</v>
      </c>
      <c r="F25" s="7">
        <v>8000</v>
      </c>
      <c r="G25" s="7"/>
      <c r="H25" s="7">
        <f t="shared" si="1"/>
        <v>16000</v>
      </c>
      <c r="I25" s="7">
        <v>16000</v>
      </c>
      <c r="J25" s="7">
        <f>H25-I25</f>
        <v>0</v>
      </c>
      <c r="K25" s="7"/>
      <c r="L25" s="7">
        <v>1000</v>
      </c>
      <c r="N25">
        <v>8500</v>
      </c>
    </row>
    <row r="26" spans="2:15" x14ac:dyDescent="0.25">
      <c r="B26" s="7" t="s">
        <v>88</v>
      </c>
      <c r="C26" s="7" t="s">
        <v>110</v>
      </c>
      <c r="D26" s="7"/>
      <c r="E26" s="7"/>
      <c r="F26" s="7">
        <v>14000</v>
      </c>
      <c r="G26" s="7">
        <f>'FEBRUARY 20'!J27</f>
        <v>45100</v>
      </c>
      <c r="H26" s="7">
        <f t="shared" si="1"/>
        <v>59100</v>
      </c>
      <c r="I26" s="7">
        <v>14000</v>
      </c>
      <c r="J26" s="7">
        <f>H26-I26</f>
        <v>45100</v>
      </c>
      <c r="K26" s="7"/>
      <c r="L26" s="7"/>
    </row>
    <row r="27" spans="2:15" x14ac:dyDescent="0.25">
      <c r="B27" s="6"/>
      <c r="C27" s="10" t="s">
        <v>12</v>
      </c>
      <c r="D27" s="10">
        <f>SUM(D4:D5)</f>
        <v>0</v>
      </c>
      <c r="E27" s="10">
        <f>SUM(E5:E26)</f>
        <v>15500</v>
      </c>
      <c r="F27" s="6">
        <f>SUM(F5:F26)</f>
        <v>138500</v>
      </c>
      <c r="G27" s="7">
        <f>SUM(G5:G26)</f>
        <v>88300</v>
      </c>
      <c r="H27" s="7">
        <f>D27+E27+F27+G27</f>
        <v>242300</v>
      </c>
      <c r="I27" s="6">
        <f>SUM(I5:I26)</f>
        <v>157000</v>
      </c>
      <c r="J27" s="6">
        <f>SUM(J5:J26)</f>
        <v>85300</v>
      </c>
      <c r="K27" s="6">
        <f>SUM(K5:K26)</f>
        <v>3000</v>
      </c>
      <c r="L27" s="6">
        <f>SUM(L5:L26)</f>
        <v>2000</v>
      </c>
    </row>
    <row r="28" spans="2:15" x14ac:dyDescent="0.25">
      <c r="B28" s="11"/>
      <c r="J28" s="8">
        <f>F27-I5-I6-I8--I7-I9-I10-I11-I12-I14-I13-I15-I16-I17-I19-F20-I22-F23-I24-F25-I26-I20</f>
        <v>0</v>
      </c>
    </row>
    <row r="29" spans="2:15" ht="18.75" x14ac:dyDescent="0.3">
      <c r="C29" s="12" t="s">
        <v>13</v>
      </c>
      <c r="D29" s="13"/>
      <c r="E29" s="13"/>
      <c r="F29" s="13"/>
      <c r="G29" s="13"/>
      <c r="H29" s="13"/>
      <c r="I29" s="14"/>
      <c r="J29" s="14"/>
    </row>
    <row r="30" spans="2:15" ht="15.75" x14ac:dyDescent="0.25">
      <c r="C30" s="15" t="s">
        <v>14</v>
      </c>
      <c r="D30" s="15" t="s">
        <v>15</v>
      </c>
      <c r="E30" s="15" t="s">
        <v>16</v>
      </c>
      <c r="F30" s="15" t="s">
        <v>17</v>
      </c>
      <c r="G30" s="15" t="s">
        <v>18</v>
      </c>
      <c r="H30" s="15" t="s">
        <v>15</v>
      </c>
      <c r="I30" s="15" t="s">
        <v>16</v>
      </c>
      <c r="J30" s="15" t="s">
        <v>17</v>
      </c>
      <c r="L30" s="25"/>
    </row>
    <row r="31" spans="2:15" x14ac:dyDescent="0.25">
      <c r="C31" s="9" t="s">
        <v>111</v>
      </c>
      <c r="D31" s="16">
        <f>F27</f>
        <v>138500</v>
      </c>
      <c r="E31" s="17">
        <v>0.1</v>
      </c>
      <c r="F31" s="16"/>
      <c r="G31" s="18" t="s">
        <v>87</v>
      </c>
      <c r="H31" s="16">
        <f>I27</f>
        <v>157000</v>
      </c>
      <c r="I31" s="17">
        <v>0.1</v>
      </c>
      <c r="J31" s="9"/>
      <c r="O31" s="26">
        <f>D31-K27-L27-15500</f>
        <v>118000</v>
      </c>
    </row>
    <row r="32" spans="2:15" x14ac:dyDescent="0.25">
      <c r="C32" s="9" t="s">
        <v>20</v>
      </c>
      <c r="D32" s="16">
        <f>'FEBRUARY 20'!F45</f>
        <v>1000</v>
      </c>
      <c r="E32" s="9"/>
      <c r="F32" s="9"/>
      <c r="G32" s="9" t="s">
        <v>20</v>
      </c>
      <c r="H32" s="16">
        <f>'FEBRUARY 20'!J45</f>
        <v>1000</v>
      </c>
      <c r="I32" s="9"/>
      <c r="J32" s="9"/>
    </row>
    <row r="33" spans="3:10" x14ac:dyDescent="0.25">
      <c r="C33" s="9" t="s">
        <v>4</v>
      </c>
      <c r="D33" s="16">
        <f>8000+7500</f>
        <v>15500</v>
      </c>
      <c r="E33" s="9"/>
      <c r="F33" s="9"/>
      <c r="G33" s="9"/>
      <c r="H33" s="16"/>
      <c r="I33" s="16"/>
      <c r="J33" s="9"/>
    </row>
    <row r="34" spans="3:10" x14ac:dyDescent="0.25">
      <c r="C34" s="9" t="s">
        <v>21</v>
      </c>
      <c r="D34" s="16">
        <f>K27</f>
        <v>3000</v>
      </c>
      <c r="E34" s="9"/>
      <c r="F34" s="9"/>
      <c r="G34" s="9"/>
      <c r="H34" s="16"/>
      <c r="I34" s="16"/>
      <c r="J34" s="9"/>
    </row>
    <row r="35" spans="3:10" x14ac:dyDescent="0.25">
      <c r="C35" s="9" t="s">
        <v>102</v>
      </c>
      <c r="D35" s="16">
        <f>L27</f>
        <v>2000</v>
      </c>
      <c r="E35" s="9"/>
      <c r="F35" s="9"/>
      <c r="G35" s="9" t="s">
        <v>102</v>
      </c>
      <c r="H35" s="16">
        <f>L27</f>
        <v>2000</v>
      </c>
      <c r="I35" s="9"/>
      <c r="J35" s="9"/>
    </row>
    <row r="36" spans="3:10" x14ac:dyDescent="0.25">
      <c r="C36" s="9" t="s">
        <v>97</v>
      </c>
      <c r="D36" s="16">
        <v>0.3</v>
      </c>
      <c r="E36" s="9">
        <f>(D36*E25)+(D36*E20)</f>
        <v>4650</v>
      </c>
      <c r="F36" s="9"/>
      <c r="G36" s="9" t="s">
        <v>97</v>
      </c>
      <c r="H36" s="16">
        <v>0.3</v>
      </c>
      <c r="I36" s="16">
        <f>H36*E25+(H36*E20)</f>
        <v>4650</v>
      </c>
      <c r="J36" s="9"/>
    </row>
    <row r="37" spans="3:10" x14ac:dyDescent="0.25">
      <c r="C37" s="9" t="s">
        <v>22</v>
      </c>
      <c r="D37" s="18"/>
      <c r="E37" s="9">
        <f>D31*E31</f>
        <v>13850</v>
      </c>
      <c r="F37" s="9"/>
      <c r="G37" s="9" t="s">
        <v>22</v>
      </c>
      <c r="H37" s="18"/>
      <c r="I37" s="9">
        <f>E37</f>
        <v>13850</v>
      </c>
      <c r="J37" s="9"/>
    </row>
    <row r="38" spans="3:10" x14ac:dyDescent="0.25">
      <c r="C38" s="19" t="s">
        <v>23</v>
      </c>
      <c r="D38" s="9"/>
      <c r="E38" s="9"/>
      <c r="F38" s="9"/>
      <c r="G38" s="19" t="s">
        <v>23</v>
      </c>
      <c r="H38" s="9"/>
      <c r="I38" s="9"/>
      <c r="J38" s="9"/>
    </row>
    <row r="39" spans="3:10" x14ac:dyDescent="0.25">
      <c r="C39" s="20" t="s">
        <v>109</v>
      </c>
      <c r="D39" s="9"/>
      <c r="E39" s="9">
        <v>125000</v>
      </c>
      <c r="F39" s="9"/>
      <c r="G39" s="20" t="s">
        <v>109</v>
      </c>
      <c r="H39" s="9"/>
      <c r="I39" s="9">
        <v>125000</v>
      </c>
      <c r="J39" s="9"/>
    </row>
    <row r="40" spans="3:10" x14ac:dyDescent="0.25">
      <c r="C40" s="7"/>
      <c r="D40" s="21"/>
      <c r="E40" s="7"/>
      <c r="F40" s="7"/>
      <c r="G40" s="7"/>
      <c r="H40" s="21"/>
      <c r="I40" s="7"/>
      <c r="J40" s="9"/>
    </row>
    <row r="41" spans="3:10" x14ac:dyDescent="0.25">
      <c r="C41" s="20"/>
      <c r="D41" s="9"/>
      <c r="E41" s="9"/>
      <c r="F41" s="9"/>
      <c r="G41" s="20"/>
      <c r="H41" s="9"/>
      <c r="I41" s="9"/>
      <c r="J41" s="9"/>
    </row>
    <row r="42" spans="3:10" x14ac:dyDescent="0.25">
      <c r="C42" s="20"/>
      <c r="D42" s="9"/>
      <c r="E42" s="9"/>
      <c r="F42" s="9"/>
      <c r="G42" s="20"/>
      <c r="H42" s="9"/>
      <c r="I42" s="9"/>
      <c r="J42" s="9"/>
    </row>
    <row r="43" spans="3:10" x14ac:dyDescent="0.25">
      <c r="C43" s="20"/>
      <c r="D43" s="16"/>
      <c r="E43" s="16"/>
      <c r="F43" s="16"/>
      <c r="G43" s="20"/>
      <c r="H43" s="9"/>
      <c r="I43" s="16"/>
      <c r="J43" s="9"/>
    </row>
    <row r="44" spans="3:10" x14ac:dyDescent="0.25">
      <c r="C44" s="22" t="s">
        <v>12</v>
      </c>
      <c r="D44" s="23">
        <f>D31+D32+D33+D34+D35-E37-E36</f>
        <v>141500</v>
      </c>
      <c r="E44" s="22">
        <f>SUM(E39:E43)</f>
        <v>125000</v>
      </c>
      <c r="F44" s="23">
        <f>D44-E44</f>
        <v>16500</v>
      </c>
      <c r="G44" s="24"/>
      <c r="H44" s="23">
        <f>H31+H32+H35-I36-I37</f>
        <v>141500</v>
      </c>
      <c r="I44" s="23">
        <f>SUM(I39:I43)</f>
        <v>125000</v>
      </c>
      <c r="J44" s="23">
        <f>H44-I44</f>
        <v>16500</v>
      </c>
    </row>
    <row r="45" spans="3:10" x14ac:dyDescent="0.25">
      <c r="C45" s="11" t="s">
        <v>24</v>
      </c>
      <c r="E45" s="11" t="s">
        <v>25</v>
      </c>
      <c r="G45" s="11"/>
      <c r="H45" s="11" t="s">
        <v>26</v>
      </c>
    </row>
    <row r="46" spans="3:10" x14ac:dyDescent="0.25">
      <c r="C46" t="s">
        <v>27</v>
      </c>
      <c r="E46" s="11" t="s">
        <v>28</v>
      </c>
      <c r="G46" s="11"/>
      <c r="H46" s="11" t="s">
        <v>147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8"/>
  <sheetViews>
    <sheetView workbookViewId="0"/>
  </sheetViews>
  <sheetFormatPr defaultRowHeight="15" x14ac:dyDescent="0.25"/>
  <sheetData>
    <row r="1" spans="2:13" ht="18.75" x14ac:dyDescent="0.25">
      <c r="F1" s="1" t="s">
        <v>50</v>
      </c>
      <c r="G1" s="2"/>
      <c r="H1" s="3"/>
      <c r="I1" s="4"/>
    </row>
    <row r="2" spans="2:13" ht="18.75" x14ac:dyDescent="0.25">
      <c r="F2" s="1" t="s">
        <v>0</v>
      </c>
      <c r="G2" s="1"/>
      <c r="H2" s="5"/>
      <c r="I2" s="5"/>
    </row>
    <row r="3" spans="2:13" ht="18.75" x14ac:dyDescent="0.25">
      <c r="F3" s="1" t="s">
        <v>112</v>
      </c>
      <c r="G3" s="1"/>
      <c r="H3" s="5"/>
      <c r="I3" s="5"/>
    </row>
    <row r="4" spans="2:13" x14ac:dyDescent="0.25">
      <c r="B4" s="6" t="s">
        <v>2</v>
      </c>
      <c r="C4" s="6" t="s">
        <v>3</v>
      </c>
      <c r="D4" s="6"/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9</v>
      </c>
      <c r="K4" s="6" t="s">
        <v>10</v>
      </c>
      <c r="L4" s="6" t="s">
        <v>101</v>
      </c>
    </row>
    <row r="5" spans="2:13" x14ac:dyDescent="0.25">
      <c r="B5" s="7" t="s">
        <v>30</v>
      </c>
      <c r="C5" s="7" t="s">
        <v>51</v>
      </c>
      <c r="D5" s="7"/>
      <c r="E5" s="7"/>
      <c r="F5" s="7">
        <v>4500</v>
      </c>
      <c r="G5" s="7">
        <f>'MARCH 20'!J5:J26</f>
        <v>900</v>
      </c>
      <c r="H5" s="7">
        <f>D5+E5+F5+G5</f>
        <v>5400</v>
      </c>
      <c r="I5" s="7">
        <v>4500</v>
      </c>
      <c r="J5" s="7">
        <f t="shared" ref="J5:J12" si="0">H5-I5</f>
        <v>900</v>
      </c>
      <c r="K5" s="7"/>
      <c r="L5" s="7"/>
    </row>
    <row r="6" spans="2:13" x14ac:dyDescent="0.25">
      <c r="B6" s="7" t="s">
        <v>31</v>
      </c>
      <c r="C6" s="7" t="s">
        <v>52</v>
      </c>
      <c r="D6" s="7"/>
      <c r="E6" s="7"/>
      <c r="F6" s="7">
        <v>3000</v>
      </c>
      <c r="G6" s="7">
        <f>'MARCH 20'!J6:J27</f>
        <v>0</v>
      </c>
      <c r="H6" s="7">
        <f>D6+E6+F6+G6</f>
        <v>3000</v>
      </c>
      <c r="I6" s="7">
        <v>3000</v>
      </c>
      <c r="J6" s="7">
        <f t="shared" si="0"/>
        <v>0</v>
      </c>
      <c r="K6" s="7"/>
      <c r="L6" s="7"/>
    </row>
    <row r="7" spans="2:13" x14ac:dyDescent="0.25">
      <c r="B7" s="7" t="s">
        <v>32</v>
      </c>
      <c r="C7" s="7" t="s">
        <v>115</v>
      </c>
      <c r="D7" s="7"/>
      <c r="E7" s="7">
        <v>7500</v>
      </c>
      <c r="F7" s="7">
        <v>7500</v>
      </c>
      <c r="G7" s="7">
        <f>'MARCH 20'!J7:J28</f>
        <v>0</v>
      </c>
      <c r="H7" s="7">
        <f>D7+E7+F7+G7</f>
        <v>15000</v>
      </c>
      <c r="I7" s="7">
        <v>7000</v>
      </c>
      <c r="J7" s="7">
        <f t="shared" si="0"/>
        <v>8000</v>
      </c>
      <c r="K7" s="7"/>
      <c r="L7" s="7"/>
    </row>
    <row r="8" spans="2:13" x14ac:dyDescent="0.25">
      <c r="B8" s="7" t="s">
        <v>33</v>
      </c>
      <c r="C8" s="7" t="s">
        <v>53</v>
      </c>
      <c r="D8" s="7"/>
      <c r="E8" s="7"/>
      <c r="F8" s="7">
        <v>6500</v>
      </c>
      <c r="G8" s="7">
        <f>'MARCH 20'!J8:J29</f>
        <v>0</v>
      </c>
      <c r="H8" s="7">
        <f>D8+E8+F8+G8</f>
        <v>6500</v>
      </c>
      <c r="I8" s="7">
        <f>3000</f>
        <v>3000</v>
      </c>
      <c r="J8" s="7">
        <f t="shared" si="0"/>
        <v>3500</v>
      </c>
      <c r="K8" s="7"/>
      <c r="L8" s="7"/>
    </row>
    <row r="9" spans="2:13" x14ac:dyDescent="0.25">
      <c r="B9" s="7" t="s">
        <v>34</v>
      </c>
      <c r="C9" s="7" t="s">
        <v>54</v>
      </c>
      <c r="D9" s="7"/>
      <c r="E9" s="7"/>
      <c r="F9" s="7">
        <v>6500</v>
      </c>
      <c r="G9" s="7">
        <f>'MARCH 20'!J9:J30</f>
        <v>0</v>
      </c>
      <c r="H9" s="7">
        <f t="shared" ref="H9:H27" si="1">D9+E9+F9+G9</f>
        <v>6500</v>
      </c>
      <c r="I9" s="7">
        <v>6500</v>
      </c>
      <c r="J9" s="7">
        <f t="shared" si="0"/>
        <v>0</v>
      </c>
      <c r="K9" s="7"/>
      <c r="L9" s="7"/>
    </row>
    <row r="10" spans="2:13" x14ac:dyDescent="0.25">
      <c r="B10" s="7" t="s">
        <v>35</v>
      </c>
      <c r="C10" s="7" t="s">
        <v>55</v>
      </c>
      <c r="D10" s="7"/>
      <c r="E10" s="7"/>
      <c r="F10" s="7">
        <v>9000</v>
      </c>
      <c r="G10" s="7">
        <f>'MARCH 20'!J10:J31</f>
        <v>0</v>
      </c>
      <c r="H10" s="7">
        <f t="shared" si="1"/>
        <v>9000</v>
      </c>
      <c r="I10" s="7"/>
      <c r="J10" s="7">
        <f t="shared" si="0"/>
        <v>9000</v>
      </c>
      <c r="K10" s="7"/>
      <c r="L10" s="7"/>
      <c r="M10" t="s">
        <v>125</v>
      </c>
    </row>
    <row r="11" spans="2:13" x14ac:dyDescent="0.25">
      <c r="B11" s="7" t="s">
        <v>36</v>
      </c>
      <c r="C11" s="7" t="s">
        <v>56</v>
      </c>
      <c r="D11" s="7"/>
      <c r="E11" s="7"/>
      <c r="F11" s="7">
        <v>7000</v>
      </c>
      <c r="G11" s="7">
        <f>'MARCH 20'!J11:J32</f>
        <v>0</v>
      </c>
      <c r="H11" s="7">
        <f t="shared" si="1"/>
        <v>7000</v>
      </c>
      <c r="I11" s="7">
        <v>7000</v>
      </c>
      <c r="J11" s="7">
        <f t="shared" si="0"/>
        <v>0</v>
      </c>
      <c r="K11" s="7"/>
      <c r="L11" s="7"/>
    </row>
    <row r="12" spans="2:13" x14ac:dyDescent="0.25">
      <c r="B12" s="7" t="s">
        <v>37</v>
      </c>
      <c r="C12" s="8" t="s">
        <v>65</v>
      </c>
      <c r="D12" s="7"/>
      <c r="E12" s="7"/>
      <c r="F12" s="7">
        <v>4500</v>
      </c>
      <c r="G12" s="7">
        <f>'MARCH 20'!J12:J33</f>
        <v>100</v>
      </c>
      <c r="H12" s="7">
        <f t="shared" si="1"/>
        <v>4600</v>
      </c>
      <c r="I12" s="7">
        <v>4500</v>
      </c>
      <c r="J12" s="7">
        <f t="shared" si="0"/>
        <v>100</v>
      </c>
      <c r="K12" s="7"/>
      <c r="L12" s="7"/>
    </row>
    <row r="13" spans="2:13" x14ac:dyDescent="0.25">
      <c r="B13" s="7" t="s">
        <v>38</v>
      </c>
      <c r="C13" s="7" t="s">
        <v>92</v>
      </c>
      <c r="D13" s="7"/>
      <c r="E13" s="7"/>
      <c r="F13" s="7">
        <v>8000</v>
      </c>
      <c r="G13" s="7">
        <f>'MARCH 20'!J13:J34</f>
        <v>8000</v>
      </c>
      <c r="H13" s="7">
        <f t="shared" si="1"/>
        <v>16000</v>
      </c>
      <c r="I13" s="7">
        <v>4000</v>
      </c>
      <c r="J13" s="7">
        <f t="shared" ref="J13:J21" si="2">H13-I13</f>
        <v>12000</v>
      </c>
      <c r="K13" s="7"/>
      <c r="L13" s="7"/>
    </row>
    <row r="14" spans="2:13" x14ac:dyDescent="0.25">
      <c r="B14" s="7" t="s">
        <v>39</v>
      </c>
      <c r="C14" s="7" t="s">
        <v>70</v>
      </c>
      <c r="D14" s="7"/>
      <c r="E14" s="7"/>
      <c r="F14" s="7">
        <v>6500</v>
      </c>
      <c r="G14" s="7">
        <f>'MARCH 20'!J14:J35</f>
        <v>350</v>
      </c>
      <c r="H14" s="7">
        <f t="shared" si="1"/>
        <v>6850</v>
      </c>
      <c r="I14" s="7"/>
      <c r="J14" s="7">
        <f t="shared" si="2"/>
        <v>6850</v>
      </c>
      <c r="K14" s="7"/>
      <c r="L14" s="7"/>
      <c r="M14" t="s">
        <v>126</v>
      </c>
    </row>
    <row r="15" spans="2:13" x14ac:dyDescent="0.25">
      <c r="B15" s="7" t="s">
        <v>40</v>
      </c>
      <c r="C15" s="7" t="s">
        <v>84</v>
      </c>
      <c r="D15" s="7"/>
      <c r="E15" s="7"/>
      <c r="F15" s="7">
        <v>6500</v>
      </c>
      <c r="G15" s="7">
        <f>'MARCH 20'!J15:J36</f>
        <v>0</v>
      </c>
      <c r="H15" s="7">
        <f t="shared" si="1"/>
        <v>6500</v>
      </c>
      <c r="I15" s="7">
        <v>6500</v>
      </c>
      <c r="J15" s="7">
        <f t="shared" si="2"/>
        <v>0</v>
      </c>
      <c r="K15" s="7"/>
      <c r="L15" s="7"/>
    </row>
    <row r="16" spans="2:13" x14ac:dyDescent="0.25">
      <c r="B16" s="7" t="s">
        <v>41</v>
      </c>
      <c r="C16" s="7" t="s">
        <v>58</v>
      </c>
      <c r="D16" s="7"/>
      <c r="E16" s="7"/>
      <c r="F16" s="7">
        <v>7000</v>
      </c>
      <c r="G16" s="7">
        <f>'MARCH 20'!J16:J37</f>
        <v>0</v>
      </c>
      <c r="H16" s="7">
        <f t="shared" si="1"/>
        <v>7000</v>
      </c>
      <c r="I16" s="7">
        <v>6000</v>
      </c>
      <c r="J16" s="7">
        <f t="shared" si="2"/>
        <v>1000</v>
      </c>
      <c r="K16" s="7"/>
      <c r="L16" s="7"/>
    </row>
    <row r="17" spans="2:13" x14ac:dyDescent="0.25">
      <c r="B17" s="7" t="s">
        <v>42</v>
      </c>
      <c r="C17" s="7" t="s">
        <v>59</v>
      </c>
      <c r="D17" s="7"/>
      <c r="E17" s="7"/>
      <c r="F17" s="7">
        <v>7000</v>
      </c>
      <c r="G17" s="7">
        <f>'MARCH 20'!J17:J38</f>
        <v>5850</v>
      </c>
      <c r="H17" s="7">
        <f t="shared" si="1"/>
        <v>12850</v>
      </c>
      <c r="I17" s="7">
        <v>7000</v>
      </c>
      <c r="J17" s="7">
        <f t="shared" si="2"/>
        <v>5850</v>
      </c>
      <c r="K17" s="7"/>
      <c r="L17" s="7"/>
    </row>
    <row r="18" spans="2:13" x14ac:dyDescent="0.25">
      <c r="B18" s="7" t="s">
        <v>43</v>
      </c>
      <c r="C18" s="7" t="s">
        <v>60</v>
      </c>
      <c r="D18" s="7"/>
      <c r="E18" s="7"/>
      <c r="F18" s="7"/>
      <c r="G18" s="7">
        <f>'MARCH 20'!J18:J39</f>
        <v>0</v>
      </c>
      <c r="H18" s="7">
        <f t="shared" si="1"/>
        <v>0</v>
      </c>
      <c r="I18" s="7"/>
      <c r="J18" s="7">
        <f t="shared" si="2"/>
        <v>0</v>
      </c>
      <c r="K18" s="7"/>
      <c r="L18" s="7"/>
    </row>
    <row r="19" spans="2:13" x14ac:dyDescent="0.25">
      <c r="B19" s="7" t="s">
        <v>44</v>
      </c>
      <c r="C19" s="9" t="s">
        <v>61</v>
      </c>
      <c r="D19" s="7"/>
      <c r="E19" s="7"/>
      <c r="F19" s="7">
        <v>7000</v>
      </c>
      <c r="G19" s="7">
        <f>'MARCH 20'!J19:J40</f>
        <v>0</v>
      </c>
      <c r="H19" s="7">
        <f t="shared" si="1"/>
        <v>7000</v>
      </c>
      <c r="I19" s="7">
        <v>7000</v>
      </c>
      <c r="J19" s="7">
        <f t="shared" si="2"/>
        <v>0</v>
      </c>
      <c r="K19" s="7"/>
      <c r="L19" s="7"/>
    </row>
    <row r="20" spans="2:13" x14ac:dyDescent="0.25">
      <c r="B20" s="7" t="s">
        <v>45</v>
      </c>
      <c r="C20" s="7" t="s">
        <v>76</v>
      </c>
      <c r="D20" s="7"/>
      <c r="E20" s="7"/>
      <c r="F20" s="7"/>
      <c r="G20" s="7">
        <f>'MARCH 20'!J20:J41</f>
        <v>0</v>
      </c>
      <c r="H20" s="7">
        <f t="shared" si="1"/>
        <v>0</v>
      </c>
      <c r="I20" s="7"/>
      <c r="J20" s="7">
        <f t="shared" si="2"/>
        <v>0</v>
      </c>
      <c r="K20" s="7"/>
      <c r="L20" s="7"/>
    </row>
    <row r="21" spans="2:13" x14ac:dyDescent="0.25">
      <c r="B21" s="7" t="s">
        <v>46</v>
      </c>
      <c r="C21" s="7" t="s">
        <v>105</v>
      </c>
      <c r="D21" s="7"/>
      <c r="E21" s="7"/>
      <c r="F21" s="7">
        <v>7500</v>
      </c>
      <c r="G21" s="7">
        <f>'MARCH 20'!J21:J42</f>
        <v>0</v>
      </c>
      <c r="H21" s="7">
        <f t="shared" si="1"/>
        <v>7500</v>
      </c>
      <c r="I21" s="7">
        <v>7500</v>
      </c>
      <c r="J21" s="7">
        <f t="shared" si="2"/>
        <v>0</v>
      </c>
      <c r="K21" s="7"/>
      <c r="L21" s="7"/>
      <c r="M21" t="s">
        <v>121</v>
      </c>
    </row>
    <row r="22" spans="2:13" x14ac:dyDescent="0.25">
      <c r="B22" s="7" t="s">
        <v>47</v>
      </c>
      <c r="C22" s="7" t="s">
        <v>64</v>
      </c>
      <c r="D22" s="7"/>
      <c r="E22" s="7"/>
      <c r="F22" s="7">
        <v>7000</v>
      </c>
      <c r="G22" s="7">
        <f>'MARCH 20'!J22:J43</f>
        <v>0</v>
      </c>
      <c r="H22" s="7">
        <f t="shared" si="1"/>
        <v>7000</v>
      </c>
      <c r="I22" s="7">
        <v>7000</v>
      </c>
      <c r="J22" s="7">
        <f>H22-I22</f>
        <v>0</v>
      </c>
      <c r="K22" s="7"/>
      <c r="L22" s="7"/>
    </row>
    <row r="23" spans="2:13" x14ac:dyDescent="0.25">
      <c r="B23" s="7" t="s">
        <v>66</v>
      </c>
      <c r="C23" s="7" t="s">
        <v>67</v>
      </c>
      <c r="D23" s="7"/>
      <c r="E23" s="7"/>
      <c r="F23" s="7"/>
      <c r="G23" s="7">
        <f>'MARCH 20'!J23:J44</f>
        <v>25000</v>
      </c>
      <c r="H23" s="7">
        <f t="shared" si="1"/>
        <v>25000</v>
      </c>
      <c r="I23" s="7"/>
      <c r="J23" s="7"/>
      <c r="K23" s="7"/>
      <c r="L23" s="7"/>
    </row>
    <row r="24" spans="2:13" x14ac:dyDescent="0.25">
      <c r="B24" s="7" t="s">
        <v>48</v>
      </c>
      <c r="C24" s="7" t="s">
        <v>69</v>
      </c>
      <c r="D24" s="7"/>
      <c r="E24" s="7"/>
      <c r="F24" s="7">
        <v>4500</v>
      </c>
      <c r="G24" s="7">
        <f>'MARCH 20'!J24:J45</f>
        <v>0</v>
      </c>
      <c r="H24" s="7">
        <f t="shared" si="1"/>
        <v>4500</v>
      </c>
      <c r="I24" s="7">
        <v>4500</v>
      </c>
      <c r="J24" s="7">
        <f>H24-I24</f>
        <v>0</v>
      </c>
      <c r="K24" s="7"/>
      <c r="L24" s="7"/>
    </row>
    <row r="25" spans="2:13" x14ac:dyDescent="0.25">
      <c r="B25" s="7" t="s">
        <v>49</v>
      </c>
      <c r="C25" s="7" t="s">
        <v>100</v>
      </c>
      <c r="D25" s="7"/>
      <c r="E25" s="7"/>
      <c r="F25" s="7">
        <v>8000</v>
      </c>
      <c r="G25" s="7">
        <f>'MARCH 20'!J25:J46</f>
        <v>0</v>
      </c>
      <c r="H25" s="7">
        <f t="shared" si="1"/>
        <v>8000</v>
      </c>
      <c r="I25" s="7">
        <v>8000</v>
      </c>
      <c r="J25" s="7">
        <f>H25-I25</f>
        <v>0</v>
      </c>
      <c r="K25" s="7"/>
      <c r="L25" s="7"/>
    </row>
    <row r="26" spans="2:13" x14ac:dyDescent="0.25">
      <c r="B26" s="7" t="s">
        <v>123</v>
      </c>
      <c r="C26" s="7" t="s">
        <v>122</v>
      </c>
      <c r="D26" s="7"/>
      <c r="E26" s="7"/>
      <c r="F26" s="7">
        <v>4000</v>
      </c>
      <c r="G26" s="7"/>
      <c r="H26" s="7">
        <f t="shared" si="1"/>
        <v>4000</v>
      </c>
      <c r="I26" s="7">
        <v>4000</v>
      </c>
      <c r="J26" s="7">
        <f>H26-I26</f>
        <v>0</v>
      </c>
      <c r="K26" s="7"/>
      <c r="L26" s="7"/>
    </row>
    <row r="27" spans="2:13" x14ac:dyDescent="0.25">
      <c r="B27" s="7" t="s">
        <v>88</v>
      </c>
      <c r="C27" s="7" t="s">
        <v>110</v>
      </c>
      <c r="D27" s="7"/>
      <c r="E27" s="7"/>
      <c r="F27" s="7">
        <v>7000</v>
      </c>
      <c r="G27" s="7">
        <f>'MARCH 20'!J26</f>
        <v>45100</v>
      </c>
      <c r="H27" s="7">
        <f t="shared" si="1"/>
        <v>52100</v>
      </c>
      <c r="I27" s="7"/>
      <c r="J27" s="7">
        <f>H27-I27</f>
        <v>52100</v>
      </c>
      <c r="K27" s="7"/>
      <c r="L27" s="7"/>
    </row>
    <row r="28" spans="2:13" x14ac:dyDescent="0.25">
      <c r="B28" s="6"/>
      <c r="C28" s="10" t="s">
        <v>12</v>
      </c>
      <c r="D28" s="10">
        <f>SUM(D4:D5)</f>
        <v>0</v>
      </c>
      <c r="E28" s="10">
        <f>SUM(E5:E27)</f>
        <v>7500</v>
      </c>
      <c r="F28" s="6">
        <f>SUM(F5:F27)</f>
        <v>128500</v>
      </c>
      <c r="G28" s="7">
        <f>SUM(G5:G27)</f>
        <v>85300</v>
      </c>
      <c r="H28" s="7">
        <f>D28+E28+F28+G28</f>
        <v>221300</v>
      </c>
      <c r="I28" s="6">
        <f>SUM(I5:I27)</f>
        <v>97000</v>
      </c>
      <c r="J28" s="6">
        <f>SUM(J5:J27)</f>
        <v>99300</v>
      </c>
      <c r="K28" s="6">
        <f>SUM(K5:K27)</f>
        <v>0</v>
      </c>
      <c r="L28" s="6">
        <f>SUM(L5:L27)</f>
        <v>0</v>
      </c>
    </row>
    <row r="29" spans="2:13" x14ac:dyDescent="0.25">
      <c r="B29" s="11"/>
      <c r="J29" s="8">
        <f>F28-I5-I6-I8--I7-I9-I10-I11-I12-I14-I13-I15-I16-I17-I19-F20-I22-F23-I24-F25-I27</f>
        <v>57000</v>
      </c>
    </row>
    <row r="30" spans="2:13" ht="18.75" x14ac:dyDescent="0.3">
      <c r="C30" s="12" t="s">
        <v>13</v>
      </c>
      <c r="D30" s="13"/>
      <c r="E30" s="13"/>
      <c r="F30" s="13"/>
      <c r="G30" s="13"/>
      <c r="H30" s="13"/>
      <c r="I30" s="14"/>
      <c r="J30" s="14"/>
    </row>
    <row r="31" spans="2:13" ht="15.75" x14ac:dyDescent="0.25">
      <c r="C31" s="15" t="s">
        <v>14</v>
      </c>
      <c r="D31" s="15" t="s">
        <v>15</v>
      </c>
      <c r="E31" s="15" t="s">
        <v>16</v>
      </c>
      <c r="F31" s="15" t="s">
        <v>17</v>
      </c>
      <c r="G31" s="15" t="s">
        <v>18</v>
      </c>
      <c r="H31" s="15" t="s">
        <v>15</v>
      </c>
      <c r="I31" s="15" t="s">
        <v>16</v>
      </c>
      <c r="J31" s="15" t="s">
        <v>17</v>
      </c>
      <c r="L31" s="25"/>
    </row>
    <row r="32" spans="2:13" x14ac:dyDescent="0.25">
      <c r="C32" s="9" t="s">
        <v>113</v>
      </c>
      <c r="D32" s="16">
        <f>F28</f>
        <v>128500</v>
      </c>
      <c r="E32" s="17">
        <v>0.1</v>
      </c>
      <c r="F32" s="16"/>
      <c r="G32" s="18" t="s">
        <v>113</v>
      </c>
      <c r="H32" s="16">
        <f>I28</f>
        <v>97000</v>
      </c>
      <c r="I32" s="17">
        <v>0.1</v>
      </c>
      <c r="J32" s="9"/>
      <c r="L32">
        <f>J8+J10+4000+F27+500</f>
        <v>24000</v>
      </c>
    </row>
    <row r="33" spans="3:12" x14ac:dyDescent="0.25">
      <c r="C33" s="9" t="s">
        <v>20</v>
      </c>
      <c r="D33" s="16">
        <f>'MARCH 20'!F44</f>
        <v>16500</v>
      </c>
      <c r="E33" s="9"/>
      <c r="F33" s="9"/>
      <c r="G33" s="9" t="s">
        <v>20</v>
      </c>
      <c r="H33" s="16">
        <f>'MARCH 20'!J44</f>
        <v>16500</v>
      </c>
      <c r="I33" s="9"/>
      <c r="J33" s="9"/>
    </row>
    <row r="34" spans="3:12" x14ac:dyDescent="0.25">
      <c r="C34" s="9" t="s">
        <v>4</v>
      </c>
      <c r="D34" s="16"/>
      <c r="E34" s="9"/>
      <c r="F34" s="9"/>
      <c r="G34" s="9"/>
      <c r="H34" s="16"/>
      <c r="I34" s="16"/>
      <c r="J34" s="9"/>
    </row>
    <row r="35" spans="3:12" x14ac:dyDescent="0.25">
      <c r="C35" s="9" t="s">
        <v>21</v>
      </c>
      <c r="D35" s="16">
        <f>K28</f>
        <v>0</v>
      </c>
      <c r="E35" s="9"/>
      <c r="F35" s="9"/>
      <c r="G35" s="9"/>
      <c r="H35" s="16"/>
      <c r="I35" s="16"/>
      <c r="J35" s="9"/>
      <c r="K35" s="26">
        <f>D32-H32</f>
        <v>31500</v>
      </c>
    </row>
    <row r="36" spans="3:12" x14ac:dyDescent="0.25">
      <c r="C36" s="9" t="s">
        <v>102</v>
      </c>
      <c r="D36" s="16">
        <f>L28</f>
        <v>0</v>
      </c>
      <c r="E36" s="9"/>
      <c r="F36" s="9"/>
      <c r="G36" s="9"/>
      <c r="H36" s="16"/>
      <c r="I36" s="9"/>
      <c r="J36" s="9"/>
      <c r="L36" s="26"/>
    </row>
    <row r="37" spans="3:12" x14ac:dyDescent="0.25">
      <c r="C37" s="9" t="s">
        <v>97</v>
      </c>
      <c r="D37" s="16">
        <v>0.3</v>
      </c>
      <c r="E37" s="9">
        <f>D37*F7</f>
        <v>2250</v>
      </c>
      <c r="F37" s="9"/>
      <c r="G37" s="9" t="s">
        <v>97</v>
      </c>
      <c r="H37" s="16">
        <v>0.3</v>
      </c>
      <c r="I37" s="9">
        <f>H37*F7</f>
        <v>2250</v>
      </c>
      <c r="J37" s="9"/>
    </row>
    <row r="38" spans="3:12" x14ac:dyDescent="0.25">
      <c r="C38" s="9" t="s">
        <v>22</v>
      </c>
      <c r="D38" s="18"/>
      <c r="E38" s="9">
        <f>D32*E32</f>
        <v>12850</v>
      </c>
      <c r="F38" s="9"/>
      <c r="G38" s="9" t="s">
        <v>22</v>
      </c>
      <c r="H38" s="18"/>
      <c r="I38" s="9">
        <f>E38</f>
        <v>12850</v>
      </c>
      <c r="J38" s="9"/>
    </row>
    <row r="39" spans="3:12" x14ac:dyDescent="0.25">
      <c r="C39" s="19" t="s">
        <v>23</v>
      </c>
      <c r="D39" s="9"/>
      <c r="E39" s="9"/>
      <c r="F39" s="9"/>
      <c r="G39" s="19" t="s">
        <v>23</v>
      </c>
      <c r="H39" s="9"/>
      <c r="I39" s="9"/>
      <c r="J39" s="9"/>
    </row>
    <row r="40" spans="3:12" x14ac:dyDescent="0.25">
      <c r="C40" s="20" t="s">
        <v>116</v>
      </c>
      <c r="D40" s="9"/>
      <c r="E40" s="9">
        <v>16500</v>
      </c>
      <c r="F40" s="9"/>
      <c r="G40" s="20" t="s">
        <v>116</v>
      </c>
      <c r="H40" s="9"/>
      <c r="I40" s="9">
        <v>16500</v>
      </c>
      <c r="J40" s="9"/>
      <c r="K40" s="26"/>
    </row>
    <row r="41" spans="3:12" x14ac:dyDescent="0.25">
      <c r="C41" s="7" t="s">
        <v>117</v>
      </c>
      <c r="D41" s="21"/>
      <c r="E41" s="7">
        <v>45000</v>
      </c>
      <c r="F41" s="7"/>
      <c r="G41" s="7" t="s">
        <v>117</v>
      </c>
      <c r="H41" s="21"/>
      <c r="I41" s="7">
        <v>45000</v>
      </c>
      <c r="J41" s="9"/>
    </row>
    <row r="42" spans="3:12" x14ac:dyDescent="0.25">
      <c r="C42" s="20" t="s">
        <v>105</v>
      </c>
      <c r="D42" s="9"/>
      <c r="E42" s="9">
        <f>F21</f>
        <v>7500</v>
      </c>
      <c r="F42" s="9"/>
      <c r="G42" s="20" t="s">
        <v>105</v>
      </c>
      <c r="H42" s="9"/>
      <c r="I42" s="9">
        <f>F21</f>
        <v>7500</v>
      </c>
      <c r="J42" s="9"/>
    </row>
    <row r="43" spans="3:12" x14ac:dyDescent="0.25">
      <c r="C43" s="20" t="s">
        <v>124</v>
      </c>
      <c r="D43" s="9"/>
      <c r="E43" s="9">
        <v>29400</v>
      </c>
      <c r="F43" s="9"/>
      <c r="G43" s="20" t="s">
        <v>124</v>
      </c>
      <c r="H43" s="9"/>
      <c r="I43" s="9">
        <v>29400</v>
      </c>
      <c r="J43" s="9"/>
    </row>
    <row r="44" spans="3:12" x14ac:dyDescent="0.25">
      <c r="C44" s="20"/>
      <c r="D44" s="16"/>
      <c r="E44" s="16"/>
      <c r="F44" s="16"/>
      <c r="G44" s="20"/>
      <c r="H44" s="9"/>
      <c r="I44" s="16"/>
      <c r="J44" s="9"/>
    </row>
    <row r="45" spans="3:12" x14ac:dyDescent="0.25">
      <c r="C45" s="22" t="s">
        <v>12</v>
      </c>
      <c r="D45" s="23">
        <f>D32+D33+D34+D35+D36-E38-E37</f>
        <v>129900</v>
      </c>
      <c r="E45" s="22">
        <f>SUM(E40:E44)</f>
        <v>98400</v>
      </c>
      <c r="F45" s="23">
        <f>D45-E45</f>
        <v>31500</v>
      </c>
      <c r="G45" s="24"/>
      <c r="H45" s="23">
        <f>H32+H33+H36-I37-I38</f>
        <v>98400</v>
      </c>
      <c r="I45" s="23">
        <f>SUM(I40:I44)</f>
        <v>98400</v>
      </c>
      <c r="J45" s="23">
        <f>H45-I45</f>
        <v>0</v>
      </c>
    </row>
    <row r="47" spans="3:12" x14ac:dyDescent="0.25">
      <c r="C47" s="11" t="s">
        <v>24</v>
      </c>
      <c r="E47" s="11" t="s">
        <v>25</v>
      </c>
      <c r="G47" s="11"/>
      <c r="H47" s="11" t="s">
        <v>26</v>
      </c>
    </row>
    <row r="48" spans="3:12" x14ac:dyDescent="0.25">
      <c r="C48" t="s">
        <v>27</v>
      </c>
      <c r="E48" s="11" t="s">
        <v>28</v>
      </c>
      <c r="G48" s="11"/>
      <c r="H48" s="11" t="s">
        <v>147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workbookViewId="0"/>
  </sheetViews>
  <sheetFormatPr defaultRowHeight="15" x14ac:dyDescent="0.25"/>
  <sheetData>
    <row r="1" spans="1:12" ht="18.75" x14ac:dyDescent="0.25">
      <c r="E1" s="1" t="s">
        <v>50</v>
      </c>
      <c r="F1" s="2"/>
      <c r="G1" s="3"/>
      <c r="H1" s="4"/>
    </row>
    <row r="2" spans="1:12" ht="18.75" x14ac:dyDescent="0.25">
      <c r="E2" s="1" t="s">
        <v>0</v>
      </c>
      <c r="F2" s="1"/>
      <c r="G2" s="5"/>
      <c r="H2" s="5"/>
    </row>
    <row r="3" spans="1:12" ht="18.75" x14ac:dyDescent="0.25">
      <c r="E3" s="1" t="s">
        <v>119</v>
      </c>
      <c r="F3" s="1"/>
      <c r="G3" s="5"/>
      <c r="H3" s="5"/>
    </row>
    <row r="4" spans="1:12" x14ac:dyDescent="0.25">
      <c r="A4" s="6" t="s">
        <v>2</v>
      </c>
      <c r="B4" s="6" t="s">
        <v>3</v>
      </c>
      <c r="C4" s="6"/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  <c r="K4" s="6" t="s">
        <v>101</v>
      </c>
    </row>
    <row r="5" spans="1:12" x14ac:dyDescent="0.25">
      <c r="A5" s="7" t="s">
        <v>30</v>
      </c>
      <c r="B5" s="7" t="s">
        <v>51</v>
      </c>
      <c r="C5" s="7"/>
      <c r="D5" s="7"/>
      <c r="E5" s="7">
        <v>4500</v>
      </c>
      <c r="F5" s="7">
        <f>'APRIL 20'!J5:J25</f>
        <v>900</v>
      </c>
      <c r="G5" s="7">
        <f>C5+D5+E5+F5</f>
        <v>5400</v>
      </c>
      <c r="H5" s="7">
        <v>4500</v>
      </c>
      <c r="I5" s="7">
        <f t="shared" ref="I5:I12" si="0">G5-H5</f>
        <v>900</v>
      </c>
      <c r="J5" s="7"/>
      <c r="K5" s="7"/>
    </row>
    <row r="6" spans="1:12" x14ac:dyDescent="0.25">
      <c r="A6" s="7" t="s">
        <v>31</v>
      </c>
      <c r="B6" s="7" t="s">
        <v>52</v>
      </c>
      <c r="C6" s="7"/>
      <c r="D6" s="7"/>
      <c r="E6" s="7">
        <v>3000</v>
      </c>
      <c r="F6" s="7">
        <f>'APRIL 20'!J6:J27</f>
        <v>0</v>
      </c>
      <c r="G6" s="7">
        <f>C6+D6+E6+F6</f>
        <v>3000</v>
      </c>
      <c r="H6" s="7">
        <v>3000</v>
      </c>
      <c r="I6" s="7">
        <f t="shared" si="0"/>
        <v>0</v>
      </c>
      <c r="J6" s="7"/>
      <c r="K6" s="7"/>
    </row>
    <row r="7" spans="1:12" x14ac:dyDescent="0.25">
      <c r="A7" s="7" t="s">
        <v>32</v>
      </c>
      <c r="B7" s="7" t="s">
        <v>115</v>
      </c>
      <c r="C7" s="7"/>
      <c r="D7" s="7"/>
      <c r="E7" s="7">
        <v>7500</v>
      </c>
      <c r="F7" s="7">
        <f>'APRIL 20'!J7:J28</f>
        <v>8000</v>
      </c>
      <c r="G7" s="7">
        <f>C7+D7+E7+F7</f>
        <v>15500</v>
      </c>
      <c r="H7" s="7">
        <f>5600+1900</f>
        <v>7500</v>
      </c>
      <c r="I7" s="7">
        <f t="shared" si="0"/>
        <v>8000</v>
      </c>
      <c r="J7" s="7"/>
      <c r="K7" s="7"/>
    </row>
    <row r="8" spans="1:12" x14ac:dyDescent="0.25">
      <c r="A8" s="7" t="s">
        <v>33</v>
      </c>
      <c r="B8" s="7" t="s">
        <v>53</v>
      </c>
      <c r="C8" s="7"/>
      <c r="D8" s="7"/>
      <c r="E8" s="7">
        <v>6500</v>
      </c>
      <c r="F8" s="7">
        <f>'APRIL 20'!J8:J29</f>
        <v>3500</v>
      </c>
      <c r="G8" s="7">
        <f>C8+D8+E8+F8</f>
        <v>10000</v>
      </c>
      <c r="H8" s="7">
        <v>8000</v>
      </c>
      <c r="I8" s="7">
        <f t="shared" si="0"/>
        <v>2000</v>
      </c>
      <c r="J8" s="7"/>
      <c r="K8" s="7"/>
      <c r="L8" t="s">
        <v>133</v>
      </c>
    </row>
    <row r="9" spans="1:12" x14ac:dyDescent="0.25">
      <c r="A9" s="7" t="s">
        <v>34</v>
      </c>
      <c r="B9" s="7" t="s">
        <v>54</v>
      </c>
      <c r="C9" s="7"/>
      <c r="D9" s="7"/>
      <c r="E9" s="7">
        <v>6500</v>
      </c>
      <c r="F9" s="7">
        <f>'APRIL 20'!J9:J30</f>
        <v>0</v>
      </c>
      <c r="G9" s="7">
        <f t="shared" ref="G9:G27" si="1">C9+D9+E9+F9</f>
        <v>6500</v>
      </c>
      <c r="H9" s="7">
        <v>6500</v>
      </c>
      <c r="I9" s="7">
        <f t="shared" si="0"/>
        <v>0</v>
      </c>
      <c r="J9" s="7"/>
      <c r="K9" s="7"/>
    </row>
    <row r="10" spans="1:12" x14ac:dyDescent="0.25">
      <c r="A10" s="7" t="s">
        <v>35</v>
      </c>
      <c r="B10" s="7" t="s">
        <v>55</v>
      </c>
      <c r="C10" s="7"/>
      <c r="D10" s="7"/>
      <c r="E10" s="7">
        <v>9000</v>
      </c>
      <c r="F10" s="7">
        <f>'APRIL 20'!J10:J31</f>
        <v>9000</v>
      </c>
      <c r="G10" s="7">
        <f t="shared" si="1"/>
        <v>18000</v>
      </c>
      <c r="H10" s="7">
        <f>12000+6000</f>
        <v>18000</v>
      </c>
      <c r="I10" s="7">
        <f t="shared" si="0"/>
        <v>0</v>
      </c>
      <c r="J10" s="7"/>
      <c r="K10" s="7"/>
    </row>
    <row r="11" spans="1:12" x14ac:dyDescent="0.25">
      <c r="A11" s="7" t="s">
        <v>36</v>
      </c>
      <c r="B11" s="7" t="s">
        <v>56</v>
      </c>
      <c r="C11" s="7"/>
      <c r="D11" s="7"/>
      <c r="E11" s="7">
        <v>7000</v>
      </c>
      <c r="F11" s="7">
        <f>'APRIL 20'!J11:J32</f>
        <v>0</v>
      </c>
      <c r="G11" s="7">
        <f t="shared" si="1"/>
        <v>7000</v>
      </c>
      <c r="H11" s="7">
        <v>5000</v>
      </c>
      <c r="I11" s="7">
        <f t="shared" si="0"/>
        <v>2000</v>
      </c>
      <c r="J11" s="7"/>
      <c r="K11" s="7"/>
    </row>
    <row r="12" spans="1:12" x14ac:dyDescent="0.25">
      <c r="A12" s="7" t="s">
        <v>37</v>
      </c>
      <c r="B12" s="8" t="s">
        <v>65</v>
      </c>
      <c r="C12" s="7"/>
      <c r="D12" s="7"/>
      <c r="E12" s="7">
        <v>4500</v>
      </c>
      <c r="F12" s="7">
        <f>'APRIL 20'!J12:J33</f>
        <v>100</v>
      </c>
      <c r="G12" s="7">
        <f t="shared" si="1"/>
        <v>4600</v>
      </c>
      <c r="H12" s="7">
        <v>4500</v>
      </c>
      <c r="I12" s="7">
        <f t="shared" si="0"/>
        <v>100</v>
      </c>
      <c r="J12" s="7"/>
      <c r="K12" s="7"/>
    </row>
    <row r="13" spans="1:12" x14ac:dyDescent="0.25">
      <c r="A13" s="7" t="s">
        <v>38</v>
      </c>
      <c r="B13" s="7" t="s">
        <v>92</v>
      </c>
      <c r="C13" s="7"/>
      <c r="D13" s="7"/>
      <c r="E13" s="7">
        <v>8000</v>
      </c>
      <c r="F13" s="7">
        <f>'APRIL 20'!J13:J34</f>
        <v>12000</v>
      </c>
      <c r="G13" s="7">
        <f t="shared" si="1"/>
        <v>20000</v>
      </c>
      <c r="H13" s="7">
        <f>2000</f>
        <v>2000</v>
      </c>
      <c r="I13" s="7">
        <f t="shared" ref="I13:I21" si="2">G13-H13</f>
        <v>18000</v>
      </c>
      <c r="J13" s="7"/>
      <c r="K13" s="7"/>
    </row>
    <row r="14" spans="1:12" x14ac:dyDescent="0.25">
      <c r="A14" s="7" t="s">
        <v>39</v>
      </c>
      <c r="B14" s="7" t="s">
        <v>70</v>
      </c>
      <c r="C14" s="7"/>
      <c r="D14" s="7"/>
      <c r="E14" s="7">
        <v>6500</v>
      </c>
      <c r="F14" s="7">
        <f>'APRIL 20'!J14:J35</f>
        <v>6850</v>
      </c>
      <c r="G14" s="7">
        <f t="shared" si="1"/>
        <v>13350</v>
      </c>
      <c r="H14" s="7">
        <v>10000</v>
      </c>
      <c r="I14" s="7">
        <f t="shared" si="2"/>
        <v>3350</v>
      </c>
      <c r="J14" s="7"/>
      <c r="K14" s="7"/>
    </row>
    <row r="15" spans="1:12" x14ac:dyDescent="0.25">
      <c r="A15" s="7" t="s">
        <v>40</v>
      </c>
      <c r="B15" s="7" t="s">
        <v>84</v>
      </c>
      <c r="C15" s="7"/>
      <c r="D15" s="7"/>
      <c r="E15" s="7">
        <v>6500</v>
      </c>
      <c r="F15" s="7">
        <f>'APRIL 20'!J15:J36</f>
        <v>0</v>
      </c>
      <c r="G15" s="7">
        <f t="shared" si="1"/>
        <v>6500</v>
      </c>
      <c r="H15" s="7">
        <v>6500</v>
      </c>
      <c r="I15" s="7">
        <f t="shared" si="2"/>
        <v>0</v>
      </c>
      <c r="J15" s="7"/>
      <c r="K15" s="7"/>
    </row>
    <row r="16" spans="1:12" x14ac:dyDescent="0.25">
      <c r="A16" s="7" t="s">
        <v>41</v>
      </c>
      <c r="B16" s="7" t="s">
        <v>58</v>
      </c>
      <c r="C16" s="7"/>
      <c r="D16" s="7"/>
      <c r="E16" s="7">
        <v>7000</v>
      </c>
      <c r="F16" s="7">
        <f>'APRIL 20'!J16:J37</f>
        <v>1000</v>
      </c>
      <c r="G16" s="7">
        <f t="shared" si="1"/>
        <v>8000</v>
      </c>
      <c r="H16" s="7">
        <f>6000</f>
        <v>6000</v>
      </c>
      <c r="I16" s="7">
        <f t="shared" si="2"/>
        <v>2000</v>
      </c>
      <c r="J16" s="7"/>
      <c r="K16" s="7"/>
    </row>
    <row r="17" spans="1:11" x14ac:dyDescent="0.25">
      <c r="A17" s="7" t="s">
        <v>42</v>
      </c>
      <c r="B17" s="7" t="s">
        <v>59</v>
      </c>
      <c r="C17" s="7"/>
      <c r="D17" s="7"/>
      <c r="E17" s="7">
        <v>7000</v>
      </c>
      <c r="F17" s="7">
        <f>'APRIL 20'!J17:J38</f>
        <v>5850</v>
      </c>
      <c r="G17" s="7">
        <f t="shared" si="1"/>
        <v>12850</v>
      </c>
      <c r="H17" s="7"/>
      <c r="I17" s="7">
        <f t="shared" si="2"/>
        <v>12850</v>
      </c>
      <c r="J17" s="7"/>
      <c r="K17" s="7"/>
    </row>
    <row r="18" spans="1:11" x14ac:dyDescent="0.25">
      <c r="A18" s="7" t="s">
        <v>43</v>
      </c>
      <c r="B18" s="7" t="s">
        <v>60</v>
      </c>
      <c r="C18" s="7"/>
      <c r="D18" s="7"/>
      <c r="E18" s="7"/>
      <c r="F18" s="7">
        <f>'APRIL 20'!J18:J39</f>
        <v>0</v>
      </c>
      <c r="G18" s="7">
        <f t="shared" si="1"/>
        <v>0</v>
      </c>
      <c r="H18" s="7"/>
      <c r="I18" s="7">
        <f t="shared" si="2"/>
        <v>0</v>
      </c>
      <c r="J18" s="7"/>
      <c r="K18" s="7"/>
    </row>
    <row r="19" spans="1:11" x14ac:dyDescent="0.25">
      <c r="A19" s="7" t="s">
        <v>44</v>
      </c>
      <c r="B19" s="9" t="s">
        <v>118</v>
      </c>
      <c r="C19" s="7"/>
      <c r="D19" s="7">
        <v>8000</v>
      </c>
      <c r="E19" s="7">
        <v>8000</v>
      </c>
      <c r="F19" s="7">
        <f>'APRIL 20'!J19:J40</f>
        <v>0</v>
      </c>
      <c r="G19" s="7">
        <f t="shared" si="1"/>
        <v>16000</v>
      </c>
      <c r="H19" s="7">
        <v>16000</v>
      </c>
      <c r="I19" s="7">
        <f t="shared" si="2"/>
        <v>0</v>
      </c>
      <c r="J19" s="7"/>
      <c r="K19" s="7"/>
    </row>
    <row r="20" spans="1:11" x14ac:dyDescent="0.25">
      <c r="A20" s="7" t="s">
        <v>45</v>
      </c>
      <c r="B20" s="7" t="s">
        <v>76</v>
      </c>
      <c r="C20" s="7"/>
      <c r="D20" s="7"/>
      <c r="E20" s="7"/>
      <c r="F20" s="7">
        <f>'APRIL 20'!J20:J41</f>
        <v>0</v>
      </c>
      <c r="G20" s="7">
        <f t="shared" si="1"/>
        <v>0</v>
      </c>
      <c r="H20" s="7"/>
      <c r="I20" s="7">
        <f t="shared" si="2"/>
        <v>0</v>
      </c>
      <c r="J20" s="7"/>
      <c r="K20" s="7"/>
    </row>
    <row r="21" spans="1:11" x14ac:dyDescent="0.25">
      <c r="A21" s="7" t="s">
        <v>46</v>
      </c>
      <c r="B21" s="7" t="s">
        <v>76</v>
      </c>
      <c r="C21" s="7"/>
      <c r="D21" s="7"/>
      <c r="E21" s="7"/>
      <c r="F21" s="7">
        <f>'APRIL 20'!J21:J42</f>
        <v>0</v>
      </c>
      <c r="G21" s="7">
        <f t="shared" si="1"/>
        <v>0</v>
      </c>
      <c r="H21" s="7"/>
      <c r="I21" s="7">
        <f t="shared" si="2"/>
        <v>0</v>
      </c>
      <c r="J21" s="7"/>
      <c r="K21" s="7"/>
    </row>
    <row r="22" spans="1:11" x14ac:dyDescent="0.25">
      <c r="A22" s="7" t="s">
        <v>47</v>
      </c>
      <c r="B22" s="7" t="s">
        <v>64</v>
      </c>
      <c r="C22" s="7"/>
      <c r="D22" s="7"/>
      <c r="E22" s="7">
        <v>7000</v>
      </c>
      <c r="F22" s="7">
        <f>'APRIL 20'!J22:J43</f>
        <v>0</v>
      </c>
      <c r="G22" s="7">
        <f t="shared" si="1"/>
        <v>7000</v>
      </c>
      <c r="H22" s="7">
        <v>5000</v>
      </c>
      <c r="I22" s="7">
        <f>G22-H22</f>
        <v>2000</v>
      </c>
      <c r="J22" s="7"/>
      <c r="K22" s="7"/>
    </row>
    <row r="23" spans="1:11" x14ac:dyDescent="0.25">
      <c r="A23" s="7" t="s">
        <v>66</v>
      </c>
      <c r="B23" s="7" t="s">
        <v>61</v>
      </c>
      <c r="C23" s="7"/>
      <c r="D23" s="7"/>
      <c r="E23" s="7">
        <v>8000</v>
      </c>
      <c r="F23" s="7">
        <f>'APRIL 20'!J23:J44</f>
        <v>0</v>
      </c>
      <c r="G23" s="7">
        <f t="shared" si="1"/>
        <v>8000</v>
      </c>
      <c r="H23" s="7">
        <v>8000</v>
      </c>
      <c r="I23" s="7">
        <f>G23-H23</f>
        <v>0</v>
      </c>
      <c r="J23" s="7"/>
      <c r="K23" s="7"/>
    </row>
    <row r="24" spans="1:11" x14ac:dyDescent="0.25">
      <c r="A24" s="7" t="s">
        <v>48</v>
      </c>
      <c r="B24" s="7" t="s">
        <v>69</v>
      </c>
      <c r="C24" s="7"/>
      <c r="D24" s="7"/>
      <c r="E24" s="7">
        <v>4500</v>
      </c>
      <c r="F24" s="7">
        <f>'APRIL 20'!J24:J45</f>
        <v>0</v>
      </c>
      <c r="G24" s="7">
        <f t="shared" si="1"/>
        <v>4500</v>
      </c>
      <c r="H24" s="7">
        <v>4500</v>
      </c>
      <c r="I24" s="7">
        <f>G24-H24</f>
        <v>0</v>
      </c>
      <c r="J24" s="7"/>
      <c r="K24" s="7"/>
    </row>
    <row r="25" spans="1:11" x14ac:dyDescent="0.25">
      <c r="A25" s="7" t="s">
        <v>49</v>
      </c>
      <c r="B25" s="7" t="s">
        <v>100</v>
      </c>
      <c r="C25" s="7"/>
      <c r="D25" s="7"/>
      <c r="E25" s="7">
        <v>8000</v>
      </c>
      <c r="F25" s="7">
        <f>'APRIL 20'!J25:J46</f>
        <v>0</v>
      </c>
      <c r="G25" s="7">
        <f t="shared" si="1"/>
        <v>8000</v>
      </c>
      <c r="H25" s="7">
        <v>8000</v>
      </c>
      <c r="I25" s="7">
        <f>G25-H25</f>
        <v>0</v>
      </c>
      <c r="J25" s="7"/>
      <c r="K25" s="7"/>
    </row>
    <row r="26" spans="1:1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</row>
    <row r="27" spans="1:11" x14ac:dyDescent="0.25">
      <c r="A27" s="7" t="s">
        <v>88</v>
      </c>
      <c r="B27" s="7" t="s">
        <v>110</v>
      </c>
      <c r="C27" s="7"/>
      <c r="D27" s="7"/>
      <c r="E27" s="7">
        <v>7000</v>
      </c>
      <c r="F27" s="7">
        <f>'APRIL 20'!J27:J47</f>
        <v>52100</v>
      </c>
      <c r="G27" s="7">
        <f t="shared" si="1"/>
        <v>59100</v>
      </c>
      <c r="H27" s="7">
        <v>7000</v>
      </c>
      <c r="I27" s="7">
        <f>G27-H27</f>
        <v>52100</v>
      </c>
      <c r="J27" s="7"/>
      <c r="K27" s="7"/>
    </row>
    <row r="28" spans="1:11" x14ac:dyDescent="0.25">
      <c r="A28" s="6"/>
      <c r="B28" s="10" t="s">
        <v>12</v>
      </c>
      <c r="C28" s="10">
        <f>SUM(C4:C5)</f>
        <v>0</v>
      </c>
      <c r="D28" s="10">
        <f>SUM(D5:D27)</f>
        <v>8000</v>
      </c>
      <c r="E28" s="6">
        <f>SUM(E5:E27)</f>
        <v>126000</v>
      </c>
      <c r="F28" s="7">
        <f>SUM(F5:F27)</f>
        <v>99300</v>
      </c>
      <c r="G28" s="7">
        <f>C28+D28+E28+F28</f>
        <v>233300</v>
      </c>
      <c r="H28" s="6">
        <f>SUM(H5:H27)</f>
        <v>130000</v>
      </c>
      <c r="I28" s="6">
        <f>SUM(I5:I27)</f>
        <v>103300</v>
      </c>
      <c r="J28" s="6">
        <f>SUM(J5:J27)</f>
        <v>0</v>
      </c>
      <c r="K28" s="6">
        <f>SUM(K5:K27)</f>
        <v>0</v>
      </c>
    </row>
    <row r="29" spans="1:11" x14ac:dyDescent="0.25">
      <c r="A29" s="11"/>
      <c r="I29" s="8">
        <f>I28-F27-F17-8000-7500-F5-F12</f>
        <v>28850</v>
      </c>
    </row>
    <row r="30" spans="1:11" ht="18.75" x14ac:dyDescent="0.3">
      <c r="B30" s="12" t="s">
        <v>13</v>
      </c>
      <c r="C30" s="13"/>
      <c r="D30" s="13"/>
      <c r="E30" s="13"/>
      <c r="F30" s="13"/>
      <c r="G30" s="13"/>
      <c r="H30" s="14"/>
      <c r="I30" s="14"/>
    </row>
    <row r="31" spans="1:11" ht="15.75" x14ac:dyDescent="0.25">
      <c r="B31" s="15" t="s">
        <v>14</v>
      </c>
      <c r="C31" s="15" t="s">
        <v>15</v>
      </c>
      <c r="D31" s="15" t="s">
        <v>16</v>
      </c>
      <c r="E31" s="15" t="s">
        <v>17</v>
      </c>
      <c r="F31" s="15" t="s">
        <v>18</v>
      </c>
      <c r="G31" s="15" t="s">
        <v>15</v>
      </c>
      <c r="H31" s="15" t="s">
        <v>16</v>
      </c>
      <c r="I31" s="15" t="s">
        <v>17</v>
      </c>
      <c r="K31" s="25"/>
    </row>
    <row r="32" spans="1:11" x14ac:dyDescent="0.25">
      <c r="B32" s="9" t="s">
        <v>120</v>
      </c>
      <c r="C32" s="16">
        <f>E28</f>
        <v>126000</v>
      </c>
      <c r="D32" s="17">
        <v>0.1</v>
      </c>
      <c r="E32" s="16"/>
      <c r="F32" s="18" t="s">
        <v>120</v>
      </c>
      <c r="G32" s="16">
        <f>H28</f>
        <v>130000</v>
      </c>
      <c r="H32" s="17">
        <v>0.1</v>
      </c>
      <c r="I32" s="9"/>
    </row>
    <row r="33" spans="2:11" x14ac:dyDescent="0.25">
      <c r="B33" s="9" t="s">
        <v>20</v>
      </c>
      <c r="C33" s="16">
        <f>'APRIL 20'!F45</f>
        <v>31500</v>
      </c>
      <c r="D33" s="9"/>
      <c r="E33" s="9"/>
      <c r="F33" s="9" t="s">
        <v>20</v>
      </c>
      <c r="G33" s="16">
        <f>'APRIL 20'!J45</f>
        <v>0</v>
      </c>
      <c r="H33" s="9"/>
      <c r="I33" s="9"/>
      <c r="K33" s="26"/>
    </row>
    <row r="34" spans="2:11" x14ac:dyDescent="0.25">
      <c r="B34" s="9" t="s">
        <v>4</v>
      </c>
      <c r="C34" s="16">
        <f>D19</f>
        <v>8000</v>
      </c>
      <c r="D34" s="9"/>
      <c r="E34" s="9"/>
      <c r="F34" s="9"/>
      <c r="G34" s="16"/>
      <c r="H34" s="16"/>
      <c r="I34" s="9"/>
    </row>
    <row r="35" spans="2:11" x14ac:dyDescent="0.25">
      <c r="B35" s="9" t="s">
        <v>21</v>
      </c>
      <c r="C35" s="16">
        <f>J28</f>
        <v>0</v>
      </c>
      <c r="D35" s="9"/>
      <c r="E35" s="9"/>
      <c r="F35" s="9"/>
      <c r="G35" s="16"/>
      <c r="H35" s="16"/>
      <c r="I35" s="9"/>
    </row>
    <row r="36" spans="2:11" x14ac:dyDescent="0.25">
      <c r="B36" s="9" t="s">
        <v>102</v>
      </c>
      <c r="C36" s="16">
        <f>K28</f>
        <v>0</v>
      </c>
      <c r="D36" s="9"/>
      <c r="E36" s="9"/>
      <c r="F36" s="9"/>
      <c r="G36" s="16"/>
      <c r="H36" s="9"/>
      <c r="I36" s="9"/>
    </row>
    <row r="37" spans="2:11" x14ac:dyDescent="0.25">
      <c r="B37" s="9" t="s">
        <v>97</v>
      </c>
      <c r="C37" s="16">
        <v>0.3</v>
      </c>
      <c r="D37" s="9"/>
      <c r="E37" s="9"/>
      <c r="F37" s="9" t="s">
        <v>97</v>
      </c>
      <c r="G37" s="16">
        <v>0.3</v>
      </c>
      <c r="H37" s="9"/>
      <c r="I37" s="9"/>
    </row>
    <row r="38" spans="2:11" x14ac:dyDescent="0.25">
      <c r="B38" s="9" t="s">
        <v>22</v>
      </c>
      <c r="C38" s="18"/>
      <c r="D38" s="9">
        <f>C32*D32</f>
        <v>12600</v>
      </c>
      <c r="E38" s="9"/>
      <c r="F38" s="9" t="s">
        <v>22</v>
      </c>
      <c r="G38" s="18"/>
      <c r="H38" s="9">
        <f>D38</f>
        <v>12600</v>
      </c>
      <c r="I38" s="9"/>
    </row>
    <row r="39" spans="2:11" x14ac:dyDescent="0.25">
      <c r="B39" s="19" t="s">
        <v>23</v>
      </c>
      <c r="C39" s="9"/>
      <c r="D39" s="9"/>
      <c r="E39" s="9"/>
      <c r="F39" s="19" t="s">
        <v>23</v>
      </c>
      <c r="G39" s="9"/>
      <c r="H39" s="9"/>
      <c r="I39" s="9"/>
    </row>
    <row r="40" spans="2:11" x14ac:dyDescent="0.25">
      <c r="B40" s="20" t="s">
        <v>127</v>
      </c>
      <c r="C40" s="9"/>
      <c r="D40" s="9">
        <v>80900</v>
      </c>
      <c r="E40" s="9"/>
      <c r="F40" s="20" t="s">
        <v>127</v>
      </c>
      <c r="G40" s="9"/>
      <c r="H40" s="9">
        <v>80900</v>
      </c>
      <c r="I40" s="9"/>
      <c r="J40" s="26"/>
    </row>
    <row r="41" spans="2:11" x14ac:dyDescent="0.25">
      <c r="B41" s="7" t="s">
        <v>128</v>
      </c>
      <c r="C41" s="21"/>
      <c r="D41" s="7">
        <v>16000</v>
      </c>
      <c r="E41" s="7"/>
      <c r="F41" s="7" t="s">
        <v>128</v>
      </c>
      <c r="G41" s="21"/>
      <c r="H41" s="7">
        <v>16000</v>
      </c>
      <c r="I41" s="9"/>
      <c r="K41" s="26"/>
    </row>
    <row r="42" spans="2:11" x14ac:dyDescent="0.25">
      <c r="B42" s="20" t="s">
        <v>131</v>
      </c>
      <c r="C42" s="9"/>
      <c r="D42" s="9">
        <v>8000</v>
      </c>
      <c r="E42" s="9"/>
      <c r="F42" s="20" t="s">
        <v>131</v>
      </c>
      <c r="G42" s="9"/>
      <c r="H42" s="9">
        <v>8000</v>
      </c>
      <c r="I42" s="9"/>
    </row>
    <row r="43" spans="2:11" x14ac:dyDescent="0.25">
      <c r="B43" s="20" t="s">
        <v>134</v>
      </c>
      <c r="C43" s="9"/>
      <c r="D43" s="9">
        <v>8000</v>
      </c>
      <c r="E43" s="9"/>
      <c r="F43" s="20" t="s">
        <v>134</v>
      </c>
      <c r="G43" s="9"/>
      <c r="H43" s="9">
        <v>8000</v>
      </c>
      <c r="I43" s="9"/>
    </row>
    <row r="44" spans="2:11" x14ac:dyDescent="0.25">
      <c r="B44" s="20"/>
      <c r="C44" s="16"/>
      <c r="D44" s="16"/>
      <c r="E44" s="16"/>
      <c r="F44" s="20"/>
      <c r="G44" s="9"/>
      <c r="H44" s="16"/>
      <c r="I44" s="9"/>
    </row>
    <row r="45" spans="2:11" x14ac:dyDescent="0.25">
      <c r="B45" s="22" t="s">
        <v>12</v>
      </c>
      <c r="C45" s="23">
        <f>C32+C33+C34+C35+C36-D38-D37</f>
        <v>152900</v>
      </c>
      <c r="D45" s="22">
        <f>SUM(D40:D44)</f>
        <v>112900</v>
      </c>
      <c r="E45" s="23">
        <f>C45-D45</f>
        <v>40000</v>
      </c>
      <c r="F45" s="24"/>
      <c r="G45" s="23">
        <f>G32+G33+G36-H37-H38</f>
        <v>117400</v>
      </c>
      <c r="H45" s="23">
        <f>SUM(H40:H44)</f>
        <v>112900</v>
      </c>
      <c r="I45" s="23">
        <f>G45-H45</f>
        <v>4500</v>
      </c>
      <c r="J45" s="26">
        <f>E45-I45</f>
        <v>35500</v>
      </c>
    </row>
    <row r="47" spans="2:11" x14ac:dyDescent="0.25">
      <c r="B47" s="11" t="s">
        <v>24</v>
      </c>
      <c r="D47" s="11" t="s">
        <v>25</v>
      </c>
      <c r="F47" s="11"/>
      <c r="G47" s="11" t="s">
        <v>26</v>
      </c>
      <c r="I47" s="26"/>
    </row>
    <row r="48" spans="2:11" x14ac:dyDescent="0.25">
      <c r="B48" t="s">
        <v>27</v>
      </c>
      <c r="D48" s="11" t="s">
        <v>28</v>
      </c>
      <c r="F48" s="11"/>
      <c r="G48" s="11" t="s">
        <v>147</v>
      </c>
    </row>
    <row r="50" spans="8:8" x14ac:dyDescent="0.25">
      <c r="H50" s="2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workbookViewId="0"/>
  </sheetViews>
  <sheetFormatPr defaultRowHeight="15" x14ac:dyDescent="0.25"/>
  <sheetData>
    <row r="1" spans="1:11" ht="18.75" x14ac:dyDescent="0.25">
      <c r="E1" s="1" t="s">
        <v>50</v>
      </c>
      <c r="F1" s="2"/>
      <c r="G1" s="3"/>
      <c r="H1" s="4"/>
    </row>
    <row r="2" spans="1:11" ht="18.75" x14ac:dyDescent="0.25">
      <c r="E2" s="1" t="s">
        <v>0</v>
      </c>
      <c r="F2" s="1"/>
      <c r="G2" s="5"/>
      <c r="H2" s="5"/>
    </row>
    <row r="3" spans="1:11" ht="18.75" x14ac:dyDescent="0.25">
      <c r="E3" s="1" t="s">
        <v>129</v>
      </c>
      <c r="F3" s="1"/>
      <c r="G3" s="5"/>
      <c r="H3" s="5"/>
    </row>
    <row r="4" spans="1:11" x14ac:dyDescent="0.25">
      <c r="A4" s="6" t="s">
        <v>2</v>
      </c>
      <c r="B4" s="6" t="s">
        <v>3</v>
      </c>
      <c r="C4" s="6"/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  <c r="K4" s="6" t="s">
        <v>101</v>
      </c>
    </row>
    <row r="5" spans="1:11" x14ac:dyDescent="0.25">
      <c r="A5" s="7" t="s">
        <v>30</v>
      </c>
      <c r="B5" s="7" t="s">
        <v>51</v>
      </c>
      <c r="C5" s="7"/>
      <c r="D5" s="7"/>
      <c r="E5" s="7">
        <v>4500</v>
      </c>
      <c r="F5" s="7">
        <f>'MAY 20'!I5:I27</f>
        <v>900</v>
      </c>
      <c r="G5" s="7">
        <f>C5+D5+E5+F5</f>
        <v>5400</v>
      </c>
      <c r="H5" s="7">
        <v>4500</v>
      </c>
      <c r="I5" s="7">
        <f t="shared" ref="I5:I12" si="0">G5-H5</f>
        <v>900</v>
      </c>
      <c r="J5" s="7"/>
      <c r="K5" s="7"/>
    </row>
    <row r="6" spans="1:11" x14ac:dyDescent="0.25">
      <c r="A6" s="7" t="s">
        <v>31</v>
      </c>
      <c r="B6" s="7" t="s">
        <v>52</v>
      </c>
      <c r="C6" s="7"/>
      <c r="D6" s="7"/>
      <c r="E6" s="7">
        <v>3000</v>
      </c>
      <c r="F6" s="7">
        <f>'MAY 20'!I6:I28</f>
        <v>0</v>
      </c>
      <c r="G6" s="7">
        <f>C6+D6+E6+F6</f>
        <v>3000</v>
      </c>
      <c r="H6" s="7">
        <v>3000</v>
      </c>
      <c r="I6" s="7">
        <f t="shared" si="0"/>
        <v>0</v>
      </c>
      <c r="J6" s="7"/>
      <c r="K6" s="7"/>
    </row>
    <row r="7" spans="1:11" x14ac:dyDescent="0.25">
      <c r="A7" s="7" t="s">
        <v>32</v>
      </c>
      <c r="B7" s="7" t="s">
        <v>115</v>
      </c>
      <c r="C7" s="7"/>
      <c r="D7" s="7"/>
      <c r="E7" s="7">
        <v>7500</v>
      </c>
      <c r="F7" s="7">
        <f>'MAY 20'!I7:I29</f>
        <v>8000</v>
      </c>
      <c r="G7" s="7">
        <f>C7+D7+E7+F7</f>
        <v>15500</v>
      </c>
      <c r="H7" s="7">
        <v>8000</v>
      </c>
      <c r="I7" s="7">
        <f t="shared" si="0"/>
        <v>7500</v>
      </c>
      <c r="J7" s="7"/>
      <c r="K7" s="7"/>
    </row>
    <row r="8" spans="1:11" x14ac:dyDescent="0.25">
      <c r="A8" s="7" t="s">
        <v>33</v>
      </c>
      <c r="B8" s="7" t="s">
        <v>53</v>
      </c>
      <c r="C8" s="7"/>
      <c r="D8" s="7"/>
      <c r="E8" s="7">
        <v>6500</v>
      </c>
      <c r="F8" s="7">
        <f>'MAY 20'!I8:I30</f>
        <v>2000</v>
      </c>
      <c r="G8" s="7">
        <f>C8+D8+E8+F8</f>
        <v>8500</v>
      </c>
      <c r="H8" s="7">
        <v>8000</v>
      </c>
      <c r="I8" s="7">
        <f t="shared" si="0"/>
        <v>500</v>
      </c>
      <c r="J8" s="7"/>
      <c r="K8" s="7"/>
    </row>
    <row r="9" spans="1:11" x14ac:dyDescent="0.25">
      <c r="A9" s="7" t="s">
        <v>34</v>
      </c>
      <c r="B9" s="7" t="s">
        <v>54</v>
      </c>
      <c r="C9" s="7"/>
      <c r="D9" s="7"/>
      <c r="E9" s="7">
        <v>6500</v>
      </c>
      <c r="F9" s="7">
        <f>'MAY 20'!I9:I31</f>
        <v>0</v>
      </c>
      <c r="G9" s="7">
        <f t="shared" ref="G9:G27" si="1">C9+D9+E9+F9</f>
        <v>6500</v>
      </c>
      <c r="H9" s="7">
        <v>6500</v>
      </c>
      <c r="I9" s="7">
        <f t="shared" si="0"/>
        <v>0</v>
      </c>
      <c r="J9" s="7"/>
      <c r="K9" s="7"/>
    </row>
    <row r="10" spans="1:11" x14ac:dyDescent="0.25">
      <c r="A10" s="7" t="s">
        <v>35</v>
      </c>
      <c r="B10" s="7" t="s">
        <v>55</v>
      </c>
      <c r="C10" s="7"/>
      <c r="D10" s="7"/>
      <c r="E10" s="7">
        <v>9000</v>
      </c>
      <c r="F10" s="7">
        <f>'MAY 20'!I10:I32</f>
        <v>0</v>
      </c>
      <c r="G10" s="7">
        <f t="shared" si="1"/>
        <v>9000</v>
      </c>
      <c r="H10" s="7">
        <f>7000</f>
        <v>7000</v>
      </c>
      <c r="I10" s="7">
        <f t="shared" si="0"/>
        <v>2000</v>
      </c>
      <c r="J10" s="7"/>
      <c r="K10" s="7"/>
    </row>
    <row r="11" spans="1:11" x14ac:dyDescent="0.25">
      <c r="A11" s="7" t="s">
        <v>36</v>
      </c>
      <c r="B11" s="7" t="s">
        <v>56</v>
      </c>
      <c r="C11" s="7"/>
      <c r="D11" s="7"/>
      <c r="E11" s="7">
        <v>7000</v>
      </c>
      <c r="F11" s="7">
        <f>'MAY 20'!I11:I33</f>
        <v>2000</v>
      </c>
      <c r="G11" s="7">
        <f t="shared" si="1"/>
        <v>9000</v>
      </c>
      <c r="H11" s="7">
        <f>7000+2000</f>
        <v>9000</v>
      </c>
      <c r="I11" s="7">
        <f t="shared" si="0"/>
        <v>0</v>
      </c>
      <c r="J11" s="7"/>
      <c r="K11" s="7"/>
    </row>
    <row r="12" spans="1:11" x14ac:dyDescent="0.25">
      <c r="A12" s="7" t="s">
        <v>37</v>
      </c>
      <c r="B12" s="8" t="s">
        <v>65</v>
      </c>
      <c r="C12" s="7"/>
      <c r="D12" s="7"/>
      <c r="E12" s="7">
        <v>4500</v>
      </c>
      <c r="F12" s="7">
        <f>'MAY 20'!I12:I34</f>
        <v>100</v>
      </c>
      <c r="G12" s="7">
        <f t="shared" si="1"/>
        <v>4600</v>
      </c>
      <c r="H12" s="7">
        <v>4500</v>
      </c>
      <c r="I12" s="7">
        <f t="shared" si="0"/>
        <v>100</v>
      </c>
      <c r="J12" s="7"/>
      <c r="K12" s="7"/>
    </row>
    <row r="13" spans="1:11" x14ac:dyDescent="0.25">
      <c r="A13" s="7" t="s">
        <v>38</v>
      </c>
      <c r="B13" s="7" t="s">
        <v>92</v>
      </c>
      <c r="C13" s="7"/>
      <c r="D13" s="7"/>
      <c r="E13" s="7">
        <v>8000</v>
      </c>
      <c r="F13" s="7">
        <f>'MAY 20'!I13:I35</f>
        <v>18000</v>
      </c>
      <c r="G13" s="7">
        <f t="shared" si="1"/>
        <v>26000</v>
      </c>
      <c r="H13" s="7">
        <f>2000+2000+6000+8000</f>
        <v>18000</v>
      </c>
      <c r="I13" s="7">
        <f t="shared" ref="I13:I21" si="2">G13-H13</f>
        <v>8000</v>
      </c>
      <c r="J13" s="7"/>
      <c r="K13" s="7"/>
    </row>
    <row r="14" spans="1:11" x14ac:dyDescent="0.25">
      <c r="A14" s="7" t="s">
        <v>39</v>
      </c>
      <c r="B14" s="7" t="s">
        <v>70</v>
      </c>
      <c r="C14" s="7"/>
      <c r="D14" s="7"/>
      <c r="E14" s="7">
        <v>6500</v>
      </c>
      <c r="F14" s="7">
        <f>'MAY 20'!I14:I36</f>
        <v>3350</v>
      </c>
      <c r="G14" s="7">
        <f t="shared" si="1"/>
        <v>9850</v>
      </c>
      <c r="H14" s="7">
        <v>7500</v>
      </c>
      <c r="I14" s="7">
        <f t="shared" si="2"/>
        <v>2350</v>
      </c>
      <c r="J14" s="7"/>
      <c r="K14" s="7"/>
    </row>
    <row r="15" spans="1:11" x14ac:dyDescent="0.25">
      <c r="A15" s="7" t="s">
        <v>40</v>
      </c>
      <c r="B15" s="7" t="s">
        <v>84</v>
      </c>
      <c r="C15" s="7"/>
      <c r="D15" s="7"/>
      <c r="E15" s="7">
        <v>6500</v>
      </c>
      <c r="F15" s="7">
        <f>'MAY 20'!I15:I37</f>
        <v>0</v>
      </c>
      <c r="G15" s="7">
        <f t="shared" si="1"/>
        <v>6500</v>
      </c>
      <c r="H15" s="7">
        <v>6500</v>
      </c>
      <c r="I15" s="7">
        <f t="shared" si="2"/>
        <v>0</v>
      </c>
      <c r="J15" s="7"/>
      <c r="K15" s="7"/>
    </row>
    <row r="16" spans="1:11" x14ac:dyDescent="0.25">
      <c r="A16" s="7" t="s">
        <v>41</v>
      </c>
      <c r="B16" s="7" t="s">
        <v>58</v>
      </c>
      <c r="C16" s="7"/>
      <c r="D16" s="7"/>
      <c r="E16" s="7">
        <v>7000</v>
      </c>
      <c r="F16" s="7">
        <f>'MAY 20'!I16:I38</f>
        <v>2000</v>
      </c>
      <c r="G16" s="7">
        <f t="shared" si="1"/>
        <v>9000</v>
      </c>
      <c r="H16" s="7">
        <v>7000</v>
      </c>
      <c r="I16" s="7">
        <f t="shared" si="2"/>
        <v>2000</v>
      </c>
      <c r="J16" s="7"/>
      <c r="K16" s="7"/>
    </row>
    <row r="17" spans="1:12" x14ac:dyDescent="0.25">
      <c r="A17" s="7" t="s">
        <v>42</v>
      </c>
      <c r="B17" s="7" t="s">
        <v>59</v>
      </c>
      <c r="C17" s="7"/>
      <c r="D17" s="7"/>
      <c r="E17" s="7">
        <v>7000</v>
      </c>
      <c r="F17" s="7">
        <f>'MAY 20'!I17:I39</f>
        <v>12850</v>
      </c>
      <c r="G17" s="7">
        <f t="shared" si="1"/>
        <v>19850</v>
      </c>
      <c r="H17" s="7"/>
      <c r="I17" s="7">
        <f t="shared" si="2"/>
        <v>19850</v>
      </c>
      <c r="J17" s="7"/>
      <c r="K17" s="7"/>
      <c r="L17">
        <f>I17-5850</f>
        <v>14000</v>
      </c>
    </row>
    <row r="18" spans="1:12" x14ac:dyDescent="0.25">
      <c r="A18" s="7" t="s">
        <v>43</v>
      </c>
      <c r="B18" s="7" t="s">
        <v>60</v>
      </c>
      <c r="C18" s="7"/>
      <c r="D18" s="7"/>
      <c r="E18" s="7"/>
      <c r="F18" s="7">
        <f>'MAY 20'!I18:I40</f>
        <v>0</v>
      </c>
      <c r="G18" s="7">
        <f t="shared" si="1"/>
        <v>0</v>
      </c>
      <c r="H18" s="7"/>
      <c r="I18" s="7">
        <f t="shared" si="2"/>
        <v>0</v>
      </c>
      <c r="J18" s="7"/>
      <c r="K18" s="7"/>
    </row>
    <row r="19" spans="1:12" x14ac:dyDescent="0.25">
      <c r="A19" s="7" t="s">
        <v>44</v>
      </c>
      <c r="B19" s="9" t="s">
        <v>118</v>
      </c>
      <c r="C19" s="7"/>
      <c r="D19" s="7"/>
      <c r="E19" s="7">
        <v>8000</v>
      </c>
      <c r="F19" s="7">
        <f>'MAY 20'!I19:I41</f>
        <v>0</v>
      </c>
      <c r="G19" s="7">
        <f t="shared" si="1"/>
        <v>8000</v>
      </c>
      <c r="H19" s="7">
        <v>8000</v>
      </c>
      <c r="I19" s="7">
        <f t="shared" si="2"/>
        <v>0</v>
      </c>
      <c r="J19" s="7"/>
      <c r="K19" s="7"/>
    </row>
    <row r="20" spans="1:12" x14ac:dyDescent="0.25">
      <c r="A20" s="7" t="s">
        <v>45</v>
      </c>
      <c r="B20" s="7" t="s">
        <v>76</v>
      </c>
      <c r="C20" s="7"/>
      <c r="D20" s="7"/>
      <c r="E20" s="7"/>
      <c r="F20" s="7">
        <f>'MAY 20'!I20:I42</f>
        <v>0</v>
      </c>
      <c r="G20" s="7">
        <f t="shared" si="1"/>
        <v>0</v>
      </c>
      <c r="H20" s="7"/>
      <c r="I20" s="7">
        <f t="shared" si="2"/>
        <v>0</v>
      </c>
      <c r="J20" s="7"/>
      <c r="K20" s="7"/>
    </row>
    <row r="21" spans="1:12" x14ac:dyDescent="0.25">
      <c r="A21" s="7" t="s">
        <v>46</v>
      </c>
      <c r="B21" s="7" t="s">
        <v>132</v>
      </c>
      <c r="C21" s="7"/>
      <c r="D21" s="7">
        <v>6500</v>
      </c>
      <c r="E21" s="7">
        <v>6500</v>
      </c>
      <c r="F21" s="7">
        <f>'MAY 20'!I21:I43</f>
        <v>0</v>
      </c>
      <c r="G21" s="7">
        <f t="shared" si="1"/>
        <v>13000</v>
      </c>
      <c r="H21" s="7">
        <v>13000</v>
      </c>
      <c r="I21" s="7">
        <f t="shared" si="2"/>
        <v>0</v>
      </c>
      <c r="J21" s="7"/>
      <c r="K21" s="7"/>
    </row>
    <row r="22" spans="1:12" x14ac:dyDescent="0.25">
      <c r="A22" s="7" t="s">
        <v>47</v>
      </c>
      <c r="B22" s="7" t="s">
        <v>64</v>
      </c>
      <c r="C22" s="7"/>
      <c r="D22" s="7"/>
      <c r="E22" s="7">
        <v>7000</v>
      </c>
      <c r="F22" s="7">
        <f>'MAY 20'!I22:I44</f>
        <v>2000</v>
      </c>
      <c r="G22" s="7">
        <f t="shared" si="1"/>
        <v>9000</v>
      </c>
      <c r="H22" s="7">
        <f>7000</f>
        <v>7000</v>
      </c>
      <c r="I22" s="7">
        <f>G22-H22</f>
        <v>2000</v>
      </c>
      <c r="J22" s="7"/>
      <c r="K22" s="7"/>
    </row>
    <row r="23" spans="1:12" x14ac:dyDescent="0.25">
      <c r="A23" s="7" t="s">
        <v>66</v>
      </c>
      <c r="B23" s="7" t="s">
        <v>61</v>
      </c>
      <c r="C23" s="7"/>
      <c r="D23" s="7"/>
      <c r="E23" s="7">
        <v>8000</v>
      </c>
      <c r="F23" s="7">
        <f>'MAY 20'!I23:I45</f>
        <v>0</v>
      </c>
      <c r="G23" s="7">
        <f t="shared" si="1"/>
        <v>8000</v>
      </c>
      <c r="H23" s="7">
        <v>8000</v>
      </c>
      <c r="I23" s="7">
        <f>G23-H23</f>
        <v>0</v>
      </c>
      <c r="J23" s="7"/>
      <c r="K23" s="7"/>
    </row>
    <row r="24" spans="1:12" x14ac:dyDescent="0.25">
      <c r="A24" s="7" t="s">
        <v>48</v>
      </c>
      <c r="B24" s="7" t="s">
        <v>69</v>
      </c>
      <c r="C24" s="7"/>
      <c r="D24" s="7"/>
      <c r="E24" s="7">
        <v>4500</v>
      </c>
      <c r="F24" s="7">
        <f>'MAY 20'!I24:I46</f>
        <v>0</v>
      </c>
      <c r="G24" s="7">
        <f t="shared" si="1"/>
        <v>4500</v>
      </c>
      <c r="H24" s="7">
        <v>4500</v>
      </c>
      <c r="I24" s="7">
        <f>G24-H24</f>
        <v>0</v>
      </c>
      <c r="J24" s="7"/>
      <c r="K24" s="7"/>
    </row>
    <row r="25" spans="1:12" x14ac:dyDescent="0.25">
      <c r="A25" s="7" t="s">
        <v>49</v>
      </c>
      <c r="B25" s="7" t="s">
        <v>100</v>
      </c>
      <c r="C25" s="7"/>
      <c r="D25" s="7"/>
      <c r="E25" s="7">
        <v>8000</v>
      </c>
      <c r="F25" s="7">
        <f>'MAY 20'!I25:I47</f>
        <v>0</v>
      </c>
      <c r="G25" s="7">
        <f t="shared" si="1"/>
        <v>8000</v>
      </c>
      <c r="H25" s="7">
        <v>8000</v>
      </c>
      <c r="I25" s="7">
        <f>G25-H25</f>
        <v>0</v>
      </c>
      <c r="J25" s="7"/>
      <c r="K25" s="7"/>
    </row>
    <row r="26" spans="1:12" x14ac:dyDescent="0.25">
      <c r="A26" s="7"/>
      <c r="B26" s="7"/>
      <c r="C26" s="7"/>
      <c r="D26" s="7"/>
      <c r="E26" s="7"/>
      <c r="F26" s="7">
        <f>'MAY 20'!I26:I48</f>
        <v>0</v>
      </c>
      <c r="G26" s="7"/>
      <c r="H26" s="7"/>
      <c r="I26" s="7"/>
      <c r="J26" s="7"/>
      <c r="K26" s="7"/>
    </row>
    <row r="27" spans="1:12" x14ac:dyDescent="0.25">
      <c r="A27" s="7" t="s">
        <v>88</v>
      </c>
      <c r="B27" s="7" t="s">
        <v>110</v>
      </c>
      <c r="C27" s="7"/>
      <c r="D27" s="7"/>
      <c r="E27" s="7">
        <v>7000</v>
      </c>
      <c r="F27" s="7">
        <f>'MAY 20'!I27:I49</f>
        <v>52100</v>
      </c>
      <c r="G27" s="7">
        <f t="shared" si="1"/>
        <v>59100</v>
      </c>
      <c r="H27" s="7">
        <f>7000+4800+200+2000</f>
        <v>14000</v>
      </c>
      <c r="I27" s="7">
        <f>G27-H27</f>
        <v>45100</v>
      </c>
      <c r="J27" s="7"/>
      <c r="K27" s="7"/>
    </row>
    <row r="28" spans="1:12" x14ac:dyDescent="0.25">
      <c r="A28" s="6"/>
      <c r="B28" s="10" t="s">
        <v>12</v>
      </c>
      <c r="C28" s="10">
        <f>SUM(C4:C5)</f>
        <v>0</v>
      </c>
      <c r="D28" s="10">
        <f>SUM(D5:D27)</f>
        <v>6500</v>
      </c>
      <c r="E28" s="6">
        <f>SUM(E5:E27)</f>
        <v>132500</v>
      </c>
      <c r="F28" s="7">
        <f>SUM(F5:F27)</f>
        <v>103300</v>
      </c>
      <c r="G28" s="7">
        <f>C28+D28+E28+F28</f>
        <v>242300</v>
      </c>
      <c r="H28" s="6">
        <f>SUM(H5:H27)</f>
        <v>152000</v>
      </c>
      <c r="I28" s="6">
        <f>SUM(I5:I27)</f>
        <v>90300</v>
      </c>
      <c r="J28" s="6">
        <f>SUM(J5:J27)</f>
        <v>0</v>
      </c>
      <c r="K28" s="6">
        <f>SUM(K5:K27)</f>
        <v>0</v>
      </c>
    </row>
    <row r="29" spans="1:12" x14ac:dyDescent="0.25">
      <c r="A29" s="11"/>
      <c r="F29">
        <f>500+F8+F11+10000+3000+F16+F22+7000</f>
        <v>28500</v>
      </c>
      <c r="I29" s="8">
        <f>I22+I16+2000+I11+I10+I8+14000</f>
        <v>22500</v>
      </c>
    </row>
    <row r="30" spans="1:12" ht="18.75" x14ac:dyDescent="0.3">
      <c r="B30" s="12" t="s">
        <v>13</v>
      </c>
      <c r="C30" s="13"/>
      <c r="D30" s="13"/>
      <c r="E30" s="13"/>
      <c r="F30" s="13"/>
      <c r="G30" s="13"/>
      <c r="H30" s="14"/>
      <c r="I30" s="14"/>
    </row>
    <row r="31" spans="1:12" ht="15.75" x14ac:dyDescent="0.25">
      <c r="B31" s="15" t="s">
        <v>14</v>
      </c>
      <c r="C31" s="15" t="s">
        <v>15</v>
      </c>
      <c r="D31" s="15" t="s">
        <v>16</v>
      </c>
      <c r="E31" s="15" t="s">
        <v>17</v>
      </c>
      <c r="F31" s="15" t="s">
        <v>18</v>
      </c>
      <c r="G31" s="15" t="s">
        <v>15</v>
      </c>
      <c r="H31" s="15" t="s">
        <v>16</v>
      </c>
      <c r="I31" s="15" t="s">
        <v>17</v>
      </c>
      <c r="K31" s="25"/>
    </row>
    <row r="32" spans="1:12" x14ac:dyDescent="0.25">
      <c r="B32" s="9" t="s">
        <v>130</v>
      </c>
      <c r="C32" s="16">
        <f>E28</f>
        <v>132500</v>
      </c>
      <c r="D32" s="17">
        <v>0.1</v>
      </c>
      <c r="E32" s="16"/>
      <c r="F32" s="18" t="s">
        <v>130</v>
      </c>
      <c r="G32" s="16">
        <f>H28</f>
        <v>152000</v>
      </c>
      <c r="H32" s="17">
        <v>0.1</v>
      </c>
      <c r="I32" s="9"/>
    </row>
    <row r="33" spans="2:11" x14ac:dyDescent="0.25">
      <c r="B33" s="9" t="s">
        <v>20</v>
      </c>
      <c r="C33" s="16">
        <f>'MAY 20'!E45</f>
        <v>40000</v>
      </c>
      <c r="D33" s="9"/>
      <c r="E33" s="9"/>
      <c r="F33" s="9" t="s">
        <v>20</v>
      </c>
      <c r="G33" s="16">
        <f>'MAY 20'!I45</f>
        <v>4500</v>
      </c>
      <c r="H33" s="9"/>
      <c r="I33" s="9"/>
      <c r="K33" s="26"/>
    </row>
    <row r="34" spans="2:11" x14ac:dyDescent="0.25">
      <c r="B34" s="9" t="s">
        <v>4</v>
      </c>
      <c r="C34" s="16">
        <f>D21</f>
        <v>6500</v>
      </c>
      <c r="D34" s="9"/>
      <c r="E34" s="9"/>
      <c r="F34" s="9"/>
      <c r="G34" s="16"/>
      <c r="H34" s="16"/>
      <c r="I34" s="9"/>
    </row>
    <row r="35" spans="2:11" x14ac:dyDescent="0.25">
      <c r="B35" s="9" t="s">
        <v>21</v>
      </c>
      <c r="C35" s="16">
        <f>J28</f>
        <v>0</v>
      </c>
      <c r="D35" s="9"/>
      <c r="E35" s="9"/>
      <c r="F35" s="9"/>
      <c r="G35" s="16"/>
      <c r="H35" s="16"/>
      <c r="I35" s="9"/>
    </row>
    <row r="36" spans="2:11" x14ac:dyDescent="0.25">
      <c r="B36" s="9" t="s">
        <v>102</v>
      </c>
      <c r="C36" s="16">
        <f>K28</f>
        <v>0</v>
      </c>
      <c r="D36" s="9"/>
      <c r="E36" s="9"/>
      <c r="F36" s="9"/>
      <c r="G36" s="16"/>
      <c r="H36" s="9"/>
      <c r="I36" s="9"/>
    </row>
    <row r="37" spans="2:11" x14ac:dyDescent="0.25">
      <c r="B37" s="9" t="s">
        <v>97</v>
      </c>
      <c r="C37" s="16">
        <v>0.3</v>
      </c>
      <c r="D37" s="9">
        <f>C37*E21</f>
        <v>1950</v>
      </c>
      <c r="E37" s="9"/>
      <c r="F37" s="9" t="s">
        <v>97</v>
      </c>
      <c r="G37" s="16">
        <v>0.3</v>
      </c>
      <c r="H37" s="9">
        <f>G37*E21</f>
        <v>1950</v>
      </c>
      <c r="I37" s="9"/>
    </row>
    <row r="38" spans="2:11" x14ac:dyDescent="0.25">
      <c r="B38" s="9" t="s">
        <v>22</v>
      </c>
      <c r="C38" s="18"/>
      <c r="D38" s="9">
        <f>C32*D32</f>
        <v>13250</v>
      </c>
      <c r="E38" s="9"/>
      <c r="F38" s="9" t="s">
        <v>22</v>
      </c>
      <c r="G38" s="18"/>
      <c r="H38" s="9">
        <f>D38</f>
        <v>13250</v>
      </c>
      <c r="I38" s="9"/>
    </row>
    <row r="39" spans="2:11" x14ac:dyDescent="0.25">
      <c r="B39" s="19" t="s">
        <v>23</v>
      </c>
      <c r="C39" s="9"/>
      <c r="D39" s="9"/>
      <c r="E39" s="9"/>
      <c r="F39" s="19" t="s">
        <v>23</v>
      </c>
      <c r="G39" s="9"/>
      <c r="H39" s="9"/>
      <c r="I39" s="9"/>
    </row>
    <row r="40" spans="2:11" x14ac:dyDescent="0.25">
      <c r="B40" s="20" t="s">
        <v>135</v>
      </c>
      <c r="C40" s="9"/>
      <c r="D40" s="9">
        <v>110300</v>
      </c>
      <c r="E40" s="9"/>
      <c r="F40" s="20" t="s">
        <v>135</v>
      </c>
      <c r="G40" s="9"/>
      <c r="H40" s="9">
        <v>110300</v>
      </c>
      <c r="I40" s="9"/>
      <c r="J40" s="26"/>
    </row>
    <row r="41" spans="2:11" x14ac:dyDescent="0.25">
      <c r="B41" s="7" t="s">
        <v>136</v>
      </c>
      <c r="C41" s="21"/>
      <c r="D41" s="7">
        <v>15000</v>
      </c>
      <c r="E41" s="7"/>
      <c r="F41" s="7" t="s">
        <v>136</v>
      </c>
      <c r="G41" s="21"/>
      <c r="H41" s="7">
        <v>15000</v>
      </c>
      <c r="I41" s="9"/>
    </row>
    <row r="42" spans="2:11" x14ac:dyDescent="0.25">
      <c r="B42" s="20" t="s">
        <v>140</v>
      </c>
      <c r="C42" s="9"/>
      <c r="D42" s="9">
        <v>500</v>
      </c>
      <c r="E42" s="9"/>
      <c r="F42" s="20"/>
      <c r="G42" s="9"/>
      <c r="H42" s="9"/>
      <c r="I42" s="9"/>
      <c r="K42" s="26"/>
    </row>
    <row r="43" spans="2:11" x14ac:dyDescent="0.25">
      <c r="B43" s="20"/>
      <c r="C43" s="9"/>
      <c r="D43" s="9"/>
      <c r="E43" s="9"/>
      <c r="F43" s="20"/>
      <c r="G43" s="9"/>
      <c r="H43" s="9"/>
      <c r="I43" s="9"/>
    </row>
    <row r="44" spans="2:11" x14ac:dyDescent="0.25">
      <c r="B44" s="20"/>
      <c r="C44" s="16"/>
      <c r="D44" s="16"/>
      <c r="E44" s="16"/>
      <c r="F44" s="20"/>
      <c r="G44" s="9"/>
      <c r="H44" s="16"/>
      <c r="I44" s="9"/>
    </row>
    <row r="45" spans="2:11" x14ac:dyDescent="0.25">
      <c r="B45" s="22" t="s">
        <v>12</v>
      </c>
      <c r="C45" s="23">
        <f>C32+C33+C34+C35+C36-D38-D37</f>
        <v>163800</v>
      </c>
      <c r="D45" s="22">
        <f>SUM(D40:D44)</f>
        <v>125800</v>
      </c>
      <c r="E45" s="23">
        <f>C45-D45</f>
        <v>38000</v>
      </c>
      <c r="F45" s="24"/>
      <c r="G45" s="23">
        <f>G32+G33+G36-H37-H38</f>
        <v>141300</v>
      </c>
      <c r="H45" s="23">
        <f>SUM(H40:H44)</f>
        <v>125300</v>
      </c>
      <c r="I45" s="23">
        <f>G45-H45</f>
        <v>16000</v>
      </c>
    </row>
    <row r="46" spans="2:11" x14ac:dyDescent="0.25">
      <c r="J46" s="26">
        <f>I45-E45</f>
        <v>-22000</v>
      </c>
    </row>
    <row r="47" spans="2:11" x14ac:dyDescent="0.25">
      <c r="B47" s="11" t="s">
        <v>24</v>
      </c>
      <c r="D47" s="11" t="s">
        <v>25</v>
      </c>
      <c r="F47" s="11"/>
      <c r="G47" s="11" t="s">
        <v>26</v>
      </c>
    </row>
    <row r="48" spans="2:11" x14ac:dyDescent="0.25">
      <c r="B48" t="s">
        <v>27</v>
      </c>
      <c r="D48" s="11" t="s">
        <v>28</v>
      </c>
      <c r="F48" s="11"/>
      <c r="G48" s="11" t="s">
        <v>147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workbookViewId="0"/>
  </sheetViews>
  <sheetFormatPr defaultRowHeight="15" x14ac:dyDescent="0.25"/>
  <sheetData>
    <row r="1" spans="1:11" ht="18.75" x14ac:dyDescent="0.25">
      <c r="E1" s="1" t="s">
        <v>50</v>
      </c>
      <c r="F1" s="2"/>
      <c r="G1" s="3"/>
      <c r="H1" s="4"/>
    </row>
    <row r="2" spans="1:11" ht="18.75" x14ac:dyDescent="0.25">
      <c r="E2" s="1" t="s">
        <v>0</v>
      </c>
      <c r="F2" s="1"/>
      <c r="G2" s="5"/>
      <c r="H2" s="5"/>
    </row>
    <row r="3" spans="1:11" ht="18.75" x14ac:dyDescent="0.25">
      <c r="E3" s="1" t="s">
        <v>138</v>
      </c>
      <c r="F3" s="1"/>
      <c r="G3" s="5"/>
      <c r="H3" s="5"/>
    </row>
    <row r="4" spans="1:11" x14ac:dyDescent="0.25">
      <c r="A4" s="6" t="s">
        <v>2</v>
      </c>
      <c r="B4" s="6" t="s">
        <v>3</v>
      </c>
      <c r="C4" s="6"/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  <c r="K4" s="6" t="s">
        <v>101</v>
      </c>
    </row>
    <row r="5" spans="1:11" x14ac:dyDescent="0.25">
      <c r="A5" s="7" t="s">
        <v>30</v>
      </c>
      <c r="B5" s="7" t="s">
        <v>51</v>
      </c>
      <c r="C5" s="7"/>
      <c r="D5" s="7"/>
      <c r="E5" s="7">
        <v>4500</v>
      </c>
      <c r="F5" s="7">
        <f>'JUNE 20'!I5:I27</f>
        <v>900</v>
      </c>
      <c r="G5" s="7">
        <f>C5+D5+E5+F5</f>
        <v>5400</v>
      </c>
      <c r="H5" s="7">
        <v>4500</v>
      </c>
      <c r="I5" s="7">
        <f t="shared" ref="I5:I12" si="0">G5-H5</f>
        <v>900</v>
      </c>
      <c r="J5" s="7"/>
      <c r="K5" s="7"/>
    </row>
    <row r="6" spans="1:11" x14ac:dyDescent="0.25">
      <c r="A6" s="7" t="s">
        <v>31</v>
      </c>
      <c r="B6" s="7" t="s">
        <v>52</v>
      </c>
      <c r="C6" s="7"/>
      <c r="D6" s="7"/>
      <c r="E6" s="7">
        <v>3000</v>
      </c>
      <c r="F6" s="7">
        <f>'JUNE 20'!I6:I28</f>
        <v>0</v>
      </c>
      <c r="G6" s="7">
        <f>C6+D6+E6+F6</f>
        <v>3000</v>
      </c>
      <c r="H6" s="7">
        <f>3000</f>
        <v>3000</v>
      </c>
      <c r="I6" s="7">
        <f t="shared" si="0"/>
        <v>0</v>
      </c>
      <c r="J6" s="7"/>
      <c r="K6" s="7"/>
    </row>
    <row r="7" spans="1:11" x14ac:dyDescent="0.25">
      <c r="A7" s="7" t="s">
        <v>32</v>
      </c>
      <c r="B7" s="7" t="s">
        <v>115</v>
      </c>
      <c r="C7" s="7"/>
      <c r="D7" s="7"/>
      <c r="E7" s="7">
        <v>7500</v>
      </c>
      <c r="F7" s="7">
        <f>'JUNE 20'!I7:I29</f>
        <v>7500</v>
      </c>
      <c r="G7" s="7">
        <f>C7+D7+E7+F7</f>
        <v>15000</v>
      </c>
      <c r="H7" s="7">
        <v>7500</v>
      </c>
      <c r="I7" s="7">
        <f t="shared" si="0"/>
        <v>7500</v>
      </c>
      <c r="J7" s="7"/>
      <c r="K7" s="7"/>
    </row>
    <row r="8" spans="1:11" x14ac:dyDescent="0.25">
      <c r="A8" s="7" t="s">
        <v>33</v>
      </c>
      <c r="B8" s="7" t="s">
        <v>54</v>
      </c>
      <c r="C8" s="7"/>
      <c r="D8" s="7"/>
      <c r="E8" s="7">
        <v>6500</v>
      </c>
      <c r="F8" s="7"/>
      <c r="G8" s="7">
        <f>C8+D8+E8+F8</f>
        <v>6500</v>
      </c>
      <c r="H8" s="7">
        <v>6500</v>
      </c>
      <c r="I8" s="7">
        <f t="shared" si="0"/>
        <v>0</v>
      </c>
      <c r="J8" s="7"/>
      <c r="K8" s="7"/>
    </row>
    <row r="9" spans="1:11" x14ac:dyDescent="0.25">
      <c r="A9" s="7" t="s">
        <v>34</v>
      </c>
      <c r="B9" s="7" t="s">
        <v>76</v>
      </c>
      <c r="C9" s="7"/>
      <c r="D9" s="7"/>
      <c r="E9" s="7"/>
      <c r="F9" s="7">
        <f>'JUNE 20'!I9:I31</f>
        <v>0</v>
      </c>
      <c r="G9" s="7">
        <f t="shared" ref="G9:G27" si="1">C9+D9+E9+F9</f>
        <v>0</v>
      </c>
      <c r="H9" s="7"/>
      <c r="I9" s="7">
        <f t="shared" si="0"/>
        <v>0</v>
      </c>
      <c r="J9" s="7"/>
      <c r="K9" s="7"/>
    </row>
    <row r="10" spans="1:11" x14ac:dyDescent="0.25">
      <c r="A10" s="7" t="s">
        <v>35</v>
      </c>
      <c r="B10" s="7" t="s">
        <v>55</v>
      </c>
      <c r="C10" s="7"/>
      <c r="D10" s="7"/>
      <c r="E10" s="7">
        <v>7000</v>
      </c>
      <c r="F10" s="7">
        <f>'JUNE 20'!I10:I32</f>
        <v>2000</v>
      </c>
      <c r="G10" s="7">
        <f t="shared" si="1"/>
        <v>9000</v>
      </c>
      <c r="H10" s="7">
        <f>7000</f>
        <v>7000</v>
      </c>
      <c r="I10" s="7">
        <f t="shared" si="0"/>
        <v>2000</v>
      </c>
      <c r="J10" s="7"/>
      <c r="K10" s="7"/>
    </row>
    <row r="11" spans="1:11" x14ac:dyDescent="0.25">
      <c r="A11" s="7" t="s">
        <v>36</v>
      </c>
      <c r="B11" s="7" t="s">
        <v>56</v>
      </c>
      <c r="C11" s="7"/>
      <c r="D11" s="7"/>
      <c r="E11" s="7">
        <v>7000</v>
      </c>
      <c r="F11" s="7">
        <f>'JUNE 20'!I11:I33</f>
        <v>0</v>
      </c>
      <c r="G11" s="7">
        <f t="shared" si="1"/>
        <v>7000</v>
      </c>
      <c r="H11" s="7">
        <v>7000</v>
      </c>
      <c r="I11" s="7">
        <f t="shared" si="0"/>
        <v>0</v>
      </c>
      <c r="J11" s="7"/>
      <c r="K11" s="7"/>
    </row>
    <row r="12" spans="1:11" x14ac:dyDescent="0.25">
      <c r="A12" s="7" t="s">
        <v>37</v>
      </c>
      <c r="B12" s="8" t="s">
        <v>65</v>
      </c>
      <c r="C12" s="7"/>
      <c r="D12" s="7"/>
      <c r="E12" s="7">
        <v>4500</v>
      </c>
      <c r="F12" s="7">
        <f>'JUNE 20'!I12:I34</f>
        <v>100</v>
      </c>
      <c r="G12" s="7">
        <f t="shared" si="1"/>
        <v>4600</v>
      </c>
      <c r="H12" s="7">
        <v>4500</v>
      </c>
      <c r="I12" s="7">
        <f t="shared" si="0"/>
        <v>100</v>
      </c>
      <c r="J12" s="7"/>
      <c r="K12" s="7"/>
    </row>
    <row r="13" spans="1:11" x14ac:dyDescent="0.25">
      <c r="A13" s="7" t="s">
        <v>38</v>
      </c>
      <c r="B13" s="7" t="s">
        <v>92</v>
      </c>
      <c r="C13" s="7"/>
      <c r="D13" s="7"/>
      <c r="E13" s="7">
        <v>8000</v>
      </c>
      <c r="F13" s="7">
        <f>'JUNE 20'!I13:I35</f>
        <v>8000</v>
      </c>
      <c r="G13" s="7">
        <f t="shared" si="1"/>
        <v>16000</v>
      </c>
      <c r="H13" s="7">
        <f>8000</f>
        <v>8000</v>
      </c>
      <c r="I13" s="7">
        <f t="shared" ref="I13:I21" si="2">G13-H13</f>
        <v>8000</v>
      </c>
      <c r="J13" s="7"/>
      <c r="K13" s="7"/>
    </row>
    <row r="14" spans="1:11" x14ac:dyDescent="0.25">
      <c r="A14" s="7" t="s">
        <v>39</v>
      </c>
      <c r="B14" s="7" t="s">
        <v>70</v>
      </c>
      <c r="C14" s="7"/>
      <c r="D14" s="7"/>
      <c r="E14" s="7">
        <v>6500</v>
      </c>
      <c r="F14" s="7">
        <f>'JUNE 20'!I14:I36</f>
        <v>2350</v>
      </c>
      <c r="G14" s="7">
        <f t="shared" si="1"/>
        <v>8850</v>
      </c>
      <c r="H14" s="7">
        <f>6500+1000</f>
        <v>7500</v>
      </c>
      <c r="I14" s="7">
        <f t="shared" si="2"/>
        <v>1350</v>
      </c>
      <c r="J14" s="7"/>
      <c r="K14" s="7"/>
    </row>
    <row r="15" spans="1:11" x14ac:dyDescent="0.25">
      <c r="A15" s="7" t="s">
        <v>40</v>
      </c>
      <c r="B15" s="7" t="s">
        <v>84</v>
      </c>
      <c r="C15" s="7"/>
      <c r="D15" s="7"/>
      <c r="E15" s="7">
        <v>6500</v>
      </c>
      <c r="F15" s="7">
        <f>'JUNE 20'!I15:I37</f>
        <v>0</v>
      </c>
      <c r="G15" s="7">
        <f t="shared" si="1"/>
        <v>6500</v>
      </c>
      <c r="H15" s="7">
        <v>6500</v>
      </c>
      <c r="I15" s="7">
        <f t="shared" si="2"/>
        <v>0</v>
      </c>
      <c r="J15" s="7"/>
      <c r="K15" s="7"/>
    </row>
    <row r="16" spans="1:11" x14ac:dyDescent="0.25">
      <c r="A16" s="7" t="s">
        <v>41</v>
      </c>
      <c r="B16" s="7" t="s">
        <v>58</v>
      </c>
      <c r="C16" s="7"/>
      <c r="D16" s="7"/>
      <c r="E16" s="7">
        <v>7000</v>
      </c>
      <c r="F16" s="7">
        <f>'JUNE 20'!I16:I38</f>
        <v>2000</v>
      </c>
      <c r="G16" s="7">
        <f t="shared" si="1"/>
        <v>9000</v>
      </c>
      <c r="H16" s="7">
        <f>6000</f>
        <v>6000</v>
      </c>
      <c r="I16" s="7">
        <f t="shared" si="2"/>
        <v>3000</v>
      </c>
      <c r="J16" s="7"/>
      <c r="K16" s="7"/>
    </row>
    <row r="17" spans="1:13" x14ac:dyDescent="0.25">
      <c r="A17" s="7" t="s">
        <v>42</v>
      </c>
      <c r="B17" s="7" t="s">
        <v>59</v>
      </c>
      <c r="C17" s="7"/>
      <c r="D17" s="7"/>
      <c r="E17" s="7">
        <v>7000</v>
      </c>
      <c r="F17" s="7">
        <f>'JUNE 20'!I17:I39</f>
        <v>19850</v>
      </c>
      <c r="G17" s="7">
        <f t="shared" si="1"/>
        <v>26850</v>
      </c>
      <c r="H17" s="7">
        <f>10000</f>
        <v>10000</v>
      </c>
      <c r="I17" s="7">
        <f t="shared" si="2"/>
        <v>16850</v>
      </c>
      <c r="J17" s="7"/>
      <c r="K17" s="7"/>
    </row>
    <row r="18" spans="1:13" x14ac:dyDescent="0.25">
      <c r="A18" s="7" t="s">
        <v>43</v>
      </c>
      <c r="B18" s="7" t="s">
        <v>60</v>
      </c>
      <c r="C18" s="7"/>
      <c r="D18" s="7"/>
      <c r="E18" s="7"/>
      <c r="F18" s="7">
        <f>'JUNE 20'!I18:I40</f>
        <v>0</v>
      </c>
      <c r="G18" s="7">
        <f t="shared" si="1"/>
        <v>0</v>
      </c>
      <c r="H18" s="7"/>
      <c r="I18" s="7">
        <f t="shared" si="2"/>
        <v>0</v>
      </c>
      <c r="J18" s="7"/>
      <c r="K18" s="7"/>
    </row>
    <row r="19" spans="1:13" x14ac:dyDescent="0.25">
      <c r="A19" s="7" t="s">
        <v>44</v>
      </c>
      <c r="B19" s="9" t="s">
        <v>118</v>
      </c>
      <c r="C19" s="7"/>
      <c r="D19" s="7"/>
      <c r="E19" s="7">
        <v>8000</v>
      </c>
      <c r="F19" s="7">
        <f>'JUNE 20'!I19:I41</f>
        <v>0</v>
      </c>
      <c r="G19" s="7">
        <f t="shared" si="1"/>
        <v>8000</v>
      </c>
      <c r="H19" s="7">
        <v>8000</v>
      </c>
      <c r="I19" s="7">
        <f t="shared" si="2"/>
        <v>0</v>
      </c>
      <c r="J19" s="7"/>
      <c r="K19" s="7"/>
    </row>
    <row r="20" spans="1:13" x14ac:dyDescent="0.25">
      <c r="A20" s="7" t="s">
        <v>45</v>
      </c>
      <c r="B20" s="7" t="s">
        <v>76</v>
      </c>
      <c r="C20" s="7"/>
      <c r="D20" s="7"/>
      <c r="E20" s="7"/>
      <c r="F20" s="7">
        <f>'JUNE 20'!I20:I42</f>
        <v>0</v>
      </c>
      <c r="G20" s="7">
        <f t="shared" si="1"/>
        <v>0</v>
      </c>
      <c r="H20" s="7"/>
      <c r="I20" s="7">
        <f t="shared" si="2"/>
        <v>0</v>
      </c>
      <c r="J20" s="7"/>
      <c r="K20" s="7"/>
      <c r="M20">
        <f>I17-5850</f>
        <v>11000</v>
      </c>
    </row>
    <row r="21" spans="1:13" x14ac:dyDescent="0.25">
      <c r="A21" s="7" t="s">
        <v>46</v>
      </c>
      <c r="B21" s="7" t="s">
        <v>132</v>
      </c>
      <c r="C21" s="7"/>
      <c r="D21" s="7"/>
      <c r="E21" s="7">
        <v>6500</v>
      </c>
      <c r="F21" s="7">
        <f>'JUNE 20'!I21:I43</f>
        <v>0</v>
      </c>
      <c r="G21" s="7">
        <f t="shared" si="1"/>
        <v>6500</v>
      </c>
      <c r="H21" s="7">
        <v>6500</v>
      </c>
      <c r="I21" s="7">
        <f t="shared" si="2"/>
        <v>0</v>
      </c>
      <c r="J21" s="7"/>
      <c r="K21" s="7">
        <v>1500</v>
      </c>
      <c r="M21">
        <f>I22</f>
        <v>2000</v>
      </c>
    </row>
    <row r="22" spans="1:13" x14ac:dyDescent="0.25">
      <c r="A22" s="7" t="s">
        <v>47</v>
      </c>
      <c r="B22" s="7" t="s">
        <v>64</v>
      </c>
      <c r="C22" s="7"/>
      <c r="D22" s="7"/>
      <c r="E22" s="7">
        <v>7000</v>
      </c>
      <c r="F22" s="7">
        <f>'JUNE 20'!I22:I44</f>
        <v>2000</v>
      </c>
      <c r="G22" s="7">
        <f t="shared" si="1"/>
        <v>9000</v>
      </c>
      <c r="H22" s="7">
        <v>7000</v>
      </c>
      <c r="I22" s="7">
        <f>G22-H22</f>
        <v>2000</v>
      </c>
      <c r="J22" s="7"/>
      <c r="K22" s="7"/>
      <c r="M22">
        <f>I16</f>
        <v>3000</v>
      </c>
    </row>
    <row r="23" spans="1:13" x14ac:dyDescent="0.25">
      <c r="A23" s="7" t="s">
        <v>66</v>
      </c>
      <c r="B23" s="7" t="s">
        <v>61</v>
      </c>
      <c r="C23" s="7"/>
      <c r="D23" s="7"/>
      <c r="E23" s="7">
        <v>8000</v>
      </c>
      <c r="F23" s="7">
        <f>'JUNE 20'!I23:I45</f>
        <v>0</v>
      </c>
      <c r="G23" s="7">
        <f t="shared" si="1"/>
        <v>8000</v>
      </c>
      <c r="H23" s="7">
        <f>6000+2000</f>
        <v>8000</v>
      </c>
      <c r="I23" s="7">
        <f>G23-H23</f>
        <v>0</v>
      </c>
      <c r="J23" s="7"/>
      <c r="K23" s="7"/>
      <c r="M23">
        <f>I10</f>
        <v>2000</v>
      </c>
    </row>
    <row r="24" spans="1:13" x14ac:dyDescent="0.25">
      <c r="A24" s="7" t="s">
        <v>48</v>
      </c>
      <c r="B24" s="7" t="s">
        <v>69</v>
      </c>
      <c r="C24" s="7"/>
      <c r="D24" s="7"/>
      <c r="E24" s="7">
        <v>4500</v>
      </c>
      <c r="F24" s="7">
        <f>'JUNE 20'!I24:I46</f>
        <v>0</v>
      </c>
      <c r="G24" s="7">
        <f t="shared" si="1"/>
        <v>4500</v>
      </c>
      <c r="H24" s="7">
        <v>4500</v>
      </c>
      <c r="I24" s="7">
        <f>G24-H24</f>
        <v>0</v>
      </c>
      <c r="J24" s="7"/>
      <c r="K24" s="7"/>
      <c r="M24">
        <v>2000</v>
      </c>
    </row>
    <row r="25" spans="1:13" x14ac:dyDescent="0.25">
      <c r="A25" s="7" t="s">
        <v>49</v>
      </c>
      <c r="B25" s="7" t="s">
        <v>100</v>
      </c>
      <c r="C25" s="7"/>
      <c r="D25" s="7"/>
      <c r="E25" s="7">
        <v>8000</v>
      </c>
      <c r="F25" s="7">
        <f>'JUNE 20'!I25:I47</f>
        <v>0</v>
      </c>
      <c r="G25" s="7">
        <f t="shared" si="1"/>
        <v>8000</v>
      </c>
      <c r="H25" s="7">
        <v>8000</v>
      </c>
      <c r="I25" s="7">
        <f>G25-H25</f>
        <v>0</v>
      </c>
      <c r="J25" s="7"/>
      <c r="K25" s="7"/>
      <c r="M25">
        <f>SUM(M20:M24)</f>
        <v>20000</v>
      </c>
    </row>
    <row r="26" spans="1:13" x14ac:dyDescent="0.25">
      <c r="A26" s="7"/>
      <c r="B26" s="7"/>
      <c r="C26" s="7"/>
      <c r="D26" s="7"/>
      <c r="E26" s="7"/>
      <c r="F26" s="7">
        <f>'JUNE 20'!I26:I48</f>
        <v>0</v>
      </c>
      <c r="G26" s="7"/>
      <c r="H26" s="7"/>
      <c r="I26" s="7"/>
      <c r="J26" s="7"/>
      <c r="K26" s="7"/>
    </row>
    <row r="27" spans="1:13" x14ac:dyDescent="0.25">
      <c r="A27" s="7" t="s">
        <v>88</v>
      </c>
      <c r="B27" s="7" t="s">
        <v>110</v>
      </c>
      <c r="C27" s="7"/>
      <c r="D27" s="7"/>
      <c r="E27" s="7">
        <v>7000</v>
      </c>
      <c r="F27" s="7">
        <f>'JUNE 20'!I27:I49</f>
        <v>45100</v>
      </c>
      <c r="G27" s="7">
        <f t="shared" si="1"/>
        <v>52100</v>
      </c>
      <c r="H27" s="7">
        <f>4000+2000+1000</f>
        <v>7000</v>
      </c>
      <c r="I27" s="7">
        <f>G27-H27</f>
        <v>45100</v>
      </c>
      <c r="J27" s="7"/>
      <c r="K27" s="7"/>
    </row>
    <row r="28" spans="1:13" x14ac:dyDescent="0.25">
      <c r="A28" s="6"/>
      <c r="B28" s="10" t="s">
        <v>12</v>
      </c>
      <c r="C28" s="10">
        <f>SUM(C4:C5)</f>
        <v>0</v>
      </c>
      <c r="D28" s="10">
        <f>SUM(D5:D27)</f>
        <v>0</v>
      </c>
      <c r="E28" s="6">
        <f>SUM(E5:E27)</f>
        <v>124000</v>
      </c>
      <c r="F28" s="7">
        <f>SUM(F5:F27)</f>
        <v>89800</v>
      </c>
      <c r="G28" s="7">
        <f>C28+D28+E28+F28</f>
        <v>213800</v>
      </c>
      <c r="H28" s="6">
        <f>SUM(H5:H27)</f>
        <v>127000</v>
      </c>
      <c r="I28" s="6">
        <f>SUM(I5:I27)</f>
        <v>86800</v>
      </c>
      <c r="J28" s="6">
        <f>SUM(J5:J27)</f>
        <v>0</v>
      </c>
      <c r="K28" s="6">
        <f>SUM(K5:K27)</f>
        <v>1500</v>
      </c>
    </row>
    <row r="29" spans="1:13" x14ac:dyDescent="0.25">
      <c r="A29" s="11"/>
      <c r="E29">
        <f>E28+F29+K28</f>
        <v>148000</v>
      </c>
      <c r="F29">
        <f>'JUNE 20'!I29</f>
        <v>22500</v>
      </c>
      <c r="I29" s="8">
        <f>I10+I16+I22+11000+1000</f>
        <v>19000</v>
      </c>
    </row>
    <row r="30" spans="1:13" ht="18.75" x14ac:dyDescent="0.3">
      <c r="B30" s="12" t="s">
        <v>13</v>
      </c>
      <c r="C30" s="13"/>
      <c r="D30" s="13"/>
      <c r="E30" s="13">
        <f>E29-H28</f>
        <v>21000</v>
      </c>
      <c r="F30" s="13"/>
      <c r="G30" s="13"/>
      <c r="H30" s="14"/>
      <c r="I30" s="14"/>
    </row>
    <row r="31" spans="1:13" ht="15.75" x14ac:dyDescent="0.25">
      <c r="B31" s="15" t="s">
        <v>14</v>
      </c>
      <c r="C31" s="15" t="s">
        <v>15</v>
      </c>
      <c r="D31" s="15" t="s">
        <v>16</v>
      </c>
      <c r="E31" s="15" t="s">
        <v>17</v>
      </c>
      <c r="F31" s="15" t="s">
        <v>18</v>
      </c>
      <c r="G31" s="15" t="s">
        <v>15</v>
      </c>
      <c r="H31" s="15" t="s">
        <v>16</v>
      </c>
      <c r="I31" s="15" t="s">
        <v>17</v>
      </c>
      <c r="K31" s="25"/>
    </row>
    <row r="32" spans="1:13" x14ac:dyDescent="0.25">
      <c r="B32" s="9" t="s">
        <v>137</v>
      </c>
      <c r="C32" s="16">
        <f>E28</f>
        <v>124000</v>
      </c>
      <c r="D32" s="17">
        <v>0.1</v>
      </c>
      <c r="E32" s="16"/>
      <c r="F32" s="18" t="s">
        <v>137</v>
      </c>
      <c r="G32" s="16">
        <f>H28</f>
        <v>127000</v>
      </c>
      <c r="H32" s="17">
        <v>0.1</v>
      </c>
      <c r="I32" s="9"/>
    </row>
    <row r="33" spans="2:11" x14ac:dyDescent="0.25">
      <c r="B33" s="9" t="s">
        <v>20</v>
      </c>
      <c r="C33" s="16">
        <f>'JUNE 20'!E45</f>
        <v>38000</v>
      </c>
      <c r="D33" s="9"/>
      <c r="E33" s="9"/>
      <c r="F33" s="9" t="s">
        <v>20</v>
      </c>
      <c r="G33" s="16">
        <f>'JUNE 20'!I45</f>
        <v>16000</v>
      </c>
      <c r="H33" s="9"/>
      <c r="I33" s="9"/>
      <c r="K33" s="26"/>
    </row>
    <row r="34" spans="2:11" x14ac:dyDescent="0.25">
      <c r="B34" s="9" t="s">
        <v>4</v>
      </c>
      <c r="C34" s="16"/>
      <c r="D34" s="9"/>
      <c r="E34" s="9"/>
      <c r="F34" s="9"/>
      <c r="G34" s="16"/>
      <c r="H34" s="16"/>
      <c r="I34" s="9"/>
      <c r="K34" s="26"/>
    </row>
    <row r="35" spans="2:11" x14ac:dyDescent="0.25">
      <c r="B35" s="9" t="s">
        <v>21</v>
      </c>
      <c r="C35" s="16">
        <f>J28</f>
        <v>0</v>
      </c>
      <c r="D35" s="9"/>
      <c r="E35" s="9"/>
      <c r="F35" s="9"/>
      <c r="G35" s="16"/>
      <c r="H35" s="16"/>
      <c r="I35" s="9"/>
      <c r="K35" s="26"/>
    </row>
    <row r="36" spans="2:11" x14ac:dyDescent="0.25">
      <c r="B36" s="9" t="s">
        <v>102</v>
      </c>
      <c r="C36" s="16">
        <f>K28</f>
        <v>1500</v>
      </c>
      <c r="D36" s="9"/>
      <c r="E36" s="9"/>
      <c r="F36" s="9" t="s">
        <v>102</v>
      </c>
      <c r="G36" s="16">
        <f>K28</f>
        <v>1500</v>
      </c>
      <c r="H36" s="9"/>
      <c r="I36" s="9"/>
    </row>
    <row r="37" spans="2:11" x14ac:dyDescent="0.25">
      <c r="B37" s="9" t="s">
        <v>97</v>
      </c>
      <c r="C37" s="16">
        <v>0.3</v>
      </c>
      <c r="D37" s="9"/>
      <c r="E37" s="9"/>
      <c r="F37" s="9" t="s">
        <v>97</v>
      </c>
      <c r="G37" s="16">
        <v>0.3</v>
      </c>
      <c r="H37" s="9"/>
      <c r="I37" s="9"/>
      <c r="K37" s="26"/>
    </row>
    <row r="38" spans="2:11" x14ac:dyDescent="0.25">
      <c r="B38" s="9" t="s">
        <v>22</v>
      </c>
      <c r="C38" s="18"/>
      <c r="D38" s="9">
        <f>C32*D32</f>
        <v>12400</v>
      </c>
      <c r="E38" s="9"/>
      <c r="F38" s="9" t="s">
        <v>22</v>
      </c>
      <c r="G38" s="18"/>
      <c r="H38" s="9">
        <f>D38</f>
        <v>12400</v>
      </c>
      <c r="I38" s="9"/>
      <c r="K38" s="26"/>
    </row>
    <row r="39" spans="2:11" x14ac:dyDescent="0.25">
      <c r="B39" s="19" t="s">
        <v>23</v>
      </c>
      <c r="C39" s="9"/>
      <c r="D39" s="9"/>
      <c r="E39" s="9"/>
      <c r="F39" s="19" t="s">
        <v>23</v>
      </c>
      <c r="G39" s="9"/>
      <c r="H39" s="9"/>
      <c r="I39" s="9"/>
    </row>
    <row r="40" spans="2:11" x14ac:dyDescent="0.25">
      <c r="B40" s="20" t="s">
        <v>139</v>
      </c>
      <c r="C40" s="9"/>
      <c r="D40" s="9">
        <v>16000</v>
      </c>
      <c r="E40" s="9"/>
      <c r="F40" s="20" t="s">
        <v>139</v>
      </c>
      <c r="G40" s="9"/>
      <c r="H40" s="9">
        <v>16000</v>
      </c>
      <c r="I40" s="9"/>
      <c r="J40" s="26"/>
    </row>
    <row r="41" spans="2:11" x14ac:dyDescent="0.25">
      <c r="B41" s="7" t="s">
        <v>141</v>
      </c>
      <c r="C41" s="21"/>
      <c r="D41" s="7">
        <v>94400</v>
      </c>
      <c r="E41" s="7"/>
      <c r="F41" s="7" t="s">
        <v>141</v>
      </c>
      <c r="G41" s="21"/>
      <c r="H41" s="7">
        <v>94400</v>
      </c>
      <c r="I41" s="9"/>
    </row>
    <row r="42" spans="2:11" x14ac:dyDescent="0.25">
      <c r="B42" s="20"/>
      <c r="C42" s="9"/>
      <c r="D42" s="9"/>
      <c r="E42" s="9"/>
      <c r="F42" s="20"/>
      <c r="G42" s="9"/>
      <c r="H42" s="9"/>
      <c r="I42" s="9"/>
      <c r="K42" s="26"/>
    </row>
    <row r="43" spans="2:11" x14ac:dyDescent="0.25">
      <c r="B43" s="20"/>
      <c r="C43" s="9"/>
      <c r="D43" s="9"/>
      <c r="E43" s="9"/>
      <c r="F43" s="20"/>
      <c r="G43" s="9"/>
      <c r="H43" s="9"/>
      <c r="I43" s="9"/>
    </row>
    <row r="44" spans="2:11" x14ac:dyDescent="0.25">
      <c r="B44" s="20"/>
      <c r="C44" s="16"/>
      <c r="D44" s="16"/>
      <c r="E44" s="16"/>
      <c r="F44" s="20"/>
      <c r="G44" s="9"/>
      <c r="H44" s="16"/>
      <c r="I44" s="9"/>
    </row>
    <row r="45" spans="2:11" x14ac:dyDescent="0.25">
      <c r="B45" s="22" t="s">
        <v>12</v>
      </c>
      <c r="C45" s="23">
        <f>C32+C33+C34+C35+C36-D38-D37</f>
        <v>151100</v>
      </c>
      <c r="D45" s="22">
        <f>SUM(D40:D44)</f>
        <v>110400</v>
      </c>
      <c r="E45" s="23">
        <f>C45-D45</f>
        <v>40700</v>
      </c>
      <c r="F45" s="24"/>
      <c r="G45" s="23">
        <f>G32+G33+G36-H37-H38</f>
        <v>132100</v>
      </c>
      <c r="H45" s="23">
        <f>SUM(H40:H44)</f>
        <v>110400</v>
      </c>
      <c r="I45" s="23">
        <f>G45-H45</f>
        <v>21700</v>
      </c>
    </row>
    <row r="46" spans="2:11" x14ac:dyDescent="0.25">
      <c r="K46" s="26"/>
    </row>
    <row r="47" spans="2:11" x14ac:dyDescent="0.25">
      <c r="B47" s="11" t="s">
        <v>24</v>
      </c>
      <c r="D47" s="11" t="s">
        <v>25</v>
      </c>
      <c r="F47" s="11"/>
      <c r="G47" s="11" t="s">
        <v>26</v>
      </c>
      <c r="K47" s="26"/>
    </row>
    <row r="48" spans="2:11" x14ac:dyDescent="0.25">
      <c r="B48" t="s">
        <v>27</v>
      </c>
      <c r="D48" s="11" t="s">
        <v>28</v>
      </c>
      <c r="F48" s="11"/>
      <c r="G48" s="11" t="s">
        <v>147</v>
      </c>
    </row>
    <row r="49" spans="9:9" x14ac:dyDescent="0.25">
      <c r="I49" s="2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workbookViewId="0"/>
  </sheetViews>
  <sheetFormatPr defaultRowHeight="15" x14ac:dyDescent="0.25"/>
  <sheetData>
    <row r="1" spans="1:11" ht="18.75" x14ac:dyDescent="0.25">
      <c r="E1" s="1" t="s">
        <v>50</v>
      </c>
      <c r="F1" s="2"/>
      <c r="G1" s="3"/>
      <c r="H1" s="4"/>
    </row>
    <row r="2" spans="1:11" ht="18.75" x14ac:dyDescent="0.25">
      <c r="E2" s="1" t="s">
        <v>0</v>
      </c>
      <c r="F2" s="1"/>
      <c r="G2" s="5"/>
      <c r="H2" s="5"/>
    </row>
    <row r="3" spans="1:11" ht="18.75" x14ac:dyDescent="0.25">
      <c r="E3" s="1" t="s">
        <v>142</v>
      </c>
      <c r="F3" s="1"/>
      <c r="G3" s="5"/>
      <c r="H3" s="5"/>
    </row>
    <row r="4" spans="1:11" x14ac:dyDescent="0.25">
      <c r="A4" s="6" t="s">
        <v>2</v>
      </c>
      <c r="B4" s="6" t="s">
        <v>3</v>
      </c>
      <c r="C4" s="6"/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  <c r="K4" s="6" t="s">
        <v>101</v>
      </c>
    </row>
    <row r="5" spans="1:11" x14ac:dyDescent="0.25">
      <c r="A5" s="7" t="s">
        <v>30</v>
      </c>
      <c r="B5" s="7" t="s">
        <v>51</v>
      </c>
      <c r="C5" s="7"/>
      <c r="D5" s="7"/>
      <c r="E5" s="7">
        <v>4500</v>
      </c>
      <c r="F5" s="7">
        <f>'JULY 20'!I5:I27</f>
        <v>900</v>
      </c>
      <c r="G5" s="7">
        <f>C5+D5+E5+F5</f>
        <v>5400</v>
      </c>
      <c r="H5" s="7">
        <f>4500</f>
        <v>4500</v>
      </c>
      <c r="I5" s="7">
        <f t="shared" ref="I5:I12" si="0">G5-H5</f>
        <v>900</v>
      </c>
      <c r="J5" s="7"/>
      <c r="K5" s="7"/>
    </row>
    <row r="6" spans="1:11" x14ac:dyDescent="0.25">
      <c r="A6" s="7" t="s">
        <v>31</v>
      </c>
      <c r="B6" s="7" t="s">
        <v>52</v>
      </c>
      <c r="C6" s="7"/>
      <c r="D6" s="7"/>
      <c r="E6" s="7">
        <v>3000</v>
      </c>
      <c r="F6" s="7">
        <f>'JULY 20'!I6:I28</f>
        <v>0</v>
      </c>
      <c r="G6" s="7">
        <f>C6+D6+E6+F6</f>
        <v>3000</v>
      </c>
      <c r="H6" s="7">
        <v>3000</v>
      </c>
      <c r="I6" s="7">
        <f t="shared" si="0"/>
        <v>0</v>
      </c>
      <c r="J6" s="7"/>
      <c r="K6" s="7"/>
    </row>
    <row r="7" spans="1:11" x14ac:dyDescent="0.25">
      <c r="A7" s="7" t="s">
        <v>32</v>
      </c>
      <c r="B7" s="7" t="s">
        <v>115</v>
      </c>
      <c r="C7" s="7"/>
      <c r="D7" s="7">
        <v>7500</v>
      </c>
      <c r="E7" s="7">
        <v>7500</v>
      </c>
      <c r="F7" s="7"/>
      <c r="G7" s="7">
        <f>C7+D7+E7+F7</f>
        <v>15000</v>
      </c>
      <c r="H7" s="7">
        <f>12500</f>
        <v>12500</v>
      </c>
      <c r="I7" s="7">
        <f t="shared" si="0"/>
        <v>2500</v>
      </c>
      <c r="J7" s="7"/>
      <c r="K7" s="7"/>
    </row>
    <row r="8" spans="1:11" x14ac:dyDescent="0.25">
      <c r="A8" s="7" t="s">
        <v>33</v>
      </c>
      <c r="B8" s="7" t="s">
        <v>54</v>
      </c>
      <c r="C8" s="7"/>
      <c r="D8" s="7"/>
      <c r="E8" s="7">
        <v>6500</v>
      </c>
      <c r="F8" s="7">
        <f>'JULY 20'!I8:I30</f>
        <v>0</v>
      </c>
      <c r="G8" s="7">
        <f>C8+D8+E8+F8</f>
        <v>6500</v>
      </c>
      <c r="H8" s="7">
        <f>6500</f>
        <v>6500</v>
      </c>
      <c r="I8" s="7">
        <f t="shared" si="0"/>
        <v>0</v>
      </c>
      <c r="J8" s="7"/>
      <c r="K8" s="7"/>
    </row>
    <row r="9" spans="1:11" x14ac:dyDescent="0.25">
      <c r="A9" s="7" t="s">
        <v>34</v>
      </c>
      <c r="B9" s="7" t="s">
        <v>76</v>
      </c>
      <c r="C9" s="7"/>
      <c r="D9" s="7"/>
      <c r="E9" s="7"/>
      <c r="F9" s="7">
        <f>'JULY 20'!I9:I31</f>
        <v>0</v>
      </c>
      <c r="G9" s="7">
        <f t="shared" ref="G9:G27" si="1">C9+D9+E9+F9</f>
        <v>0</v>
      </c>
      <c r="H9" s="7"/>
      <c r="I9" s="7">
        <f t="shared" si="0"/>
        <v>0</v>
      </c>
      <c r="J9" s="7"/>
      <c r="K9" s="7"/>
    </row>
    <row r="10" spans="1:11" x14ac:dyDescent="0.25">
      <c r="A10" s="7" t="s">
        <v>35</v>
      </c>
      <c r="B10" s="7" t="s">
        <v>55</v>
      </c>
      <c r="C10" s="7"/>
      <c r="D10" s="7"/>
      <c r="E10" s="7">
        <v>7000</v>
      </c>
      <c r="F10" s="7">
        <f>'JULY 20'!I10:I32</f>
        <v>2000</v>
      </c>
      <c r="G10" s="7">
        <f t="shared" si="1"/>
        <v>9000</v>
      </c>
      <c r="H10" s="7">
        <f>7000</f>
        <v>7000</v>
      </c>
      <c r="I10" s="7">
        <f t="shared" si="0"/>
        <v>2000</v>
      </c>
      <c r="J10" s="7"/>
      <c r="K10" s="7"/>
    </row>
    <row r="11" spans="1:11" x14ac:dyDescent="0.25">
      <c r="A11" s="7" t="s">
        <v>36</v>
      </c>
      <c r="B11" s="7" t="s">
        <v>56</v>
      </c>
      <c r="C11" s="7"/>
      <c r="D11" s="7"/>
      <c r="E11" s="7">
        <v>7000</v>
      </c>
      <c r="F11" s="7">
        <f>'JULY 20'!I11:I33</f>
        <v>0</v>
      </c>
      <c r="G11" s="7">
        <f t="shared" si="1"/>
        <v>7000</v>
      </c>
      <c r="H11" s="7">
        <v>7000</v>
      </c>
      <c r="I11" s="7">
        <f t="shared" si="0"/>
        <v>0</v>
      </c>
      <c r="J11" s="7"/>
      <c r="K11" s="7"/>
    </row>
    <row r="12" spans="1:11" x14ac:dyDescent="0.25">
      <c r="A12" s="7" t="s">
        <v>37</v>
      </c>
      <c r="B12" s="8" t="s">
        <v>65</v>
      </c>
      <c r="C12" s="7"/>
      <c r="D12" s="7"/>
      <c r="E12" s="7">
        <v>4500</v>
      </c>
      <c r="F12" s="7">
        <f>'JULY 20'!I12:I34</f>
        <v>100</v>
      </c>
      <c r="G12" s="7">
        <f t="shared" si="1"/>
        <v>4600</v>
      </c>
      <c r="H12" s="7">
        <v>4500</v>
      </c>
      <c r="I12" s="7">
        <f t="shared" si="0"/>
        <v>100</v>
      </c>
      <c r="J12" s="7"/>
      <c r="K12" s="7"/>
    </row>
    <row r="13" spans="1:11" x14ac:dyDescent="0.25">
      <c r="A13" s="7" t="s">
        <v>38</v>
      </c>
      <c r="B13" s="7" t="s">
        <v>92</v>
      </c>
      <c r="C13" s="7"/>
      <c r="D13" s="7">
        <v>8000</v>
      </c>
      <c r="E13" s="7">
        <v>8000</v>
      </c>
      <c r="F13" s="7"/>
      <c r="G13" s="7">
        <f t="shared" si="1"/>
        <v>16000</v>
      </c>
      <c r="H13" s="7">
        <v>8000</v>
      </c>
      <c r="I13" s="7">
        <f t="shared" ref="I13:I21" si="2">G13-H13</f>
        <v>8000</v>
      </c>
      <c r="J13" s="7"/>
      <c r="K13" s="7"/>
    </row>
    <row r="14" spans="1:11" x14ac:dyDescent="0.25">
      <c r="A14" s="7" t="s">
        <v>39</v>
      </c>
      <c r="B14" s="7" t="s">
        <v>70</v>
      </c>
      <c r="C14" s="7"/>
      <c r="D14" s="7"/>
      <c r="E14" s="7">
        <v>6500</v>
      </c>
      <c r="F14" s="7">
        <f>'JULY 20'!I14:I36</f>
        <v>1350</v>
      </c>
      <c r="G14" s="7">
        <f t="shared" si="1"/>
        <v>7850</v>
      </c>
      <c r="H14" s="7">
        <f>7500</f>
        <v>7500</v>
      </c>
      <c r="I14" s="7">
        <f t="shared" si="2"/>
        <v>350</v>
      </c>
      <c r="J14" s="7"/>
      <c r="K14" s="7"/>
    </row>
    <row r="15" spans="1:11" x14ac:dyDescent="0.25">
      <c r="A15" s="7" t="s">
        <v>40</v>
      </c>
      <c r="B15" s="7" t="s">
        <v>84</v>
      </c>
      <c r="C15" s="7"/>
      <c r="D15" s="7"/>
      <c r="E15" s="7">
        <v>6500</v>
      </c>
      <c r="F15" s="7">
        <f>'JULY 20'!I15:I37</f>
        <v>0</v>
      </c>
      <c r="G15" s="7">
        <f t="shared" si="1"/>
        <v>6500</v>
      </c>
      <c r="H15" s="7">
        <f>6500</f>
        <v>6500</v>
      </c>
      <c r="I15" s="7">
        <f t="shared" si="2"/>
        <v>0</v>
      </c>
      <c r="J15" s="7"/>
      <c r="K15" s="7"/>
    </row>
    <row r="16" spans="1:11" x14ac:dyDescent="0.25">
      <c r="A16" s="7" t="s">
        <v>41</v>
      </c>
      <c r="B16" s="7" t="s">
        <v>58</v>
      </c>
      <c r="C16" s="7"/>
      <c r="D16" s="7"/>
      <c r="E16" s="7">
        <v>7000</v>
      </c>
      <c r="F16" s="7">
        <f>'JULY 20'!I16:I38</f>
        <v>3000</v>
      </c>
      <c r="G16" s="7">
        <f t="shared" si="1"/>
        <v>10000</v>
      </c>
      <c r="H16" s="7">
        <f>8500</f>
        <v>8500</v>
      </c>
      <c r="I16" s="7">
        <f t="shared" si="2"/>
        <v>1500</v>
      </c>
      <c r="J16" s="7"/>
      <c r="K16" s="7"/>
    </row>
    <row r="17" spans="1:11" x14ac:dyDescent="0.25">
      <c r="A17" s="7" t="s">
        <v>42</v>
      </c>
      <c r="B17" s="7" t="s">
        <v>59</v>
      </c>
      <c r="C17" s="7"/>
      <c r="D17" s="7"/>
      <c r="E17" s="7">
        <v>7000</v>
      </c>
      <c r="F17" s="7">
        <f>'JULY 20'!I17:I39</f>
        <v>16850</v>
      </c>
      <c r="G17" s="7">
        <f t="shared" si="1"/>
        <v>23850</v>
      </c>
      <c r="H17" s="7"/>
      <c r="I17" s="7">
        <f t="shared" si="2"/>
        <v>23850</v>
      </c>
      <c r="J17" s="7"/>
      <c r="K17" s="7"/>
    </row>
    <row r="18" spans="1:11" x14ac:dyDescent="0.25">
      <c r="A18" s="7" t="s">
        <v>43</v>
      </c>
      <c r="B18" s="7" t="s">
        <v>60</v>
      </c>
      <c r="C18" s="7"/>
      <c r="D18" s="7"/>
      <c r="E18" s="7"/>
      <c r="F18" s="7">
        <f>'JULY 20'!I18:I40</f>
        <v>0</v>
      </c>
      <c r="G18" s="7">
        <f t="shared" si="1"/>
        <v>0</v>
      </c>
      <c r="H18" s="7"/>
      <c r="I18" s="7">
        <f t="shared" si="2"/>
        <v>0</v>
      </c>
      <c r="J18" s="7"/>
      <c r="K18" s="7"/>
    </row>
    <row r="19" spans="1:11" x14ac:dyDescent="0.25">
      <c r="A19" s="7" t="s">
        <v>44</v>
      </c>
      <c r="B19" s="9" t="s">
        <v>118</v>
      </c>
      <c r="C19" s="7"/>
      <c r="D19" s="7"/>
      <c r="E19" s="7">
        <v>8000</v>
      </c>
      <c r="F19" s="7">
        <f>'JULY 20'!I19:I41</f>
        <v>0</v>
      </c>
      <c r="G19" s="7">
        <f t="shared" si="1"/>
        <v>8000</v>
      </c>
      <c r="H19" s="7">
        <f>8000</f>
        <v>8000</v>
      </c>
      <c r="I19" s="7">
        <f t="shared" si="2"/>
        <v>0</v>
      </c>
      <c r="J19" s="7"/>
      <c r="K19" s="7"/>
    </row>
    <row r="20" spans="1:11" x14ac:dyDescent="0.25">
      <c r="A20" s="7" t="s">
        <v>45</v>
      </c>
      <c r="B20" s="7" t="s">
        <v>76</v>
      </c>
      <c r="C20" s="7"/>
      <c r="D20" s="7"/>
      <c r="E20" s="7"/>
      <c r="F20" s="7">
        <f>'JULY 20'!I20:I42</f>
        <v>0</v>
      </c>
      <c r="G20" s="7">
        <f t="shared" si="1"/>
        <v>0</v>
      </c>
      <c r="H20" s="7"/>
      <c r="I20" s="7">
        <f t="shared" si="2"/>
        <v>0</v>
      </c>
      <c r="J20" s="7"/>
      <c r="K20" s="7"/>
    </row>
    <row r="21" spans="1:11" x14ac:dyDescent="0.25">
      <c r="A21" s="7" t="s">
        <v>46</v>
      </c>
      <c r="B21" s="7" t="s">
        <v>132</v>
      </c>
      <c r="C21" s="7"/>
      <c r="D21" s="7"/>
      <c r="E21" s="7">
        <v>6500</v>
      </c>
      <c r="F21" s="7">
        <f>'JULY 20'!I21:I43</f>
        <v>0</v>
      </c>
      <c r="G21" s="7">
        <f t="shared" si="1"/>
        <v>6500</v>
      </c>
      <c r="H21" s="7">
        <v>6500</v>
      </c>
      <c r="I21" s="7">
        <f t="shared" si="2"/>
        <v>0</v>
      </c>
      <c r="J21" s="7"/>
      <c r="K21" s="7"/>
    </row>
    <row r="22" spans="1:11" x14ac:dyDescent="0.25">
      <c r="A22" s="7" t="s">
        <v>47</v>
      </c>
      <c r="B22" s="7" t="s">
        <v>64</v>
      </c>
      <c r="C22" s="7"/>
      <c r="D22" s="7"/>
      <c r="E22" s="7">
        <v>7000</v>
      </c>
      <c r="F22" s="7">
        <f>'JULY 20'!I22:I44</f>
        <v>2000</v>
      </c>
      <c r="G22" s="7">
        <f t="shared" si="1"/>
        <v>9000</v>
      </c>
      <c r="H22" s="7">
        <f>8000</f>
        <v>8000</v>
      </c>
      <c r="I22" s="7">
        <f>G22-H22</f>
        <v>1000</v>
      </c>
      <c r="J22" s="7"/>
      <c r="K22" s="7"/>
    </row>
    <row r="23" spans="1:11" x14ac:dyDescent="0.25">
      <c r="A23" s="7" t="s">
        <v>66</v>
      </c>
      <c r="B23" s="7" t="s">
        <v>61</v>
      </c>
      <c r="C23" s="7"/>
      <c r="D23" s="7"/>
      <c r="E23" s="7">
        <v>8000</v>
      </c>
      <c r="F23" s="7">
        <f>'JULY 20'!I23:I45</f>
        <v>0</v>
      </c>
      <c r="G23" s="7">
        <f t="shared" si="1"/>
        <v>8000</v>
      </c>
      <c r="H23" s="7">
        <f>8000</f>
        <v>8000</v>
      </c>
      <c r="I23" s="7">
        <f>G23-H23</f>
        <v>0</v>
      </c>
      <c r="J23" s="7"/>
      <c r="K23" s="7"/>
    </row>
    <row r="24" spans="1:11" x14ac:dyDescent="0.25">
      <c r="A24" s="7" t="s">
        <v>48</v>
      </c>
      <c r="B24" s="7" t="s">
        <v>69</v>
      </c>
      <c r="C24" s="7"/>
      <c r="D24" s="7"/>
      <c r="E24" s="7">
        <v>4500</v>
      </c>
      <c r="F24" s="7">
        <f>'JULY 20'!I24:I46</f>
        <v>0</v>
      </c>
      <c r="G24" s="7">
        <f t="shared" si="1"/>
        <v>4500</v>
      </c>
      <c r="H24" s="7">
        <v>4500</v>
      </c>
      <c r="I24" s="7">
        <f>G24-H24</f>
        <v>0</v>
      </c>
      <c r="J24" s="7"/>
      <c r="K24" s="7"/>
    </row>
    <row r="25" spans="1:11" x14ac:dyDescent="0.25">
      <c r="A25" s="7" t="s">
        <v>49</v>
      </c>
      <c r="B25" s="7" t="s">
        <v>100</v>
      </c>
      <c r="C25" s="7"/>
      <c r="D25" s="7"/>
      <c r="E25" s="7">
        <v>8000</v>
      </c>
      <c r="F25" s="7">
        <f>'JULY 20'!I25:I47</f>
        <v>0</v>
      </c>
      <c r="G25" s="7">
        <f t="shared" si="1"/>
        <v>8000</v>
      </c>
      <c r="H25" s="7">
        <v>8000</v>
      </c>
      <c r="I25" s="7">
        <f>G25-H25</f>
        <v>0</v>
      </c>
      <c r="J25" s="7"/>
      <c r="K25" s="7"/>
    </row>
    <row r="26" spans="1:11" x14ac:dyDescent="0.25">
      <c r="A26" s="7"/>
      <c r="B26" s="7"/>
      <c r="C26" s="7"/>
      <c r="D26" s="7"/>
      <c r="E26" s="7"/>
      <c r="F26" s="7">
        <f>'JULY 20'!I26:I48</f>
        <v>0</v>
      </c>
      <c r="G26" s="7"/>
      <c r="H26" s="7"/>
      <c r="I26" s="7"/>
      <c r="J26" s="7"/>
      <c r="K26" s="7"/>
    </row>
    <row r="27" spans="1:11" x14ac:dyDescent="0.25">
      <c r="A27" s="7" t="s">
        <v>88</v>
      </c>
      <c r="B27" s="7" t="s">
        <v>110</v>
      </c>
      <c r="C27" s="7"/>
      <c r="D27" s="7"/>
      <c r="E27" s="7">
        <v>7000</v>
      </c>
      <c r="F27" s="7">
        <f>'JULY 20'!I27:I49</f>
        <v>45100</v>
      </c>
      <c r="G27" s="7">
        <f t="shared" si="1"/>
        <v>52100</v>
      </c>
      <c r="H27" s="7">
        <f>1000+2000+1000+1000+1000+1000</f>
        <v>7000</v>
      </c>
      <c r="I27" s="7">
        <f>G27-H27</f>
        <v>45100</v>
      </c>
      <c r="J27" s="7"/>
      <c r="K27" s="7"/>
    </row>
    <row r="28" spans="1:11" x14ac:dyDescent="0.25">
      <c r="A28" s="6"/>
      <c r="B28" s="10" t="s">
        <v>12</v>
      </c>
      <c r="C28" s="10">
        <f>SUM(C4:C5)</f>
        <v>0</v>
      </c>
      <c r="D28" s="10">
        <f>SUM(D5:D27)</f>
        <v>15500</v>
      </c>
      <c r="E28" s="6">
        <f>SUM(E5:E27)</f>
        <v>124000</v>
      </c>
      <c r="F28" s="7">
        <f>SUM(F5:F27)</f>
        <v>71300</v>
      </c>
      <c r="G28" s="7">
        <f>C28+D28+E28+F28</f>
        <v>210800</v>
      </c>
      <c r="H28" s="6">
        <f>SUM(H5:H27)</f>
        <v>125500</v>
      </c>
      <c r="I28" s="6">
        <f>SUM(I5:I27)</f>
        <v>85300</v>
      </c>
      <c r="J28" s="6">
        <f>SUM(J5:J27)</f>
        <v>0</v>
      </c>
      <c r="K28" s="6">
        <f>SUM(K5:K27)</f>
        <v>0</v>
      </c>
    </row>
    <row r="29" spans="1:11" x14ac:dyDescent="0.25">
      <c r="A29" s="11"/>
      <c r="E29">
        <f>E28+F29+K28</f>
        <v>143000</v>
      </c>
      <c r="F29">
        <f>'JULY 20'!I29</f>
        <v>19000</v>
      </c>
      <c r="I29" s="8">
        <f>I28-I27-I5-I7-I12-I13-I14-5850</f>
        <v>22500</v>
      </c>
    </row>
    <row r="30" spans="1:11" ht="18.75" x14ac:dyDescent="0.3">
      <c r="B30" s="12" t="s">
        <v>13</v>
      </c>
      <c r="C30" s="13"/>
      <c r="D30" s="13"/>
      <c r="E30" s="13">
        <f>E29-H28</f>
        <v>17500</v>
      </c>
      <c r="F30" s="13"/>
      <c r="G30" s="13"/>
      <c r="H30" s="14"/>
      <c r="I30" s="14"/>
    </row>
    <row r="31" spans="1:11" ht="15.75" x14ac:dyDescent="0.25">
      <c r="B31" s="15" t="s">
        <v>14</v>
      </c>
      <c r="C31" s="15" t="s">
        <v>15</v>
      </c>
      <c r="D31" s="15" t="s">
        <v>16</v>
      </c>
      <c r="E31" s="15" t="s">
        <v>17</v>
      </c>
      <c r="F31" s="15" t="s">
        <v>18</v>
      </c>
      <c r="G31" s="15" t="s">
        <v>15</v>
      </c>
      <c r="H31" s="15" t="s">
        <v>16</v>
      </c>
      <c r="I31" s="15" t="s">
        <v>17</v>
      </c>
      <c r="K31" s="25"/>
    </row>
    <row r="32" spans="1:11" x14ac:dyDescent="0.25">
      <c r="B32" s="9" t="s">
        <v>143</v>
      </c>
      <c r="C32" s="16">
        <f>E28</f>
        <v>124000</v>
      </c>
      <c r="D32" s="17">
        <v>0.1</v>
      </c>
      <c r="E32" s="16"/>
      <c r="F32" s="18" t="s">
        <v>143</v>
      </c>
      <c r="G32" s="16">
        <f>H28</f>
        <v>125500</v>
      </c>
      <c r="H32" s="17">
        <v>0.1</v>
      </c>
      <c r="I32" s="9"/>
    </row>
    <row r="33" spans="2:11" x14ac:dyDescent="0.25">
      <c r="B33" s="9" t="s">
        <v>20</v>
      </c>
      <c r="C33" s="16">
        <f>'JULY 20'!E45</f>
        <v>40700</v>
      </c>
      <c r="D33" s="9"/>
      <c r="E33" s="9"/>
      <c r="F33" s="9" t="s">
        <v>20</v>
      </c>
      <c r="G33" s="16">
        <f>'JULY 20'!I45</f>
        <v>21700</v>
      </c>
      <c r="H33" s="9"/>
      <c r="I33" s="9"/>
      <c r="K33" s="26"/>
    </row>
    <row r="34" spans="2:11" x14ac:dyDescent="0.25">
      <c r="B34" s="9" t="s">
        <v>144</v>
      </c>
      <c r="C34" s="16">
        <v>5000</v>
      </c>
      <c r="D34" s="9"/>
      <c r="E34" s="9"/>
      <c r="F34" s="9"/>
      <c r="G34" s="16"/>
      <c r="H34" s="16"/>
      <c r="I34" s="9"/>
      <c r="K34" s="26"/>
    </row>
    <row r="35" spans="2:11" x14ac:dyDescent="0.25">
      <c r="B35" s="9" t="s">
        <v>21</v>
      </c>
      <c r="C35" s="16">
        <f>J28</f>
        <v>0</v>
      </c>
      <c r="D35" s="9"/>
      <c r="E35" s="9"/>
      <c r="F35" s="9"/>
      <c r="G35" s="16"/>
      <c r="H35" s="16"/>
      <c r="I35" s="9"/>
      <c r="K35" s="26"/>
    </row>
    <row r="36" spans="2:11" x14ac:dyDescent="0.25">
      <c r="B36" s="9" t="s">
        <v>102</v>
      </c>
      <c r="C36" s="16">
        <f>K28</f>
        <v>0</v>
      </c>
      <c r="D36" s="9"/>
      <c r="E36" s="9"/>
      <c r="F36" s="9" t="s">
        <v>102</v>
      </c>
      <c r="G36" s="16">
        <f>K28</f>
        <v>0</v>
      </c>
      <c r="H36" s="9"/>
      <c r="I36" s="9"/>
    </row>
    <row r="37" spans="2:11" x14ac:dyDescent="0.25">
      <c r="B37" s="9" t="s">
        <v>97</v>
      </c>
      <c r="C37" s="16">
        <v>0.3</v>
      </c>
      <c r="D37" s="9"/>
      <c r="E37" s="9"/>
      <c r="F37" s="9" t="s">
        <v>97</v>
      </c>
      <c r="G37" s="16">
        <v>0.3</v>
      </c>
      <c r="H37" s="9"/>
      <c r="I37" s="9"/>
    </row>
    <row r="38" spans="2:11" x14ac:dyDescent="0.25">
      <c r="B38" s="9" t="s">
        <v>22</v>
      </c>
      <c r="C38" s="18"/>
      <c r="D38" s="9">
        <f>C32*D32</f>
        <v>12400</v>
      </c>
      <c r="E38" s="9"/>
      <c r="F38" s="9" t="s">
        <v>22</v>
      </c>
      <c r="G38" s="18"/>
      <c r="H38" s="9">
        <f>D38</f>
        <v>12400</v>
      </c>
      <c r="I38" s="9"/>
    </row>
    <row r="39" spans="2:11" x14ac:dyDescent="0.25">
      <c r="B39" s="19" t="s">
        <v>23</v>
      </c>
      <c r="C39" s="9"/>
      <c r="D39" s="9"/>
      <c r="E39" s="9"/>
      <c r="F39" s="19" t="s">
        <v>23</v>
      </c>
      <c r="G39" s="9"/>
      <c r="H39" s="9"/>
      <c r="I39" s="9"/>
    </row>
    <row r="40" spans="2:11" x14ac:dyDescent="0.25">
      <c r="B40" s="20" t="s">
        <v>145</v>
      </c>
      <c r="C40" s="9"/>
      <c r="D40" s="9">
        <v>18000</v>
      </c>
      <c r="E40" s="9"/>
      <c r="F40" s="20" t="s">
        <v>145</v>
      </c>
      <c r="G40" s="9"/>
      <c r="H40" s="9">
        <v>18000</v>
      </c>
      <c r="I40" s="9"/>
      <c r="J40" s="26"/>
    </row>
    <row r="41" spans="2:11" x14ac:dyDescent="0.25">
      <c r="B41" s="7" t="s">
        <v>146</v>
      </c>
      <c r="C41" s="21"/>
      <c r="D41" s="7">
        <v>60000</v>
      </c>
      <c r="E41" s="7"/>
      <c r="F41" s="7" t="s">
        <v>146</v>
      </c>
      <c r="G41" s="21"/>
      <c r="H41" s="7">
        <v>60000</v>
      </c>
      <c r="I41" s="9"/>
    </row>
    <row r="42" spans="2:11" x14ac:dyDescent="0.25">
      <c r="B42" s="20" t="s">
        <v>148</v>
      </c>
      <c r="C42" s="9"/>
      <c r="D42" s="9">
        <v>4500</v>
      </c>
      <c r="E42" s="9"/>
      <c r="F42" s="20" t="s">
        <v>148</v>
      </c>
      <c r="G42" s="9"/>
      <c r="H42" s="9">
        <v>4500</v>
      </c>
      <c r="I42" s="9"/>
      <c r="K42" s="26"/>
    </row>
    <row r="43" spans="2:11" x14ac:dyDescent="0.25">
      <c r="B43" s="20" t="s">
        <v>152</v>
      </c>
      <c r="C43" s="9"/>
      <c r="D43" s="9">
        <v>34000</v>
      </c>
      <c r="E43" s="9"/>
      <c r="F43" s="20" t="s">
        <v>149</v>
      </c>
      <c r="G43" s="9"/>
      <c r="H43" s="9">
        <v>34000</v>
      </c>
      <c r="I43" s="9"/>
      <c r="K43" s="26"/>
    </row>
    <row r="44" spans="2:11" x14ac:dyDescent="0.25">
      <c r="B44" s="20" t="s">
        <v>148</v>
      </c>
      <c r="C44" s="9"/>
      <c r="D44" s="9">
        <v>4500</v>
      </c>
      <c r="E44" s="9"/>
      <c r="F44" s="20" t="s">
        <v>148</v>
      </c>
      <c r="G44" s="9"/>
      <c r="H44" s="9">
        <v>4500</v>
      </c>
      <c r="I44" s="9"/>
      <c r="K44" s="26"/>
    </row>
    <row r="45" spans="2:11" x14ac:dyDescent="0.25">
      <c r="B45" s="20"/>
      <c r="C45" s="16"/>
      <c r="D45" s="16"/>
      <c r="E45" s="16"/>
      <c r="F45" s="20"/>
      <c r="G45" s="9"/>
      <c r="H45" s="16"/>
      <c r="I45" s="9"/>
    </row>
    <row r="46" spans="2:11" x14ac:dyDescent="0.25">
      <c r="B46" s="22" t="s">
        <v>12</v>
      </c>
      <c r="C46" s="23">
        <f>C32+C33+C34+C35+C36-D38-D37</f>
        <v>157300</v>
      </c>
      <c r="D46" s="22">
        <f>SUM(D40:D45)</f>
        <v>121000</v>
      </c>
      <c r="E46" s="23">
        <f>C46-D46</f>
        <v>36300</v>
      </c>
      <c r="F46" s="24"/>
      <c r="G46" s="23">
        <f>G32+G33+G36-H37-H38</f>
        <v>134800</v>
      </c>
      <c r="H46" s="23">
        <f>SUM(H40:H45)</f>
        <v>121000</v>
      </c>
      <c r="I46" s="23">
        <f>G46-H46</f>
        <v>13800</v>
      </c>
    </row>
    <row r="47" spans="2:11" x14ac:dyDescent="0.25">
      <c r="K47" s="26"/>
    </row>
    <row r="48" spans="2:11" x14ac:dyDescent="0.25">
      <c r="B48" s="11" t="s">
        <v>24</v>
      </c>
      <c r="D48" s="11" t="s">
        <v>25</v>
      </c>
      <c r="F48" s="11"/>
      <c r="G48" s="11" t="s">
        <v>26</v>
      </c>
      <c r="K48" s="26"/>
    </row>
    <row r="49" spans="2:7" x14ac:dyDescent="0.25">
      <c r="B49" t="s">
        <v>27</v>
      </c>
      <c r="D49" s="11" t="s">
        <v>28</v>
      </c>
      <c r="F49" s="11"/>
      <c r="G49" s="11" t="s">
        <v>147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/>
  </sheetViews>
  <sheetFormatPr defaultRowHeight="15" x14ac:dyDescent="0.25"/>
  <sheetData>
    <row r="1" spans="1:11" ht="18.75" x14ac:dyDescent="0.25">
      <c r="E1" s="1" t="s">
        <v>50</v>
      </c>
      <c r="F1" s="2"/>
      <c r="G1" s="3"/>
      <c r="H1" s="4"/>
    </row>
    <row r="2" spans="1:11" ht="18.75" x14ac:dyDescent="0.25">
      <c r="E2" s="1" t="s">
        <v>0</v>
      </c>
      <c r="F2" s="1"/>
      <c r="G2" s="5"/>
      <c r="H2" s="5"/>
    </row>
    <row r="3" spans="1:11" ht="18.75" x14ac:dyDescent="0.25">
      <c r="E3" s="1" t="s">
        <v>150</v>
      </c>
      <c r="F3" s="1"/>
      <c r="G3" s="5"/>
      <c r="H3" s="5"/>
    </row>
    <row r="4" spans="1:11" x14ac:dyDescent="0.25">
      <c r="A4" s="6" t="s">
        <v>2</v>
      </c>
      <c r="B4" s="6" t="s">
        <v>3</v>
      </c>
      <c r="C4" s="6"/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  <c r="K4" s="6" t="s">
        <v>101</v>
      </c>
    </row>
    <row r="5" spans="1:11" x14ac:dyDescent="0.25">
      <c r="A5" s="7" t="s">
        <v>30</v>
      </c>
      <c r="B5" s="7" t="s">
        <v>51</v>
      </c>
      <c r="C5" s="7"/>
      <c r="D5" s="7"/>
      <c r="E5" s="7">
        <v>4500</v>
      </c>
      <c r="F5" s="7">
        <f>'AUGUST 20'!I5:I27</f>
        <v>900</v>
      </c>
      <c r="G5" s="7">
        <f>C5+D5+E5+F5</f>
        <v>5400</v>
      </c>
      <c r="H5" s="7">
        <v>4500</v>
      </c>
      <c r="I5" s="7">
        <f t="shared" ref="I5:I12" si="0">G5-H5</f>
        <v>900</v>
      </c>
      <c r="J5" s="7"/>
      <c r="K5" s="7"/>
    </row>
    <row r="6" spans="1:11" x14ac:dyDescent="0.25">
      <c r="A6" s="7" t="s">
        <v>31</v>
      </c>
      <c r="B6" s="7" t="s">
        <v>52</v>
      </c>
      <c r="C6" s="7"/>
      <c r="D6" s="7"/>
      <c r="E6" s="7">
        <v>3000</v>
      </c>
      <c r="F6" s="7">
        <f>'AUGUST 20'!I6:I28</f>
        <v>0</v>
      </c>
      <c r="G6" s="7">
        <f>C6+D6+E6+F6</f>
        <v>3000</v>
      </c>
      <c r="H6" s="7">
        <f>3000</f>
        <v>3000</v>
      </c>
      <c r="I6" s="7">
        <f t="shared" si="0"/>
        <v>0</v>
      </c>
      <c r="J6" s="7"/>
      <c r="K6" s="7"/>
    </row>
    <row r="7" spans="1:11" x14ac:dyDescent="0.25">
      <c r="A7" s="7" t="s">
        <v>32</v>
      </c>
      <c r="B7" s="7" t="s">
        <v>115</v>
      </c>
      <c r="C7" s="7"/>
      <c r="D7" s="7">
        <v>2500</v>
      </c>
      <c r="E7" s="7">
        <v>7500</v>
      </c>
      <c r="F7" s="7"/>
      <c r="G7" s="7">
        <f>C7+D7+E7+F7</f>
        <v>10000</v>
      </c>
      <c r="H7" s="7">
        <f>7000</f>
        <v>7000</v>
      </c>
      <c r="I7" s="7">
        <f t="shared" si="0"/>
        <v>3000</v>
      </c>
      <c r="J7" s="7"/>
      <c r="K7" s="7"/>
    </row>
    <row r="8" spans="1:11" x14ac:dyDescent="0.25">
      <c r="A8" s="7" t="s">
        <v>33</v>
      </c>
      <c r="B8" s="7" t="s">
        <v>54</v>
      </c>
      <c r="C8" s="7"/>
      <c r="D8" s="7"/>
      <c r="E8" s="7">
        <v>6500</v>
      </c>
      <c r="F8" s="7">
        <f>'AUGUST 20'!I8:I30</f>
        <v>0</v>
      </c>
      <c r="G8" s="7">
        <f>C8+D8+E8+F8</f>
        <v>6500</v>
      </c>
      <c r="H8" s="7">
        <f>6500</f>
        <v>6500</v>
      </c>
      <c r="I8" s="7">
        <f t="shared" si="0"/>
        <v>0</v>
      </c>
      <c r="J8" s="7"/>
      <c r="K8" s="7"/>
    </row>
    <row r="9" spans="1:11" x14ac:dyDescent="0.25">
      <c r="A9" s="7" t="s">
        <v>34</v>
      </c>
      <c r="B9" s="7" t="s">
        <v>76</v>
      </c>
      <c r="C9" s="7"/>
      <c r="D9" s="7"/>
      <c r="E9" s="7"/>
      <c r="F9" s="7">
        <f>'AUGUST 20'!I9:I31</f>
        <v>0</v>
      </c>
      <c r="G9" s="7">
        <f t="shared" ref="G9:G27" si="1">C9+D9+E9+F9</f>
        <v>0</v>
      </c>
      <c r="H9" s="7"/>
      <c r="I9" s="7">
        <f t="shared" si="0"/>
        <v>0</v>
      </c>
      <c r="J9" s="7"/>
      <c r="K9" s="7"/>
    </row>
    <row r="10" spans="1:11" x14ac:dyDescent="0.25">
      <c r="A10" s="7" t="s">
        <v>35</v>
      </c>
      <c r="B10" s="7" t="s">
        <v>55</v>
      </c>
      <c r="C10" s="7"/>
      <c r="D10" s="7"/>
      <c r="E10" s="7">
        <v>7000</v>
      </c>
      <c r="F10" s="7">
        <f>'AUGUST 20'!I10:I32</f>
        <v>2000</v>
      </c>
      <c r="G10" s="7">
        <f t="shared" si="1"/>
        <v>9000</v>
      </c>
      <c r="H10" s="7">
        <f>8000</f>
        <v>8000</v>
      </c>
      <c r="I10" s="7">
        <f t="shared" si="0"/>
        <v>1000</v>
      </c>
      <c r="J10" s="7"/>
      <c r="K10" s="7"/>
    </row>
    <row r="11" spans="1:11" x14ac:dyDescent="0.25">
      <c r="A11" s="7" t="s">
        <v>36</v>
      </c>
      <c r="B11" s="7" t="s">
        <v>56</v>
      </c>
      <c r="C11" s="7"/>
      <c r="D11" s="7"/>
      <c r="E11" s="7">
        <v>7000</v>
      </c>
      <c r="F11" s="7">
        <f>'AUGUST 20'!I11:I33</f>
        <v>0</v>
      </c>
      <c r="G11" s="7">
        <f t="shared" si="1"/>
        <v>7000</v>
      </c>
      <c r="H11" s="7">
        <f>7000</f>
        <v>7000</v>
      </c>
      <c r="I11" s="7">
        <f t="shared" si="0"/>
        <v>0</v>
      </c>
      <c r="J11" s="7"/>
      <c r="K11" s="7"/>
    </row>
    <row r="12" spans="1:11" x14ac:dyDescent="0.25">
      <c r="A12" s="7" t="s">
        <v>37</v>
      </c>
      <c r="B12" s="8" t="s">
        <v>65</v>
      </c>
      <c r="C12" s="7"/>
      <c r="D12" s="7"/>
      <c r="E12" s="7">
        <v>4500</v>
      </c>
      <c r="F12" s="7">
        <f>'AUGUST 20'!I12:I34</f>
        <v>100</v>
      </c>
      <c r="G12" s="7">
        <f t="shared" si="1"/>
        <v>4600</v>
      </c>
      <c r="H12" s="7">
        <f>4500</f>
        <v>4500</v>
      </c>
      <c r="I12" s="7">
        <f t="shared" si="0"/>
        <v>100</v>
      </c>
      <c r="J12" s="7"/>
      <c r="K12" s="7"/>
    </row>
    <row r="13" spans="1:11" x14ac:dyDescent="0.25">
      <c r="A13" s="7" t="s">
        <v>38</v>
      </c>
      <c r="B13" s="7" t="s">
        <v>92</v>
      </c>
      <c r="C13" s="7"/>
      <c r="D13" s="7">
        <v>5000</v>
      </c>
      <c r="E13" s="7">
        <v>8000</v>
      </c>
      <c r="F13" s="7"/>
      <c r="G13" s="7">
        <f t="shared" si="1"/>
        <v>13000</v>
      </c>
      <c r="H13" s="7">
        <f>5000+3000</f>
        <v>8000</v>
      </c>
      <c r="I13" s="7">
        <f t="shared" ref="I13:I21" si="2">G13-H13</f>
        <v>5000</v>
      </c>
      <c r="J13" s="7"/>
      <c r="K13" s="7"/>
    </row>
    <row r="14" spans="1:11" x14ac:dyDescent="0.25">
      <c r="A14" s="7" t="s">
        <v>39</v>
      </c>
      <c r="B14" s="7" t="s">
        <v>70</v>
      </c>
      <c r="C14" s="7"/>
      <c r="D14" s="7"/>
      <c r="E14" s="7">
        <v>6500</v>
      </c>
      <c r="F14" s="7">
        <f>'AUGUST 20'!I14:I36</f>
        <v>350</v>
      </c>
      <c r="G14" s="7">
        <f t="shared" si="1"/>
        <v>6850</v>
      </c>
      <c r="H14" s="7">
        <f>6850</f>
        <v>6850</v>
      </c>
      <c r="I14" s="7">
        <f t="shared" si="2"/>
        <v>0</v>
      </c>
      <c r="J14" s="7">
        <v>350</v>
      </c>
      <c r="K14" s="7"/>
    </row>
    <row r="15" spans="1:11" x14ac:dyDescent="0.25">
      <c r="A15" s="7" t="s">
        <v>40</v>
      </c>
      <c r="B15" s="7" t="s">
        <v>84</v>
      </c>
      <c r="C15" s="7"/>
      <c r="D15" s="7"/>
      <c r="E15" s="7">
        <v>6500</v>
      </c>
      <c r="F15" s="7">
        <f>'AUGUST 20'!I15:I37</f>
        <v>0</v>
      </c>
      <c r="G15" s="7">
        <f t="shared" si="1"/>
        <v>6500</v>
      </c>
      <c r="H15" s="7">
        <f>6500</f>
        <v>6500</v>
      </c>
      <c r="I15" s="7">
        <f t="shared" si="2"/>
        <v>0</v>
      </c>
      <c r="J15" s="7"/>
      <c r="K15" s="7"/>
    </row>
    <row r="16" spans="1:11" x14ac:dyDescent="0.25">
      <c r="A16" s="7" t="s">
        <v>41</v>
      </c>
      <c r="B16" s="7" t="s">
        <v>58</v>
      </c>
      <c r="C16" s="7"/>
      <c r="D16" s="7"/>
      <c r="E16" s="7">
        <v>7000</v>
      </c>
      <c r="F16" s="7">
        <f>'AUGUST 20'!I16:I38</f>
        <v>1500</v>
      </c>
      <c r="G16" s="7">
        <f t="shared" si="1"/>
        <v>8500</v>
      </c>
      <c r="H16" s="7">
        <v>7000</v>
      </c>
      <c r="I16" s="7">
        <f t="shared" si="2"/>
        <v>1500</v>
      </c>
      <c r="J16" s="7"/>
      <c r="K16" s="7"/>
    </row>
    <row r="17" spans="1:11" x14ac:dyDescent="0.25">
      <c r="A17" s="7" t="s">
        <v>42</v>
      </c>
      <c r="B17" s="7" t="s">
        <v>59</v>
      </c>
      <c r="C17" s="7"/>
      <c r="D17" s="7"/>
      <c r="E17" s="7">
        <v>7000</v>
      </c>
      <c r="F17" s="7">
        <f>'AUGUST 20'!I17:I39</f>
        <v>23850</v>
      </c>
      <c r="G17" s="7">
        <f t="shared" si="1"/>
        <v>30850</v>
      </c>
      <c r="H17" s="7">
        <f>7000</f>
        <v>7000</v>
      </c>
      <c r="I17" s="7">
        <f t="shared" si="2"/>
        <v>23850</v>
      </c>
      <c r="J17" s="7"/>
      <c r="K17" s="7"/>
    </row>
    <row r="18" spans="1:11" x14ac:dyDescent="0.25">
      <c r="A18" s="7" t="s">
        <v>43</v>
      </c>
      <c r="B18" s="7" t="s">
        <v>60</v>
      </c>
      <c r="C18" s="7"/>
      <c r="D18" s="7"/>
      <c r="E18" s="7"/>
      <c r="F18" s="7">
        <f>'AUGUST 20'!I18:I40</f>
        <v>0</v>
      </c>
      <c r="G18" s="7">
        <f t="shared" si="1"/>
        <v>0</v>
      </c>
      <c r="H18" s="7"/>
      <c r="I18" s="7">
        <f t="shared" si="2"/>
        <v>0</v>
      </c>
      <c r="J18" s="7"/>
      <c r="K18" s="7"/>
    </row>
    <row r="19" spans="1:11" x14ac:dyDescent="0.25">
      <c r="A19" s="7" t="s">
        <v>44</v>
      </c>
      <c r="B19" s="9" t="s">
        <v>118</v>
      </c>
      <c r="C19" s="7"/>
      <c r="D19" s="7"/>
      <c r="E19" s="7">
        <v>8000</v>
      </c>
      <c r="F19" s="7">
        <f>'AUGUST 20'!I19:I41</f>
        <v>0</v>
      </c>
      <c r="G19" s="7">
        <f t="shared" si="1"/>
        <v>8000</v>
      </c>
      <c r="H19" s="7">
        <f>8000</f>
        <v>8000</v>
      </c>
      <c r="I19" s="7">
        <f t="shared" si="2"/>
        <v>0</v>
      </c>
      <c r="J19" s="7"/>
      <c r="K19" s="7"/>
    </row>
    <row r="20" spans="1:11" x14ac:dyDescent="0.25">
      <c r="A20" s="7" t="s">
        <v>45</v>
      </c>
      <c r="B20" s="7" t="s">
        <v>153</v>
      </c>
      <c r="C20" s="7"/>
      <c r="D20" s="7">
        <v>7000</v>
      </c>
      <c r="E20" s="7">
        <v>7000</v>
      </c>
      <c r="F20" s="7">
        <f>'AUGUST 20'!I20:I42</f>
        <v>0</v>
      </c>
      <c r="G20" s="7">
        <f t="shared" si="1"/>
        <v>14000</v>
      </c>
      <c r="H20" s="7">
        <v>10000</v>
      </c>
      <c r="I20" s="7">
        <f t="shared" si="2"/>
        <v>4000</v>
      </c>
      <c r="J20" s="7"/>
      <c r="K20" s="7"/>
    </row>
    <row r="21" spans="1:11" x14ac:dyDescent="0.25">
      <c r="A21" s="7" t="s">
        <v>46</v>
      </c>
      <c r="B21" s="7" t="s">
        <v>132</v>
      </c>
      <c r="C21" s="7"/>
      <c r="D21" s="7"/>
      <c r="E21" s="7">
        <v>6500</v>
      </c>
      <c r="F21" s="7">
        <f>'AUGUST 20'!I21:I43</f>
        <v>0</v>
      </c>
      <c r="G21" s="7">
        <f t="shared" si="1"/>
        <v>6500</v>
      </c>
      <c r="H21" s="7">
        <f>6000</f>
        <v>6000</v>
      </c>
      <c r="I21" s="7">
        <f t="shared" si="2"/>
        <v>500</v>
      </c>
      <c r="J21" s="7"/>
      <c r="K21" s="7"/>
    </row>
    <row r="22" spans="1:11" x14ac:dyDescent="0.25">
      <c r="A22" s="7" t="s">
        <v>47</v>
      </c>
      <c r="B22" s="7" t="s">
        <v>64</v>
      </c>
      <c r="C22" s="7"/>
      <c r="D22" s="7"/>
      <c r="E22" s="7">
        <v>7000</v>
      </c>
      <c r="F22" s="7">
        <f>'AUGUST 20'!I22:I44</f>
        <v>1000</v>
      </c>
      <c r="G22" s="7">
        <f t="shared" si="1"/>
        <v>8000</v>
      </c>
      <c r="H22" s="7">
        <v>7000</v>
      </c>
      <c r="I22" s="7">
        <f>G22-H22</f>
        <v>1000</v>
      </c>
      <c r="J22" s="7"/>
      <c r="K22" s="7"/>
    </row>
    <row r="23" spans="1:11" x14ac:dyDescent="0.25">
      <c r="A23" s="7" t="s">
        <v>66</v>
      </c>
      <c r="B23" s="7" t="s">
        <v>61</v>
      </c>
      <c r="C23" s="7"/>
      <c r="D23" s="7"/>
      <c r="E23" s="7">
        <v>8000</v>
      </c>
      <c r="F23" s="7">
        <f>'AUGUST 20'!I23:I45</f>
        <v>0</v>
      </c>
      <c r="G23" s="7">
        <f t="shared" si="1"/>
        <v>8000</v>
      </c>
      <c r="H23" s="7">
        <f>8000</f>
        <v>8000</v>
      </c>
      <c r="I23" s="7">
        <f>G23-H23</f>
        <v>0</v>
      </c>
      <c r="J23" s="7"/>
      <c r="K23" s="7"/>
    </row>
    <row r="24" spans="1:11" x14ac:dyDescent="0.25">
      <c r="A24" s="7" t="s">
        <v>48</v>
      </c>
      <c r="B24" s="7" t="s">
        <v>69</v>
      </c>
      <c r="C24" s="7"/>
      <c r="D24" s="7"/>
      <c r="E24" s="7">
        <v>4500</v>
      </c>
      <c r="F24" s="7">
        <f>'AUGUST 20'!I24:I46</f>
        <v>0</v>
      </c>
      <c r="G24" s="7">
        <f t="shared" si="1"/>
        <v>4500</v>
      </c>
      <c r="H24" s="7">
        <v>4500</v>
      </c>
      <c r="I24" s="7">
        <f>G24-H24</f>
        <v>0</v>
      </c>
      <c r="J24" s="7"/>
      <c r="K24" s="7"/>
    </row>
    <row r="25" spans="1:11" x14ac:dyDescent="0.25">
      <c r="A25" s="7" t="s">
        <v>49</v>
      </c>
      <c r="B25" s="7" t="s">
        <v>100</v>
      </c>
      <c r="C25" s="7"/>
      <c r="D25" s="7"/>
      <c r="E25" s="7">
        <v>8000</v>
      </c>
      <c r="F25" s="7">
        <f>'AUGUST 20'!I25:I47</f>
        <v>0</v>
      </c>
      <c r="G25" s="7">
        <f t="shared" si="1"/>
        <v>8000</v>
      </c>
      <c r="H25" s="7">
        <f>8000</f>
        <v>8000</v>
      </c>
      <c r="I25" s="7">
        <f>G25-H25</f>
        <v>0</v>
      </c>
      <c r="J25" s="7"/>
      <c r="K25" s="7"/>
    </row>
    <row r="26" spans="1:11" x14ac:dyDescent="0.25">
      <c r="A26" s="7"/>
      <c r="B26" s="7"/>
      <c r="C26" s="7"/>
      <c r="D26" s="7"/>
      <c r="E26" s="7"/>
      <c r="F26" s="7">
        <f>'AUGUST 20'!I26:I48</f>
        <v>0</v>
      </c>
      <c r="G26" s="7"/>
      <c r="H26" s="7"/>
      <c r="I26" s="7"/>
      <c r="J26" s="7"/>
      <c r="K26" s="7"/>
    </row>
    <row r="27" spans="1:11" x14ac:dyDescent="0.25">
      <c r="A27" s="7" t="s">
        <v>88</v>
      </c>
      <c r="B27" s="7" t="s">
        <v>110</v>
      </c>
      <c r="C27" s="7"/>
      <c r="D27" s="7"/>
      <c r="E27" s="7">
        <v>7000</v>
      </c>
      <c r="F27" s="7">
        <f>'AUGUST 20'!I27:I49</f>
        <v>45100</v>
      </c>
      <c r="G27" s="7">
        <f t="shared" si="1"/>
        <v>52100</v>
      </c>
      <c r="H27" s="7">
        <f>3000+3000</f>
        <v>6000</v>
      </c>
      <c r="I27" s="7">
        <f>G27-H27</f>
        <v>46100</v>
      </c>
      <c r="J27" s="7"/>
      <c r="K27" s="7"/>
    </row>
    <row r="28" spans="1:11" x14ac:dyDescent="0.25">
      <c r="A28" s="6"/>
      <c r="B28" s="10" t="s">
        <v>12</v>
      </c>
      <c r="C28" s="10">
        <f>SUM(C4:C5)</f>
        <v>0</v>
      </c>
      <c r="D28" s="10">
        <f>SUM(D5:D27)</f>
        <v>14500</v>
      </c>
      <c r="E28" s="6">
        <f>SUM(E5:E27)</f>
        <v>131000</v>
      </c>
      <c r="F28" s="7">
        <f>SUM(F5:F27)</f>
        <v>74800</v>
      </c>
      <c r="G28" s="7">
        <f>C28+D28+E28+F28</f>
        <v>220300</v>
      </c>
      <c r="H28" s="6">
        <f>SUM(H5:H27)</f>
        <v>133350</v>
      </c>
      <c r="I28" s="6">
        <f>SUM(I5:I27)</f>
        <v>86950</v>
      </c>
      <c r="J28" s="6">
        <f>SUM(J5:J27)</f>
        <v>350</v>
      </c>
      <c r="K28" s="6">
        <f>SUM(K5:K27)</f>
        <v>0</v>
      </c>
    </row>
    <row r="29" spans="1:11" x14ac:dyDescent="0.25">
      <c r="A29" s="11"/>
      <c r="I29" s="8">
        <f>I28-F27-5850-I5-I20-I13-D7-I12</f>
        <v>23500</v>
      </c>
    </row>
    <row r="30" spans="1:11" ht="18.75" x14ac:dyDescent="0.3">
      <c r="B30" s="12" t="s">
        <v>13</v>
      </c>
      <c r="C30" s="13"/>
      <c r="D30" s="13"/>
      <c r="E30" s="13"/>
      <c r="F30" s="13"/>
      <c r="G30" s="13"/>
      <c r="H30" s="14"/>
      <c r="I30" s="14"/>
    </row>
    <row r="31" spans="1:11" ht="15.75" x14ac:dyDescent="0.25">
      <c r="B31" s="15" t="s">
        <v>14</v>
      </c>
      <c r="C31" s="15" t="s">
        <v>15</v>
      </c>
      <c r="D31" s="15" t="s">
        <v>16</v>
      </c>
      <c r="E31" s="15" t="s">
        <v>17</v>
      </c>
      <c r="F31" s="15" t="s">
        <v>18</v>
      </c>
      <c r="G31" s="15" t="s">
        <v>15</v>
      </c>
      <c r="H31" s="15" t="s">
        <v>16</v>
      </c>
      <c r="I31" s="15" t="s">
        <v>17</v>
      </c>
      <c r="K31" s="25"/>
    </row>
    <row r="32" spans="1:11" x14ac:dyDescent="0.25">
      <c r="B32" s="9" t="s">
        <v>151</v>
      </c>
      <c r="C32" s="16">
        <f>E28</f>
        <v>131000</v>
      </c>
      <c r="D32" s="17">
        <v>0.1</v>
      </c>
      <c r="E32" s="16"/>
      <c r="F32" s="18" t="s">
        <v>151</v>
      </c>
      <c r="G32" s="16">
        <f>H28</f>
        <v>133350</v>
      </c>
      <c r="H32" s="17">
        <v>0.1</v>
      </c>
      <c r="I32" s="9"/>
    </row>
    <row r="33" spans="2:11" x14ac:dyDescent="0.25">
      <c r="B33" s="9" t="s">
        <v>20</v>
      </c>
      <c r="C33" s="16">
        <f>'AUGUST 20'!E46</f>
        <v>36300</v>
      </c>
      <c r="D33" s="9"/>
      <c r="E33" s="9"/>
      <c r="F33" s="9" t="s">
        <v>20</v>
      </c>
      <c r="G33" s="16">
        <f>'AUGUST 20'!I46</f>
        <v>13800</v>
      </c>
      <c r="H33" s="9"/>
      <c r="I33" s="9"/>
      <c r="K33" s="26"/>
    </row>
    <row r="34" spans="2:11" x14ac:dyDescent="0.25">
      <c r="B34" s="9" t="s">
        <v>154</v>
      </c>
      <c r="C34" s="16">
        <v>3000</v>
      </c>
      <c r="D34" s="9"/>
      <c r="E34" s="9"/>
      <c r="F34" s="9"/>
      <c r="G34" s="16"/>
      <c r="H34" s="16"/>
      <c r="I34" s="9"/>
      <c r="K34" s="26"/>
    </row>
    <row r="35" spans="2:11" x14ac:dyDescent="0.25">
      <c r="B35" s="9" t="s">
        <v>21</v>
      </c>
      <c r="C35" s="16">
        <f>J28</f>
        <v>350</v>
      </c>
      <c r="D35" s="9"/>
      <c r="E35" s="9"/>
      <c r="F35" s="9"/>
      <c r="G35" s="16"/>
      <c r="H35" s="16"/>
      <c r="I35" s="9"/>
      <c r="K35" s="26"/>
    </row>
    <row r="36" spans="2:11" x14ac:dyDescent="0.25">
      <c r="B36" s="9" t="s">
        <v>102</v>
      </c>
      <c r="C36" s="16">
        <f>K28</f>
        <v>0</v>
      </c>
      <c r="D36" s="9"/>
      <c r="E36" s="9"/>
      <c r="F36" s="9" t="s">
        <v>102</v>
      </c>
      <c r="G36" s="16">
        <f>K28</f>
        <v>0</v>
      </c>
      <c r="H36" s="9"/>
      <c r="I36" s="9"/>
    </row>
    <row r="37" spans="2:11" x14ac:dyDescent="0.25">
      <c r="B37" s="9" t="s">
        <v>97</v>
      </c>
      <c r="C37" s="16">
        <v>0.3</v>
      </c>
      <c r="D37" s="9"/>
      <c r="E37" s="9"/>
      <c r="F37" s="9" t="s">
        <v>97</v>
      </c>
      <c r="G37" s="16">
        <v>0.3</v>
      </c>
      <c r="H37" s="9"/>
      <c r="I37" s="9"/>
    </row>
    <row r="38" spans="2:11" x14ac:dyDescent="0.25">
      <c r="B38" s="9" t="s">
        <v>22</v>
      </c>
      <c r="C38" s="18"/>
      <c r="D38" s="9">
        <f>C32*D32</f>
        <v>13100</v>
      </c>
      <c r="E38" s="9"/>
      <c r="F38" s="9" t="s">
        <v>22</v>
      </c>
      <c r="G38" s="18"/>
      <c r="H38" s="9">
        <f>D38</f>
        <v>13100</v>
      </c>
      <c r="I38" s="9"/>
    </row>
    <row r="39" spans="2:11" x14ac:dyDescent="0.25">
      <c r="B39" s="19" t="s">
        <v>23</v>
      </c>
      <c r="C39" s="9"/>
      <c r="D39" s="9"/>
      <c r="E39" s="9"/>
      <c r="F39" s="19" t="s">
        <v>23</v>
      </c>
      <c r="G39" s="9"/>
      <c r="H39" s="9"/>
      <c r="I39" s="9"/>
    </row>
    <row r="40" spans="2:11" x14ac:dyDescent="0.25">
      <c r="B40" s="20" t="s">
        <v>155</v>
      </c>
      <c r="C40" s="9"/>
      <c r="D40" s="9">
        <v>35000</v>
      </c>
      <c r="E40" s="9"/>
      <c r="F40" s="20" t="s">
        <v>155</v>
      </c>
      <c r="G40" s="9"/>
      <c r="H40" s="9">
        <v>35000</v>
      </c>
      <c r="I40" s="9"/>
      <c r="J40" s="26"/>
    </row>
    <row r="41" spans="2:11" x14ac:dyDescent="0.25">
      <c r="B41" s="7" t="s">
        <v>156</v>
      </c>
      <c r="C41" s="21"/>
      <c r="D41" s="7">
        <v>55000</v>
      </c>
      <c r="E41" s="7"/>
      <c r="F41" s="7" t="s">
        <v>156</v>
      </c>
      <c r="G41" s="21"/>
      <c r="H41" s="7">
        <v>55000</v>
      </c>
      <c r="I41" s="9"/>
    </row>
    <row r="42" spans="2:11" x14ac:dyDescent="0.25">
      <c r="B42" s="20"/>
      <c r="C42" s="9"/>
      <c r="D42" s="9"/>
      <c r="E42" s="9"/>
      <c r="F42" s="20"/>
      <c r="G42" s="9"/>
      <c r="H42" s="9"/>
      <c r="I42" s="9"/>
      <c r="K42" s="26"/>
    </row>
    <row r="43" spans="2:11" x14ac:dyDescent="0.25">
      <c r="B43" s="20"/>
      <c r="C43" s="9"/>
      <c r="D43" s="9"/>
      <c r="E43" s="9"/>
      <c r="F43" s="20"/>
      <c r="G43" s="9"/>
      <c r="H43" s="9"/>
      <c r="I43" s="9"/>
      <c r="K43" s="26"/>
    </row>
    <row r="44" spans="2:11" x14ac:dyDescent="0.25">
      <c r="B44" s="20"/>
      <c r="C44" s="9"/>
      <c r="D44" s="9"/>
      <c r="E44" s="9"/>
      <c r="F44" s="20"/>
      <c r="G44" s="9"/>
      <c r="H44" s="9"/>
      <c r="I44" s="9"/>
      <c r="K44" s="26"/>
    </row>
    <row r="45" spans="2:11" x14ac:dyDescent="0.25">
      <c r="B45" s="20"/>
      <c r="C45" s="16"/>
      <c r="D45" s="16"/>
      <c r="E45" s="16"/>
      <c r="F45" s="20"/>
      <c r="G45" s="9"/>
      <c r="H45" s="16"/>
      <c r="I45" s="9"/>
    </row>
    <row r="46" spans="2:11" x14ac:dyDescent="0.25">
      <c r="B46" s="22" t="s">
        <v>12</v>
      </c>
      <c r="C46" s="23">
        <f>C32+C33+C34+C35+C36-D38-D37</f>
        <v>157550</v>
      </c>
      <c r="D46" s="22">
        <f>SUM(D40:D45)</f>
        <v>90000</v>
      </c>
      <c r="E46" s="23">
        <f>C46-D46</f>
        <v>67550</v>
      </c>
      <c r="F46" s="24"/>
      <c r="G46" s="23">
        <f>G32+G33+G36-H37-H38</f>
        <v>134050</v>
      </c>
      <c r="H46" s="23">
        <f>SUM(H40:H45)</f>
        <v>90000</v>
      </c>
      <c r="I46" s="23">
        <f>G46-H46</f>
        <v>44050</v>
      </c>
    </row>
    <row r="47" spans="2:11" x14ac:dyDescent="0.25">
      <c r="K47" s="26"/>
    </row>
    <row r="48" spans="2:11" x14ac:dyDescent="0.25">
      <c r="B48" s="11" t="s">
        <v>24</v>
      </c>
      <c r="D48" s="11" t="s">
        <v>25</v>
      </c>
      <c r="F48" s="11"/>
      <c r="G48" s="11" t="s">
        <v>26</v>
      </c>
      <c r="K48" s="26"/>
    </row>
    <row r="49" spans="2:9" x14ac:dyDescent="0.25">
      <c r="B49" t="s">
        <v>27</v>
      </c>
      <c r="D49" s="11" t="s">
        <v>28</v>
      </c>
      <c r="F49" s="11"/>
      <c r="G49" s="11" t="s">
        <v>147</v>
      </c>
      <c r="I49" s="26"/>
    </row>
    <row r="51" spans="2:9" x14ac:dyDescent="0.25">
      <c r="I51" s="26">
        <f>E46-I46</f>
        <v>23500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JANUARY 20</vt:lpstr>
      <vt:lpstr>FEBRUARY 20</vt:lpstr>
      <vt:lpstr>MARCH 20</vt:lpstr>
      <vt:lpstr>APRIL 20</vt:lpstr>
      <vt:lpstr>MAY 20</vt:lpstr>
      <vt:lpstr>JUNE 20</vt:lpstr>
      <vt:lpstr>JULY 20</vt:lpstr>
      <vt:lpstr>AUGUST 20</vt:lpstr>
      <vt:lpstr>SEPTEMBER20</vt:lpstr>
      <vt:lpstr>october20</vt:lpstr>
      <vt:lpstr>NOVEMBER20</vt:lpstr>
      <vt:lpstr>DECEMBER 20</vt:lpstr>
      <vt:lpstr>JANUARY 21</vt:lpstr>
      <vt:lpstr>FEBRUARY 21</vt:lpstr>
      <vt:lpstr>MARCH 21</vt:lpstr>
      <vt:lpstr>APRIL21</vt:lpstr>
      <vt:lpstr>MAY 21</vt:lpstr>
      <vt:lpstr>JUNE 21</vt:lpstr>
      <vt:lpstr>JULY 21</vt:lpstr>
      <vt:lpstr>AUGUST 21</vt:lpstr>
      <vt:lpstr>SEPTEMBER 21</vt:lpstr>
      <vt:lpstr>OCTOBER 21</vt:lpstr>
      <vt:lpstr>NOVEMBER</vt:lpstr>
      <vt:lpstr>DECEMBER 21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Assetflow</cp:lastModifiedBy>
  <cp:lastPrinted>2021-02-05T13:28:06Z</cp:lastPrinted>
  <dcterms:created xsi:type="dcterms:W3CDTF">2020-01-06T13:27:23Z</dcterms:created>
  <dcterms:modified xsi:type="dcterms:W3CDTF">2021-12-16T15:29:53Z</dcterms:modified>
</cp:coreProperties>
</file>